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sp.bisinfo.org/teams/bcbs/dc/TemplatesAndReports/QIS/Templates etc/_BM/224/"/>
    </mc:Choice>
  </mc:AlternateContent>
  <xr:revisionPtr revIDLastSave="0" documentId="13_ncr:1_{6F0691D4-AA7E-45B6-8E53-D4E92EC00E15}" xr6:coauthVersionLast="47" xr6:coauthVersionMax="47" xr10:uidLastSave="{00000000-0000-0000-0000-000000000000}"/>
  <bookViews>
    <workbookView xWindow="-120" yWindow="-120" windowWidth="29040" windowHeight="17640" tabRatio="928" xr2:uid="{00000000-000D-0000-FFFF-FFFF00000000}"/>
  </bookViews>
  <sheets>
    <sheet name="Supervisory information" sheetId="126" r:id="rId1"/>
    <sheet name="Checks" sheetId="121" r:id="rId2"/>
    <sheet name="General Info" sheetId="1" r:id="rId3"/>
    <sheet name="Requirements" sheetId="125" r:id="rId4"/>
    <sheet name="DefCap" sheetId="56" r:id="rId5"/>
    <sheet name="TLAC holdings" sheetId="103" r:id="rId6"/>
    <sheet name="TLAC" sheetId="92" r:id="rId7"/>
    <sheet name="Leverage ratio" sheetId="141" r:id="rId8"/>
    <sheet name="Leverage ratio additional" sheetId="163"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r:id="rId17"/>
    <sheet name="Crypto" sheetId="164" r:id="rId18"/>
    <sheet name="Sovereigns" sheetId="170" r:id="rId19"/>
    <sheet name="OpRisk" sheetId="127" r:id="rId20"/>
    <sheet name="Parameters" sheetId="20" r:id="rId21"/>
    <sheet name="fx_triang" sheetId="168" r:id="rId22"/>
  </sheets>
  <definedNames>
    <definedName name="Accounting">Parameters!$D$435:$D$437</definedName>
    <definedName name="BankType">Parameters!$D$438:$D$440</definedName>
    <definedName name="BankTypeNumeric">Parameters!$C$441:$C$448</definedName>
    <definedName name="Basel12">Parameters!$D$433:$D$434</definedName>
    <definedName name="CCROTC">Parameters!$D$415:$D$417</definedName>
    <definedName name="CCRSFT">Parameters!$D$418:$D$421</definedName>
    <definedName name="CreditRisk">Parameters!$D$422:$D$423</definedName>
    <definedName name="CreditRiskEquity">Parameters!$D$424:$D$425</definedName>
    <definedName name="CRMApproach">Parameters!$D$584:$D$587</definedName>
    <definedName name="CRMCCF">Parameters!$D$606:$D$607</definedName>
    <definedName name="CryptoActivity">Parameters!$D$698:$D$722</definedName>
    <definedName name="CryptoAssetCLasses">Parameters!$D$658:$D$676</definedName>
    <definedName name="CryptoFrequency">Parameters!$D$677:$D$681</definedName>
    <definedName name="CryptoGroup">Parameters!$D$682:$D$685</definedName>
    <definedName name="CryptoHQLA">Parameters!$D$723:$D$726</definedName>
    <definedName name="CryptoTicker">Parameters!$F$727:$F$828</definedName>
    <definedName name="CurrencyMismatch">Parameters!$D$596:$D$597</definedName>
    <definedName name="Enforceability">Parameters!$D$600:$D$603</definedName>
    <definedName name="Group">Parameters!$D$410:$D$411</definedName>
    <definedName name="IndividualGroup">Parameters!$D$580:$D$581</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Parameters!$D$598:$D$599</definedName>
    <definedName name="LRPanelMfrequencyM">Parameters!$D$451:$D$453</definedName>
    <definedName name="LRPanelMfrequencyO">Parameters!$D$451:$D$454</definedName>
    <definedName name="LRPanelMfrequencyQ">Parameters!$D$451:$D$454</definedName>
    <definedName name="MethodTradeExposures">Parameters!$D$588:$D$591</definedName>
    <definedName name="ObservedBestEstimates">Parameters!$D$582:$D$583</definedName>
    <definedName name="OpRisk">Parameters!$D$426:$D$429</definedName>
    <definedName name="OpRiskData">Parameters!$D$654:$D$657</definedName>
    <definedName name="OpRiskLossThreshold">Parameters!$D$430:$D$432</definedName>
    <definedName name="_xlnm.Print_Area" localSheetId="13">'CCR and CVA'!$A$1:$H$16,'CCR and CVA'!$A$17:$AE$56,'CCR and CVA'!$A$57:$Q$129</definedName>
    <definedName name="_xlnm.Print_Area" localSheetId="1">Checks!$A$1:$T$152,Checks!$A$153:$AP$228,Checks!$A$229:$V$309</definedName>
    <definedName name="_xlnm.Print_Area" localSheetId="11">'Credit risk (IRB)'!$A$1:$CZ$70,'Credit risk (IRB)'!$A$71:$K$81</definedName>
    <definedName name="_xlnm.Print_Area" localSheetId="10">'Credit risk (SA)'!$A$1:$AL$161</definedName>
    <definedName name="_xlnm.Print_Area" localSheetId="17">Crypto!$A$1:$BI$113</definedName>
    <definedName name="_xlnm.Print_Area" localSheetId="4">DefCap!$A$1:$G$124</definedName>
    <definedName name="_xlnm.Print_Area" localSheetId="2">'General Info'!$A$1:$K$90</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9">OpRisk!$A$1:$O$108</definedName>
    <definedName name="_xlnm.Print_Area" localSheetId="20">Parameters!$A:$J</definedName>
    <definedName name="_xlnm.Print_Area" localSheetId="3">Requirements!$A$1:$AB$116,Requirements!$A$117:$K$142</definedName>
    <definedName name="_xlnm.Print_Area" localSheetId="12">Securitisation!$A$1:$T$65</definedName>
    <definedName name="_xlnm.Print_Area" localSheetId="0">'Supervisory information'!$A$1:$J$59</definedName>
    <definedName name="_xlnm.Print_Area" localSheetId="14">TB!$A$1:$L$56,TB!$A$57:$W$153,TB!$A$154:$L$373</definedName>
    <definedName name="_xlnm.Print_Area" localSheetId="16">'TB IMA Backtesting-P&amp;L'!$A$1:$ER$732</definedName>
    <definedName name="_xlnm.Print_Area" localSheetId="15">'TB risk class'!$1:$362,'TB risk class'!$A$363:$K$395</definedName>
    <definedName name="_xlnm.Print_Area" localSheetId="6">TLAC!$A$1:$E$32</definedName>
    <definedName name="_xlnm.Print_Area" localSheetId="5">'TLAC holdings'!$A$1:$G$8</definedName>
    <definedName name="_xlnm.Print_Titles" localSheetId="13">'CCR and CVA'!$A:$B</definedName>
    <definedName name="_xlnm.Print_Titles" localSheetId="1">Checks!$1:$1</definedName>
    <definedName name="_xlnm.Print_Titles" localSheetId="11">'Credit risk (IRB)'!$A:$B</definedName>
    <definedName name="_xlnm.Print_Titles" localSheetId="10">'Credit risk (SA)'!$A:$B</definedName>
    <definedName name="_xlnm.Print_Titles" localSheetId="17">Crypto!$A:$C,Crypto!$1:$10</definedName>
    <definedName name="_xlnm.Print_Titles" localSheetId="2">'General Info'!$A:$B</definedName>
    <definedName name="_xlnm.Print_Titles" localSheetId="7">'Leverage ratio'!$A:$C</definedName>
    <definedName name="_xlnm.Print_Titles" localSheetId="8">'Leverage ratio additional'!$A:$B</definedName>
    <definedName name="_xlnm.Print_Titles" localSheetId="19">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Parameters!$C$477:$C$576</definedName>
    <definedName name="QNumeric11">Parameters!$C$477:$C$487</definedName>
    <definedName name="QNumeric14">Parameters!$C$477:$C$490</definedName>
    <definedName name="QNumeric3">Parameters!$C$477:$C$479</definedName>
    <definedName name="QNumeric5">Parameters!$C$477:$C$481</definedName>
    <definedName name="QNumeric6">Parameters!$C$477:$C$482</definedName>
    <definedName name="QNumeric7">Parameters!$C$477:$C$483</definedName>
    <definedName name="QNumeric9">Parameters!$C$477:$C$485</definedName>
    <definedName name="QNumericZ10">Parameters!$C$476:$C$486</definedName>
    <definedName name="QNumericZ100">Parameters!$C$476:$C$576</definedName>
    <definedName name="RegDesks">Parameters!$D$455:$D$475</definedName>
    <definedName name="SACCRCEM">Parameters!$D$588:$D$589</definedName>
    <definedName name="SlottingUsage">Parameters!$D$592:$D$595</definedName>
    <definedName name="TBRCCurrency">Parameters!$D$611:$D$612</definedName>
    <definedName name="TBRCScalar">Parameters!$D$615:$D$617</definedName>
    <definedName name="TBreliability">Parameters!$D$613:$D$614</definedName>
    <definedName name="UnitT">Parameters!$E$412:$F$414</definedName>
    <definedName name="UnitW">Parameters!$D$412:$D$414</definedName>
    <definedName name="YesNo">Parameters!$D$407:$D$408</definedName>
    <definedName name="YesNoDontKnow">Parameters!$D$406:$D$408</definedName>
    <definedName name="YesNoNA">Parameters!$D$407:$D$409</definedName>
    <definedName name="YesNoSimplified">Parameters!$D$608:$D$610</definedName>
    <definedName name="Z_3D2E4C4C_55B0_42AD_9B20_28C028F4BEE7_.wvu.Cols" localSheetId="16">'TB IMA Backtesting-P&amp;L'!$KC:$XFD</definedName>
    <definedName name="Z_3D2E4C4C_55B0_42AD_9B20_28C028F4BEE7_.wvu.PrintArea" localSheetId="16">'TB IMA Backtesting-P&amp;L'!$A$1:$ER$732</definedName>
    <definedName name="Z_3D2E4C4C_55B0_42AD_9B20_28C028F4BEE7_.wvu.PrintTitles" localSheetId="16">'TB IMA Backtesting-P&amp;L'!$B:$C</definedName>
    <definedName name="Z_3D2E4C4C_55B0_42AD_9B20_28C028F4BEE7_.wvu.Rows" localSheetId="16">'TB IMA Backtesting-P&amp;L'!$1044:$1048576,'TB IMA Backtesting-P&amp;L'!$733:$837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30" l="1"/>
  <c r="N282" i="30" l="1"/>
  <c r="N278" i="30"/>
  <c r="N37" i="30"/>
  <c r="N159" i="30" l="1"/>
  <c r="H159" i="30"/>
  <c r="K273" i="30"/>
  <c r="L273" i="30"/>
  <c r="K274" i="30"/>
  <c r="L274" i="30"/>
  <c r="K275" i="30"/>
  <c r="L275" i="30"/>
  <c r="K276" i="30"/>
  <c r="L276" i="30"/>
  <c r="G39" i="30"/>
  <c r="F39" i="30"/>
  <c r="E39" i="30"/>
  <c r="M46" i="121"/>
  <c r="L46" i="121"/>
  <c r="C58" i="121"/>
  <c r="H39" i="30" l="1"/>
  <c r="O280" i="30"/>
  <c r="P280" i="30"/>
  <c r="L280" i="30" s="1"/>
  <c r="K280" i="30"/>
  <c r="H277" i="30"/>
  <c r="H285" i="30"/>
  <c r="N274" i="30"/>
  <c r="N273" i="30"/>
  <c r="O273" i="30"/>
  <c r="P273" i="30"/>
  <c r="O274" i="30"/>
  <c r="P274" i="30"/>
  <c r="B241" i="20"/>
  <c r="B240" i="20"/>
  <c r="Q265" i="30"/>
  <c r="N265" i="30" s="1"/>
  <c r="Q264" i="30"/>
  <c r="N264" i="30" s="1"/>
  <c r="B232" i="20"/>
  <c r="B231" i="20"/>
  <c r="O255" i="30"/>
  <c r="K255" i="30" s="1"/>
  <c r="P255" i="30"/>
  <c r="L255" i="30" s="1"/>
  <c r="Q255" i="30"/>
  <c r="M255" i="30" s="1"/>
  <c r="O256" i="30"/>
  <c r="K256" i="30" s="1"/>
  <c r="P256" i="30"/>
  <c r="L256" i="30" s="1"/>
  <c r="Q256" i="30"/>
  <c r="M256" i="30" s="1"/>
  <c r="B223" i="20"/>
  <c r="B222" i="20"/>
  <c r="Q247" i="30"/>
  <c r="M247" i="30" s="1"/>
  <c r="N247" i="30" s="1"/>
  <c r="P247" i="30"/>
  <c r="L247" i="30" s="1"/>
  <c r="O247" i="30"/>
  <c r="K247" i="30" s="1"/>
  <c r="Q246" i="30"/>
  <c r="M246" i="30" s="1"/>
  <c r="N246" i="30" s="1"/>
  <c r="P246" i="30"/>
  <c r="L246" i="30" s="1"/>
  <c r="O246" i="30"/>
  <c r="K246" i="30" s="1"/>
  <c r="P242" i="30"/>
  <c r="L242" i="30" s="1"/>
  <c r="O242" i="30"/>
  <c r="K242" i="30" s="1"/>
  <c r="B214" i="20"/>
  <c r="B213" i="20"/>
  <c r="O228" i="30"/>
  <c r="K228" i="30" s="1"/>
  <c r="P228" i="30"/>
  <c r="L228" i="30" s="1"/>
  <c r="Q228" i="30"/>
  <c r="M228" i="30" s="1"/>
  <c r="O229" i="30"/>
  <c r="K229" i="30" s="1"/>
  <c r="P229" i="30"/>
  <c r="L229" i="30" s="1"/>
  <c r="Q229" i="30"/>
  <c r="M229" i="30" s="1"/>
  <c r="B196" i="20"/>
  <c r="B195" i="20"/>
  <c r="O219" i="30"/>
  <c r="K219" i="30" s="1"/>
  <c r="P219" i="30"/>
  <c r="L219" i="30" s="1"/>
  <c r="O220" i="30"/>
  <c r="K220" i="30" s="1"/>
  <c r="P220" i="30"/>
  <c r="L220" i="30" s="1"/>
  <c r="B187" i="20"/>
  <c r="B186" i="20"/>
  <c r="O201" i="30"/>
  <c r="K201" i="30" s="1"/>
  <c r="P201" i="30"/>
  <c r="L201" i="30" s="1"/>
  <c r="Q201" i="30"/>
  <c r="M201" i="30" s="1"/>
  <c r="N201" i="30" s="1"/>
  <c r="O202" i="30"/>
  <c r="K202" i="30" s="1"/>
  <c r="P202" i="30"/>
  <c r="L202" i="30" s="1"/>
  <c r="Q202" i="30"/>
  <c r="M202" i="30" s="1"/>
  <c r="B169" i="20"/>
  <c r="B168" i="20"/>
  <c r="O192" i="30"/>
  <c r="K192" i="30" s="1"/>
  <c r="P192" i="30"/>
  <c r="L192" i="30" s="1"/>
  <c r="Q192" i="30"/>
  <c r="M192" i="30" s="1"/>
  <c r="O193" i="30"/>
  <c r="K193" i="30" s="1"/>
  <c r="P193" i="30"/>
  <c r="L193" i="30" s="1"/>
  <c r="Q193" i="30"/>
  <c r="M193" i="30" s="1"/>
  <c r="B160" i="20"/>
  <c r="B159" i="20"/>
  <c r="O183" i="30"/>
  <c r="K183" i="30" s="1"/>
  <c r="P183" i="30"/>
  <c r="L183" i="30" s="1"/>
  <c r="O184" i="30"/>
  <c r="K184" i="30" s="1"/>
  <c r="P184" i="30"/>
  <c r="L184" i="30" s="1"/>
  <c r="B151" i="20"/>
  <c r="B150" i="20"/>
  <c r="O174" i="30"/>
  <c r="K174" i="30" s="1"/>
  <c r="P174" i="30"/>
  <c r="L174" i="30" s="1"/>
  <c r="O175" i="30"/>
  <c r="K175" i="30" s="1"/>
  <c r="P175" i="30"/>
  <c r="L175" i="30" s="1"/>
  <c r="B142" i="20"/>
  <c r="B141" i="20"/>
  <c r="O162" i="30"/>
  <c r="K162" i="30" s="1"/>
  <c r="P162" i="30"/>
  <c r="L162" i="30" s="1"/>
  <c r="Q162" i="30"/>
  <c r="M162" i="30" s="1"/>
  <c r="O163" i="30"/>
  <c r="K163" i="30" s="1"/>
  <c r="P163" i="30"/>
  <c r="L163" i="30" s="1"/>
  <c r="Q163" i="30"/>
  <c r="M163" i="30" s="1"/>
  <c r="O164" i="30"/>
  <c r="K164" i="30" s="1"/>
  <c r="P164" i="30"/>
  <c r="L164" i="30" s="1"/>
  <c r="Q164" i="30"/>
  <c r="M164" i="30" s="1"/>
  <c r="O165" i="30"/>
  <c r="K165" i="30" s="1"/>
  <c r="P165" i="30"/>
  <c r="L165" i="30" s="1"/>
  <c r="Q165" i="30"/>
  <c r="M165" i="30" s="1"/>
  <c r="O166" i="30"/>
  <c r="K166" i="30" s="1"/>
  <c r="P166" i="30"/>
  <c r="L166" i="30" s="1"/>
  <c r="Q166" i="30"/>
  <c r="M166" i="30" s="1"/>
  <c r="Q161" i="30"/>
  <c r="M161" i="30" s="1"/>
  <c r="B133" i="20"/>
  <c r="B132" i="20"/>
  <c r="B126" i="20"/>
  <c r="Q156" i="30"/>
  <c r="M156" i="30" s="1"/>
  <c r="P156" i="30"/>
  <c r="L156" i="30" s="1"/>
  <c r="O156" i="30"/>
  <c r="K156" i="30" s="1"/>
  <c r="Q155" i="30"/>
  <c r="M155" i="30" s="1"/>
  <c r="P155" i="30"/>
  <c r="L155" i="30" s="1"/>
  <c r="O155" i="30"/>
  <c r="K155" i="30" s="1"/>
  <c r="B123" i="20"/>
  <c r="B122" i="20"/>
  <c r="Q138" i="30"/>
  <c r="M138" i="30" s="1"/>
  <c r="P138" i="30"/>
  <c r="L138" i="30" s="1"/>
  <c r="O138" i="30"/>
  <c r="K138" i="30" s="1"/>
  <c r="Q137" i="30"/>
  <c r="M137" i="30" s="1"/>
  <c r="P137" i="30"/>
  <c r="L137" i="30" s="1"/>
  <c r="O137" i="30"/>
  <c r="K137" i="30" s="1"/>
  <c r="B105" i="20"/>
  <c r="B104" i="20"/>
  <c r="Q129" i="30"/>
  <c r="M129" i="30" s="1"/>
  <c r="P129" i="30"/>
  <c r="L129" i="30" s="1"/>
  <c r="O129" i="30"/>
  <c r="K129" i="30" s="1"/>
  <c r="Q128" i="30"/>
  <c r="M128" i="30" s="1"/>
  <c r="P128" i="30"/>
  <c r="L128" i="30" s="1"/>
  <c r="O128" i="30"/>
  <c r="K128" i="30" s="1"/>
  <c r="B96" i="20"/>
  <c r="B95" i="20"/>
  <c r="Q120" i="30"/>
  <c r="M120" i="30" s="1"/>
  <c r="P120" i="30"/>
  <c r="L120" i="30" s="1"/>
  <c r="O120" i="30"/>
  <c r="K120" i="30" s="1"/>
  <c r="Q119" i="30"/>
  <c r="M119" i="30" s="1"/>
  <c r="P119" i="30"/>
  <c r="L119" i="30" s="1"/>
  <c r="O119" i="30"/>
  <c r="K119" i="30" s="1"/>
  <c r="B87" i="20"/>
  <c r="B86" i="20"/>
  <c r="B80" i="20"/>
  <c r="Q101" i="30"/>
  <c r="M101" i="30" s="1"/>
  <c r="P101" i="30"/>
  <c r="L101" i="30" s="1"/>
  <c r="O101" i="30"/>
  <c r="K101" i="30" s="1"/>
  <c r="Q100" i="30"/>
  <c r="M100" i="30" s="1"/>
  <c r="P100" i="30"/>
  <c r="L100" i="30" s="1"/>
  <c r="O100" i="30"/>
  <c r="K100" i="30" s="1"/>
  <c r="B68" i="20"/>
  <c r="B67" i="20"/>
  <c r="Q92" i="30"/>
  <c r="M92" i="30" s="1"/>
  <c r="P92" i="30"/>
  <c r="L92" i="30" s="1"/>
  <c r="O92" i="30"/>
  <c r="K92" i="30" s="1"/>
  <c r="Q91" i="30"/>
  <c r="M91" i="30" s="1"/>
  <c r="P91" i="30"/>
  <c r="L91" i="30" s="1"/>
  <c r="O91" i="30"/>
  <c r="K91" i="30" s="1"/>
  <c r="B59" i="20"/>
  <c r="B58" i="20"/>
  <c r="Q83" i="30"/>
  <c r="M83" i="30" s="1"/>
  <c r="P83" i="30"/>
  <c r="L83" i="30" s="1"/>
  <c r="O83" i="30"/>
  <c r="K83" i="30" s="1"/>
  <c r="Q82" i="30"/>
  <c r="M82" i="30" s="1"/>
  <c r="P82" i="30"/>
  <c r="L82" i="30" s="1"/>
  <c r="O82" i="30"/>
  <c r="K82" i="30" s="1"/>
  <c r="B50" i="20"/>
  <c r="B49" i="20"/>
  <c r="O68" i="30"/>
  <c r="K68" i="30" s="1"/>
  <c r="P68" i="30"/>
  <c r="L68" i="30" s="1"/>
  <c r="H68" i="30"/>
  <c r="Q65" i="30"/>
  <c r="M65" i="30" s="1"/>
  <c r="P65" i="30"/>
  <c r="L65" i="30" s="1"/>
  <c r="O65" i="30"/>
  <c r="K65" i="30" s="1"/>
  <c r="Q64" i="30"/>
  <c r="M64" i="30" s="1"/>
  <c r="P64" i="30"/>
  <c r="L64" i="30" s="1"/>
  <c r="O64" i="30"/>
  <c r="K64" i="30" s="1"/>
  <c r="B31" i="20"/>
  <c r="B30" i="20"/>
  <c r="B19" i="20"/>
  <c r="H297" i="30"/>
  <c r="H305" i="30" s="1"/>
  <c r="H259" i="30"/>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6" i="30"/>
  <c r="H165" i="30"/>
  <c r="H164" i="30"/>
  <c r="H163" i="30"/>
  <c r="H162" i="30"/>
  <c r="H161"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202" i="30" l="1"/>
  <c r="H268" i="30"/>
  <c r="N255" i="30"/>
  <c r="N256" i="30"/>
  <c r="N228" i="30"/>
  <c r="N229" i="30"/>
  <c r="N219" i="30"/>
  <c r="N220" i="30"/>
  <c r="N192" i="30"/>
  <c r="N193" i="30"/>
  <c r="N184" i="30"/>
  <c r="N183" i="30"/>
  <c r="N165" i="30"/>
  <c r="N175" i="30"/>
  <c r="N174" i="30"/>
  <c r="N156" i="30"/>
  <c r="N166" i="30"/>
  <c r="N155" i="30"/>
  <c r="N163" i="30"/>
  <c r="N164" i="30"/>
  <c r="N162" i="30"/>
  <c r="N129" i="30"/>
  <c r="N137" i="30"/>
  <c r="N128" i="30"/>
  <c r="N138" i="30"/>
  <c r="N120" i="30"/>
  <c r="N119" i="30"/>
  <c r="N100" i="30"/>
  <c r="N101" i="30"/>
  <c r="N91" i="30"/>
  <c r="N92" i="30"/>
  <c r="N83" i="30"/>
  <c r="N82" i="30"/>
  <c r="N65" i="30"/>
  <c r="N64" i="30"/>
  <c r="H86" i="30"/>
  <c r="H114" i="30"/>
  <c r="H132" i="30"/>
  <c r="H160" i="30"/>
  <c r="H196" i="30"/>
  <c r="H241" i="30"/>
  <c r="H250" i="30"/>
  <c r="H178" i="30"/>
  <c r="H69" i="30"/>
  <c r="H77" i="30"/>
  <c r="H95" i="30"/>
  <c r="H123" i="30"/>
  <c r="H150" i="30"/>
  <c r="H169" i="30"/>
  <c r="H187" i="30"/>
  <c r="H214" i="30"/>
  <c r="H223" i="30"/>
  <c r="H113" i="30" l="1"/>
  <c r="H76" i="30"/>
  <c r="H65" i="30"/>
  <c r="H64" i="30"/>
  <c r="H63" i="30"/>
  <c r="H62" i="30"/>
  <c r="H61" i="30"/>
  <c r="H60" i="30"/>
  <c r="H56" i="30"/>
  <c r="H55" i="30"/>
  <c r="H54" i="30"/>
  <c r="G57" i="30"/>
  <c r="L58" i="121" s="1"/>
  <c r="F57" i="30"/>
  <c r="K58" i="121" s="1"/>
  <c r="E57" i="30"/>
  <c r="J58" i="121" s="1"/>
  <c r="H53" i="30" l="1"/>
  <c r="H59" i="30"/>
  <c r="L35" i="30"/>
  <c r="K35" i="30"/>
  <c r="K9" i="30"/>
  <c r="L9" i="30"/>
  <c r="K7" i="30"/>
  <c r="L7" i="30"/>
  <c r="M7" i="30"/>
  <c r="G30" i="30"/>
  <c r="F30" i="30"/>
  <c r="E30" i="30"/>
  <c r="G20" i="30"/>
  <c r="F20" i="30"/>
  <c r="E20" i="30"/>
  <c r="H42" i="30"/>
  <c r="H44" i="30"/>
  <c r="H43" i="30"/>
  <c r="H41" i="30"/>
  <c r="H40" i="30"/>
  <c r="H36" i="30"/>
  <c r="H35" i="30"/>
  <c r="H33" i="30"/>
  <c r="H32" i="30"/>
  <c r="H31" i="30"/>
  <c r="H27" i="30"/>
  <c r="H26" i="30"/>
  <c r="H23" i="30"/>
  <c r="H22" i="30"/>
  <c r="H21" i="30"/>
  <c r="H17" i="30"/>
  <c r="H16" i="30"/>
  <c r="H13" i="30"/>
  <c r="H12" i="30"/>
  <c r="H11" i="30"/>
  <c r="H9" i="30"/>
  <c r="H7" i="30"/>
  <c r="A11" i="124"/>
  <c r="A8" i="163"/>
  <c r="H288" i="30" l="1"/>
  <c r="H308" i="30" s="1"/>
  <c r="H311" i="30" s="1"/>
  <c r="H6" i="30"/>
  <c r="H15" i="30"/>
  <c r="H25" i="30"/>
  <c r="H10" i="30"/>
  <c r="H30" i="30"/>
  <c r="H29" i="30" s="1"/>
  <c r="H20" i="30"/>
  <c r="H19" i="30" s="1"/>
  <c r="H46" i="30" l="1"/>
  <c r="E45" i="30"/>
  <c r="BH11" i="164"/>
  <c r="BG11" i="164"/>
  <c r="AF11" i="164"/>
  <c r="AE11" i="164"/>
  <c r="AD11" i="164"/>
  <c r="AC11" i="164"/>
  <c r="AA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l="1"/>
  <c r="H76" i="127" a="1"/>
  <c r="H76" i="127" s="1"/>
  <c r="H75" i="127" a="1"/>
  <c r="H75" i="127" s="1"/>
  <c r="I76" i="127" a="1"/>
  <c r="I76" i="127" s="1"/>
  <c r="I75" i="127" a="1"/>
  <c r="I75" i="127" s="1"/>
  <c r="J76" i="127" a="1"/>
  <c r="J76" i="127" s="1"/>
  <c r="J75" i="127" a="1"/>
  <c r="J75" i="127" s="1"/>
  <c r="J71" i="127"/>
  <c r="J78" i="127" s="1"/>
  <c r="I71" i="127"/>
  <c r="I83" i="127" s="1"/>
  <c r="H71" i="127"/>
  <c r="H83" i="127" s="1"/>
  <c r="J70" i="127"/>
  <c r="I70" i="127"/>
  <c r="H70" i="127"/>
  <c r="J69" i="127"/>
  <c r="I69" i="127"/>
  <c r="H69" i="127"/>
  <c r="J65" i="127"/>
  <c r="N65" i="127"/>
  <c r="CS34" i="124"/>
  <c r="CS31" i="124"/>
  <c r="CS28" i="124"/>
  <c r="CS25" i="124"/>
  <c r="CS22" i="124"/>
  <c r="CR34" i="124"/>
  <c r="CR31" i="124"/>
  <c r="CR28" i="124"/>
  <c r="CR25" i="124"/>
  <c r="CR22" i="124"/>
  <c r="N11" i="127"/>
  <c r="M11" i="127"/>
  <c r="L11" i="127"/>
  <c r="K11" i="127"/>
  <c r="J11" i="127"/>
  <c r="B246" i="20"/>
  <c r="H78" i="127" l="1"/>
  <c r="H81" i="127" s="1"/>
  <c r="H79" i="127"/>
  <c r="H82" i="127" s="1"/>
  <c r="J83" i="127"/>
  <c r="J79" i="127"/>
  <c r="J82" i="127" s="1"/>
  <c r="I78" i="127"/>
  <c r="I81" i="127" s="1"/>
  <c r="J81" i="127"/>
  <c r="I79" i="127"/>
  <c r="I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62" i="121"/>
  <c r="X162" i="121"/>
  <c r="Y162" i="121"/>
  <c r="Z162" i="121"/>
  <c r="AA162" i="121"/>
  <c r="AB162" i="121"/>
  <c r="W163" i="121"/>
  <c r="X163" i="121"/>
  <c r="Y163" i="121"/>
  <c r="Z163" i="121"/>
  <c r="AA163" i="121"/>
  <c r="AB163" i="121"/>
  <c r="W214" i="121"/>
  <c r="X214" i="121"/>
  <c r="Y214" i="121"/>
  <c r="Z214" i="121"/>
  <c r="W215" i="121"/>
  <c r="X215" i="121"/>
  <c r="Y215" i="121"/>
  <c r="Z215" i="121"/>
  <c r="W216" i="121"/>
  <c r="X216" i="121"/>
  <c r="Y216" i="121"/>
  <c r="Z216" i="121"/>
  <c r="W217" i="121"/>
  <c r="X217" i="121"/>
  <c r="Y217" i="121"/>
  <c r="Z217" i="121"/>
  <c r="W218" i="121"/>
  <c r="X218" i="121"/>
  <c r="Y218" i="121"/>
  <c r="Z218" i="121"/>
  <c r="W219" i="121"/>
  <c r="X219" i="121"/>
  <c r="Y219" i="121"/>
  <c r="Z219" i="121"/>
  <c r="W221" i="121"/>
  <c r="X221" i="121"/>
  <c r="Y221" i="121"/>
  <c r="Z221" i="121"/>
  <c r="AA221" i="121"/>
  <c r="AB221" i="121"/>
  <c r="AC221" i="121"/>
  <c r="AD221" i="121"/>
  <c r="AE221" i="121"/>
  <c r="AF221" i="121"/>
  <c r="AG221" i="121"/>
  <c r="AH221" i="121"/>
  <c r="AI221" i="121"/>
  <c r="AJ221" i="121"/>
  <c r="AK221" i="121"/>
  <c r="AL221" i="121"/>
  <c r="AM221" i="121"/>
  <c r="AN221" i="121"/>
  <c r="AO221" i="121"/>
  <c r="W222" i="121"/>
  <c r="X222" i="121"/>
  <c r="Y222" i="121"/>
  <c r="Z222" i="121"/>
  <c r="AA222" i="121"/>
  <c r="AB222" i="121"/>
  <c r="AC222" i="121"/>
  <c r="AD222" i="121"/>
  <c r="AE222" i="121"/>
  <c r="AF222" i="121"/>
  <c r="AG222" i="121"/>
  <c r="AH222" i="121"/>
  <c r="AI222" i="121"/>
  <c r="AJ222" i="121"/>
  <c r="AK222" i="121"/>
  <c r="AL222" i="121"/>
  <c r="AM222" i="121"/>
  <c r="AN222" i="121"/>
  <c r="AO222" i="121"/>
  <c r="W223" i="121"/>
  <c r="X223" i="121"/>
  <c r="Y223" i="121"/>
  <c r="Z223" i="121"/>
  <c r="AA223" i="121"/>
  <c r="AB223" i="121"/>
  <c r="AC223" i="121"/>
  <c r="AD223" i="121"/>
  <c r="AE223" i="121"/>
  <c r="AF223" i="121"/>
  <c r="AG223" i="121"/>
  <c r="AH223" i="121"/>
  <c r="AI223" i="121"/>
  <c r="AJ223" i="121"/>
  <c r="AK223" i="121"/>
  <c r="AL223" i="121"/>
  <c r="AM223" i="121"/>
  <c r="AN223" i="121"/>
  <c r="AO223" i="121"/>
  <c r="L108" i="170" l="1"/>
  <c r="CS16" i="124" l="1"/>
  <c r="CR16" i="124"/>
  <c r="B45" i="30"/>
  <c r="C308" i="121" l="1"/>
  <c r="C307" i="121"/>
  <c r="N103" i="127"/>
  <c r="S308" i="121" s="1"/>
  <c r="M103" i="127"/>
  <c r="R308" i="121" s="1"/>
  <c r="L103" i="127"/>
  <c r="Q308" i="121" s="1"/>
  <c r="N95" i="127"/>
  <c r="S307" i="121" s="1"/>
  <c r="M95" i="127"/>
  <c r="R307" i="121" s="1"/>
  <c r="L95" i="127"/>
  <c r="Q307" i="121" s="1"/>
  <c r="N96" i="127"/>
  <c r="M96" i="127"/>
  <c r="L96" i="127"/>
  <c r="N89" i="127"/>
  <c r="M89" i="127"/>
  <c r="L89" i="127"/>
  <c r="K112" i="141"/>
  <c r="C103" i="141" l="1"/>
  <c r="B266" i="20" l="1"/>
  <c r="B265" i="20"/>
  <c r="B264" i="20"/>
  <c r="B263" i="20"/>
  <c r="B262" i="20"/>
  <c r="B261" i="20"/>
  <c r="B260" i="20"/>
  <c r="B259" i="20"/>
  <c r="B258" i="20"/>
  <c r="B257" i="20"/>
  <c r="B256" i="20"/>
  <c r="B255" i="20"/>
  <c r="B252" i="20"/>
  <c r="B250" i="20"/>
  <c r="B249" i="20"/>
  <c r="B248" i="20"/>
  <c r="B247" i="20"/>
  <c r="B245" i="20"/>
  <c r="B244" i="20"/>
  <c r="B239" i="20"/>
  <c r="B238" i="20"/>
  <c r="B237" i="20"/>
  <c r="B236" i="20"/>
  <c r="B235" i="20"/>
  <c r="B230" i="20"/>
  <c r="B229" i="20"/>
  <c r="B228" i="20"/>
  <c r="B227" i="20"/>
  <c r="B226" i="20"/>
  <c r="B221" i="20"/>
  <c r="B220" i="20"/>
  <c r="B219" i="20"/>
  <c r="B218" i="20"/>
  <c r="B217" i="20"/>
  <c r="B212" i="20"/>
  <c r="B211" i="20"/>
  <c r="B210" i="20"/>
  <c r="B209" i="20"/>
  <c r="B208" i="20"/>
  <c r="B194" i="20"/>
  <c r="B193" i="20"/>
  <c r="B192" i="20"/>
  <c r="B191" i="20"/>
  <c r="B190" i="20"/>
  <c r="B185" i="20"/>
  <c r="B184" i="20"/>
  <c r="B183" i="20"/>
  <c r="B182" i="20"/>
  <c r="B181" i="20"/>
  <c r="B167" i="20"/>
  <c r="B166" i="20"/>
  <c r="B165" i="20"/>
  <c r="B164" i="20"/>
  <c r="B163" i="20"/>
  <c r="B158" i="20"/>
  <c r="B157" i="20"/>
  <c r="B156" i="20"/>
  <c r="B155" i="20"/>
  <c r="B154" i="20"/>
  <c r="B149" i="20"/>
  <c r="B148" i="20"/>
  <c r="B147" i="20"/>
  <c r="B146" i="20"/>
  <c r="B145" i="20"/>
  <c r="B140" i="20"/>
  <c r="B139" i="20"/>
  <c r="B138" i="20"/>
  <c r="B137" i="20"/>
  <c r="B136" i="20"/>
  <c r="B131" i="20"/>
  <c r="B130" i="20"/>
  <c r="B129" i="20"/>
  <c r="B128" i="20"/>
  <c r="B127" i="20"/>
  <c r="B121" i="20"/>
  <c r="B120" i="20"/>
  <c r="B119" i="20"/>
  <c r="B118" i="20"/>
  <c r="B117" i="20"/>
  <c r="B103" i="20"/>
  <c r="B102" i="20"/>
  <c r="B101" i="20"/>
  <c r="B100" i="20"/>
  <c r="B99" i="20"/>
  <c r="B94" i="20"/>
  <c r="B93" i="20"/>
  <c r="B92" i="20"/>
  <c r="B91" i="20"/>
  <c r="B90" i="20"/>
  <c r="B85" i="20"/>
  <c r="B84" i="20"/>
  <c r="B83" i="20"/>
  <c r="B82" i="20"/>
  <c r="B81" i="20"/>
  <c r="B66" i="20"/>
  <c r="B65" i="20"/>
  <c r="B64" i="20"/>
  <c r="B63" i="20"/>
  <c r="B62" i="20"/>
  <c r="B57" i="20"/>
  <c r="B56" i="20"/>
  <c r="B55" i="20"/>
  <c r="B54" i="20"/>
  <c r="B53" i="20"/>
  <c r="B48" i="20"/>
  <c r="B47" i="20"/>
  <c r="B46" i="20"/>
  <c r="B45" i="20"/>
  <c r="B44" i="20"/>
  <c r="B43" i="20"/>
  <c r="B40" i="20"/>
  <c r="B39" i="20"/>
  <c r="B38" i="20"/>
  <c r="B37" i="20"/>
  <c r="B36" i="20"/>
  <c r="B34" i="20"/>
  <c r="B29" i="20"/>
  <c r="B28" i="20"/>
  <c r="B27" i="20"/>
  <c r="B26" i="20"/>
  <c r="B25" i="20"/>
  <c r="B22" i="20"/>
  <c r="B21" i="20"/>
  <c r="B20" i="20"/>
  <c r="O302" i="30"/>
  <c r="N302" i="30" s="1"/>
  <c r="O301" i="30"/>
  <c r="N301" i="30" s="1"/>
  <c r="O300" i="30"/>
  <c r="N300" i="30" s="1"/>
  <c r="O299" i="30"/>
  <c r="N299" i="30" s="1"/>
  <c r="O298" i="30"/>
  <c r="N298" i="30" s="1"/>
  <c r="O296" i="30"/>
  <c r="N296" i="30" s="1"/>
  <c r="O295" i="30"/>
  <c r="N295" i="30" s="1"/>
  <c r="O294" i="30"/>
  <c r="N294" i="30" s="1"/>
  <c r="O293" i="30"/>
  <c r="N293" i="30" s="1"/>
  <c r="O292" i="30"/>
  <c r="N292" i="30" s="1"/>
  <c r="O291" i="30"/>
  <c r="N291" i="30" s="1"/>
  <c r="Q285" i="30"/>
  <c r="M285" i="30" s="1"/>
  <c r="P285" i="30"/>
  <c r="L285" i="30" s="1"/>
  <c r="O285" i="30"/>
  <c r="K285" i="30" s="1"/>
  <c r="Q283" i="30"/>
  <c r="M283" i="30" s="1"/>
  <c r="P283" i="30"/>
  <c r="L283" i="30" s="1"/>
  <c r="O283" i="30"/>
  <c r="K283" i="30" s="1"/>
  <c r="O282" i="30"/>
  <c r="S282" i="30" s="1"/>
  <c r="Q281" i="30"/>
  <c r="M281" i="30" s="1"/>
  <c r="P281" i="30"/>
  <c r="L281" i="30" s="1"/>
  <c r="O281" i="30"/>
  <c r="K281" i="30" s="1"/>
  <c r="Q280" i="30"/>
  <c r="M280" i="30" s="1"/>
  <c r="N280" i="30" s="1"/>
  <c r="Q279" i="30"/>
  <c r="N279" i="30" s="1"/>
  <c r="Q278" i="30"/>
  <c r="Q277" i="30"/>
  <c r="M277" i="30" s="1"/>
  <c r="P277" i="30"/>
  <c r="L277" i="30" s="1"/>
  <c r="O277" i="30"/>
  <c r="K277" i="30" s="1"/>
  <c r="P272" i="30"/>
  <c r="L272" i="30" s="1"/>
  <c r="O272" i="30"/>
  <c r="K272" i="30" s="1"/>
  <c r="P271" i="30"/>
  <c r="L271" i="30" s="1"/>
  <c r="O271" i="30"/>
  <c r="K271" i="30" s="1"/>
  <c r="P270" i="30"/>
  <c r="L270" i="30" s="1"/>
  <c r="O270" i="30"/>
  <c r="K270" i="30" s="1"/>
  <c r="P269" i="30"/>
  <c r="L269" i="30" s="1"/>
  <c r="O269" i="30"/>
  <c r="K269" i="30" s="1"/>
  <c r="N269" i="30" s="1"/>
  <c r="Q263" i="30"/>
  <c r="Q262" i="30"/>
  <c r="Q261" i="30"/>
  <c r="Q260" i="30"/>
  <c r="N260" i="30" s="1"/>
  <c r="Q254" i="30"/>
  <c r="M254" i="30" s="1"/>
  <c r="P254" i="30"/>
  <c r="L254" i="30" s="1"/>
  <c r="O254" i="30"/>
  <c r="K254" i="30" s="1"/>
  <c r="Q253" i="30"/>
  <c r="M253" i="30" s="1"/>
  <c r="P253" i="30"/>
  <c r="L253" i="30" s="1"/>
  <c r="O253" i="30"/>
  <c r="K253" i="30" s="1"/>
  <c r="Q252" i="30"/>
  <c r="M252" i="30" s="1"/>
  <c r="P252" i="30"/>
  <c r="L252" i="30" s="1"/>
  <c r="O252" i="30"/>
  <c r="K252" i="30" s="1"/>
  <c r="Q251" i="30"/>
  <c r="M251" i="30" s="1"/>
  <c r="P251" i="30"/>
  <c r="L251" i="30" s="1"/>
  <c r="O251" i="30"/>
  <c r="K251" i="30" s="1"/>
  <c r="N251" i="30" s="1"/>
  <c r="Q245" i="30"/>
  <c r="P245" i="30"/>
  <c r="L245" i="30" s="1"/>
  <c r="O245" i="30"/>
  <c r="K245" i="30" s="1"/>
  <c r="Q244" i="30"/>
  <c r="P244" i="30"/>
  <c r="L244" i="30" s="1"/>
  <c r="O244" i="30"/>
  <c r="K244" i="30" s="1"/>
  <c r="Q243" i="30"/>
  <c r="P243" i="30"/>
  <c r="L243" i="30" s="1"/>
  <c r="O243" i="30"/>
  <c r="K243" i="30" s="1"/>
  <c r="Q242" i="30"/>
  <c r="Q227" i="30"/>
  <c r="M227" i="30" s="1"/>
  <c r="P227" i="30"/>
  <c r="L227" i="30" s="1"/>
  <c r="O227" i="30"/>
  <c r="K227" i="30" s="1"/>
  <c r="Q226" i="30"/>
  <c r="M226" i="30" s="1"/>
  <c r="P226" i="30"/>
  <c r="L226" i="30" s="1"/>
  <c r="O226" i="30"/>
  <c r="K226" i="30" s="1"/>
  <c r="Q225" i="30"/>
  <c r="M225" i="30" s="1"/>
  <c r="P225" i="30"/>
  <c r="L225" i="30" s="1"/>
  <c r="O225" i="30"/>
  <c r="K225" i="30" s="1"/>
  <c r="Q224" i="30"/>
  <c r="M224" i="30" s="1"/>
  <c r="P224" i="30"/>
  <c r="L224" i="30" s="1"/>
  <c r="O224" i="30"/>
  <c r="K224" i="30" s="1"/>
  <c r="P218" i="30"/>
  <c r="L218" i="30" s="1"/>
  <c r="O218" i="30"/>
  <c r="K218" i="30" s="1"/>
  <c r="N218" i="30" s="1"/>
  <c r="P217" i="30"/>
  <c r="L217" i="30" s="1"/>
  <c r="O217" i="30"/>
  <c r="K217" i="30" s="1"/>
  <c r="P216" i="30"/>
  <c r="L216" i="30" s="1"/>
  <c r="O216" i="30"/>
  <c r="K216" i="30" s="1"/>
  <c r="P215" i="30"/>
  <c r="L215" i="30" s="1"/>
  <c r="O215" i="30"/>
  <c r="K215" i="30" s="1"/>
  <c r="Q200" i="30"/>
  <c r="P200" i="30"/>
  <c r="L200" i="30" s="1"/>
  <c r="O200" i="30"/>
  <c r="K200" i="30" s="1"/>
  <c r="Q199" i="30"/>
  <c r="P199" i="30"/>
  <c r="L199" i="30" s="1"/>
  <c r="O199" i="30"/>
  <c r="K199" i="30" s="1"/>
  <c r="Q198" i="30"/>
  <c r="P198" i="30"/>
  <c r="L198" i="30" s="1"/>
  <c r="O198" i="30"/>
  <c r="K198" i="30" s="1"/>
  <c r="Q197" i="30"/>
  <c r="P197" i="30"/>
  <c r="L197" i="30" s="1"/>
  <c r="O197" i="30"/>
  <c r="K197" i="30" s="1"/>
  <c r="Q191" i="30"/>
  <c r="M191" i="30" s="1"/>
  <c r="P191" i="30"/>
  <c r="L191" i="30" s="1"/>
  <c r="O191" i="30"/>
  <c r="K191" i="30" s="1"/>
  <c r="Q190" i="30"/>
  <c r="M190" i="30" s="1"/>
  <c r="P190" i="30"/>
  <c r="L190" i="30" s="1"/>
  <c r="O190" i="30"/>
  <c r="K190" i="30" s="1"/>
  <c r="Q189" i="30"/>
  <c r="M189" i="30" s="1"/>
  <c r="P189" i="30"/>
  <c r="L189" i="30" s="1"/>
  <c r="O189" i="30"/>
  <c r="K189" i="30" s="1"/>
  <c r="Q188" i="30"/>
  <c r="M188" i="30" s="1"/>
  <c r="P188" i="30"/>
  <c r="L188" i="30" s="1"/>
  <c r="O188" i="30"/>
  <c r="K188" i="30" s="1"/>
  <c r="P182" i="30"/>
  <c r="L182" i="30" s="1"/>
  <c r="O182" i="30"/>
  <c r="K182" i="30" s="1"/>
  <c r="P181" i="30"/>
  <c r="L181" i="30" s="1"/>
  <c r="O181" i="30"/>
  <c r="K181" i="30" s="1"/>
  <c r="P180" i="30"/>
  <c r="L180" i="30" s="1"/>
  <c r="O180" i="30"/>
  <c r="K180" i="30" s="1"/>
  <c r="P179" i="30"/>
  <c r="L179" i="30" s="1"/>
  <c r="O179" i="30"/>
  <c r="K179" i="30" s="1"/>
  <c r="P173" i="30"/>
  <c r="L173" i="30" s="1"/>
  <c r="O173" i="30"/>
  <c r="K173" i="30" s="1"/>
  <c r="P172" i="30"/>
  <c r="L172" i="30" s="1"/>
  <c r="O172" i="30"/>
  <c r="K172" i="30" s="1"/>
  <c r="P171" i="30"/>
  <c r="L171" i="30" s="1"/>
  <c r="O171" i="30"/>
  <c r="K171" i="30" s="1"/>
  <c r="P170" i="30"/>
  <c r="L170" i="30" s="1"/>
  <c r="O170" i="30"/>
  <c r="K170" i="30" s="1"/>
  <c r="P161" i="30"/>
  <c r="L161" i="30" s="1"/>
  <c r="O161" i="30"/>
  <c r="K161" i="30" s="1"/>
  <c r="Q154" i="30"/>
  <c r="M154" i="30" s="1"/>
  <c r="P154" i="30"/>
  <c r="L154" i="30" s="1"/>
  <c r="O154" i="30"/>
  <c r="K154" i="30" s="1"/>
  <c r="Q153" i="30"/>
  <c r="M153" i="30" s="1"/>
  <c r="P153" i="30"/>
  <c r="L153" i="30" s="1"/>
  <c r="O153" i="30"/>
  <c r="K153" i="30" s="1"/>
  <c r="Q152" i="30"/>
  <c r="M152" i="30" s="1"/>
  <c r="P152" i="30"/>
  <c r="L152" i="30" s="1"/>
  <c r="O152" i="30"/>
  <c r="K152" i="30" s="1"/>
  <c r="Q151" i="30"/>
  <c r="M151" i="30" s="1"/>
  <c r="P151" i="30"/>
  <c r="L151" i="30" s="1"/>
  <c r="O151" i="30"/>
  <c r="K151" i="30" s="1"/>
  <c r="Q136" i="30"/>
  <c r="M136" i="30" s="1"/>
  <c r="P136" i="30"/>
  <c r="L136" i="30" s="1"/>
  <c r="O136" i="30"/>
  <c r="K136" i="30" s="1"/>
  <c r="Q135" i="30"/>
  <c r="M135" i="30" s="1"/>
  <c r="P135" i="30"/>
  <c r="L135" i="30" s="1"/>
  <c r="O135" i="30"/>
  <c r="K135" i="30" s="1"/>
  <c r="Q134" i="30"/>
  <c r="M134" i="30" s="1"/>
  <c r="P134" i="30"/>
  <c r="L134" i="30" s="1"/>
  <c r="O134" i="30"/>
  <c r="K134" i="30" s="1"/>
  <c r="Q133" i="30"/>
  <c r="M133" i="30" s="1"/>
  <c r="P133" i="30"/>
  <c r="L133" i="30" s="1"/>
  <c r="O133" i="30"/>
  <c r="K133" i="30" s="1"/>
  <c r="Q127" i="30"/>
  <c r="M127" i="30" s="1"/>
  <c r="P127" i="30"/>
  <c r="L127" i="30" s="1"/>
  <c r="O127" i="30"/>
  <c r="K127" i="30" s="1"/>
  <c r="Q126" i="30"/>
  <c r="M126" i="30" s="1"/>
  <c r="P126" i="30"/>
  <c r="L126" i="30" s="1"/>
  <c r="O126" i="30"/>
  <c r="K126" i="30" s="1"/>
  <c r="Q125" i="30"/>
  <c r="M125" i="30" s="1"/>
  <c r="P125" i="30"/>
  <c r="L125" i="30" s="1"/>
  <c r="O125" i="30"/>
  <c r="K125" i="30" s="1"/>
  <c r="Q124" i="30"/>
  <c r="M124" i="30" s="1"/>
  <c r="P124" i="30"/>
  <c r="L124" i="30" s="1"/>
  <c r="O124" i="30"/>
  <c r="K124" i="30" s="1"/>
  <c r="Q118" i="30"/>
  <c r="M118" i="30" s="1"/>
  <c r="P118" i="30"/>
  <c r="L118" i="30" s="1"/>
  <c r="O118" i="30"/>
  <c r="K118" i="30" s="1"/>
  <c r="Q117" i="30"/>
  <c r="M117" i="30" s="1"/>
  <c r="P117" i="30"/>
  <c r="L117" i="30" s="1"/>
  <c r="O117" i="30"/>
  <c r="K117" i="30" s="1"/>
  <c r="Q116" i="30"/>
  <c r="M116" i="30" s="1"/>
  <c r="P116" i="30"/>
  <c r="L116" i="30" s="1"/>
  <c r="O116" i="30"/>
  <c r="K116" i="30" s="1"/>
  <c r="Q115" i="30"/>
  <c r="M115" i="30" s="1"/>
  <c r="P115" i="30"/>
  <c r="L115" i="30" s="1"/>
  <c r="O115" i="30"/>
  <c r="K115" i="30" s="1"/>
  <c r="Q99" i="30"/>
  <c r="M99" i="30" s="1"/>
  <c r="P99" i="30"/>
  <c r="L99" i="30" s="1"/>
  <c r="O99" i="30"/>
  <c r="K99" i="30" s="1"/>
  <c r="Q98" i="30"/>
  <c r="M98" i="30" s="1"/>
  <c r="P98" i="30"/>
  <c r="L98" i="30" s="1"/>
  <c r="O98" i="30"/>
  <c r="K98" i="30" s="1"/>
  <c r="Q97" i="30"/>
  <c r="M97" i="30" s="1"/>
  <c r="P97" i="30"/>
  <c r="L97" i="30" s="1"/>
  <c r="O97" i="30"/>
  <c r="K97" i="30" s="1"/>
  <c r="Q96" i="30"/>
  <c r="M96" i="30" s="1"/>
  <c r="P96" i="30"/>
  <c r="L96" i="30" s="1"/>
  <c r="O96" i="30"/>
  <c r="K96" i="30" s="1"/>
  <c r="Q90" i="30"/>
  <c r="M90" i="30" s="1"/>
  <c r="P90" i="30"/>
  <c r="L90" i="30" s="1"/>
  <c r="O90" i="30"/>
  <c r="K90" i="30" s="1"/>
  <c r="Q89" i="30"/>
  <c r="M89" i="30" s="1"/>
  <c r="P89" i="30"/>
  <c r="L89" i="30" s="1"/>
  <c r="O89" i="30"/>
  <c r="K89" i="30" s="1"/>
  <c r="Q88" i="30"/>
  <c r="M88" i="30" s="1"/>
  <c r="P88" i="30"/>
  <c r="L88" i="30" s="1"/>
  <c r="O88" i="30"/>
  <c r="K88" i="30" s="1"/>
  <c r="Q87" i="30"/>
  <c r="M87" i="30" s="1"/>
  <c r="P87" i="30"/>
  <c r="L87" i="30" s="1"/>
  <c r="O87" i="30"/>
  <c r="K87" i="30" s="1"/>
  <c r="Q81" i="30"/>
  <c r="M81" i="30" s="1"/>
  <c r="P81" i="30"/>
  <c r="L81" i="30" s="1"/>
  <c r="O81" i="30"/>
  <c r="K81" i="30" s="1"/>
  <c r="Q80" i="30"/>
  <c r="M80" i="30" s="1"/>
  <c r="P80" i="30"/>
  <c r="L80" i="30" s="1"/>
  <c r="O80" i="30"/>
  <c r="K80" i="30" s="1"/>
  <c r="Q79" i="30"/>
  <c r="M79" i="30" s="1"/>
  <c r="P79" i="30"/>
  <c r="L79" i="30" s="1"/>
  <c r="O79" i="30"/>
  <c r="K79" i="30" s="1"/>
  <c r="Q78" i="30"/>
  <c r="M78" i="30" s="1"/>
  <c r="P78" i="30"/>
  <c r="L78" i="30" s="1"/>
  <c r="O78" i="30"/>
  <c r="K78" i="30" s="1"/>
  <c r="Q73" i="30"/>
  <c r="M73" i="30" s="1"/>
  <c r="P73" i="30"/>
  <c r="L73" i="30" s="1"/>
  <c r="O73" i="30"/>
  <c r="K73" i="30" s="1"/>
  <c r="Q72" i="30"/>
  <c r="M72" i="30" s="1"/>
  <c r="P72" i="30"/>
  <c r="L72" i="30" s="1"/>
  <c r="O72" i="30"/>
  <c r="K72" i="30" s="1"/>
  <c r="Q71" i="30"/>
  <c r="M71" i="30" s="1"/>
  <c r="P71" i="30"/>
  <c r="L71" i="30" s="1"/>
  <c r="O71" i="30"/>
  <c r="K71" i="30" s="1"/>
  <c r="Q70" i="30"/>
  <c r="M70" i="30" s="1"/>
  <c r="P70" i="30"/>
  <c r="L70" i="30" s="1"/>
  <c r="O70" i="30"/>
  <c r="K70" i="30" s="1"/>
  <c r="Q68" i="30"/>
  <c r="Q63" i="30"/>
  <c r="M63" i="30" s="1"/>
  <c r="P63" i="30"/>
  <c r="L63" i="30" s="1"/>
  <c r="O63" i="30"/>
  <c r="K63" i="30" s="1"/>
  <c r="Q62" i="30"/>
  <c r="M62" i="30" s="1"/>
  <c r="P62" i="30"/>
  <c r="L62" i="30" s="1"/>
  <c r="O62" i="30"/>
  <c r="K62" i="30" s="1"/>
  <c r="Q61" i="30"/>
  <c r="M61" i="30" s="1"/>
  <c r="P61" i="30"/>
  <c r="L61" i="30" s="1"/>
  <c r="O61" i="30"/>
  <c r="K61" i="30" s="1"/>
  <c r="Q60" i="30"/>
  <c r="M60" i="30" s="1"/>
  <c r="P60" i="30"/>
  <c r="L60" i="30" s="1"/>
  <c r="O60" i="30"/>
  <c r="K60" i="30" s="1"/>
  <c r="Q56" i="30"/>
  <c r="M56" i="30" s="1"/>
  <c r="P56" i="30"/>
  <c r="L56" i="30" s="1"/>
  <c r="O56" i="30"/>
  <c r="K56" i="30" s="1"/>
  <c r="Q55" i="30"/>
  <c r="M55" i="30" s="1"/>
  <c r="P55" i="30"/>
  <c r="L55" i="30" s="1"/>
  <c r="O55" i="30"/>
  <c r="K55" i="30" s="1"/>
  <c r="O54" i="30"/>
  <c r="K54" i="30" s="1"/>
  <c r="N54" i="30" s="1"/>
  <c r="N252" i="30" l="1"/>
  <c r="N277" i="30"/>
  <c r="N271" i="30"/>
  <c r="S271" i="30" s="1"/>
  <c r="N215" i="30"/>
  <c r="N270" i="30"/>
  <c r="N283" i="30"/>
  <c r="S283" i="30" s="1"/>
  <c r="N189" i="30"/>
  <c r="N285" i="30"/>
  <c r="S285" i="30" s="1"/>
  <c r="N281" i="30"/>
  <c r="S281" i="30" s="1"/>
  <c r="N297" i="30"/>
  <c r="N305" i="30" s="1"/>
  <c r="N217" i="30"/>
  <c r="S217" i="30" s="1"/>
  <c r="N272" i="30"/>
  <c r="N190" i="30"/>
  <c r="S190" i="30" s="1"/>
  <c r="N254" i="30"/>
  <c r="S254" i="30" s="1"/>
  <c r="N253" i="30"/>
  <c r="N250" i="30" s="1"/>
  <c r="N262" i="30"/>
  <c r="S262" i="30" s="1"/>
  <c r="N261" i="30"/>
  <c r="S261" i="30" s="1"/>
  <c r="N188" i="30"/>
  <c r="S188" i="30" s="1"/>
  <c r="N263" i="30"/>
  <c r="S263" i="30" s="1"/>
  <c r="S260" i="30"/>
  <c r="N216" i="30"/>
  <c r="S216" i="30" s="1"/>
  <c r="M245" i="30"/>
  <c r="N245" i="30" s="1"/>
  <c r="S245" i="30" s="1"/>
  <c r="M242" i="30"/>
  <c r="N242" i="30" s="1"/>
  <c r="M244" i="30"/>
  <c r="N244" i="30" s="1"/>
  <c r="S244" i="30" s="1"/>
  <c r="M243" i="30"/>
  <c r="N243" i="30" s="1"/>
  <c r="S243" i="30" s="1"/>
  <c r="N224" i="30"/>
  <c r="S224" i="30" s="1"/>
  <c r="N153" i="30"/>
  <c r="S153" i="30" s="1"/>
  <c r="N225" i="30"/>
  <c r="S225" i="30" s="1"/>
  <c r="N226" i="30"/>
  <c r="S226" i="30" s="1"/>
  <c r="N227" i="30"/>
  <c r="S227" i="30" s="1"/>
  <c r="N134" i="30"/>
  <c r="S134" i="30" s="1"/>
  <c r="N116" i="30"/>
  <c r="S116" i="30" s="1"/>
  <c r="N173" i="30"/>
  <c r="S173" i="30" s="1"/>
  <c r="N191" i="30"/>
  <c r="S191" i="30" s="1"/>
  <c r="N171" i="30"/>
  <c r="S171" i="30" s="1"/>
  <c r="N170" i="30"/>
  <c r="S170" i="30" s="1"/>
  <c r="N180" i="30"/>
  <c r="S180" i="30" s="1"/>
  <c r="M200" i="30"/>
  <c r="N200" i="30" s="1"/>
  <c r="S200" i="30" s="1"/>
  <c r="M199" i="30"/>
  <c r="N199" i="30" s="1"/>
  <c r="S199" i="30" s="1"/>
  <c r="M197" i="30"/>
  <c r="N197" i="30" s="1"/>
  <c r="S197" i="30" s="1"/>
  <c r="N182" i="30"/>
  <c r="S182" i="30" s="1"/>
  <c r="M198" i="30"/>
  <c r="N198" i="30" s="1"/>
  <c r="S198" i="30" s="1"/>
  <c r="N161" i="30"/>
  <c r="N160" i="30" s="1"/>
  <c r="N179" i="30"/>
  <c r="S179" i="30" s="1"/>
  <c r="N172" i="30"/>
  <c r="S172" i="30" s="1"/>
  <c r="N90" i="30"/>
  <c r="S90" i="30" s="1"/>
  <c r="N181" i="30"/>
  <c r="N118" i="30"/>
  <c r="S118" i="30" s="1"/>
  <c r="N78" i="30"/>
  <c r="N96" i="30"/>
  <c r="S96" i="30" s="1"/>
  <c r="N124" i="30"/>
  <c r="S124" i="30" s="1"/>
  <c r="N151" i="30"/>
  <c r="S151" i="30" s="1"/>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S87" i="30" s="1"/>
  <c r="N56" i="30"/>
  <c r="S56" i="30" s="1"/>
  <c r="N80" i="30"/>
  <c r="S80" i="30" s="1"/>
  <c r="N63" i="30"/>
  <c r="S63" i="30" s="1"/>
  <c r="N88" i="30"/>
  <c r="N60" i="30"/>
  <c r="S60" i="30" s="1"/>
  <c r="N55" i="30"/>
  <c r="N53" i="30" s="1"/>
  <c r="N62" i="30"/>
  <c r="S62" i="30" s="1"/>
  <c r="N61" i="30"/>
  <c r="M68" i="30"/>
  <c r="N68" i="30" s="1"/>
  <c r="S68" i="30" s="1"/>
  <c r="S54" i="30"/>
  <c r="N72" i="30"/>
  <c r="S72" i="30" s="1"/>
  <c r="S218" i="30"/>
  <c r="S164" i="30"/>
  <c r="N70" i="30"/>
  <c r="S270" i="30"/>
  <c r="S215" i="30"/>
  <c r="S272" i="30"/>
  <c r="S251" i="30"/>
  <c r="N73" i="30"/>
  <c r="S73" i="30" s="1"/>
  <c r="S162" i="30"/>
  <c r="S269" i="30"/>
  <c r="S277" i="30"/>
  <c r="S189" i="30"/>
  <c r="N71" i="30"/>
  <c r="S71" i="30" s="1"/>
  <c r="S163" i="30"/>
  <c r="S252" i="30"/>
  <c r="S253" i="30" l="1"/>
  <c r="N268" i="30"/>
  <c r="N214" i="30"/>
  <c r="N259" i="30"/>
  <c r="N187" i="30"/>
  <c r="N169" i="30"/>
  <c r="N241" i="30"/>
  <c r="S242" i="30"/>
  <c r="N178" i="30"/>
  <c r="N223" i="30"/>
  <c r="S181" i="30"/>
  <c r="S161" i="30"/>
  <c r="N132" i="30"/>
  <c r="N114" i="30"/>
  <c r="N196" i="30"/>
  <c r="N150" i="30"/>
  <c r="N95" i="30"/>
  <c r="N123" i="30"/>
  <c r="S115" i="30"/>
  <c r="S98" i="30"/>
  <c r="N86" i="30"/>
  <c r="S88" i="30"/>
  <c r="S133" i="30"/>
  <c r="N59" i="30"/>
  <c r="S61" i="30"/>
  <c r="S78" i="30"/>
  <c r="N77" i="30"/>
  <c r="S70" i="30"/>
  <c r="N69" i="30"/>
  <c r="S55" i="30"/>
  <c r="P114" i="125"/>
  <c r="M113" i="125"/>
  <c r="M114" i="125"/>
  <c r="P38" i="125"/>
  <c r="O38" i="125"/>
  <c r="L38" i="125"/>
  <c r="M38" i="125"/>
  <c r="L39" i="125"/>
  <c r="M39" i="125"/>
  <c r="C57" i="121"/>
  <c r="J57" i="121"/>
  <c r="N113" i="30" l="1"/>
  <c r="N76" i="30"/>
  <c r="O5" i="163"/>
  <c r="M47" i="121" s="1"/>
  <c r="O6" i="163"/>
  <c r="M48" i="121" s="1"/>
  <c r="O7" i="163"/>
  <c r="M49" i="121" s="1"/>
  <c r="N288" i="30" l="1"/>
  <c r="N308" i="30" s="1"/>
  <c r="N311" i="30" s="1"/>
  <c r="BE11" i="164"/>
  <c r="BD11" i="164"/>
  <c r="BC11" i="164"/>
  <c r="BB11" i="164"/>
  <c r="AV11" i="164"/>
  <c r="AU11" i="164"/>
  <c r="AP11" i="164"/>
  <c r="AO11" i="164"/>
  <c r="AN11" i="164"/>
  <c r="AL11" i="164"/>
  <c r="AK11" i="164"/>
  <c r="AJ11" i="164"/>
  <c r="AI11" i="164"/>
  <c r="AH11" i="164"/>
  <c r="AB11" i="164"/>
  <c r="Y11" i="164"/>
  <c r="X11" i="164"/>
  <c r="V11" i="164"/>
  <c r="U11" i="164"/>
  <c r="V162" i="121"/>
  <c r="U162" i="121"/>
  <c r="T162" i="121"/>
  <c r="S162" i="121"/>
  <c r="R162" i="121"/>
  <c r="Q162" i="121"/>
  <c r="P162" i="121"/>
  <c r="O162" i="121"/>
  <c r="N162" i="121"/>
  <c r="M162" i="121"/>
  <c r="L162" i="121"/>
  <c r="K162" i="121"/>
  <c r="J162" i="121"/>
  <c r="I162" i="121"/>
  <c r="H162" i="121"/>
  <c r="G162" i="121"/>
  <c r="F162" i="121"/>
  <c r="E162" i="121"/>
  <c r="D162" i="121"/>
  <c r="Q19" i="123"/>
  <c r="CX63" i="124" l="1"/>
  <c r="CT63" i="124"/>
  <c r="CX62" i="124"/>
  <c r="CT62" i="124"/>
  <c r="CX61" i="124"/>
  <c r="CT61" i="124"/>
  <c r="CT60" i="124"/>
  <c r="CT59" i="124"/>
  <c r="CY58" i="124"/>
  <c r="CV58" i="124"/>
  <c r="CU58" i="124"/>
  <c r="CX57" i="124"/>
  <c r="CT57" i="124"/>
  <c r="CX56" i="124"/>
  <c r="CT56" i="124"/>
  <c r="CY55" i="124"/>
  <c r="CV55" i="124"/>
  <c r="CU55" i="124"/>
  <c r="CT49" i="124"/>
  <c r="CT48" i="124"/>
  <c r="CT50" i="124" s="1"/>
  <c r="CT46" i="124"/>
  <c r="CT45" i="124"/>
  <c r="CY44" i="124"/>
  <c r="CV44" i="124"/>
  <c r="CU44" i="124"/>
  <c r="CT43" i="124"/>
  <c r="CT42" i="124"/>
  <c r="CT41" i="124" s="1"/>
  <c r="CY41" i="124"/>
  <c r="CV41" i="124"/>
  <c r="CU41" i="124"/>
  <c r="CT40" i="124"/>
  <c r="CT39" i="124"/>
  <c r="CT38" i="124"/>
  <c r="CT37" i="124"/>
  <c r="CT36" i="124"/>
  <c r="CT33" i="124"/>
  <c r="CT30" i="124"/>
  <c r="CT27" i="124"/>
  <c r="CT24" i="124"/>
  <c r="CT21" i="124"/>
  <c r="CY20" i="124"/>
  <c r="CV20" i="124"/>
  <c r="CU20" i="124"/>
  <c r="CT19" i="124"/>
  <c r="CT18" i="124"/>
  <c r="CY17" i="124"/>
  <c r="CV17" i="124"/>
  <c r="CU17" i="124"/>
  <c r="CY64" i="124"/>
  <c r="CV64" i="124"/>
  <c r="CU64" i="124"/>
  <c r="CX54" i="124"/>
  <c r="CU54" i="124"/>
  <c r="CX53" i="124"/>
  <c r="CU53" i="124"/>
  <c r="CX52" i="124"/>
  <c r="CU52" i="124"/>
  <c r="CY50" i="124"/>
  <c r="CV50" i="124"/>
  <c r="CU50" i="124"/>
  <c r="CY47" i="124"/>
  <c r="CV47" i="124"/>
  <c r="CU47" i="124"/>
  <c r="AI142" i="123"/>
  <c r="AI141" i="123"/>
  <c r="AK140" i="123"/>
  <c r="AJ140" i="123"/>
  <c r="AI139" i="123"/>
  <c r="AI138" i="123"/>
  <c r="AI137" i="123"/>
  <c r="AI136" i="123"/>
  <c r="AI135" i="123" s="1"/>
  <c r="AK135" i="123"/>
  <c r="AJ135" i="123"/>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AI88" i="123"/>
  <c r="AK87" i="123"/>
  <c r="AJ87" i="123"/>
  <c r="AI86" i="123"/>
  <c r="AI85" i="123"/>
  <c r="AI84" i="123"/>
  <c r="AI83" i="123"/>
  <c r="AI82" i="123"/>
  <c r="AK81" i="123"/>
  <c r="AK79" i="123" s="1"/>
  <c r="AJ81" i="123"/>
  <c r="AJ79" i="123" s="1"/>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AI140" i="123" l="1"/>
  <c r="AJ39" i="123"/>
  <c r="AK39" i="123"/>
  <c r="AI40" i="123"/>
  <c r="AI92" i="123"/>
  <c r="AI95" i="123"/>
  <c r="CT47" i="124"/>
  <c r="CT64" i="124"/>
  <c r="AI130" i="123"/>
  <c r="AI19" i="123"/>
  <c r="AI87" i="123"/>
  <c r="AI122" i="123"/>
  <c r="AI46" i="123"/>
  <c r="AI58" i="123"/>
  <c r="AI81" i="123"/>
  <c r="AI79" i="123" s="1"/>
  <c r="CT17" i="124"/>
  <c r="CT55" i="124"/>
  <c r="CT44" i="124"/>
  <c r="CT58" i="124"/>
  <c r="CX64" i="124"/>
  <c r="CT20" i="124"/>
  <c r="AI39" i="123" l="1"/>
  <c r="AD54" i="122"/>
  <c r="AC54" i="122"/>
  <c r="AB54" i="122"/>
  <c r="AA54" i="122"/>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727" i="20"/>
  <c r="I4" i="164"/>
  <c r="D14" i="107" l="1"/>
  <c r="I105" i="141"/>
  <c r="F6" i="122" l="1"/>
  <c r="D7" i="122"/>
  <c r="C7" i="122"/>
  <c r="D6" i="122"/>
  <c r="E5" i="122"/>
  <c r="D5" i="122"/>
  <c r="C5" i="122"/>
  <c r="D10" i="122"/>
  <c r="AC31" i="122" l="1"/>
  <c r="AA31" i="122"/>
  <c r="AD31" i="122"/>
  <c r="AB31" i="122"/>
  <c r="AD21" i="122"/>
  <c r="AB21" i="122"/>
  <c r="AA21" i="122"/>
  <c r="AC21" i="122"/>
  <c r="AD41" i="122"/>
  <c r="AB41" i="122"/>
  <c r="AC41" i="122"/>
  <c r="AA41" i="122"/>
  <c r="N88" i="127"/>
  <c r="M88" i="127" l="1"/>
  <c r="AC51" i="122"/>
  <c r="AA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H247" i="121"/>
  <c r="L38" i="112"/>
  <c r="O247" i="121" s="1"/>
  <c r="K38" i="112"/>
  <c r="N247" i="121" s="1"/>
  <c r="J38" i="112"/>
  <c r="M247" i="121" s="1"/>
  <c r="I38" i="112"/>
  <c r="L247" i="121" s="1"/>
  <c r="F38" i="112"/>
  <c r="I247" i="121" s="1"/>
  <c r="E38" i="112"/>
  <c r="B37" i="112"/>
  <c r="B38" i="112"/>
  <c r="C247" i="121" s="1"/>
  <c r="C51" i="122" l="1"/>
  <c r="E81" i="1"/>
  <c r="L8" i="121" s="1"/>
  <c r="C15" i="121"/>
  <c r="C14" i="121"/>
  <c r="C13" i="121"/>
  <c r="C12" i="121"/>
  <c r="C11" i="121"/>
  <c r="C10" i="121"/>
  <c r="C9" i="121"/>
  <c r="C8" i="121"/>
  <c r="C7" i="121"/>
  <c r="C6" i="121"/>
  <c r="L3" i="121"/>
  <c r="K3" i="121"/>
  <c r="O230" i="121"/>
  <c r="N230" i="121"/>
  <c r="V231" i="121"/>
  <c r="U231" i="121"/>
  <c r="T231" i="121"/>
  <c r="S231" i="121"/>
  <c r="R231" i="121"/>
  <c r="V230" i="121"/>
  <c r="U230" i="121"/>
  <c r="T230" i="121"/>
  <c r="S230" i="121"/>
  <c r="R230" i="121"/>
  <c r="C246" i="121"/>
  <c r="D269" i="167" l="1"/>
  <c r="E89" i="1" l="1"/>
  <c r="L15" i="121" s="1"/>
  <c r="E88" i="1"/>
  <c r="L14" i="121" s="1"/>
  <c r="E87" i="1"/>
  <c r="L13" i="121" s="1"/>
  <c r="E85" i="1"/>
  <c r="L12" i="121" s="1"/>
  <c r="E84" i="1"/>
  <c r="L11" i="121" s="1"/>
  <c r="E83" i="1"/>
  <c r="L10" i="121" s="1"/>
  <c r="E82" i="1"/>
  <c r="L9" i="121" s="1"/>
  <c r="E80" i="1"/>
  <c r="L7" i="121" s="1"/>
  <c r="E79" i="1"/>
  <c r="L6" i="121" s="1"/>
  <c r="D12" i="1" l="1"/>
  <c r="G6" i="122" s="1"/>
  <c r="AD45" i="122" l="1"/>
  <c r="AD38" i="122"/>
  <c r="AD32" i="122"/>
  <c r="AB45" i="122"/>
  <c r="AB38" i="122"/>
  <c r="AB32" i="122"/>
  <c r="AD25" i="122"/>
  <c r="AB28" i="122"/>
  <c r="AB22" i="122"/>
  <c r="AC45" i="122"/>
  <c r="AC38" i="122"/>
  <c r="AC32" i="122"/>
  <c r="AA45" i="122"/>
  <c r="AA38" i="122"/>
  <c r="AA32" i="122"/>
  <c r="AC25" i="122"/>
  <c r="AA28" i="122"/>
  <c r="AA22" i="122"/>
  <c r="AD42" i="122"/>
  <c r="AD35" i="122"/>
  <c r="AB48" i="122"/>
  <c r="AB42" i="122"/>
  <c r="AB35" i="122"/>
  <c r="AD28" i="122"/>
  <c r="AD22" i="122"/>
  <c r="AB25" i="122"/>
  <c r="AD48" i="122"/>
  <c r="AC48" i="122"/>
  <c r="AC42" i="122"/>
  <c r="AC35" i="122"/>
  <c r="AA48" i="122"/>
  <c r="AA42" i="122"/>
  <c r="AA35" i="122"/>
  <c r="AC28" i="122"/>
  <c r="AC22" i="122"/>
  <c r="AA25"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53" i="56" l="1"/>
  <c r="F168" i="167" l="1"/>
  <c r="M146" i="123" l="1"/>
  <c r="I146" i="123"/>
  <c r="O12" i="163" l="1"/>
  <c r="O11" i="163"/>
  <c r="G631" i="115" l="1" a="1"/>
  <c r="F631" i="115" a="1"/>
  <c r="F730" i="115" s="1"/>
  <c r="E631" i="115" a="1"/>
  <c r="E729" i="115" s="1"/>
  <c r="C631" i="115" a="1"/>
  <c r="D730" i="115" s="1"/>
  <c r="G528" i="115" a="1"/>
  <c r="G537" i="115" s="1"/>
  <c r="F528" i="115" a="1"/>
  <c r="F612"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414" i="115" s="1"/>
  <c r="C320" i="115" a="1"/>
  <c r="C409" i="115" s="1"/>
  <c r="G217" i="115" a="1"/>
  <c r="G307" i="115" s="1"/>
  <c r="F217" i="115" a="1"/>
  <c r="F275" i="115" s="1"/>
  <c r="E217" i="115" a="1"/>
  <c r="E316" i="115" s="1"/>
  <c r="C217" i="115" a="1"/>
  <c r="C246" i="115" s="1"/>
  <c r="G114" i="115" a="1"/>
  <c r="G118" i="115" s="1"/>
  <c r="F114" i="115" a="1"/>
  <c r="F198" i="115" s="1"/>
  <c r="E114" i="115" a="1"/>
  <c r="E201" i="115" s="1"/>
  <c r="C114" i="115" a="1"/>
  <c r="C209" i="115" s="1"/>
  <c r="G11" i="115" a="1"/>
  <c r="G11" i="115" s="1"/>
  <c r="F11" i="115" a="1"/>
  <c r="F11" i="115" s="1"/>
  <c r="E11" i="115" a="1"/>
  <c r="E11" i="115" s="1"/>
  <c r="C11" i="115" a="1"/>
  <c r="C11" i="115" s="1"/>
  <c r="F656" i="115" l="1"/>
  <c r="D241" i="115"/>
  <c r="G227" i="115"/>
  <c r="G253" i="115"/>
  <c r="G298" i="115"/>
  <c r="G222" i="115"/>
  <c r="G233" i="115"/>
  <c r="G276" i="115"/>
  <c r="C295" i="115"/>
  <c r="D302" i="115"/>
  <c r="C259" i="115"/>
  <c r="C245" i="115"/>
  <c r="C243" i="115"/>
  <c r="D230" i="115"/>
  <c r="D316" i="115"/>
  <c r="C244" i="115"/>
  <c r="C282" i="115"/>
  <c r="C348" i="115"/>
  <c r="E335" i="115"/>
  <c r="E342" i="115"/>
  <c r="E365" i="115"/>
  <c r="E411" i="115"/>
  <c r="G326" i="115"/>
  <c r="G331" i="115"/>
  <c r="G349" i="115"/>
  <c r="G360" i="115"/>
  <c r="G375" i="115"/>
  <c r="G380" i="115"/>
  <c r="G401" i="115"/>
  <c r="G431" i="115"/>
  <c r="G437" i="115"/>
  <c r="G443" i="115"/>
  <c r="G456" i="115"/>
  <c r="G460" i="115"/>
  <c r="G467" i="115"/>
  <c r="G483" i="115"/>
  <c r="G488" i="115"/>
  <c r="G501" i="115"/>
  <c r="G505" i="115"/>
  <c r="F539" i="115"/>
  <c r="F562" i="115"/>
  <c r="F566" i="115"/>
  <c r="C638" i="115"/>
  <c r="C640" i="115"/>
  <c r="D654" i="115"/>
  <c r="C674" i="115"/>
  <c r="D690" i="115"/>
  <c r="D692" i="115"/>
  <c r="C721" i="115"/>
  <c r="G224" i="115"/>
  <c r="G229" i="115"/>
  <c r="G246" i="115"/>
  <c r="G259" i="115"/>
  <c r="G282" i="115"/>
  <c r="D324" i="115"/>
  <c r="C415" i="115"/>
  <c r="E333" i="115"/>
  <c r="E337" i="115"/>
  <c r="E358" i="115"/>
  <c r="E409" i="115"/>
  <c r="E416" i="115"/>
  <c r="G324" i="115"/>
  <c r="G329" i="115"/>
  <c r="G335" i="115"/>
  <c r="G356" i="115"/>
  <c r="G373" i="115"/>
  <c r="G377" i="115"/>
  <c r="G384" i="115"/>
  <c r="G408" i="115"/>
  <c r="G429" i="115"/>
  <c r="G435" i="115"/>
  <c r="G441" i="115"/>
  <c r="G454" i="115"/>
  <c r="G458" i="115"/>
  <c r="G463" i="115"/>
  <c r="G478" i="115"/>
  <c r="G486" i="115"/>
  <c r="G490" i="115"/>
  <c r="G503" i="115"/>
  <c r="G509" i="115"/>
  <c r="F532" i="115"/>
  <c r="F542" i="115"/>
  <c r="F564" i="115"/>
  <c r="F613" i="115"/>
  <c r="C637" i="115"/>
  <c r="C639" i="115"/>
  <c r="D651" i="115"/>
  <c r="D656" i="115"/>
  <c r="C687" i="115"/>
  <c r="D691" i="115"/>
  <c r="C706" i="115"/>
  <c r="C723" i="115"/>
  <c r="F199" i="115"/>
  <c r="C231" i="115"/>
  <c r="C242" i="115"/>
  <c r="D243" i="115"/>
  <c r="D244" i="115"/>
  <c r="D245" i="115"/>
  <c r="D246" i="115"/>
  <c r="D281" i="115"/>
  <c r="D294" i="115"/>
  <c r="C316" i="115"/>
  <c r="G297" i="115"/>
  <c r="G304" i="115"/>
  <c r="G299" i="115"/>
  <c r="G295" i="115"/>
  <c r="G283" i="115"/>
  <c r="G281" i="115"/>
  <c r="G277" i="115"/>
  <c r="G275" i="115"/>
  <c r="G269" i="115"/>
  <c r="G258" i="115"/>
  <c r="G254" i="115"/>
  <c r="G250" i="115"/>
  <c r="G247" i="115"/>
  <c r="G235" i="115"/>
  <c r="G223" i="115"/>
  <c r="G225" i="115"/>
  <c r="G228" i="115"/>
  <c r="G232" i="115"/>
  <c r="G234" i="115"/>
  <c r="G249" i="115"/>
  <c r="G255" i="115"/>
  <c r="G274" i="115"/>
  <c r="G280" i="115"/>
  <c r="G294" i="115"/>
  <c r="G300" i="115"/>
  <c r="F406" i="115"/>
  <c r="F377" i="115"/>
  <c r="F516" i="115"/>
  <c r="F484" i="115"/>
  <c r="G608" i="115"/>
  <c r="G580" i="115"/>
  <c r="G535" i="115"/>
  <c r="G604" i="115"/>
  <c r="D347" i="115"/>
  <c r="D382" i="115"/>
  <c r="E334" i="115"/>
  <c r="E336" i="115"/>
  <c r="E341" i="115"/>
  <c r="E346" i="115"/>
  <c r="E360" i="115"/>
  <c r="E387" i="115"/>
  <c r="E410" i="115"/>
  <c r="E415" i="115"/>
  <c r="E417" i="115"/>
  <c r="G325" i="115"/>
  <c r="G327" i="115"/>
  <c r="G330" i="115"/>
  <c r="G333" i="115"/>
  <c r="G348" i="115"/>
  <c r="G350" i="115"/>
  <c r="G357" i="115"/>
  <c r="G371" i="115"/>
  <c r="G374" i="115"/>
  <c r="G376" i="115"/>
  <c r="G378" i="115"/>
  <c r="G383" i="115"/>
  <c r="G397" i="115"/>
  <c r="G407" i="115"/>
  <c r="G419" i="115"/>
  <c r="G430" i="115"/>
  <c r="G432" i="115"/>
  <c r="G436" i="115"/>
  <c r="G438" i="115"/>
  <c r="G442" i="115"/>
  <c r="G452" i="115"/>
  <c r="G455" i="115"/>
  <c r="G457" i="115"/>
  <c r="G459" i="115"/>
  <c r="G461" i="115"/>
  <c r="G466" i="115"/>
  <c r="G477" i="115"/>
  <c r="G482" i="115"/>
  <c r="G484" i="115"/>
  <c r="G487" i="115"/>
  <c r="G489" i="115"/>
  <c r="G500" i="115"/>
  <c r="G502" i="115"/>
  <c r="G504" i="115"/>
  <c r="G507" i="115"/>
  <c r="F538" i="115"/>
  <c r="F541" i="115"/>
  <c r="F561" i="115"/>
  <c r="F563" i="115"/>
  <c r="F565" i="115"/>
  <c r="F609" i="115"/>
  <c r="F614" i="115"/>
  <c r="D637" i="115"/>
  <c r="D638" i="115"/>
  <c r="D639" i="115"/>
  <c r="D642" i="115"/>
  <c r="C652" i="115"/>
  <c r="D655" i="115"/>
  <c r="D670" i="115"/>
  <c r="D674" i="115"/>
  <c r="C688" i="115"/>
  <c r="C691" i="115"/>
  <c r="C692" i="115"/>
  <c r="D703" i="115"/>
  <c r="C707" i="115"/>
  <c r="C722" i="115"/>
  <c r="D726" i="115"/>
  <c r="G119" i="115"/>
  <c r="F491" i="115"/>
  <c r="G122" i="115"/>
  <c r="F227" i="115"/>
  <c r="E418" i="115"/>
  <c r="F383" i="115"/>
  <c r="E488" i="115"/>
  <c r="F492" i="115"/>
  <c r="G121" i="115"/>
  <c r="F228" i="115"/>
  <c r="F262" i="115"/>
  <c r="G120" i="115"/>
  <c r="F493" i="115"/>
  <c r="E366" i="115"/>
  <c r="F333" i="115"/>
  <c r="F401" i="115"/>
  <c r="F439" i="115"/>
  <c r="F510" i="115"/>
  <c r="C655" i="115"/>
  <c r="D720" i="115"/>
  <c r="F124" i="115"/>
  <c r="G145" i="115"/>
  <c r="F437" i="115"/>
  <c r="F506" i="115"/>
  <c r="F126" i="115"/>
  <c r="G147" i="115"/>
  <c r="F402" i="115"/>
  <c r="E368" i="115"/>
  <c r="F335" i="115"/>
  <c r="F403" i="115"/>
  <c r="F444" i="115"/>
  <c r="F512" i="115"/>
  <c r="C656" i="115"/>
  <c r="D721" i="115"/>
  <c r="F384" i="115"/>
  <c r="F433" i="115"/>
  <c r="F505" i="115"/>
  <c r="F264" i="115"/>
  <c r="F334" i="115"/>
  <c r="F337" i="115"/>
  <c r="F385" i="115"/>
  <c r="F263" i="115"/>
  <c r="F329" i="115"/>
  <c r="F125" i="115"/>
  <c r="F332" i="115"/>
  <c r="F388" i="115"/>
  <c r="F438" i="115"/>
  <c r="F509" i="115"/>
  <c r="G166" i="115"/>
  <c r="F276" i="115"/>
  <c r="E367" i="115"/>
  <c r="F445" i="115"/>
  <c r="F514" i="115"/>
  <c r="F150" i="115"/>
  <c r="G170" i="115"/>
  <c r="C279" i="115"/>
  <c r="F279" i="115"/>
  <c r="C355" i="115"/>
  <c r="E381" i="115"/>
  <c r="F338" i="115"/>
  <c r="F410" i="115"/>
  <c r="F446" i="115"/>
  <c r="F515" i="115"/>
  <c r="G508" i="115"/>
  <c r="G536" i="115"/>
  <c r="C669" i="115"/>
  <c r="D722" i="115"/>
  <c r="G124" i="115"/>
  <c r="G142" i="115"/>
  <c r="F387" i="115"/>
  <c r="G146" i="115"/>
  <c r="F128" i="115"/>
  <c r="G168" i="115"/>
  <c r="C278" i="115"/>
  <c r="F277" i="115"/>
  <c r="F149" i="115"/>
  <c r="G169" i="115"/>
  <c r="D278" i="115"/>
  <c r="F278" i="115"/>
  <c r="E382" i="115"/>
  <c r="F171" i="115"/>
  <c r="G190" i="115"/>
  <c r="D280" i="115"/>
  <c r="F302" i="115"/>
  <c r="G270" i="115"/>
  <c r="C383" i="115"/>
  <c r="E383" i="115"/>
  <c r="F341" i="115"/>
  <c r="F413" i="115"/>
  <c r="F459" i="115"/>
  <c r="G464" i="115"/>
  <c r="G510" i="115"/>
  <c r="G556" i="115"/>
  <c r="C673" i="115"/>
  <c r="D723" i="115"/>
  <c r="F328" i="115"/>
  <c r="F274" i="115"/>
  <c r="F127" i="115"/>
  <c r="F443" i="115"/>
  <c r="F511" i="115"/>
  <c r="E370" i="115"/>
  <c r="F407" i="115"/>
  <c r="F151" i="115"/>
  <c r="G171" i="115"/>
  <c r="D279" i="115"/>
  <c r="F283" i="115"/>
  <c r="F340" i="115"/>
  <c r="F412" i="115"/>
  <c r="F458" i="115"/>
  <c r="F518" i="115"/>
  <c r="F173" i="115"/>
  <c r="G191" i="115"/>
  <c r="C281" i="115"/>
  <c r="G271" i="115"/>
  <c r="D409" i="115"/>
  <c r="E384" i="115"/>
  <c r="F354" i="115"/>
  <c r="G379" i="115"/>
  <c r="F460" i="115"/>
  <c r="G428" i="115"/>
  <c r="G465" i="115"/>
  <c r="G511" i="115"/>
  <c r="G558" i="115"/>
  <c r="D673" i="115"/>
  <c r="C724" i="115"/>
  <c r="F461" i="115"/>
  <c r="E388" i="115"/>
  <c r="F356" i="115"/>
  <c r="F462" i="115"/>
  <c r="F382" i="115"/>
  <c r="F355" i="115"/>
  <c r="F175" i="115"/>
  <c r="G193" i="115"/>
  <c r="F195" i="115"/>
  <c r="G194" i="115"/>
  <c r="D282" i="115"/>
  <c r="E320" i="115"/>
  <c r="E389" i="115"/>
  <c r="F360" i="115"/>
  <c r="F465" i="115"/>
  <c r="C675" i="115"/>
  <c r="E633" i="115"/>
  <c r="F174" i="115"/>
  <c r="G192" i="115"/>
  <c r="F196" i="115"/>
  <c r="C283" i="115"/>
  <c r="E321" i="115"/>
  <c r="E394" i="115"/>
  <c r="F361" i="115"/>
  <c r="F466" i="115"/>
  <c r="C686" i="115"/>
  <c r="E646" i="115"/>
  <c r="D222" i="115"/>
  <c r="D283" i="115"/>
  <c r="G226" i="115"/>
  <c r="G279" i="115"/>
  <c r="E322" i="115"/>
  <c r="E405" i="115"/>
  <c r="F362" i="115"/>
  <c r="G328" i="115"/>
  <c r="G400" i="115"/>
  <c r="F467" i="115"/>
  <c r="G434" i="115"/>
  <c r="F537" i="115"/>
  <c r="D636" i="115"/>
  <c r="D686" i="115"/>
  <c r="E682" i="115"/>
  <c r="F363" i="115"/>
  <c r="F481" i="115"/>
  <c r="E695" i="115"/>
  <c r="D687" i="115"/>
  <c r="F378" i="115"/>
  <c r="F485" i="115"/>
  <c r="F379" i="115"/>
  <c r="F486" i="115"/>
  <c r="E155" i="115"/>
  <c r="C332" i="115"/>
  <c r="D392" i="115"/>
  <c r="D332" i="115"/>
  <c r="D362" i="115"/>
  <c r="C393" i="115"/>
  <c r="E180" i="115"/>
  <c r="C221" i="115"/>
  <c r="D257" i="115"/>
  <c r="C296" i="115"/>
  <c r="F234" i="115"/>
  <c r="F307" i="115"/>
  <c r="C334" i="115"/>
  <c r="C368" i="115"/>
  <c r="D403" i="115"/>
  <c r="E447" i="115"/>
  <c r="E590" i="115"/>
  <c r="E200" i="115"/>
  <c r="G213" i="115"/>
  <c r="G167" i="115"/>
  <c r="G144" i="115"/>
  <c r="G143" i="115"/>
  <c r="D221" i="115"/>
  <c r="C258" i="115"/>
  <c r="D301" i="115"/>
  <c r="F235" i="115"/>
  <c r="F308" i="115"/>
  <c r="G251" i="115"/>
  <c r="G296" i="115"/>
  <c r="D334" i="115"/>
  <c r="D368" i="115"/>
  <c r="C405" i="115"/>
  <c r="E343" i="115"/>
  <c r="E406" i="115"/>
  <c r="F352" i="115"/>
  <c r="F389" i="115"/>
  <c r="G336" i="115"/>
  <c r="G395" i="115"/>
  <c r="E464" i="115"/>
  <c r="F434" i="115"/>
  <c r="F482" i="115"/>
  <c r="G523" i="115"/>
  <c r="G485" i="115"/>
  <c r="G453" i="115"/>
  <c r="G513" i="115"/>
  <c r="G480" i="115"/>
  <c r="G440" i="115"/>
  <c r="G512" i="115"/>
  <c r="G479" i="115"/>
  <c r="G439" i="115"/>
  <c r="G462" i="115"/>
  <c r="G506" i="115"/>
  <c r="E591" i="115"/>
  <c r="F611" i="115"/>
  <c r="E648" i="115"/>
  <c r="E696" i="115"/>
  <c r="F657" i="115"/>
  <c r="F229" i="115"/>
  <c r="E179" i="115"/>
  <c r="C222" i="115"/>
  <c r="D258" i="115"/>
  <c r="C302" i="115"/>
  <c r="F237" i="115"/>
  <c r="F309" i="115"/>
  <c r="G252" i="115"/>
  <c r="C335" i="115"/>
  <c r="C369" i="115"/>
  <c r="D405" i="115"/>
  <c r="E345" i="115"/>
  <c r="E408" i="115"/>
  <c r="F353" i="115"/>
  <c r="F400" i="115"/>
  <c r="G347" i="115"/>
  <c r="G396" i="115"/>
  <c r="E465" i="115"/>
  <c r="F436" i="115"/>
  <c r="F483" i="115"/>
  <c r="E592" i="115"/>
  <c r="E652" i="115"/>
  <c r="E697" i="115"/>
  <c r="F658" i="115"/>
  <c r="E199" i="115"/>
  <c r="E156" i="115"/>
  <c r="E132" i="115"/>
  <c r="E131" i="115"/>
  <c r="E129" i="115"/>
  <c r="E287" i="115"/>
  <c r="E609" i="115"/>
  <c r="E653" i="115"/>
  <c r="E698" i="115"/>
  <c r="F659" i="115"/>
  <c r="E467" i="115"/>
  <c r="E615" i="115"/>
  <c r="E657" i="115"/>
  <c r="E700" i="115"/>
  <c r="F683" i="115"/>
  <c r="E153" i="115"/>
  <c r="C361" i="115"/>
  <c r="E176" i="115"/>
  <c r="F238" i="115"/>
  <c r="F310" i="115"/>
  <c r="D335" i="115"/>
  <c r="E203" i="115"/>
  <c r="C223" i="115"/>
  <c r="C265" i="115"/>
  <c r="C303" i="115"/>
  <c r="F239" i="115"/>
  <c r="F311" i="115"/>
  <c r="E204" i="115"/>
  <c r="D344" i="115"/>
  <c r="D371" i="115"/>
  <c r="D407" i="115"/>
  <c r="E616" i="115"/>
  <c r="G627" i="115"/>
  <c r="G606" i="115"/>
  <c r="G584" i="115"/>
  <c r="G582" i="115"/>
  <c r="G581" i="115"/>
  <c r="E658" i="115"/>
  <c r="E701" i="115"/>
  <c r="F688" i="115"/>
  <c r="E493" i="115"/>
  <c r="E130" i="115"/>
  <c r="E154" i="115"/>
  <c r="E443" i="115"/>
  <c r="E514" i="115"/>
  <c r="E569" i="115"/>
  <c r="C371" i="115"/>
  <c r="D223" i="115"/>
  <c r="D265" i="115"/>
  <c r="C304" i="115"/>
  <c r="F240" i="115"/>
  <c r="F312" i="115"/>
  <c r="E469" i="115"/>
  <c r="E659" i="115"/>
  <c r="E705" i="115"/>
  <c r="F692" i="115"/>
  <c r="D361" i="115"/>
  <c r="E466" i="115"/>
  <c r="D338" i="115"/>
  <c r="D406" i="115"/>
  <c r="F194" i="115"/>
  <c r="F172" i="115"/>
  <c r="F148" i="115"/>
  <c r="F147" i="115"/>
  <c r="C224" i="115"/>
  <c r="C266" i="115"/>
  <c r="D314" i="115"/>
  <c r="F250" i="115"/>
  <c r="G316" i="115"/>
  <c r="G278" i="115"/>
  <c r="G245" i="115"/>
  <c r="G306" i="115"/>
  <c r="G273" i="115"/>
  <c r="G231" i="115"/>
  <c r="G305" i="115"/>
  <c r="G272" i="115"/>
  <c r="G230" i="115"/>
  <c r="G256" i="115"/>
  <c r="G301" i="115"/>
  <c r="C345" i="115"/>
  <c r="C372" i="115"/>
  <c r="C408" i="115"/>
  <c r="E361" i="115"/>
  <c r="E412" i="115"/>
  <c r="F357" i="115"/>
  <c r="F404" i="115"/>
  <c r="G351" i="115"/>
  <c r="G402" i="115"/>
  <c r="E470" i="115"/>
  <c r="F440" i="115"/>
  <c r="F487" i="115"/>
  <c r="E618" i="115"/>
  <c r="G532" i="115"/>
  <c r="F123" i="115"/>
  <c r="G123" i="115"/>
  <c r="D229" i="115"/>
  <c r="D266" i="115"/>
  <c r="C315" i="115"/>
  <c r="F260" i="115"/>
  <c r="G221" i="115"/>
  <c r="G257" i="115"/>
  <c r="G302" i="115"/>
  <c r="D346" i="115"/>
  <c r="D372" i="115"/>
  <c r="D408" i="115"/>
  <c r="E362" i="115"/>
  <c r="E413" i="115"/>
  <c r="F358" i="115"/>
  <c r="F405" i="115"/>
  <c r="G354" i="115"/>
  <c r="G403" i="115"/>
  <c r="E486" i="115"/>
  <c r="F441" i="115"/>
  <c r="F488" i="115"/>
  <c r="G433" i="115"/>
  <c r="G476" i="115"/>
  <c r="G524" i="115"/>
  <c r="G533" i="115"/>
  <c r="E660" i="115"/>
  <c r="E706" i="115"/>
  <c r="F695" i="115"/>
  <c r="C385" i="115"/>
  <c r="E202" i="115"/>
  <c r="D369" i="115"/>
  <c r="C406" i="115"/>
  <c r="C230" i="115"/>
  <c r="D267" i="115"/>
  <c r="D315" i="115"/>
  <c r="F261" i="115"/>
  <c r="G303" i="115"/>
  <c r="C347" i="115"/>
  <c r="C382" i="115"/>
  <c r="E364" i="115"/>
  <c r="F359" i="115"/>
  <c r="G355" i="115"/>
  <c r="E487" i="115"/>
  <c r="F442" i="115"/>
  <c r="F489" i="115"/>
  <c r="F608" i="115"/>
  <c r="F610" i="115"/>
  <c r="F589" i="115"/>
  <c r="F587" i="115"/>
  <c r="F586" i="115"/>
  <c r="F585" i="115"/>
  <c r="G534" i="115"/>
  <c r="E661" i="115"/>
  <c r="E707" i="115"/>
  <c r="F724" i="115"/>
  <c r="E613" i="115"/>
  <c r="E617" i="115"/>
  <c r="E542" i="115"/>
  <c r="E614" i="115"/>
  <c r="E595" i="115"/>
  <c r="E594" i="115"/>
  <c r="E593" i="115"/>
  <c r="E662" i="115"/>
  <c r="E708" i="115"/>
  <c r="F725" i="115"/>
  <c r="E489" i="115"/>
  <c r="E537" i="115"/>
  <c r="E663" i="115"/>
  <c r="E709" i="115"/>
  <c r="F726" i="115"/>
  <c r="C407" i="115"/>
  <c r="C373" i="115"/>
  <c r="D348" i="115"/>
  <c r="C324" i="115"/>
  <c r="D404" i="115"/>
  <c r="D370" i="115"/>
  <c r="C346" i="115"/>
  <c r="C404" i="115"/>
  <c r="C370" i="115"/>
  <c r="D345" i="115"/>
  <c r="C349" i="115"/>
  <c r="D383" i="115"/>
  <c r="D415" i="115"/>
  <c r="E490" i="115"/>
  <c r="E543" i="115"/>
  <c r="E664" i="115"/>
  <c r="E710" i="115"/>
  <c r="F727" i="115"/>
  <c r="E491" i="115"/>
  <c r="E544" i="115"/>
  <c r="E669" i="115"/>
  <c r="E718" i="115"/>
  <c r="F728" i="115"/>
  <c r="E244" i="115"/>
  <c r="D321" i="115"/>
  <c r="D349" i="115"/>
  <c r="C384" i="115"/>
  <c r="C416" i="115"/>
  <c r="E128" i="115"/>
  <c r="D242" i="115"/>
  <c r="C280" i="115"/>
  <c r="E245" i="115"/>
  <c r="D323" i="115"/>
  <c r="D350" i="115"/>
  <c r="D384" i="115"/>
  <c r="E393" i="115"/>
  <c r="E392" i="115"/>
  <c r="E344" i="115"/>
  <c r="E386" i="115"/>
  <c r="E339" i="115"/>
  <c r="E385" i="115"/>
  <c r="E338" i="115"/>
  <c r="E369" i="115"/>
  <c r="F399" i="115"/>
  <c r="F380" i="115"/>
  <c r="F336" i="115"/>
  <c r="F409" i="115"/>
  <c r="F365" i="115"/>
  <c r="F331" i="115"/>
  <c r="F408" i="115"/>
  <c r="F364" i="115"/>
  <c r="F330" i="115"/>
  <c r="F376" i="115"/>
  <c r="G418" i="115"/>
  <c r="G404" i="115"/>
  <c r="G359" i="115"/>
  <c r="G323" i="115"/>
  <c r="G399" i="115"/>
  <c r="G353" i="115"/>
  <c r="G398" i="115"/>
  <c r="G352" i="115"/>
  <c r="G372" i="115"/>
  <c r="C436" i="115"/>
  <c r="F457" i="115"/>
  <c r="F494" i="115"/>
  <c r="E545" i="115"/>
  <c r="F540" i="115"/>
  <c r="G557" i="115"/>
  <c r="E670" i="115"/>
  <c r="E720" i="115"/>
  <c r="F729" i="115"/>
  <c r="E509" i="115"/>
  <c r="E468" i="115"/>
  <c r="E517" i="115"/>
  <c r="E463" i="115"/>
  <c r="E516" i="115"/>
  <c r="E462" i="115"/>
  <c r="E546" i="115"/>
  <c r="E671" i="115"/>
  <c r="E724" i="115"/>
  <c r="E286" i="115"/>
  <c r="C325" i="115"/>
  <c r="D355" i="115"/>
  <c r="D385" i="115"/>
  <c r="E438" i="115"/>
  <c r="E494" i="115"/>
  <c r="E547" i="115"/>
  <c r="G560" i="115"/>
  <c r="E672" i="115"/>
  <c r="E725" i="115"/>
  <c r="G701" i="115"/>
  <c r="G698" i="115"/>
  <c r="G697" i="115"/>
  <c r="D325" i="115"/>
  <c r="C356" i="115"/>
  <c r="D386" i="115"/>
  <c r="E439" i="115"/>
  <c r="E510" i="115"/>
  <c r="E561" i="115"/>
  <c r="E673" i="115"/>
  <c r="G654" i="115"/>
  <c r="E288" i="115"/>
  <c r="D326" i="115"/>
  <c r="D356" i="115"/>
  <c r="C391" i="115"/>
  <c r="E440" i="115"/>
  <c r="E511" i="115"/>
  <c r="E566" i="115"/>
  <c r="E716" i="115"/>
  <c r="E722" i="115"/>
  <c r="E686" i="115"/>
  <c r="E650" i="115"/>
  <c r="E721" i="115"/>
  <c r="E685" i="115"/>
  <c r="E649" i="115"/>
  <c r="E719" i="115"/>
  <c r="E683" i="115"/>
  <c r="E647" i="115"/>
  <c r="E717" i="115"/>
  <c r="E681" i="115"/>
  <c r="E645" i="115"/>
  <c r="E712" i="115"/>
  <c r="E677" i="115"/>
  <c r="E640" i="115"/>
  <c r="E711" i="115"/>
  <c r="E676" i="115"/>
  <c r="E639" i="115"/>
  <c r="E674" i="115"/>
  <c r="E730" i="115"/>
  <c r="G659" i="115"/>
  <c r="F299" i="115"/>
  <c r="F305" i="115"/>
  <c r="F236" i="115"/>
  <c r="F282" i="115"/>
  <c r="F231" i="115"/>
  <c r="F281" i="115"/>
  <c r="F230" i="115"/>
  <c r="F280" i="115"/>
  <c r="C331" i="115"/>
  <c r="C359" i="115"/>
  <c r="D391" i="115"/>
  <c r="E441" i="115"/>
  <c r="E512" i="115"/>
  <c r="E567" i="115"/>
  <c r="F701" i="115"/>
  <c r="F720" i="115"/>
  <c r="F696" i="115"/>
  <c r="F693" i="115"/>
  <c r="F691" i="115"/>
  <c r="F690" i="115"/>
  <c r="F689" i="115"/>
  <c r="G660" i="115"/>
  <c r="D331" i="115"/>
  <c r="C392" i="115"/>
  <c r="E442" i="115"/>
  <c r="E513" i="115"/>
  <c r="E568" i="115"/>
  <c r="E634" i="115"/>
  <c r="E684" i="115"/>
  <c r="F648" i="115"/>
  <c r="G661" i="115"/>
  <c r="E635" i="115"/>
  <c r="E687" i="115"/>
  <c r="F652" i="115"/>
  <c r="G662" i="115"/>
  <c r="E255" i="115"/>
  <c r="E177" i="115"/>
  <c r="F303" i="115"/>
  <c r="E636" i="115"/>
  <c r="E688" i="115"/>
  <c r="F653" i="115"/>
  <c r="G691" i="115"/>
  <c r="E152" i="115"/>
  <c r="E444" i="115"/>
  <c r="E515" i="115"/>
  <c r="E570" i="115"/>
  <c r="E178" i="115"/>
  <c r="F197" i="115"/>
  <c r="C247" i="115"/>
  <c r="F232" i="115"/>
  <c r="F304" i="115"/>
  <c r="G248" i="115"/>
  <c r="G293" i="115"/>
  <c r="C333" i="115"/>
  <c r="C367" i="115"/>
  <c r="D393" i="115"/>
  <c r="E340" i="115"/>
  <c r="E390" i="115"/>
  <c r="F339" i="115"/>
  <c r="F386" i="115"/>
  <c r="G332" i="115"/>
  <c r="G381" i="115"/>
  <c r="E445" i="115"/>
  <c r="E518" i="115"/>
  <c r="F468" i="115"/>
  <c r="E571" i="115"/>
  <c r="F588" i="115"/>
  <c r="E637" i="115"/>
  <c r="E693" i="115"/>
  <c r="F654" i="115"/>
  <c r="G695" i="115"/>
  <c r="D305" i="115"/>
  <c r="D303" i="115"/>
  <c r="C267" i="115"/>
  <c r="C241" i="115"/>
  <c r="C301" i="115"/>
  <c r="D264" i="115"/>
  <c r="C229" i="115"/>
  <c r="D300" i="115"/>
  <c r="D259" i="115"/>
  <c r="D228" i="115"/>
  <c r="C257" i="115"/>
  <c r="D295" i="115"/>
  <c r="F233" i="115"/>
  <c r="F306" i="115"/>
  <c r="D333" i="115"/>
  <c r="D367" i="115"/>
  <c r="C394" i="115"/>
  <c r="E446" i="115"/>
  <c r="F504" i="115"/>
  <c r="F513" i="115"/>
  <c r="F469" i="115"/>
  <c r="F435" i="115"/>
  <c r="F508" i="115"/>
  <c r="F464" i="115"/>
  <c r="F507" i="115"/>
  <c r="F463" i="115"/>
  <c r="F470" i="115"/>
  <c r="F517" i="115"/>
  <c r="E585" i="115"/>
  <c r="F590" i="115"/>
  <c r="E638" i="115"/>
  <c r="E694" i="115"/>
  <c r="F655" i="115"/>
  <c r="G696" i="115"/>
  <c r="C657" i="115"/>
  <c r="C704" i="115"/>
  <c r="C658" i="115"/>
  <c r="D704" i="115"/>
  <c r="D658" i="115"/>
  <c r="C705" i="115"/>
  <c r="C670" i="115"/>
  <c r="D706" i="115"/>
  <c r="C671" i="115"/>
  <c r="D708" i="115"/>
  <c r="C635" i="115"/>
  <c r="D672" i="115"/>
  <c r="C709" i="115"/>
  <c r="G663" i="115"/>
  <c r="G699" i="115"/>
  <c r="G664" i="115"/>
  <c r="G700" i="115"/>
  <c r="G666" i="115"/>
  <c r="G730" i="115"/>
  <c r="G706" i="115"/>
  <c r="G682" i="115"/>
  <c r="G658" i="115"/>
  <c r="G634" i="115"/>
  <c r="G729" i="115"/>
  <c r="G705" i="115"/>
  <c r="G681" i="115"/>
  <c r="G657" i="115"/>
  <c r="G633" i="115"/>
  <c r="G728" i="115"/>
  <c r="G704" i="115"/>
  <c r="G680" i="115"/>
  <c r="G656" i="115"/>
  <c r="G632" i="115"/>
  <c r="G727" i="115"/>
  <c r="G703" i="115"/>
  <c r="G679" i="115"/>
  <c r="G655" i="115"/>
  <c r="G631" i="115"/>
  <c r="G726" i="115"/>
  <c r="G718" i="115"/>
  <c r="G694" i="115"/>
  <c r="G670" i="115"/>
  <c r="G646" i="115"/>
  <c r="G717" i="115"/>
  <c r="G693" i="115"/>
  <c r="G669" i="115"/>
  <c r="G645" i="115"/>
  <c r="G716" i="115"/>
  <c r="G692" i="115"/>
  <c r="G668" i="115"/>
  <c r="G644" i="115"/>
  <c r="G713" i="115"/>
  <c r="G689" i="115"/>
  <c r="G665" i="115"/>
  <c r="G641" i="115"/>
  <c r="G667" i="115"/>
  <c r="G702" i="115"/>
  <c r="F664" i="115"/>
  <c r="F700" i="115"/>
  <c r="G635" i="115"/>
  <c r="G671" i="115"/>
  <c r="G707" i="115"/>
  <c r="F665" i="115"/>
  <c r="G636" i="115"/>
  <c r="G672" i="115"/>
  <c r="G708" i="115"/>
  <c r="F711" i="115"/>
  <c r="F687" i="115"/>
  <c r="F663" i="115"/>
  <c r="F639" i="115"/>
  <c r="F710" i="115"/>
  <c r="F686" i="115"/>
  <c r="F662" i="115"/>
  <c r="F638" i="115"/>
  <c r="F709" i="115"/>
  <c r="F685" i="115"/>
  <c r="F661" i="115"/>
  <c r="F637" i="115"/>
  <c r="F708" i="115"/>
  <c r="F684" i="115"/>
  <c r="F660" i="115"/>
  <c r="F636" i="115"/>
  <c r="F723" i="115"/>
  <c r="F699" i="115"/>
  <c r="F675" i="115"/>
  <c r="F651" i="115"/>
  <c r="F722" i="115"/>
  <c r="F698" i="115"/>
  <c r="F674" i="115"/>
  <c r="F650" i="115"/>
  <c r="F721" i="115"/>
  <c r="F697" i="115"/>
  <c r="F673" i="115"/>
  <c r="F649" i="115"/>
  <c r="F718" i="115"/>
  <c r="F694" i="115"/>
  <c r="F670" i="115"/>
  <c r="F646" i="115"/>
  <c r="F666" i="115"/>
  <c r="F702" i="115"/>
  <c r="G637" i="115"/>
  <c r="G673" i="115"/>
  <c r="G709" i="115"/>
  <c r="D709" i="115"/>
  <c r="D675" i="115"/>
  <c r="D643" i="115"/>
  <c r="D710" i="115"/>
  <c r="C644" i="115"/>
  <c r="C661" i="115"/>
  <c r="D678" i="115"/>
  <c r="D694" i="115"/>
  <c r="C711" i="115"/>
  <c r="D728" i="115"/>
  <c r="F631" i="115"/>
  <c r="F667" i="115"/>
  <c r="F703" i="115"/>
  <c r="G638" i="115"/>
  <c r="G674" i="115"/>
  <c r="G710" i="115"/>
  <c r="C659" i="115"/>
  <c r="C694" i="115"/>
  <c r="D644" i="115"/>
  <c r="D661" i="115"/>
  <c r="C679" i="115"/>
  <c r="C695" i="115"/>
  <c r="D711" i="115"/>
  <c r="C729" i="115"/>
  <c r="F632" i="115"/>
  <c r="F668" i="115"/>
  <c r="F704" i="115"/>
  <c r="G639" i="115"/>
  <c r="G675" i="115"/>
  <c r="G711" i="115"/>
  <c r="C728" i="115"/>
  <c r="C645" i="115"/>
  <c r="C662" i="115"/>
  <c r="D679" i="115"/>
  <c r="D696" i="115"/>
  <c r="C712" i="115"/>
  <c r="C730" i="115"/>
  <c r="F633" i="115"/>
  <c r="F669" i="115"/>
  <c r="F705" i="115"/>
  <c r="G640" i="115"/>
  <c r="G676" i="115"/>
  <c r="G712" i="115"/>
  <c r="C727" i="115"/>
  <c r="C693" i="115"/>
  <c r="D660" i="115"/>
  <c r="C676" i="115"/>
  <c r="C646" i="115"/>
  <c r="D662" i="115"/>
  <c r="C680" i="115"/>
  <c r="C697" i="115"/>
  <c r="D714" i="115"/>
  <c r="F634" i="115"/>
  <c r="F671" i="115"/>
  <c r="F706" i="115"/>
  <c r="G642" i="115"/>
  <c r="G677" i="115"/>
  <c r="G714" i="115"/>
  <c r="C726" i="115"/>
  <c r="C714" i="115"/>
  <c r="C702" i="115"/>
  <c r="C690" i="115"/>
  <c r="C678" i="115"/>
  <c r="C666" i="115"/>
  <c r="C654" i="115"/>
  <c r="C642" i="115"/>
  <c r="D725" i="115"/>
  <c r="D713" i="115"/>
  <c r="D701" i="115"/>
  <c r="D689" i="115"/>
  <c r="D677" i="115"/>
  <c r="D665" i="115"/>
  <c r="D653" i="115"/>
  <c r="D641" i="115"/>
  <c r="C725" i="115"/>
  <c r="C713" i="115"/>
  <c r="C701" i="115"/>
  <c r="C689" i="115"/>
  <c r="C677" i="115"/>
  <c r="C665" i="115"/>
  <c r="C653" i="115"/>
  <c r="C641" i="115"/>
  <c r="D724" i="115"/>
  <c r="D712" i="115"/>
  <c r="D700" i="115"/>
  <c r="D688" i="115"/>
  <c r="D676" i="115"/>
  <c r="D664" i="115"/>
  <c r="D652" i="115"/>
  <c r="D640" i="115"/>
  <c r="C720" i="115"/>
  <c r="C708" i="115"/>
  <c r="C696" i="115"/>
  <c r="C684" i="115"/>
  <c r="C672" i="115"/>
  <c r="C660" i="115"/>
  <c r="C648" i="115"/>
  <c r="C636" i="115"/>
  <c r="D719" i="115"/>
  <c r="D707" i="115"/>
  <c r="D695" i="115"/>
  <c r="D683" i="115"/>
  <c r="D671" i="115"/>
  <c r="D659" i="115"/>
  <c r="D647" i="115"/>
  <c r="D635" i="115"/>
  <c r="D729" i="115"/>
  <c r="D717" i="115"/>
  <c r="D705" i="115"/>
  <c r="D693" i="115"/>
  <c r="D681" i="115"/>
  <c r="D669" i="115"/>
  <c r="D657" i="115"/>
  <c r="D645" i="115"/>
  <c r="D633" i="115"/>
  <c r="D646" i="115"/>
  <c r="C663" i="115"/>
  <c r="D680" i="115"/>
  <c r="D697" i="115"/>
  <c r="F635" i="115"/>
  <c r="F672" i="115"/>
  <c r="F707" i="115"/>
  <c r="G643" i="115"/>
  <c r="G678" i="115"/>
  <c r="G715" i="115"/>
  <c r="D727" i="115"/>
  <c r="F640" i="115"/>
  <c r="F676" i="115"/>
  <c r="F712" i="115"/>
  <c r="G647" i="115"/>
  <c r="G683" i="115"/>
  <c r="G719" i="115"/>
  <c r="C715" i="115"/>
  <c r="C631" i="115"/>
  <c r="C647" i="115"/>
  <c r="D663" i="115"/>
  <c r="C681" i="115"/>
  <c r="C698" i="115"/>
  <c r="D715" i="115"/>
  <c r="D631" i="115"/>
  <c r="D648" i="115"/>
  <c r="C664" i="115"/>
  <c r="C682" i="115"/>
  <c r="D698" i="115"/>
  <c r="C716" i="115"/>
  <c r="F641" i="115"/>
  <c r="F677" i="115"/>
  <c r="F713" i="115"/>
  <c r="G648" i="115"/>
  <c r="G684" i="115"/>
  <c r="G720" i="115"/>
  <c r="C710" i="115"/>
  <c r="C632" i="115"/>
  <c r="C649" i="115"/>
  <c r="D666" i="115"/>
  <c r="D682" i="115"/>
  <c r="C699" i="115"/>
  <c r="D716" i="115"/>
  <c r="F642" i="115"/>
  <c r="F678" i="115"/>
  <c r="F714" i="115"/>
  <c r="G649" i="115"/>
  <c r="G685" i="115"/>
  <c r="G721" i="115"/>
  <c r="D632" i="115"/>
  <c r="D649" i="115"/>
  <c r="C667" i="115"/>
  <c r="C683" i="115"/>
  <c r="D699" i="115"/>
  <c r="C717" i="115"/>
  <c r="F643" i="115"/>
  <c r="F679" i="115"/>
  <c r="F715" i="115"/>
  <c r="G650" i="115"/>
  <c r="G686" i="115"/>
  <c r="G722" i="115"/>
  <c r="C633" i="115"/>
  <c r="C650" i="115"/>
  <c r="D667" i="115"/>
  <c r="D684" i="115"/>
  <c r="C700" i="115"/>
  <c r="C718" i="115"/>
  <c r="F644" i="115"/>
  <c r="F680" i="115"/>
  <c r="F716" i="115"/>
  <c r="G651" i="115"/>
  <c r="G687" i="115"/>
  <c r="G723" i="115"/>
  <c r="C634" i="115"/>
  <c r="D650" i="115"/>
  <c r="C668" i="115"/>
  <c r="C685" i="115"/>
  <c r="D702" i="115"/>
  <c r="D718" i="115"/>
  <c r="F645" i="115"/>
  <c r="F681" i="115"/>
  <c r="F717" i="115"/>
  <c r="G652" i="115"/>
  <c r="G688" i="115"/>
  <c r="G724" i="115"/>
  <c r="C643" i="115"/>
  <c r="D634" i="115"/>
  <c r="C651" i="115"/>
  <c r="D668" i="115"/>
  <c r="D685" i="115"/>
  <c r="C703" i="115"/>
  <c r="C719" i="115"/>
  <c r="F647" i="115"/>
  <c r="F682" i="115"/>
  <c r="F719" i="115"/>
  <c r="G653" i="115"/>
  <c r="G690" i="115"/>
  <c r="G725" i="115"/>
  <c r="E651" i="115"/>
  <c r="E675" i="115"/>
  <c r="E699" i="115"/>
  <c r="E723" i="115"/>
  <c r="E654" i="115"/>
  <c r="E678" i="115"/>
  <c r="E702" i="115"/>
  <c r="E726" i="115"/>
  <c r="E631" i="115"/>
  <c r="E655" i="115"/>
  <c r="E679" i="115"/>
  <c r="E703" i="115"/>
  <c r="E727" i="115"/>
  <c r="E632" i="115"/>
  <c r="E656" i="115"/>
  <c r="E680" i="115"/>
  <c r="E704" i="115"/>
  <c r="E728" i="115"/>
  <c r="E641" i="115"/>
  <c r="E665" i="115"/>
  <c r="E689" i="115"/>
  <c r="E713" i="115"/>
  <c r="E642" i="115"/>
  <c r="E666" i="115"/>
  <c r="E690" i="115"/>
  <c r="E714" i="115"/>
  <c r="E643" i="115"/>
  <c r="E667" i="115"/>
  <c r="E691" i="115"/>
  <c r="E715" i="115"/>
  <c r="E644" i="115"/>
  <c r="E668" i="115"/>
  <c r="E692" i="115"/>
  <c r="G605" i="115"/>
  <c r="G559" i="115"/>
  <c r="G583" i="115"/>
  <c r="G607" i="115"/>
  <c r="D529" i="115"/>
  <c r="D553" i="115"/>
  <c r="D565" i="115"/>
  <c r="D601" i="115"/>
  <c r="C529" i="115"/>
  <c r="C601" i="115"/>
  <c r="G561" i="115"/>
  <c r="G585" i="115"/>
  <c r="G609" i="115"/>
  <c r="D541" i="115"/>
  <c r="D589" i="115"/>
  <c r="C530" i="115"/>
  <c r="C542" i="115"/>
  <c r="C566" i="115"/>
  <c r="C578" i="115"/>
  <c r="C602" i="115"/>
  <c r="C614" i="115"/>
  <c r="D530" i="115"/>
  <c r="D566" i="115"/>
  <c r="D578" i="115"/>
  <c r="D614" i="115"/>
  <c r="D626" i="115"/>
  <c r="E548" i="115"/>
  <c r="E572" i="115"/>
  <c r="E596" i="115"/>
  <c r="E620" i="115"/>
  <c r="F543" i="115"/>
  <c r="F567" i="115"/>
  <c r="F591" i="115"/>
  <c r="F615" i="115"/>
  <c r="G538" i="115"/>
  <c r="G562" i="115"/>
  <c r="G586" i="115"/>
  <c r="G610" i="115"/>
  <c r="C600" i="115"/>
  <c r="D554" i="115"/>
  <c r="C543" i="115"/>
  <c r="C579" i="115"/>
  <c r="C603" i="115"/>
  <c r="C627" i="115"/>
  <c r="E573" i="115"/>
  <c r="E621" i="115"/>
  <c r="F544" i="115"/>
  <c r="F568" i="115"/>
  <c r="F592" i="115"/>
  <c r="G611" i="115"/>
  <c r="D531" i="115"/>
  <c r="D543" i="115"/>
  <c r="D555" i="115"/>
  <c r="D567" i="115"/>
  <c r="D579" i="115"/>
  <c r="D591" i="115"/>
  <c r="D603" i="115"/>
  <c r="D615" i="115"/>
  <c r="D627" i="115"/>
  <c r="E550" i="115"/>
  <c r="E574" i="115"/>
  <c r="E598" i="115"/>
  <c r="E622" i="115"/>
  <c r="F545" i="115"/>
  <c r="F569" i="115"/>
  <c r="F593" i="115"/>
  <c r="F617" i="115"/>
  <c r="G540" i="115"/>
  <c r="G564" i="115"/>
  <c r="G588" i="115"/>
  <c r="G612" i="115"/>
  <c r="C540" i="115"/>
  <c r="C564" i="115"/>
  <c r="C612" i="115"/>
  <c r="D600" i="115"/>
  <c r="D563" i="115"/>
  <c r="D611" i="115"/>
  <c r="C554" i="115"/>
  <c r="C590" i="115"/>
  <c r="C626" i="115"/>
  <c r="E597" i="115"/>
  <c r="C592" i="115"/>
  <c r="D568" i="115"/>
  <c r="C541" i="115"/>
  <c r="C625" i="115"/>
  <c r="F616" i="115"/>
  <c r="G565" i="115"/>
  <c r="C617" i="115"/>
  <c r="C553" i="115"/>
  <c r="D590" i="115"/>
  <c r="C531" i="115"/>
  <c r="C555" i="115"/>
  <c r="C615" i="115"/>
  <c r="G587" i="115"/>
  <c r="C532" i="115"/>
  <c r="C544" i="115"/>
  <c r="C556" i="115"/>
  <c r="C568" i="115"/>
  <c r="C580" i="115"/>
  <c r="C604" i="115"/>
  <c r="C616" i="115"/>
  <c r="E551" i="115"/>
  <c r="E599" i="115"/>
  <c r="F594" i="115"/>
  <c r="G613" i="115"/>
  <c r="D544" i="115"/>
  <c r="D592" i="115"/>
  <c r="D616" i="115"/>
  <c r="E552" i="115"/>
  <c r="E600" i="115"/>
  <c r="F571" i="115"/>
  <c r="G614" i="115"/>
  <c r="C533" i="115"/>
  <c r="C545" i="115"/>
  <c r="C557" i="115"/>
  <c r="C569" i="115"/>
  <c r="C581" i="115"/>
  <c r="C593" i="115"/>
  <c r="C605" i="115"/>
  <c r="E529" i="115"/>
  <c r="E577" i="115"/>
  <c r="E601" i="115"/>
  <c r="E625" i="115"/>
  <c r="F548" i="115"/>
  <c r="F572" i="115"/>
  <c r="F596" i="115"/>
  <c r="F620" i="115"/>
  <c r="G543" i="115"/>
  <c r="G567" i="115"/>
  <c r="G591" i="115"/>
  <c r="G615" i="115"/>
  <c r="D533" i="115"/>
  <c r="D545" i="115"/>
  <c r="D557" i="115"/>
  <c r="D569" i="115"/>
  <c r="D581" i="115"/>
  <c r="D593" i="115"/>
  <c r="D605" i="115"/>
  <c r="D617" i="115"/>
  <c r="E530" i="115"/>
  <c r="E554" i="115"/>
  <c r="E578" i="115"/>
  <c r="E602" i="115"/>
  <c r="E626" i="115"/>
  <c r="F549" i="115"/>
  <c r="F573" i="115"/>
  <c r="F597" i="115"/>
  <c r="F621" i="115"/>
  <c r="G544" i="115"/>
  <c r="G568" i="115"/>
  <c r="G592" i="115"/>
  <c r="G616" i="115"/>
  <c r="D542" i="115"/>
  <c r="C567" i="115"/>
  <c r="G539" i="115"/>
  <c r="F618" i="115"/>
  <c r="F619" i="115"/>
  <c r="E553" i="115"/>
  <c r="C534" i="115"/>
  <c r="C546" i="115"/>
  <c r="C558" i="115"/>
  <c r="C570" i="115"/>
  <c r="C582" i="115"/>
  <c r="C594" i="115"/>
  <c r="C606" i="115"/>
  <c r="C618" i="115"/>
  <c r="E531" i="115"/>
  <c r="E555" i="115"/>
  <c r="E579" i="115"/>
  <c r="E603" i="115"/>
  <c r="E627" i="115"/>
  <c r="F550" i="115"/>
  <c r="F574" i="115"/>
  <c r="F598" i="115"/>
  <c r="F622" i="115"/>
  <c r="G545" i="115"/>
  <c r="G569" i="115"/>
  <c r="G593" i="115"/>
  <c r="G617" i="115"/>
  <c r="D551" i="115"/>
  <c r="D587" i="115"/>
  <c r="D623" i="115"/>
  <c r="C576" i="115"/>
  <c r="D602" i="115"/>
  <c r="C591" i="115"/>
  <c r="G563" i="115"/>
  <c r="G541" i="115"/>
  <c r="D532" i="115"/>
  <c r="G566" i="115"/>
  <c r="E533" i="115"/>
  <c r="F528" i="115"/>
  <c r="F576" i="115"/>
  <c r="F600" i="115"/>
  <c r="F624" i="115"/>
  <c r="G547" i="115"/>
  <c r="C565" i="115"/>
  <c r="D625" i="115"/>
  <c r="E549" i="115"/>
  <c r="F546" i="115"/>
  <c r="G542" i="115"/>
  <c r="D534" i="115"/>
  <c r="G570" i="115"/>
  <c r="C583" i="115"/>
  <c r="G619" i="115"/>
  <c r="D535" i="115"/>
  <c r="D547" i="115"/>
  <c r="D559" i="115"/>
  <c r="D571" i="115"/>
  <c r="D583" i="115"/>
  <c r="D595" i="115"/>
  <c r="D607" i="115"/>
  <c r="D619" i="115"/>
  <c r="E534" i="115"/>
  <c r="E558" i="115"/>
  <c r="E582" i="115"/>
  <c r="E606" i="115"/>
  <c r="F529" i="115"/>
  <c r="F553" i="115"/>
  <c r="F577" i="115"/>
  <c r="F601" i="115"/>
  <c r="F625" i="115"/>
  <c r="G548" i="115"/>
  <c r="G572" i="115"/>
  <c r="G596" i="115"/>
  <c r="G620" i="115"/>
  <c r="C613" i="115"/>
  <c r="F551" i="115"/>
  <c r="F599" i="115"/>
  <c r="F623" i="115"/>
  <c r="G594" i="115"/>
  <c r="C535" i="115"/>
  <c r="C547" i="115"/>
  <c r="C571" i="115"/>
  <c r="C595" i="115"/>
  <c r="C619" i="115"/>
  <c r="E557" i="115"/>
  <c r="E581" i="115"/>
  <c r="F552" i="115"/>
  <c r="G595" i="115"/>
  <c r="C536" i="115"/>
  <c r="C548" i="115"/>
  <c r="C560" i="115"/>
  <c r="C572" i="115"/>
  <c r="C584" i="115"/>
  <c r="C596" i="115"/>
  <c r="C608" i="115"/>
  <c r="C620" i="115"/>
  <c r="E535" i="115"/>
  <c r="E559" i="115"/>
  <c r="E583" i="115"/>
  <c r="E607" i="115"/>
  <c r="F530" i="115"/>
  <c r="F554" i="115"/>
  <c r="F578" i="115"/>
  <c r="F602" i="115"/>
  <c r="F626" i="115"/>
  <c r="G549" i="115"/>
  <c r="G573" i="115"/>
  <c r="G597" i="115"/>
  <c r="G621" i="115"/>
  <c r="C577" i="115"/>
  <c r="E575" i="115"/>
  <c r="E623" i="115"/>
  <c r="F570" i="115"/>
  <c r="G589" i="115"/>
  <c r="D556" i="115"/>
  <c r="D580" i="115"/>
  <c r="D604" i="115"/>
  <c r="E528" i="115"/>
  <c r="E576" i="115"/>
  <c r="E624" i="115"/>
  <c r="F547" i="115"/>
  <c r="F595" i="115"/>
  <c r="G590" i="115"/>
  <c r="D546" i="115"/>
  <c r="D558" i="115"/>
  <c r="D570" i="115"/>
  <c r="D582" i="115"/>
  <c r="D594" i="115"/>
  <c r="D606" i="115"/>
  <c r="D618" i="115"/>
  <c r="E532" i="115"/>
  <c r="E556" i="115"/>
  <c r="E580" i="115"/>
  <c r="E604" i="115"/>
  <c r="F575" i="115"/>
  <c r="G546" i="115"/>
  <c r="G618" i="115"/>
  <c r="C559" i="115"/>
  <c r="C607" i="115"/>
  <c r="E605" i="115"/>
  <c r="G571" i="115"/>
  <c r="D536" i="115"/>
  <c r="D548" i="115"/>
  <c r="D560" i="115"/>
  <c r="D572" i="115"/>
  <c r="D584" i="115"/>
  <c r="D596" i="115"/>
  <c r="D608" i="115"/>
  <c r="D620" i="115"/>
  <c r="E536" i="115"/>
  <c r="E560" i="115"/>
  <c r="E584" i="115"/>
  <c r="E608" i="115"/>
  <c r="F531" i="115"/>
  <c r="F555" i="115"/>
  <c r="F579" i="115"/>
  <c r="F603" i="115"/>
  <c r="F627" i="115"/>
  <c r="G550" i="115"/>
  <c r="G574" i="115"/>
  <c r="G598" i="115"/>
  <c r="G622" i="115"/>
  <c r="D528" i="115"/>
  <c r="D540" i="115"/>
  <c r="D552" i="115"/>
  <c r="D564" i="115"/>
  <c r="D576" i="115"/>
  <c r="D588" i="115"/>
  <c r="D612" i="115"/>
  <c r="D624" i="115"/>
  <c r="C528" i="115"/>
  <c r="C588" i="115"/>
  <c r="D613" i="115"/>
  <c r="C537" i="115"/>
  <c r="C549" i="115"/>
  <c r="C561" i="115"/>
  <c r="C573" i="115"/>
  <c r="C585" i="115"/>
  <c r="C597" i="115"/>
  <c r="C609" i="115"/>
  <c r="C621" i="115"/>
  <c r="G551" i="115"/>
  <c r="G575" i="115"/>
  <c r="G599" i="115"/>
  <c r="G623" i="115"/>
  <c r="D537" i="115"/>
  <c r="D549" i="115"/>
  <c r="D561" i="115"/>
  <c r="D573" i="115"/>
  <c r="D585" i="115"/>
  <c r="D597" i="115"/>
  <c r="D609" i="115"/>
  <c r="D621" i="115"/>
  <c r="E538" i="115"/>
  <c r="E562" i="115"/>
  <c r="E586" i="115"/>
  <c r="E610" i="115"/>
  <c r="F533" i="115"/>
  <c r="F557" i="115"/>
  <c r="F581" i="115"/>
  <c r="F605" i="115"/>
  <c r="G528" i="115"/>
  <c r="G552" i="115"/>
  <c r="G576" i="115"/>
  <c r="G600" i="115"/>
  <c r="G624" i="115"/>
  <c r="C538" i="115"/>
  <c r="C550" i="115"/>
  <c r="C562" i="115"/>
  <c r="C574" i="115"/>
  <c r="C586" i="115"/>
  <c r="C598" i="115"/>
  <c r="C610" i="115"/>
  <c r="C622" i="115"/>
  <c r="E539" i="115"/>
  <c r="E563" i="115"/>
  <c r="E587" i="115"/>
  <c r="E611" i="115"/>
  <c r="F534" i="115"/>
  <c r="F558" i="115"/>
  <c r="F582" i="115"/>
  <c r="F606" i="115"/>
  <c r="G529" i="115"/>
  <c r="G553" i="115"/>
  <c r="G577" i="115"/>
  <c r="G601" i="115"/>
  <c r="G625" i="115"/>
  <c r="C552" i="115"/>
  <c r="C624" i="115"/>
  <c r="D539" i="115"/>
  <c r="D575" i="115"/>
  <c r="D599" i="115"/>
  <c r="C589" i="115"/>
  <c r="D577" i="115"/>
  <c r="F556" i="115"/>
  <c r="F580" i="115"/>
  <c r="F604" i="115"/>
  <c r="D538" i="115"/>
  <c r="D550" i="115"/>
  <c r="D562" i="115"/>
  <c r="D574" i="115"/>
  <c r="D586" i="115"/>
  <c r="D598" i="115"/>
  <c r="D610" i="115"/>
  <c r="D622" i="115"/>
  <c r="E540" i="115"/>
  <c r="E564" i="115"/>
  <c r="E588" i="115"/>
  <c r="E612" i="115"/>
  <c r="F535" i="115"/>
  <c r="F559" i="115"/>
  <c r="F583" i="115"/>
  <c r="F607" i="115"/>
  <c r="G530" i="115"/>
  <c r="G554" i="115"/>
  <c r="G578" i="115"/>
  <c r="G602" i="115"/>
  <c r="G626" i="115"/>
  <c r="C539" i="115"/>
  <c r="C551" i="115"/>
  <c r="C563" i="115"/>
  <c r="C575" i="115"/>
  <c r="C587" i="115"/>
  <c r="C599" i="115"/>
  <c r="C611" i="115"/>
  <c r="E541" i="115"/>
  <c r="E565" i="115"/>
  <c r="E589" i="115"/>
  <c r="F536" i="115"/>
  <c r="F560" i="115"/>
  <c r="F584" i="115"/>
  <c r="G531" i="115"/>
  <c r="G555" i="115"/>
  <c r="G579" i="115"/>
  <c r="G603" i="115"/>
  <c r="C484" i="115"/>
  <c r="C448" i="115"/>
  <c r="C496" i="115"/>
  <c r="D425" i="115"/>
  <c r="D461" i="115"/>
  <c r="D509" i="115"/>
  <c r="C485" i="115"/>
  <c r="C462" i="115"/>
  <c r="D438" i="115"/>
  <c r="C509" i="115"/>
  <c r="D437" i="115"/>
  <c r="D449" i="115"/>
  <c r="D473" i="115"/>
  <c r="D497" i="115"/>
  <c r="C497" i="115"/>
  <c r="C486" i="115"/>
  <c r="D462" i="115"/>
  <c r="C452" i="115"/>
  <c r="C488" i="115"/>
  <c r="C512" i="115"/>
  <c r="D428" i="115"/>
  <c r="D440" i="115"/>
  <c r="D464" i="115"/>
  <c r="D488" i="115"/>
  <c r="D512" i="115"/>
  <c r="E471" i="115"/>
  <c r="D427" i="115"/>
  <c r="D463" i="115"/>
  <c r="D487" i="115"/>
  <c r="D523" i="115"/>
  <c r="C476" i="115"/>
  <c r="E448" i="115"/>
  <c r="E496" i="115"/>
  <c r="C520" i="115"/>
  <c r="D484" i="115"/>
  <c r="E497" i="115"/>
  <c r="C430" i="115"/>
  <c r="C442" i="115"/>
  <c r="C454" i="115"/>
  <c r="C466" i="115"/>
  <c r="C478" i="115"/>
  <c r="C502" i="115"/>
  <c r="C514" i="115"/>
  <c r="E426" i="115"/>
  <c r="E474" i="115"/>
  <c r="E498" i="115"/>
  <c r="E522" i="115"/>
  <c r="C449" i="115"/>
  <c r="C450" i="115"/>
  <c r="D450" i="115"/>
  <c r="C428" i="115"/>
  <c r="C464" i="115"/>
  <c r="C500" i="115"/>
  <c r="D476" i="115"/>
  <c r="E519" i="115"/>
  <c r="C490" i="115"/>
  <c r="C473" i="115"/>
  <c r="C426" i="115"/>
  <c r="D439" i="115"/>
  <c r="D451" i="115"/>
  <c r="D475" i="115"/>
  <c r="D511" i="115"/>
  <c r="C465" i="115"/>
  <c r="E450" i="115"/>
  <c r="G514" i="115"/>
  <c r="D436" i="115"/>
  <c r="D508" i="115"/>
  <c r="C521" i="115"/>
  <c r="C522" i="115"/>
  <c r="D522" i="115"/>
  <c r="C487" i="115"/>
  <c r="E425" i="115"/>
  <c r="D430" i="115"/>
  <c r="D466" i="115"/>
  <c r="D502" i="115"/>
  <c r="E451" i="115"/>
  <c r="E523" i="115"/>
  <c r="F495" i="115"/>
  <c r="D448" i="115"/>
  <c r="D460" i="115"/>
  <c r="D472" i="115"/>
  <c r="D496" i="115"/>
  <c r="D520" i="115"/>
  <c r="C437" i="115"/>
  <c r="D499" i="115"/>
  <c r="D429" i="115"/>
  <c r="D453" i="115"/>
  <c r="D489" i="115"/>
  <c r="D501" i="115"/>
  <c r="D513" i="115"/>
  <c r="E521" i="115"/>
  <c r="D454" i="115"/>
  <c r="D490" i="115"/>
  <c r="E427" i="115"/>
  <c r="E475" i="115"/>
  <c r="E499" i="115"/>
  <c r="C431" i="115"/>
  <c r="C443" i="115"/>
  <c r="C455" i="115"/>
  <c r="C467" i="115"/>
  <c r="C479" i="115"/>
  <c r="C491" i="115"/>
  <c r="C503" i="115"/>
  <c r="C515" i="115"/>
  <c r="E428" i="115"/>
  <c r="E452" i="115"/>
  <c r="E476" i="115"/>
  <c r="E500" i="115"/>
  <c r="E524" i="115"/>
  <c r="F447" i="115"/>
  <c r="F471" i="115"/>
  <c r="F519" i="115"/>
  <c r="C460" i="115"/>
  <c r="C472" i="115"/>
  <c r="C508" i="115"/>
  <c r="D521" i="115"/>
  <c r="C441" i="115"/>
  <c r="E472" i="115"/>
  <c r="D442" i="115"/>
  <c r="D514" i="115"/>
  <c r="G468" i="115"/>
  <c r="D432" i="115"/>
  <c r="D444" i="115"/>
  <c r="D456" i="115"/>
  <c r="D468" i="115"/>
  <c r="D480" i="115"/>
  <c r="D492" i="115"/>
  <c r="D504" i="115"/>
  <c r="D516" i="115"/>
  <c r="E431" i="115"/>
  <c r="E455" i="115"/>
  <c r="E479" i="115"/>
  <c r="E503" i="115"/>
  <c r="F426" i="115"/>
  <c r="F450" i="115"/>
  <c r="F474" i="115"/>
  <c r="F498" i="115"/>
  <c r="F522" i="115"/>
  <c r="G445" i="115"/>
  <c r="G469" i="115"/>
  <c r="G493" i="115"/>
  <c r="G517" i="115"/>
  <c r="C425" i="115"/>
  <c r="D485" i="115"/>
  <c r="C427" i="115"/>
  <c r="C439" i="115"/>
  <c r="C463" i="115"/>
  <c r="C475" i="115"/>
  <c r="C523" i="115"/>
  <c r="D524" i="115"/>
  <c r="D465" i="115"/>
  <c r="E473" i="115"/>
  <c r="F448" i="115"/>
  <c r="F472" i="115"/>
  <c r="F496" i="115"/>
  <c r="F520" i="115"/>
  <c r="G515" i="115"/>
  <c r="C432" i="115"/>
  <c r="C444" i="115"/>
  <c r="C456" i="115"/>
  <c r="C468" i="115"/>
  <c r="C480" i="115"/>
  <c r="C492" i="115"/>
  <c r="C504" i="115"/>
  <c r="C516" i="115"/>
  <c r="E430" i="115"/>
  <c r="E454" i="115"/>
  <c r="E478" i="115"/>
  <c r="E502" i="115"/>
  <c r="F425" i="115"/>
  <c r="F449" i="115"/>
  <c r="F473" i="115"/>
  <c r="F497" i="115"/>
  <c r="F521" i="115"/>
  <c r="G444" i="115"/>
  <c r="G516" i="115"/>
  <c r="C433" i="115"/>
  <c r="C445" i="115"/>
  <c r="C457" i="115"/>
  <c r="C469" i="115"/>
  <c r="C481" i="115"/>
  <c r="C493" i="115"/>
  <c r="C505" i="115"/>
  <c r="C517" i="115"/>
  <c r="E432" i="115"/>
  <c r="E456" i="115"/>
  <c r="E480" i="115"/>
  <c r="E504" i="115"/>
  <c r="F427" i="115"/>
  <c r="F451" i="115"/>
  <c r="F475" i="115"/>
  <c r="F499" i="115"/>
  <c r="F523" i="115"/>
  <c r="G446" i="115"/>
  <c r="G470" i="115"/>
  <c r="G494" i="115"/>
  <c r="G518" i="115"/>
  <c r="D426" i="115"/>
  <c r="D510" i="115"/>
  <c r="C499" i="115"/>
  <c r="E449" i="115"/>
  <c r="E477" i="115"/>
  <c r="G492" i="115"/>
  <c r="D433" i="115"/>
  <c r="D445" i="115"/>
  <c r="D457" i="115"/>
  <c r="D469" i="115"/>
  <c r="D481" i="115"/>
  <c r="D493" i="115"/>
  <c r="D505" i="115"/>
  <c r="D517" i="115"/>
  <c r="E433" i="115"/>
  <c r="E457" i="115"/>
  <c r="E481" i="115"/>
  <c r="E505" i="115"/>
  <c r="F428" i="115"/>
  <c r="F452" i="115"/>
  <c r="F476" i="115"/>
  <c r="F500" i="115"/>
  <c r="F524" i="115"/>
  <c r="G447" i="115"/>
  <c r="G471" i="115"/>
  <c r="G495" i="115"/>
  <c r="G519" i="115"/>
  <c r="C461" i="115"/>
  <c r="C438" i="115"/>
  <c r="D474" i="115"/>
  <c r="C511" i="115"/>
  <c r="D441" i="115"/>
  <c r="D478" i="115"/>
  <c r="G448" i="115"/>
  <c r="G472" i="115"/>
  <c r="G496" i="115"/>
  <c r="G520" i="115"/>
  <c r="C498" i="115"/>
  <c r="D498" i="115"/>
  <c r="D477" i="115"/>
  <c r="D431" i="115"/>
  <c r="D443" i="115"/>
  <c r="D455" i="115"/>
  <c r="D467" i="115"/>
  <c r="D479" i="115"/>
  <c r="D491" i="115"/>
  <c r="D503" i="115"/>
  <c r="D515" i="115"/>
  <c r="E429" i="115"/>
  <c r="E453" i="115"/>
  <c r="E501" i="115"/>
  <c r="G491" i="115"/>
  <c r="C434" i="115"/>
  <c r="C446" i="115"/>
  <c r="C458" i="115"/>
  <c r="C470" i="115"/>
  <c r="C482" i="115"/>
  <c r="C494" i="115"/>
  <c r="C506" i="115"/>
  <c r="C518" i="115"/>
  <c r="E434" i="115"/>
  <c r="E458" i="115"/>
  <c r="E482" i="115"/>
  <c r="E506" i="115"/>
  <c r="F429" i="115"/>
  <c r="F453" i="115"/>
  <c r="F477" i="115"/>
  <c r="F501" i="115"/>
  <c r="D434" i="115"/>
  <c r="D446" i="115"/>
  <c r="D458" i="115"/>
  <c r="D470" i="115"/>
  <c r="D482" i="115"/>
  <c r="D494" i="115"/>
  <c r="D506" i="115"/>
  <c r="D518" i="115"/>
  <c r="E435" i="115"/>
  <c r="E459" i="115"/>
  <c r="E483" i="115"/>
  <c r="E507" i="115"/>
  <c r="F430" i="115"/>
  <c r="F454" i="115"/>
  <c r="F478" i="115"/>
  <c r="F502" i="115"/>
  <c r="G425" i="115"/>
  <c r="G449" i="115"/>
  <c r="G473" i="115"/>
  <c r="G497" i="115"/>
  <c r="G521" i="115"/>
  <c r="C510" i="115"/>
  <c r="D486" i="115"/>
  <c r="C451" i="115"/>
  <c r="C429" i="115"/>
  <c r="C453" i="115"/>
  <c r="C477" i="115"/>
  <c r="C489" i="115"/>
  <c r="C513" i="115"/>
  <c r="E520" i="115"/>
  <c r="C474" i="115"/>
  <c r="C440" i="115"/>
  <c r="C524" i="115"/>
  <c r="D452" i="115"/>
  <c r="D500" i="115"/>
  <c r="E495" i="115"/>
  <c r="C501" i="115"/>
  <c r="C435" i="115"/>
  <c r="C447" i="115"/>
  <c r="C459" i="115"/>
  <c r="C471" i="115"/>
  <c r="C483" i="115"/>
  <c r="C495" i="115"/>
  <c r="C507" i="115"/>
  <c r="C519" i="115"/>
  <c r="E436" i="115"/>
  <c r="E460" i="115"/>
  <c r="E484" i="115"/>
  <c r="E508" i="115"/>
  <c r="F431" i="115"/>
  <c r="F455" i="115"/>
  <c r="F479" i="115"/>
  <c r="F503" i="115"/>
  <c r="G426" i="115"/>
  <c r="G450" i="115"/>
  <c r="G474" i="115"/>
  <c r="G498" i="115"/>
  <c r="G522" i="115"/>
  <c r="D435" i="115"/>
  <c r="D447" i="115"/>
  <c r="D459" i="115"/>
  <c r="D471" i="115"/>
  <c r="D483" i="115"/>
  <c r="D495" i="115"/>
  <c r="D507" i="115"/>
  <c r="E437" i="115"/>
  <c r="E461" i="115"/>
  <c r="E485" i="115"/>
  <c r="F432" i="115"/>
  <c r="F456" i="115"/>
  <c r="F480" i="115"/>
  <c r="G427" i="115"/>
  <c r="G451" i="115"/>
  <c r="G475" i="115"/>
  <c r="G499" i="115"/>
  <c r="D414" i="115"/>
  <c r="D402" i="115"/>
  <c r="D390" i="115"/>
  <c r="D378" i="115"/>
  <c r="D366" i="115"/>
  <c r="D354" i="115"/>
  <c r="D342" i="115"/>
  <c r="D330" i="115"/>
  <c r="C414" i="115"/>
  <c r="C402" i="115"/>
  <c r="C390" i="115"/>
  <c r="C378" i="115"/>
  <c r="C366" i="115"/>
  <c r="C354" i="115"/>
  <c r="C342" i="115"/>
  <c r="C330" i="115"/>
  <c r="D413" i="115"/>
  <c r="D401" i="115"/>
  <c r="D389" i="115"/>
  <c r="D377" i="115"/>
  <c r="D365" i="115"/>
  <c r="D353" i="115"/>
  <c r="D341" i="115"/>
  <c r="D329" i="115"/>
  <c r="C413" i="115"/>
  <c r="C401" i="115"/>
  <c r="C389" i="115"/>
  <c r="C377" i="115"/>
  <c r="C365" i="115"/>
  <c r="C353" i="115"/>
  <c r="C341" i="115"/>
  <c r="C329" i="115"/>
  <c r="D412" i="115"/>
  <c r="D400" i="115"/>
  <c r="D388" i="115"/>
  <c r="D376" i="115"/>
  <c r="D364" i="115"/>
  <c r="D352" i="115"/>
  <c r="D340" i="115"/>
  <c r="D328" i="115"/>
  <c r="C412" i="115"/>
  <c r="C400" i="115"/>
  <c r="C388" i="115"/>
  <c r="C376" i="115"/>
  <c r="C364" i="115"/>
  <c r="C352" i="115"/>
  <c r="C340" i="115"/>
  <c r="C328" i="115"/>
  <c r="D410" i="115"/>
  <c r="D398" i="115"/>
  <c r="D411" i="115"/>
  <c r="D399" i="115"/>
  <c r="D387" i="115"/>
  <c r="D375" i="115"/>
  <c r="D363" i="115"/>
  <c r="D351" i="115"/>
  <c r="D339" i="115"/>
  <c r="D327" i="115"/>
  <c r="C411" i="115"/>
  <c r="C399" i="115"/>
  <c r="C387" i="115"/>
  <c r="C375" i="115"/>
  <c r="C363" i="115"/>
  <c r="C351" i="115"/>
  <c r="C339" i="115"/>
  <c r="C327" i="115"/>
  <c r="C410" i="115"/>
  <c r="C398" i="115"/>
  <c r="C386" i="115"/>
  <c r="C374" i="115"/>
  <c r="C362" i="115"/>
  <c r="C350" i="115"/>
  <c r="C338" i="115"/>
  <c r="C326" i="115"/>
  <c r="C336" i="115"/>
  <c r="C357" i="115"/>
  <c r="D373" i="115"/>
  <c r="D394" i="115"/>
  <c r="D416" i="115"/>
  <c r="C320" i="115"/>
  <c r="D336" i="115"/>
  <c r="D357" i="115"/>
  <c r="D374" i="115"/>
  <c r="C395" i="115"/>
  <c r="C417" i="115"/>
  <c r="E357" i="115"/>
  <c r="E391" i="115"/>
  <c r="D320" i="115"/>
  <c r="C337" i="115"/>
  <c r="C358" i="115"/>
  <c r="C379" i="115"/>
  <c r="D395" i="115"/>
  <c r="D417" i="115"/>
  <c r="C321" i="115"/>
  <c r="D337" i="115"/>
  <c r="D358" i="115"/>
  <c r="D379" i="115"/>
  <c r="C396" i="115"/>
  <c r="C418" i="115"/>
  <c r="E359" i="115"/>
  <c r="C380" i="115"/>
  <c r="D396" i="115"/>
  <c r="D418" i="115"/>
  <c r="C322" i="115"/>
  <c r="C343" i="115"/>
  <c r="D359" i="115"/>
  <c r="D380" i="115"/>
  <c r="C397" i="115"/>
  <c r="C419" i="115"/>
  <c r="D322" i="115"/>
  <c r="D343" i="115"/>
  <c r="C360" i="115"/>
  <c r="C381" i="115"/>
  <c r="D397" i="115"/>
  <c r="D419" i="115"/>
  <c r="C323" i="115"/>
  <c r="C344" i="115"/>
  <c r="D360" i="115"/>
  <c r="D381" i="115"/>
  <c r="C403" i="115"/>
  <c r="E404" i="115"/>
  <c r="E380" i="115"/>
  <c r="E356" i="115"/>
  <c r="E332" i="115"/>
  <c r="E403" i="115"/>
  <c r="E379" i="115"/>
  <c r="E355" i="115"/>
  <c r="E331" i="115"/>
  <c r="E402" i="115"/>
  <c r="E378" i="115"/>
  <c r="E354" i="115"/>
  <c r="E330" i="115"/>
  <c r="E401" i="115"/>
  <c r="E377" i="115"/>
  <c r="E353" i="115"/>
  <c r="E329" i="115"/>
  <c r="E400" i="115"/>
  <c r="E376" i="115"/>
  <c r="E352" i="115"/>
  <c r="E328" i="115"/>
  <c r="E399" i="115"/>
  <c r="E375" i="115"/>
  <c r="E351" i="115"/>
  <c r="E327" i="115"/>
  <c r="E396" i="115"/>
  <c r="E372" i="115"/>
  <c r="E348" i="115"/>
  <c r="E324" i="115"/>
  <c r="E398" i="115"/>
  <c r="E374" i="115"/>
  <c r="E350" i="115"/>
  <c r="E326" i="115"/>
  <c r="E397" i="115"/>
  <c r="E373" i="115"/>
  <c r="E349" i="115"/>
  <c r="E325" i="115"/>
  <c r="E419" i="115"/>
  <c r="E395" i="115"/>
  <c r="E371" i="115"/>
  <c r="E347" i="115"/>
  <c r="E323" i="115"/>
  <c r="E363" i="115"/>
  <c r="E407" i="115"/>
  <c r="F411" i="115"/>
  <c r="G334" i="115"/>
  <c r="G358" i="115"/>
  <c r="G382" i="115"/>
  <c r="G406" i="115"/>
  <c r="F342" i="115"/>
  <c r="F366" i="115"/>
  <c r="F390" i="115"/>
  <c r="F414" i="115"/>
  <c r="G337" i="115"/>
  <c r="G361" i="115"/>
  <c r="G385" i="115"/>
  <c r="G409" i="115"/>
  <c r="F343" i="115"/>
  <c r="F367" i="115"/>
  <c r="F391" i="115"/>
  <c r="F415" i="115"/>
  <c r="G338" i="115"/>
  <c r="G362" i="115"/>
  <c r="G386" i="115"/>
  <c r="G410" i="115"/>
  <c r="F320" i="115"/>
  <c r="F344" i="115"/>
  <c r="F368" i="115"/>
  <c r="F392" i="115"/>
  <c r="F416" i="115"/>
  <c r="G339" i="115"/>
  <c r="G363" i="115"/>
  <c r="G387" i="115"/>
  <c r="G411" i="115"/>
  <c r="F321" i="115"/>
  <c r="F345" i="115"/>
  <c r="F369" i="115"/>
  <c r="F393" i="115"/>
  <c r="F417" i="115"/>
  <c r="G340" i="115"/>
  <c r="G364" i="115"/>
  <c r="G388" i="115"/>
  <c r="G412" i="115"/>
  <c r="F322" i="115"/>
  <c r="F346" i="115"/>
  <c r="F370" i="115"/>
  <c r="F394" i="115"/>
  <c r="F418" i="115"/>
  <c r="G341" i="115"/>
  <c r="G365" i="115"/>
  <c r="G389" i="115"/>
  <c r="G413" i="115"/>
  <c r="F323" i="115"/>
  <c r="F347" i="115"/>
  <c r="F371" i="115"/>
  <c r="F395" i="115"/>
  <c r="F419" i="115"/>
  <c r="G342" i="115"/>
  <c r="G366" i="115"/>
  <c r="G390" i="115"/>
  <c r="G414" i="115"/>
  <c r="F324" i="115"/>
  <c r="F348" i="115"/>
  <c r="F372" i="115"/>
  <c r="F396" i="115"/>
  <c r="F325" i="115"/>
  <c r="F349" i="115"/>
  <c r="F373" i="115"/>
  <c r="F397" i="115"/>
  <c r="G320" i="115"/>
  <c r="G344" i="115"/>
  <c r="G368" i="115"/>
  <c r="G392" i="115"/>
  <c r="G416" i="115"/>
  <c r="G343" i="115"/>
  <c r="G367" i="115"/>
  <c r="G391" i="115"/>
  <c r="G415" i="115"/>
  <c r="F326" i="115"/>
  <c r="F350" i="115"/>
  <c r="F374" i="115"/>
  <c r="F398" i="115"/>
  <c r="G321" i="115"/>
  <c r="G345" i="115"/>
  <c r="G369" i="115"/>
  <c r="G393" i="115"/>
  <c r="G417" i="115"/>
  <c r="F327" i="115"/>
  <c r="F351" i="115"/>
  <c r="F375" i="115"/>
  <c r="G322" i="115"/>
  <c r="G346" i="115"/>
  <c r="G370" i="115"/>
  <c r="G394" i="115"/>
  <c r="E256" i="115"/>
  <c r="E289" i="115"/>
  <c r="E257" i="115"/>
  <c r="E290" i="115"/>
  <c r="E263" i="115"/>
  <c r="E218" i="115"/>
  <c r="E265" i="115"/>
  <c r="E258" i="115"/>
  <c r="E266" i="115"/>
  <c r="E291" i="115"/>
  <c r="C232" i="115"/>
  <c r="C248" i="115"/>
  <c r="D268" i="115"/>
  <c r="D289" i="115"/>
  <c r="E234" i="115"/>
  <c r="E267" i="115"/>
  <c r="E309" i="115"/>
  <c r="E217" i="115"/>
  <c r="E292" i="115"/>
  <c r="E221" i="115"/>
  <c r="E305" i="115"/>
  <c r="E293" i="115"/>
  <c r="E220" i="115"/>
  <c r="E262" i="115"/>
  <c r="E304" i="115"/>
  <c r="E231" i="115"/>
  <c r="E264" i="115"/>
  <c r="E306" i="115"/>
  <c r="C312" i="115"/>
  <c r="C300" i="115"/>
  <c r="C288" i="115"/>
  <c r="C276" i="115"/>
  <c r="C264" i="115"/>
  <c r="C252" i="115"/>
  <c r="C240" i="115"/>
  <c r="C228" i="115"/>
  <c r="D263" i="115"/>
  <c r="D227" i="115"/>
  <c r="C311" i="115"/>
  <c r="C299" i="115"/>
  <c r="C275" i="115"/>
  <c r="C263" i="115"/>
  <c r="C251" i="115"/>
  <c r="C239" i="115"/>
  <c r="C227" i="115"/>
  <c r="D298" i="115"/>
  <c r="D274" i="115"/>
  <c r="D250" i="115"/>
  <c r="D226" i="115"/>
  <c r="C298" i="115"/>
  <c r="C274" i="115"/>
  <c r="C250" i="115"/>
  <c r="C226" i="115"/>
  <c r="D237" i="115"/>
  <c r="C309" i="115"/>
  <c r="C285" i="115"/>
  <c r="C261" i="115"/>
  <c r="C237" i="115"/>
  <c r="D296" i="115"/>
  <c r="D272" i="115"/>
  <c r="D236" i="115"/>
  <c r="D311" i="115"/>
  <c r="D299" i="115"/>
  <c r="D287" i="115"/>
  <c r="D275" i="115"/>
  <c r="D251" i="115"/>
  <c r="D239" i="115"/>
  <c r="C287" i="115"/>
  <c r="D310" i="115"/>
  <c r="D286" i="115"/>
  <c r="D262" i="115"/>
  <c r="D238" i="115"/>
  <c r="C310" i="115"/>
  <c r="C286" i="115"/>
  <c r="C262" i="115"/>
  <c r="C238" i="115"/>
  <c r="C297" i="115"/>
  <c r="C273" i="115"/>
  <c r="C249" i="115"/>
  <c r="C225" i="115"/>
  <c r="D308" i="115"/>
  <c r="D284" i="115"/>
  <c r="D260" i="115"/>
  <c r="D224" i="115"/>
  <c r="C284" i="115"/>
  <c r="C272" i="115"/>
  <c r="C260" i="115"/>
  <c r="D309" i="115"/>
  <c r="D297" i="115"/>
  <c r="D285" i="115"/>
  <c r="D273" i="115"/>
  <c r="D261" i="115"/>
  <c r="D249" i="115"/>
  <c r="D225" i="115"/>
  <c r="D248" i="115"/>
  <c r="D232" i="115"/>
  <c r="D252" i="115"/>
  <c r="C269" i="115"/>
  <c r="C290" i="115"/>
  <c r="C306" i="115"/>
  <c r="E235" i="115"/>
  <c r="E268" i="115"/>
  <c r="E310" i="115"/>
  <c r="F251" i="115"/>
  <c r="F284" i="115"/>
  <c r="C217" i="115"/>
  <c r="C233" i="115"/>
  <c r="C253" i="115"/>
  <c r="D269" i="115"/>
  <c r="D290" i="115"/>
  <c r="D306" i="115"/>
  <c r="E236" i="115"/>
  <c r="E269" i="115"/>
  <c r="E311" i="115"/>
  <c r="F252" i="115"/>
  <c r="F285" i="115"/>
  <c r="E261" i="115"/>
  <c r="D231" i="115"/>
  <c r="D247" i="115"/>
  <c r="C268" i="115"/>
  <c r="C289" i="115"/>
  <c r="C305" i="115"/>
  <c r="E233" i="115"/>
  <c r="E308" i="115"/>
  <c r="D253" i="115"/>
  <c r="E312" i="115"/>
  <c r="C254" i="115"/>
  <c r="F254" i="115"/>
  <c r="D271" i="115"/>
  <c r="E259" i="115"/>
  <c r="E260" i="115"/>
  <c r="D217" i="115"/>
  <c r="D233" i="115"/>
  <c r="C270" i="115"/>
  <c r="C291" i="115"/>
  <c r="C307" i="115"/>
  <c r="E237" i="115"/>
  <c r="E279" i="115"/>
  <c r="F253" i="115"/>
  <c r="F286" i="115"/>
  <c r="C218" i="115"/>
  <c r="D291" i="115"/>
  <c r="D218" i="115"/>
  <c r="D234" i="115"/>
  <c r="D254" i="115"/>
  <c r="C292" i="115"/>
  <c r="C308" i="115"/>
  <c r="E239" i="115"/>
  <c r="E281" i="115"/>
  <c r="E314" i="115"/>
  <c r="F255" i="115"/>
  <c r="F288" i="115"/>
  <c r="C219" i="115"/>
  <c r="C235" i="115"/>
  <c r="C255" i="115"/>
  <c r="D292" i="115"/>
  <c r="D312" i="115"/>
  <c r="E240" i="115"/>
  <c r="E282" i="115"/>
  <c r="E315" i="115"/>
  <c r="F256" i="115"/>
  <c r="F298" i="115"/>
  <c r="D219" i="115"/>
  <c r="D235" i="115"/>
  <c r="D255" i="115"/>
  <c r="D276" i="115"/>
  <c r="C293" i="115"/>
  <c r="C313" i="115"/>
  <c r="E241" i="115"/>
  <c r="E283" i="115"/>
  <c r="F257" i="115"/>
  <c r="E302" i="115"/>
  <c r="E278" i="115"/>
  <c r="E254" i="115"/>
  <c r="E230" i="115"/>
  <c r="E300" i="115"/>
  <c r="E276" i="115"/>
  <c r="E252" i="115"/>
  <c r="E228" i="115"/>
  <c r="E275" i="115"/>
  <c r="E227" i="115"/>
  <c r="E274" i="115"/>
  <c r="E226" i="115"/>
  <c r="E296" i="115"/>
  <c r="E248" i="115"/>
  <c r="E271" i="115"/>
  <c r="E223" i="115"/>
  <c r="E301" i="115"/>
  <c r="E277" i="115"/>
  <c r="E253" i="115"/>
  <c r="E229" i="115"/>
  <c r="E299" i="115"/>
  <c r="E251" i="115"/>
  <c r="E298" i="115"/>
  <c r="E250" i="115"/>
  <c r="E272" i="115"/>
  <c r="E224" i="115"/>
  <c r="E295" i="115"/>
  <c r="E247" i="115"/>
  <c r="E294" i="115"/>
  <c r="E270" i="115"/>
  <c r="E246" i="115"/>
  <c r="E222" i="115"/>
  <c r="E297" i="115"/>
  <c r="E273" i="115"/>
  <c r="E249" i="115"/>
  <c r="E225" i="115"/>
  <c r="E219" i="115"/>
  <c r="E303" i="115"/>
  <c r="F297" i="115"/>
  <c r="F273" i="115"/>
  <c r="F249" i="115"/>
  <c r="F225" i="115"/>
  <c r="F295" i="115"/>
  <c r="F271" i="115"/>
  <c r="F247" i="115"/>
  <c r="F223" i="115"/>
  <c r="F270" i="115"/>
  <c r="F222" i="115"/>
  <c r="F293" i="115"/>
  <c r="F221" i="115"/>
  <c r="F315" i="115"/>
  <c r="F267" i="115"/>
  <c r="F314" i="115"/>
  <c r="F266" i="115"/>
  <c r="F218" i="115"/>
  <c r="F217" i="115"/>
  <c r="F296" i="115"/>
  <c r="F272" i="115"/>
  <c r="F248" i="115"/>
  <c r="F224" i="115"/>
  <c r="F294" i="115"/>
  <c r="F246" i="115"/>
  <c r="F269" i="115"/>
  <c r="F245" i="115"/>
  <c r="F291" i="115"/>
  <c r="F243" i="115"/>
  <c r="F290" i="115"/>
  <c r="F242" i="115"/>
  <c r="F313" i="115"/>
  <c r="F289" i="115"/>
  <c r="F265" i="115"/>
  <c r="F316" i="115"/>
  <c r="F292" i="115"/>
  <c r="F268" i="115"/>
  <c r="F244" i="115"/>
  <c r="F220" i="115"/>
  <c r="F219" i="115"/>
  <c r="F241" i="115"/>
  <c r="F300" i="115"/>
  <c r="D288" i="115"/>
  <c r="D304" i="115"/>
  <c r="E232" i="115"/>
  <c r="E307" i="115"/>
  <c r="C234" i="115"/>
  <c r="D270" i="115"/>
  <c r="D307" i="115"/>
  <c r="E238" i="115"/>
  <c r="E280" i="115"/>
  <c r="E313" i="115"/>
  <c r="F287" i="115"/>
  <c r="C271" i="115"/>
  <c r="C220" i="115"/>
  <c r="C236" i="115"/>
  <c r="C256" i="115"/>
  <c r="C277" i="115"/>
  <c r="D293" i="115"/>
  <c r="D313" i="115"/>
  <c r="E242" i="115"/>
  <c r="E284" i="115"/>
  <c r="F258" i="115"/>
  <c r="D220" i="115"/>
  <c r="D240" i="115"/>
  <c r="D256" i="115"/>
  <c r="D277" i="115"/>
  <c r="C294" i="115"/>
  <c r="C314" i="115"/>
  <c r="E243" i="115"/>
  <c r="E285" i="115"/>
  <c r="F226" i="115"/>
  <c r="F259" i="115"/>
  <c r="F301" i="115"/>
  <c r="G260" i="115"/>
  <c r="G261" i="115"/>
  <c r="G239" i="115"/>
  <c r="G263" i="115"/>
  <c r="G287" i="115"/>
  <c r="G311" i="115"/>
  <c r="G240" i="115"/>
  <c r="G264" i="115"/>
  <c r="G288" i="115"/>
  <c r="G312" i="115"/>
  <c r="G236" i="115"/>
  <c r="G308" i="115"/>
  <c r="G237" i="115"/>
  <c r="G285" i="115"/>
  <c r="G238" i="115"/>
  <c r="G286" i="115"/>
  <c r="G289" i="115"/>
  <c r="G219" i="115"/>
  <c r="G243" i="115"/>
  <c r="G267" i="115"/>
  <c r="G291" i="115"/>
  <c r="G315" i="115"/>
  <c r="G284" i="115"/>
  <c r="G309" i="115"/>
  <c r="G262" i="115"/>
  <c r="G310" i="115"/>
  <c r="G217" i="115"/>
  <c r="G241" i="115"/>
  <c r="G265" i="115"/>
  <c r="G313" i="115"/>
  <c r="G218" i="115"/>
  <c r="G242" i="115"/>
  <c r="G266" i="115"/>
  <c r="G290" i="115"/>
  <c r="G314" i="115"/>
  <c r="G220" i="115"/>
  <c r="G244" i="115"/>
  <c r="G268" i="115"/>
  <c r="G292" i="115"/>
  <c r="D137" i="115"/>
  <c r="D187" i="115"/>
  <c r="D175" i="115"/>
  <c r="D126" i="115"/>
  <c r="D150" i="115"/>
  <c r="D174" i="115"/>
  <c r="D198" i="115"/>
  <c r="C126" i="115"/>
  <c r="C198" i="115"/>
  <c r="C187" i="115"/>
  <c r="C138" i="115"/>
  <c r="C186" i="115"/>
  <c r="C127" i="115"/>
  <c r="C163" i="115"/>
  <c r="C211" i="115"/>
  <c r="C162" i="115"/>
  <c r="D152" i="115"/>
  <c r="E134" i="115"/>
  <c r="F201" i="115"/>
  <c r="E135" i="115"/>
  <c r="C176" i="115"/>
  <c r="F152" i="115"/>
  <c r="G195" i="115"/>
  <c r="D164" i="115"/>
  <c r="E158" i="115"/>
  <c r="G148" i="115"/>
  <c r="C165" i="115"/>
  <c r="F178" i="115"/>
  <c r="D201" i="115"/>
  <c r="C129" i="115"/>
  <c r="F202" i="115"/>
  <c r="D153" i="115"/>
  <c r="D125" i="115"/>
  <c r="D161" i="115"/>
  <c r="D197" i="115"/>
  <c r="D115" i="115"/>
  <c r="D127" i="115"/>
  <c r="D151" i="115"/>
  <c r="D199" i="115"/>
  <c r="D116" i="115"/>
  <c r="D176" i="115"/>
  <c r="E206" i="115"/>
  <c r="G196" i="115"/>
  <c r="C153" i="115"/>
  <c r="C201" i="115"/>
  <c r="E159" i="115"/>
  <c r="E207" i="115"/>
  <c r="F154" i="115"/>
  <c r="G173" i="115"/>
  <c r="D117" i="115"/>
  <c r="D165" i="115"/>
  <c r="D213" i="115"/>
  <c r="E208" i="115"/>
  <c r="F155" i="115"/>
  <c r="F203" i="115"/>
  <c r="G174" i="115"/>
  <c r="C154" i="115"/>
  <c r="C202" i="115"/>
  <c r="E209" i="115"/>
  <c r="F156" i="115"/>
  <c r="G151" i="115"/>
  <c r="D118" i="115"/>
  <c r="D178" i="115"/>
  <c r="D202" i="115"/>
  <c r="E162" i="115"/>
  <c r="F157" i="115"/>
  <c r="F205" i="115"/>
  <c r="G128" i="115"/>
  <c r="C179" i="115"/>
  <c r="E139" i="115"/>
  <c r="F158" i="115"/>
  <c r="G201" i="115"/>
  <c r="D155" i="115"/>
  <c r="E116" i="115"/>
  <c r="E188" i="115"/>
  <c r="F159" i="115"/>
  <c r="G130" i="115"/>
  <c r="C132" i="115"/>
  <c r="E141" i="115"/>
  <c r="G131" i="115"/>
  <c r="D139" i="115"/>
  <c r="D163" i="115"/>
  <c r="D211" i="115"/>
  <c r="D128" i="115"/>
  <c r="D188" i="115"/>
  <c r="F129" i="115"/>
  <c r="G172" i="115"/>
  <c r="C141" i="115"/>
  <c r="C189" i="115"/>
  <c r="E183" i="115"/>
  <c r="F130" i="115"/>
  <c r="G197" i="115"/>
  <c r="D141" i="115"/>
  <c r="D177" i="115"/>
  <c r="E136" i="115"/>
  <c r="E184" i="115"/>
  <c r="F131" i="115"/>
  <c r="F179" i="115"/>
  <c r="G198" i="115"/>
  <c r="C118" i="115"/>
  <c r="C142" i="115"/>
  <c r="C178" i="115"/>
  <c r="C190" i="115"/>
  <c r="E185" i="115"/>
  <c r="F180" i="115"/>
  <c r="G175" i="115"/>
  <c r="D130" i="115"/>
  <c r="D166" i="115"/>
  <c r="E114" i="115"/>
  <c r="E186" i="115"/>
  <c r="F181" i="115"/>
  <c r="G152" i="115"/>
  <c r="C119" i="115"/>
  <c r="C155" i="115"/>
  <c r="C203" i="115"/>
  <c r="E187" i="115"/>
  <c r="F182" i="115"/>
  <c r="G177" i="115"/>
  <c r="D131" i="115"/>
  <c r="D191" i="115"/>
  <c r="E164" i="115"/>
  <c r="F183" i="115"/>
  <c r="G154" i="115"/>
  <c r="C144" i="115"/>
  <c r="C192" i="115"/>
  <c r="E165" i="115"/>
  <c r="E213" i="115"/>
  <c r="F184" i="115"/>
  <c r="G179" i="115"/>
  <c r="D168" i="115"/>
  <c r="D204" i="115"/>
  <c r="E190" i="115"/>
  <c r="F185" i="115"/>
  <c r="G180" i="115"/>
  <c r="C169" i="115"/>
  <c r="E191" i="115"/>
  <c r="G134" i="115"/>
  <c r="C134" i="115"/>
  <c r="E121" i="115"/>
  <c r="D170" i="115"/>
  <c r="E146" i="115"/>
  <c r="F117" i="115"/>
  <c r="F165" i="115"/>
  <c r="F189" i="115"/>
  <c r="F213" i="115"/>
  <c r="G136" i="115"/>
  <c r="G160" i="115"/>
  <c r="G184" i="115"/>
  <c r="G208" i="115"/>
  <c r="C114" i="115"/>
  <c r="C174" i="115"/>
  <c r="C210" i="115"/>
  <c r="C115" i="115"/>
  <c r="C139" i="115"/>
  <c r="C151" i="115"/>
  <c r="C175" i="115"/>
  <c r="C199" i="115"/>
  <c r="F132" i="115"/>
  <c r="G199" i="115"/>
  <c r="D142" i="115"/>
  <c r="D190" i="115"/>
  <c r="E210" i="115"/>
  <c r="G176" i="115"/>
  <c r="C131" i="115"/>
  <c r="C167" i="115"/>
  <c r="E115" i="115"/>
  <c r="E211" i="115"/>
  <c r="G153" i="115"/>
  <c r="D119" i="115"/>
  <c r="D167" i="115"/>
  <c r="E140" i="115"/>
  <c r="F135" i="115"/>
  <c r="G178" i="115"/>
  <c r="C120" i="115"/>
  <c r="C168" i="115"/>
  <c r="E117" i="115"/>
  <c r="F136" i="115"/>
  <c r="G203" i="115"/>
  <c r="D144" i="115"/>
  <c r="D180" i="115"/>
  <c r="E142" i="115"/>
  <c r="F137" i="115"/>
  <c r="G204" i="115"/>
  <c r="C133" i="115"/>
  <c r="C181" i="115"/>
  <c r="E143" i="115"/>
  <c r="F162" i="115"/>
  <c r="G133" i="115"/>
  <c r="D121" i="115"/>
  <c r="D169" i="115"/>
  <c r="E120" i="115"/>
  <c r="F115" i="115"/>
  <c r="F211" i="115"/>
  <c r="C122" i="115"/>
  <c r="C170" i="115"/>
  <c r="E145" i="115"/>
  <c r="F140" i="115"/>
  <c r="G135" i="115"/>
  <c r="C195" i="115"/>
  <c r="E195" i="115"/>
  <c r="F166" i="115"/>
  <c r="F190" i="115"/>
  <c r="G137" i="115"/>
  <c r="G209" i="115"/>
  <c r="C116" i="115"/>
  <c r="C128" i="115"/>
  <c r="C140" i="115"/>
  <c r="C152" i="115"/>
  <c r="C164" i="115"/>
  <c r="C188" i="115"/>
  <c r="C200" i="115"/>
  <c r="C212" i="115"/>
  <c r="E133" i="115"/>
  <c r="E157" i="115"/>
  <c r="E181" i="115"/>
  <c r="E205" i="115"/>
  <c r="D200" i="115"/>
  <c r="E182" i="115"/>
  <c r="F177" i="115"/>
  <c r="C117" i="115"/>
  <c r="C213" i="115"/>
  <c r="G149" i="115"/>
  <c r="D189" i="115"/>
  <c r="G126" i="115"/>
  <c r="C130" i="115"/>
  <c r="E137" i="115"/>
  <c r="F204" i="115"/>
  <c r="D154" i="115"/>
  <c r="E138" i="115"/>
  <c r="F133" i="115"/>
  <c r="G200" i="115"/>
  <c r="C143" i="115"/>
  <c r="C191" i="115"/>
  <c r="E163" i="115"/>
  <c r="F134" i="115"/>
  <c r="G129" i="115"/>
  <c r="D143" i="115"/>
  <c r="D203" i="115"/>
  <c r="E212" i="115"/>
  <c r="G202" i="115"/>
  <c r="C156" i="115"/>
  <c r="C204" i="115"/>
  <c r="E189" i="115"/>
  <c r="F160" i="115"/>
  <c r="G155" i="115"/>
  <c r="D120" i="115"/>
  <c r="D156" i="115"/>
  <c r="D192" i="115"/>
  <c r="E166" i="115"/>
  <c r="F161" i="115"/>
  <c r="G156" i="115"/>
  <c r="C121" i="115"/>
  <c r="C157" i="115"/>
  <c r="E119" i="115"/>
  <c r="F114" i="115"/>
  <c r="F210" i="115"/>
  <c r="G181" i="115"/>
  <c r="D145" i="115"/>
  <c r="D193" i="115"/>
  <c r="E168" i="115"/>
  <c r="F139" i="115"/>
  <c r="G158" i="115"/>
  <c r="C182" i="115"/>
  <c r="E169" i="115"/>
  <c r="F164" i="115"/>
  <c r="G159" i="115"/>
  <c r="D122" i="115"/>
  <c r="D158" i="115"/>
  <c r="D206" i="115"/>
  <c r="E194" i="115"/>
  <c r="C159" i="115"/>
  <c r="E147" i="115"/>
  <c r="D159" i="115"/>
  <c r="E124" i="115"/>
  <c r="E196" i="115"/>
  <c r="F143" i="115"/>
  <c r="F167" i="115"/>
  <c r="F191" i="115"/>
  <c r="G114" i="115"/>
  <c r="G138" i="115"/>
  <c r="G186" i="115"/>
  <c r="G210" i="115"/>
  <c r="D149" i="115"/>
  <c r="D173" i="115"/>
  <c r="D185" i="115"/>
  <c r="D209" i="115"/>
  <c r="D114" i="115"/>
  <c r="D138" i="115"/>
  <c r="D162" i="115"/>
  <c r="D186" i="115"/>
  <c r="D210" i="115"/>
  <c r="G132" i="115"/>
  <c r="C145" i="115"/>
  <c r="C193" i="115"/>
  <c r="E167" i="115"/>
  <c r="F186" i="115"/>
  <c r="G157" i="115"/>
  <c r="D133" i="115"/>
  <c r="D181" i="115"/>
  <c r="E144" i="115"/>
  <c r="F163" i="115"/>
  <c r="G206" i="115"/>
  <c r="C158" i="115"/>
  <c r="C206" i="115"/>
  <c r="E193" i="115"/>
  <c r="F188" i="115"/>
  <c r="G183" i="115"/>
  <c r="D134" i="115"/>
  <c r="D182" i="115"/>
  <c r="E122" i="115"/>
  <c r="F141" i="115"/>
  <c r="C135" i="115"/>
  <c r="C171" i="115"/>
  <c r="C207" i="115"/>
  <c r="E171" i="115"/>
  <c r="F142" i="115"/>
  <c r="G161" i="115"/>
  <c r="D123" i="115"/>
  <c r="D135" i="115"/>
  <c r="D147" i="115"/>
  <c r="D171" i="115"/>
  <c r="D183" i="115"/>
  <c r="D195" i="115"/>
  <c r="D207" i="115"/>
  <c r="E148" i="115"/>
  <c r="E172" i="115"/>
  <c r="F119" i="115"/>
  <c r="G162" i="115"/>
  <c r="C124" i="115"/>
  <c r="C136" i="115"/>
  <c r="C148" i="115"/>
  <c r="C160" i="115"/>
  <c r="C172" i="115"/>
  <c r="C184" i="115"/>
  <c r="C196" i="115"/>
  <c r="C208" i="115"/>
  <c r="E125" i="115"/>
  <c r="E149" i="115"/>
  <c r="E173" i="115"/>
  <c r="E197" i="115"/>
  <c r="F120" i="115"/>
  <c r="F144" i="115"/>
  <c r="F168" i="115"/>
  <c r="F192" i="115"/>
  <c r="G115" i="115"/>
  <c r="G139" i="115"/>
  <c r="G163" i="115"/>
  <c r="G187" i="115"/>
  <c r="G211" i="115"/>
  <c r="C150" i="115"/>
  <c r="D124" i="115"/>
  <c r="D136" i="115"/>
  <c r="D148" i="115"/>
  <c r="D160" i="115"/>
  <c r="D172" i="115"/>
  <c r="D184" i="115"/>
  <c r="D196" i="115"/>
  <c r="D208" i="115"/>
  <c r="E126" i="115"/>
  <c r="E150" i="115"/>
  <c r="E174" i="115"/>
  <c r="E198" i="115"/>
  <c r="F121" i="115"/>
  <c r="F145" i="115"/>
  <c r="F169" i="115"/>
  <c r="F193" i="115"/>
  <c r="G116" i="115"/>
  <c r="G140" i="115"/>
  <c r="G164" i="115"/>
  <c r="G188" i="115"/>
  <c r="G212" i="115"/>
  <c r="F176" i="115"/>
  <c r="F200" i="115"/>
  <c r="D140" i="115"/>
  <c r="D212" i="115"/>
  <c r="F153" i="115"/>
  <c r="C177" i="115"/>
  <c r="G125" i="115"/>
  <c r="D129" i="115"/>
  <c r="E160" i="115"/>
  <c r="G150" i="115"/>
  <c r="C166" i="115"/>
  <c r="E161" i="115"/>
  <c r="G127" i="115"/>
  <c r="F206" i="115"/>
  <c r="D179" i="115"/>
  <c r="F207" i="115"/>
  <c r="C180" i="115"/>
  <c r="F208" i="115"/>
  <c r="D132" i="115"/>
  <c r="E118" i="115"/>
  <c r="F209" i="115"/>
  <c r="C205" i="115"/>
  <c r="F138" i="115"/>
  <c r="G205" i="115"/>
  <c r="D157" i="115"/>
  <c r="D205" i="115"/>
  <c r="E192" i="115"/>
  <c r="F187" i="115"/>
  <c r="G182" i="115"/>
  <c r="C146" i="115"/>
  <c r="C194" i="115"/>
  <c r="F116" i="115"/>
  <c r="F212" i="115"/>
  <c r="G207" i="115"/>
  <c r="D146" i="115"/>
  <c r="D194" i="115"/>
  <c r="E170" i="115"/>
  <c r="C123" i="115"/>
  <c r="C147" i="115"/>
  <c r="C183" i="115"/>
  <c r="E123" i="115"/>
  <c r="F118" i="115"/>
  <c r="G185" i="115"/>
  <c r="C125" i="115"/>
  <c r="C137" i="115"/>
  <c r="C149" i="115"/>
  <c r="C161" i="115"/>
  <c r="C173" i="115"/>
  <c r="C185" i="115"/>
  <c r="C197" i="115"/>
  <c r="E127" i="115"/>
  <c r="E151" i="115"/>
  <c r="E175" i="115"/>
  <c r="F122" i="115"/>
  <c r="F146" i="115"/>
  <c r="F170" i="115"/>
  <c r="G117" i="115"/>
  <c r="G141" i="115"/>
  <c r="G165" i="115"/>
  <c r="G189" i="115"/>
  <c r="G82" i="115"/>
  <c r="G57" i="115"/>
  <c r="G32" i="115"/>
  <c r="G79" i="115"/>
  <c r="G54" i="115"/>
  <c r="G101" i="115"/>
  <c r="G76" i="115"/>
  <c r="G51" i="115"/>
  <c r="G74" i="115"/>
  <c r="G73" i="115"/>
  <c r="G24" i="115"/>
  <c r="G71" i="115"/>
  <c r="G70" i="115"/>
  <c r="G91" i="115"/>
  <c r="G58" i="115"/>
  <c r="G105" i="115"/>
  <c r="G104" i="115"/>
  <c r="G31" i="115"/>
  <c r="G53" i="115"/>
  <c r="G52" i="115"/>
  <c r="G99" i="115"/>
  <c r="G26" i="115"/>
  <c r="G96" i="115"/>
  <c r="G48" i="115"/>
  <c r="G47" i="115"/>
  <c r="G93" i="115"/>
  <c r="G21" i="115"/>
  <c r="G68" i="115"/>
  <c r="G67" i="115"/>
  <c r="G19" i="115"/>
  <c r="G90" i="115"/>
  <c r="G42" i="115"/>
  <c r="G89" i="115"/>
  <c r="G41" i="115"/>
  <c r="G88" i="115"/>
  <c r="G16" i="115"/>
  <c r="G87" i="115"/>
  <c r="G85" i="115"/>
  <c r="G61" i="115"/>
  <c r="G37" i="115"/>
  <c r="G13" i="115"/>
  <c r="G106" i="115"/>
  <c r="G33" i="115"/>
  <c r="G80" i="115"/>
  <c r="G103" i="115"/>
  <c r="G78" i="115"/>
  <c r="G29" i="115"/>
  <c r="G100" i="115"/>
  <c r="G27" i="115"/>
  <c r="G50" i="115"/>
  <c r="G49" i="115"/>
  <c r="G72" i="115"/>
  <c r="G95" i="115"/>
  <c r="G94" i="115"/>
  <c r="G22" i="115"/>
  <c r="G69" i="115"/>
  <c r="G92" i="115"/>
  <c r="G20" i="115"/>
  <c r="G18" i="115"/>
  <c r="G108" i="115"/>
  <c r="G34" i="115"/>
  <c r="G81" i="115"/>
  <c r="G56" i="115"/>
  <c r="G55" i="115"/>
  <c r="G102" i="115"/>
  <c r="G30" i="115"/>
  <c r="G77" i="115"/>
  <c r="G28" i="115"/>
  <c r="G75" i="115"/>
  <c r="G98" i="115"/>
  <c r="G97" i="115"/>
  <c r="G25" i="115"/>
  <c r="G23" i="115"/>
  <c r="G46" i="115"/>
  <c r="G45" i="115"/>
  <c r="G44" i="115"/>
  <c r="G43" i="115"/>
  <c r="G66" i="115"/>
  <c r="G65" i="115"/>
  <c r="G17" i="115"/>
  <c r="G64" i="115"/>
  <c r="G40" i="115"/>
  <c r="G63" i="115"/>
  <c r="G39" i="115"/>
  <c r="G15" i="115"/>
  <c r="G110" i="115"/>
  <c r="G86" i="115"/>
  <c r="G62" i="115"/>
  <c r="G38" i="115"/>
  <c r="G14" i="115"/>
  <c r="G109" i="115"/>
  <c r="G84" i="115"/>
  <c r="G60" i="115"/>
  <c r="G36" i="115"/>
  <c r="G12" i="115"/>
  <c r="G107" i="115"/>
  <c r="G83" i="115"/>
  <c r="G59" i="115"/>
  <c r="G35" i="115"/>
  <c r="F82" i="115"/>
  <c r="F81" i="115"/>
  <c r="F104" i="115"/>
  <c r="F54" i="115"/>
  <c r="F76" i="115"/>
  <c r="F51" i="115"/>
  <c r="F50" i="115"/>
  <c r="F49" i="115"/>
  <c r="F72" i="115"/>
  <c r="F71" i="115"/>
  <c r="F22" i="115"/>
  <c r="F21" i="115"/>
  <c r="F68" i="115"/>
  <c r="F91" i="115"/>
  <c r="F19" i="115"/>
  <c r="F66" i="115"/>
  <c r="F39" i="115"/>
  <c r="F106" i="115"/>
  <c r="F34" i="115"/>
  <c r="F105" i="115"/>
  <c r="F57" i="115"/>
  <c r="F32" i="115"/>
  <c r="F103" i="115"/>
  <c r="F31" i="115"/>
  <c r="F78" i="115"/>
  <c r="F53" i="115"/>
  <c r="F100" i="115"/>
  <c r="F28" i="115"/>
  <c r="F75" i="115"/>
  <c r="F74" i="115"/>
  <c r="F73" i="115"/>
  <c r="F25" i="115"/>
  <c r="F24" i="115"/>
  <c r="F23" i="115"/>
  <c r="F70" i="115"/>
  <c r="F45" i="115"/>
  <c r="F86" i="115"/>
  <c r="F62" i="115"/>
  <c r="F38" i="115"/>
  <c r="F14" i="115"/>
  <c r="F56" i="115"/>
  <c r="F55" i="115"/>
  <c r="F102" i="115"/>
  <c r="F101" i="115"/>
  <c r="F52" i="115"/>
  <c r="F99" i="115"/>
  <c r="F98" i="115"/>
  <c r="F26" i="115"/>
  <c r="F96" i="115"/>
  <c r="F95" i="115"/>
  <c r="F94" i="115"/>
  <c r="F93" i="115"/>
  <c r="F92" i="115"/>
  <c r="F20" i="115"/>
  <c r="F67" i="115"/>
  <c r="F90" i="115"/>
  <c r="F18" i="115"/>
  <c r="F89" i="115"/>
  <c r="F41" i="115"/>
  <c r="F88" i="115"/>
  <c r="F40" i="115"/>
  <c r="F87" i="115"/>
  <c r="F63" i="115"/>
  <c r="F15" i="115"/>
  <c r="F110" i="115"/>
  <c r="F109" i="115"/>
  <c r="F85" i="115"/>
  <c r="F61" i="115"/>
  <c r="F37" i="115"/>
  <c r="F13" i="115"/>
  <c r="F58" i="115"/>
  <c r="F33" i="115"/>
  <c r="F80" i="115"/>
  <c r="F79" i="115"/>
  <c r="F30" i="115"/>
  <c r="F77" i="115"/>
  <c r="F29" i="115"/>
  <c r="F27" i="115"/>
  <c r="F97" i="115"/>
  <c r="F48" i="115"/>
  <c r="F47" i="115"/>
  <c r="F46" i="115"/>
  <c r="F69" i="115"/>
  <c r="F44" i="115"/>
  <c r="F43" i="115"/>
  <c r="F42" i="115"/>
  <c r="F65" i="115"/>
  <c r="F17" i="115"/>
  <c r="F64" i="115"/>
  <c r="F16" i="115"/>
  <c r="F108" i="115"/>
  <c r="F84" i="115"/>
  <c r="F60" i="115"/>
  <c r="F36" i="115"/>
  <c r="F12" i="115"/>
  <c r="F107" i="115"/>
  <c r="F83" i="115"/>
  <c r="F59" i="115"/>
  <c r="F35" i="115"/>
  <c r="E32" i="115"/>
  <c r="E80" i="115"/>
  <c r="E29" i="115"/>
  <c r="E106" i="115"/>
  <c r="E58" i="115"/>
  <c r="E105" i="115"/>
  <c r="E57" i="115"/>
  <c r="E104" i="115"/>
  <c r="E56" i="115"/>
  <c r="E79" i="115"/>
  <c r="E31" i="115"/>
  <c r="E102" i="115"/>
  <c r="E54" i="115"/>
  <c r="E77" i="115"/>
  <c r="E76" i="115"/>
  <c r="E28" i="115"/>
  <c r="E99" i="115"/>
  <c r="E51" i="115"/>
  <c r="E74" i="115"/>
  <c r="E26" i="115"/>
  <c r="E97" i="115"/>
  <c r="E49" i="115"/>
  <c r="E96" i="115"/>
  <c r="E24" i="115"/>
  <c r="E47" i="115"/>
  <c r="E20" i="115"/>
  <c r="E82" i="115"/>
  <c r="E34" i="115"/>
  <c r="E81" i="115"/>
  <c r="E33" i="115"/>
  <c r="E103" i="115"/>
  <c r="E55" i="115"/>
  <c r="E78" i="115"/>
  <c r="E30" i="115"/>
  <c r="E101" i="115"/>
  <c r="E53" i="115"/>
  <c r="E100" i="115"/>
  <c r="E52" i="115"/>
  <c r="E75" i="115"/>
  <c r="E27" i="115"/>
  <c r="E98" i="115"/>
  <c r="E50" i="115"/>
  <c r="E73" i="115"/>
  <c r="E25" i="115"/>
  <c r="E72" i="115"/>
  <c r="E48" i="115"/>
  <c r="E95" i="115"/>
  <c r="E71" i="115"/>
  <c r="E23" i="115"/>
  <c r="E94" i="115"/>
  <c r="E70" i="115"/>
  <c r="E46" i="115"/>
  <c r="E22" i="115"/>
  <c r="E93" i="115"/>
  <c r="E69" i="115"/>
  <c r="E45" i="115"/>
  <c r="E21" i="115"/>
  <c r="E92" i="115"/>
  <c r="E68" i="115"/>
  <c r="E44" i="115"/>
  <c r="E91" i="115"/>
  <c r="E67" i="115"/>
  <c r="E43" i="115"/>
  <c r="E19" i="115"/>
  <c r="E90" i="115"/>
  <c r="E66" i="115"/>
  <c r="E42" i="115"/>
  <c r="E18" i="115"/>
  <c r="E89" i="115"/>
  <c r="E65" i="115"/>
  <c r="E41" i="115"/>
  <c r="E17" i="115"/>
  <c r="E88" i="115"/>
  <c r="E64" i="115"/>
  <c r="E40" i="115"/>
  <c r="E16" i="115"/>
  <c r="E87" i="115"/>
  <c r="E63" i="115"/>
  <c r="E39" i="115"/>
  <c r="E15" i="115"/>
  <c r="E110" i="115"/>
  <c r="E86" i="115"/>
  <c r="E62" i="115"/>
  <c r="E38" i="115"/>
  <c r="E14" i="115"/>
  <c r="E109" i="115"/>
  <c r="E85" i="115"/>
  <c r="E61" i="115"/>
  <c r="E37" i="115"/>
  <c r="E13" i="115"/>
  <c r="E108" i="115"/>
  <c r="E84" i="115"/>
  <c r="E60" i="115"/>
  <c r="E36" i="115"/>
  <c r="E12" i="115"/>
  <c r="E107" i="115"/>
  <c r="E83" i="115"/>
  <c r="E59" i="115"/>
  <c r="E35" i="115"/>
  <c r="D56" i="115"/>
  <c r="D73" i="115"/>
  <c r="C72" i="115"/>
  <c r="D33" i="115"/>
  <c r="C73" i="115"/>
  <c r="D93" i="115"/>
  <c r="C25" i="115"/>
  <c r="D109" i="115"/>
  <c r="C70" i="115"/>
  <c r="D45" i="115"/>
  <c r="C74" i="115"/>
  <c r="D32" i="115"/>
  <c r="D49" i="115"/>
  <c r="C49" i="115"/>
  <c r="D25" i="115"/>
  <c r="C71" i="115"/>
  <c r="D92" i="115"/>
  <c r="C47" i="115"/>
  <c r="D86" i="115"/>
  <c r="D23" i="115"/>
  <c r="C69" i="115"/>
  <c r="D22" i="115"/>
  <c r="D62" i="115"/>
  <c r="D106" i="115"/>
  <c r="D21" i="115"/>
  <c r="D60" i="115"/>
  <c r="D95" i="115"/>
  <c r="C33" i="115"/>
  <c r="C95" i="115"/>
  <c r="D72" i="115"/>
  <c r="D26" i="115"/>
  <c r="D110" i="115"/>
  <c r="D48" i="115"/>
  <c r="C93" i="115"/>
  <c r="D70" i="115"/>
  <c r="D24" i="115"/>
  <c r="C109" i="115"/>
  <c r="D108" i="115"/>
  <c r="D46" i="115"/>
  <c r="C86" i="115"/>
  <c r="C46" i="115"/>
  <c r="D85" i="115"/>
  <c r="C85" i="115"/>
  <c r="C22" i="115"/>
  <c r="C62" i="115"/>
  <c r="C84" i="115"/>
  <c r="C21" i="115"/>
  <c r="D83" i="115"/>
  <c r="C38" i="115"/>
  <c r="C105" i="115"/>
  <c r="D37" i="115"/>
  <c r="D82" i="115"/>
  <c r="C14" i="115"/>
  <c r="C82" i="115"/>
  <c r="D36" i="115"/>
  <c r="D98" i="115"/>
  <c r="C36" i="115"/>
  <c r="D11" i="115"/>
  <c r="C96" i="115"/>
  <c r="D50" i="115"/>
  <c r="C50" i="115"/>
  <c r="D94" i="115"/>
  <c r="C94" i="115"/>
  <c r="C26" i="115"/>
  <c r="D71" i="115"/>
  <c r="C110" i="115"/>
  <c r="C48" i="115"/>
  <c r="D47" i="115"/>
  <c r="C92" i="115"/>
  <c r="C24" i="115"/>
  <c r="D69" i="115"/>
  <c r="C108" i="115"/>
  <c r="C23" i="115"/>
  <c r="D107" i="115"/>
  <c r="D68" i="115"/>
  <c r="C107" i="115"/>
  <c r="C45" i="115"/>
  <c r="D84" i="115"/>
  <c r="D44" i="115"/>
  <c r="C106" i="115"/>
  <c r="D61" i="115"/>
  <c r="D38" i="115"/>
  <c r="D105" i="115"/>
  <c r="C61" i="115"/>
  <c r="D20" i="115"/>
  <c r="C83" i="115"/>
  <c r="D14" i="115"/>
  <c r="D104" i="115"/>
  <c r="C60" i="115"/>
  <c r="C37" i="115"/>
  <c r="C104" i="115"/>
  <c r="D59" i="115"/>
  <c r="D13" i="115"/>
  <c r="D81" i="115"/>
  <c r="C59" i="115"/>
  <c r="C13" i="115"/>
  <c r="C98" i="115"/>
  <c r="C81" i="115"/>
  <c r="D58" i="115"/>
  <c r="D35" i="115"/>
  <c r="D12" i="115"/>
  <c r="D97" i="115"/>
  <c r="D80" i="115"/>
  <c r="C58" i="115"/>
  <c r="C35" i="115"/>
  <c r="C12" i="115"/>
  <c r="C97" i="115"/>
  <c r="C80" i="115"/>
  <c r="D57" i="115"/>
  <c r="D34" i="115"/>
  <c r="D96" i="115"/>
  <c r="D74" i="115"/>
  <c r="C57" i="115"/>
  <c r="C34" i="115"/>
  <c r="C15" i="115"/>
  <c r="C27" i="115"/>
  <c r="C39" i="115"/>
  <c r="C51" i="115"/>
  <c r="C63" i="115"/>
  <c r="C75" i="115"/>
  <c r="C87" i="115"/>
  <c r="C99" i="115"/>
  <c r="D15" i="115"/>
  <c r="D27" i="115"/>
  <c r="D39" i="115"/>
  <c r="D51" i="115"/>
  <c r="D63" i="115"/>
  <c r="D75" i="115"/>
  <c r="D87" i="115"/>
  <c r="D99" i="115"/>
  <c r="C16" i="115"/>
  <c r="C28" i="115"/>
  <c r="C40" i="115"/>
  <c r="C52" i="115"/>
  <c r="C64" i="115"/>
  <c r="C76" i="115"/>
  <c r="C88" i="115"/>
  <c r="C100" i="115"/>
  <c r="D16" i="115"/>
  <c r="D28" i="115"/>
  <c r="D40" i="115"/>
  <c r="D52" i="115"/>
  <c r="D64" i="115"/>
  <c r="D76" i="115"/>
  <c r="D88" i="115"/>
  <c r="D100" i="115"/>
  <c r="C17" i="115"/>
  <c r="C29" i="115"/>
  <c r="C41" i="115"/>
  <c r="C53" i="115"/>
  <c r="C65" i="115"/>
  <c r="C77" i="115"/>
  <c r="C89" i="115"/>
  <c r="C101" i="115"/>
  <c r="D17" i="115"/>
  <c r="D29" i="115"/>
  <c r="D41" i="115"/>
  <c r="D53" i="115"/>
  <c r="D65" i="115"/>
  <c r="D77" i="115"/>
  <c r="D89" i="115"/>
  <c r="D101" i="115"/>
  <c r="C18" i="115"/>
  <c r="C30" i="115"/>
  <c r="C42" i="115"/>
  <c r="C54" i="115"/>
  <c r="C66" i="115"/>
  <c r="C78" i="115"/>
  <c r="C90" i="115"/>
  <c r="C102" i="115"/>
  <c r="D18" i="115"/>
  <c r="D30" i="115"/>
  <c r="D42" i="115"/>
  <c r="D54" i="115"/>
  <c r="D66" i="115"/>
  <c r="D78" i="115"/>
  <c r="D90" i="115"/>
  <c r="D102" i="115"/>
  <c r="C19" i="115"/>
  <c r="C31" i="115"/>
  <c r="C43" i="115"/>
  <c r="C55" i="115"/>
  <c r="C67" i="115"/>
  <c r="C79" i="115"/>
  <c r="C91" i="115"/>
  <c r="C103" i="115"/>
  <c r="D19" i="115"/>
  <c r="D31" i="115"/>
  <c r="D43" i="115"/>
  <c r="D55" i="115"/>
  <c r="D67" i="115"/>
  <c r="D79" i="115"/>
  <c r="D91" i="115"/>
  <c r="D103" i="115"/>
  <c r="C20" i="115"/>
  <c r="C32" i="115"/>
  <c r="C44" i="115"/>
  <c r="C56" i="115"/>
  <c r="C68" i="115"/>
  <c r="F106" i="122"/>
  <c r="F87" i="122"/>
  <c r="D146" i="125" l="1"/>
  <c r="AI68" i="124" l="1"/>
  <c r="AE68" i="124"/>
  <c r="W68" i="124"/>
  <c r="S68" i="124"/>
  <c r="M68" i="124"/>
  <c r="K68" i="124"/>
  <c r="J68" i="124"/>
  <c r="I68" i="124"/>
  <c r="G68" i="124"/>
  <c r="F68" i="124"/>
  <c r="E68" i="124"/>
  <c r="D68" i="124"/>
  <c r="C68" i="124"/>
  <c r="L68" i="124" l="1"/>
  <c r="H68" i="124"/>
  <c r="L284" i="121"/>
  <c r="C284" i="121"/>
  <c r="C283" i="121"/>
  <c r="C282" i="121"/>
  <c r="C279" i="121"/>
  <c r="C278" i="121"/>
  <c r="C277" i="121"/>
  <c r="C276" i="121"/>
  <c r="C275" i="121"/>
  <c r="C274" i="121"/>
  <c r="C273" i="121"/>
  <c r="C272" i="121"/>
  <c r="C271" i="121"/>
  <c r="C270" i="121"/>
  <c r="G362" i="20" l="1"/>
  <c r="G359" i="20"/>
  <c r="G358" i="20"/>
  <c r="G357" i="20"/>
  <c r="G356" i="20"/>
  <c r="G355" i="20"/>
  <c r="G354" i="20"/>
  <c r="G350" i="20"/>
  <c r="G349" i="20"/>
  <c r="G348" i="20"/>
  <c r="F99" i="122" l="1"/>
  <c r="D99" i="122"/>
  <c r="C99" i="122"/>
  <c r="E77" i="122"/>
  <c r="L273" i="121" l="1"/>
  <c r="L272" i="121"/>
  <c r="C52" i="121"/>
  <c r="C51" i="121"/>
  <c r="C50" i="121"/>
  <c r="J46" i="121" l="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8" i="121" l="1"/>
  <c r="O28" i="121"/>
  <c r="L34" i="141"/>
  <c r="O38" i="121" s="1"/>
  <c r="K35" i="141"/>
  <c r="N39" i="121" s="1"/>
  <c r="AI69" i="124" l="1"/>
  <c r="AE69" i="124"/>
  <c r="W69" i="124"/>
  <c r="L69" i="124" s="1"/>
  <c r="S69" i="124"/>
  <c r="M69" i="124"/>
  <c r="K69" i="124"/>
  <c r="J69" i="124"/>
  <c r="I69" i="124"/>
  <c r="G69" i="124"/>
  <c r="F69" i="124"/>
  <c r="E69" i="124"/>
  <c r="D69" i="124"/>
  <c r="C69" i="124"/>
  <c r="C9" i="124"/>
  <c r="D9" i="124" s="1"/>
  <c r="B9" i="124"/>
  <c r="M145" i="123"/>
  <c r="I145" i="123"/>
  <c r="B11" i="123"/>
  <c r="D11" i="123"/>
  <c r="E11" i="123" s="1"/>
  <c r="H69" i="124" l="1"/>
  <c r="BX58" i="124"/>
  <c r="BX50" i="124"/>
  <c r="BX47" i="124"/>
  <c r="BX44" i="124"/>
  <c r="BX41" i="124"/>
  <c r="BX35" i="124"/>
  <c r="BX32" i="124"/>
  <c r="BX29" i="124"/>
  <c r="BX26" i="124"/>
  <c r="BX23" i="124"/>
  <c r="BX20" i="124"/>
  <c r="BX17" i="124"/>
  <c r="BL58" i="124"/>
  <c r="BL50" i="124"/>
  <c r="BL47" i="124"/>
  <c r="BL44" i="124"/>
  <c r="BL41" i="124"/>
  <c r="BL20" i="124"/>
  <c r="BL17" i="124"/>
  <c r="BX65" i="124" l="1"/>
  <c r="BL65" i="124"/>
  <c r="N105" i="127"/>
  <c r="M105" i="127" s="1"/>
  <c r="L105" i="127" s="1"/>
  <c r="F19" i="107" l="1"/>
  <c r="F18" i="107"/>
  <c r="F17" i="107"/>
  <c r="D20" i="107"/>
  <c r="D19" i="107"/>
  <c r="D18" i="107"/>
  <c r="D17" i="107"/>
  <c r="B63" i="122" l="1"/>
  <c r="J39" i="125" l="1"/>
  <c r="I39" i="125"/>
  <c r="J37" i="125" l="1"/>
  <c r="I37" i="125"/>
  <c r="G37" i="125"/>
  <c r="F37" i="125"/>
  <c r="D37" i="125"/>
  <c r="M37" i="125" s="1"/>
  <c r="C37" i="125"/>
  <c r="L37" i="125" s="1"/>
  <c r="F169" i="167" l="1"/>
  <c r="B7"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10" i="167"/>
  <c r="B9" i="167"/>
  <c r="B8" i="167"/>
  <c r="B6" i="167"/>
  <c r="B5" i="167"/>
  <c r="B4"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l="1"/>
  <c r="CP53" i="124"/>
  <c r="CP52" i="124"/>
  <c r="C49" i="121" l="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44" i="121" l="1"/>
  <c r="B52" i="112"/>
  <c r="C255" i="121" s="1"/>
  <c r="B51" i="112"/>
  <c r="E20" i="112"/>
  <c r="E78" i="122" l="1"/>
  <c r="F78" i="122" l="1"/>
  <c r="F77" i="122"/>
  <c r="P10" i="122" l="1"/>
  <c r="D9" i="122"/>
  <c r="P9" i="122" s="1"/>
  <c r="G13" i="122" l="1"/>
  <c r="G12" i="122"/>
  <c r="G11" i="122"/>
  <c r="G9" i="122"/>
  <c r="G10" i="122"/>
  <c r="E106" i="122" l="1"/>
  <c r="K283" i="121" s="1"/>
  <c r="E105" i="122"/>
  <c r="K282" i="121" s="1"/>
  <c r="R11" i="122"/>
  <c r="R10" i="122"/>
  <c r="E86" i="122"/>
  <c r="E87" i="122"/>
  <c r="K272" i="121" s="1"/>
  <c r="R9" i="122"/>
  <c r="E83" i="122"/>
  <c r="R12" i="122"/>
  <c r="E102" i="122"/>
  <c r="R13" i="122"/>
  <c r="K125" i="107"/>
  <c r="K126" i="107" l="1"/>
  <c r="K127" i="107" s="1"/>
  <c r="G8" i="107" s="1"/>
  <c r="K131" i="107" l="1"/>
  <c r="L68" i="127"/>
  <c r="M68" i="127"/>
  <c r="N68" i="127"/>
  <c r="L67" i="127"/>
  <c r="M67" i="127"/>
  <c r="N67" i="127"/>
  <c r="L47" i="112" l="1"/>
  <c r="L28" i="112"/>
  <c r="L22" i="112"/>
  <c r="C52" i="56" l="1"/>
  <c r="S46" i="112" l="1"/>
  <c r="V250" i="121" s="1"/>
  <c r="R46" i="112"/>
  <c r="U250" i="121" s="1"/>
  <c r="S45" i="112"/>
  <c r="V249" i="121" s="1"/>
  <c r="R45" i="112"/>
  <c r="U249" i="121" s="1"/>
  <c r="L49" i="112"/>
  <c r="L48" i="112"/>
  <c r="L30" i="112"/>
  <c r="L29" i="112"/>
  <c r="L25" i="112" s="1"/>
  <c r="L24" i="112"/>
  <c r="L23" i="112"/>
  <c r="L19" i="112" s="1"/>
  <c r="L31" i="112" l="1"/>
  <c r="L37" i="112"/>
  <c r="O246" i="121" s="1"/>
  <c r="L44" i="112"/>
  <c r="C29" i="121" l="1"/>
  <c r="C281" i="121" l="1"/>
  <c r="K281" i="121"/>
  <c r="K271"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23" i="141"/>
  <c r="CI54" i="124" l="1"/>
  <c r="CI53" i="124"/>
  <c r="CI52" i="124"/>
  <c r="CE52" i="124"/>
  <c r="CQ52" i="124" l="1"/>
  <c r="CY52" i="124"/>
  <c r="CV52" i="124"/>
  <c r="CO52" i="124"/>
  <c r="CT52" i="124"/>
  <c r="CW52" i="124"/>
  <c r="CQ53" i="124"/>
  <c r="CV53" i="124"/>
  <c r="CY53" i="124"/>
  <c r="CQ54" i="124"/>
  <c r="CY54" i="124"/>
  <c r="CV54" i="124"/>
  <c r="H52" i="124" l="1"/>
  <c r="M51" i="124"/>
  <c r="L53" i="124"/>
  <c r="L54" i="124"/>
  <c r="L52" i="124"/>
  <c r="L56" i="124"/>
  <c r="H56" i="124"/>
  <c r="H53" i="124"/>
  <c r="H54" i="124"/>
  <c r="K265" i="121" l="1"/>
  <c r="H79" i="122"/>
  <c r="G79" i="122"/>
  <c r="M268" i="121" s="1"/>
  <c r="D79" i="122" l="1"/>
  <c r="C79" i="122"/>
  <c r="C280" i="121" l="1"/>
  <c r="C269" i="121"/>
  <c r="C268" i="121"/>
  <c r="C267" i="121"/>
  <c r="C266" i="121"/>
  <c r="C264" i="121"/>
  <c r="C265" i="121"/>
  <c r="C263" i="121" l="1"/>
  <c r="C262" i="121"/>
  <c r="K261" i="121"/>
  <c r="L261" i="121"/>
  <c r="M261" i="121"/>
  <c r="N261" i="121"/>
  <c r="J261" i="121"/>
  <c r="F230" i="121"/>
  <c r="K264" i="121" l="1"/>
  <c r="L267" i="121"/>
  <c r="N269" i="121"/>
  <c r="L266" i="121" l="1"/>
  <c r="AZ60" i="124" l="1"/>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L51" i="124"/>
  <c r="K51" i="124"/>
  <c r="J51" i="124"/>
  <c r="H51" i="124"/>
  <c r="G51" i="124"/>
  <c r="F51" i="124"/>
  <c r="E51" i="124"/>
  <c r="D51" i="124"/>
  <c r="C51" i="124"/>
  <c r="CH51" i="124"/>
  <c r="CG51" i="124"/>
  <c r="CF51" i="124"/>
  <c r="C98" i="125" l="1"/>
  <c r="BR58" i="124"/>
  <c r="BV58" i="124"/>
  <c r="AU60" i="124"/>
  <c r="I51" i="124"/>
  <c r="E94" i="122"/>
  <c r="G94" i="122" s="1"/>
  <c r="M275" i="121" s="1"/>
  <c r="E93" i="122"/>
  <c r="G93" i="122" s="1"/>
  <c r="M274" i="121" s="1"/>
  <c r="K280" i="121" l="1"/>
  <c r="D115" i="122" l="1"/>
  <c r="N28" i="127" l="1"/>
  <c r="E27" i="127"/>
  <c r="K40" i="124" l="1"/>
  <c r="H82" i="125" l="1"/>
  <c r="H81" i="125"/>
  <c r="C62" i="127" l="1"/>
  <c r="D62" i="127"/>
  <c r="D53" i="127"/>
  <c r="C53" i="127"/>
  <c r="D51" i="127"/>
  <c r="D58" i="127" s="1"/>
  <c r="C51" i="127"/>
  <c r="C58" i="127" s="1"/>
  <c r="C35" i="127"/>
  <c r="D35" i="127"/>
  <c r="C37" i="127"/>
  <c r="D37" i="127"/>
  <c r="K16" i="127"/>
  <c r="J16" i="127"/>
  <c r="K8" i="127"/>
  <c r="J8" i="127"/>
  <c r="D42" i="127" l="1"/>
  <c r="C42" i="127"/>
  <c r="M3" i="127"/>
  <c r="I65" i="127" l="1"/>
  <c r="M65" i="127"/>
  <c r="L3" i="127"/>
  <c r="M28" i="127"/>
  <c r="AZ49" i="124"/>
  <c r="AX49" i="124"/>
  <c r="AW49" i="124"/>
  <c r="AV49" i="124"/>
  <c r="AT49" i="124"/>
  <c r="AS49" i="124"/>
  <c r="AR49" i="124"/>
  <c r="AQ49" i="124"/>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H75" i="125" s="1"/>
  <c r="AX40" i="124"/>
  <c r="AW40" i="124"/>
  <c r="AV40" i="124"/>
  <c r="AT40" i="124"/>
  <c r="AS40" i="124"/>
  <c r="AR40" i="124"/>
  <c r="AQ40" i="124"/>
  <c r="CX40" i="124" s="1"/>
  <c r="AP40" i="124"/>
  <c r="BW50" i="124"/>
  <c r="BU50" i="124"/>
  <c r="BT50" i="124"/>
  <c r="BS50" i="124"/>
  <c r="BQ50" i="124"/>
  <c r="BP50" i="124"/>
  <c r="BO50" i="124"/>
  <c r="BN50" i="124"/>
  <c r="BM50" i="124"/>
  <c r="BV49" i="124"/>
  <c r="BR49" i="124"/>
  <c r="BV48" i="124"/>
  <c r="BR48" i="124"/>
  <c r="BW47" i="124"/>
  <c r="BU47" i="124"/>
  <c r="BT47" i="124"/>
  <c r="BS47" i="124"/>
  <c r="BQ47" i="124"/>
  <c r="BP47" i="124"/>
  <c r="BO47" i="124"/>
  <c r="BN47" i="124"/>
  <c r="BM47" i="124"/>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L65" i="127" l="1"/>
  <c r="H65" i="127"/>
  <c r="CX49" i="124"/>
  <c r="CX50" i="124" s="1"/>
  <c r="CX47" i="124"/>
  <c r="BR41" i="124"/>
  <c r="BV44" i="124"/>
  <c r="H78" i="125"/>
  <c r="AU43" i="124"/>
  <c r="BR44" i="124"/>
  <c r="AU45" i="124"/>
  <c r="AU42" i="124"/>
  <c r="AU48" i="124"/>
  <c r="AU40" i="124"/>
  <c r="AU46" i="124"/>
  <c r="BV41" i="124"/>
  <c r="AU49" i="124"/>
  <c r="K3" i="127"/>
  <c r="L28" i="127"/>
  <c r="C241" i="121"/>
  <c r="F75" i="125" l="1"/>
  <c r="F78" i="125"/>
  <c r="J3" i="127"/>
  <c r="K28" i="127"/>
  <c r="J25" i="112"/>
  <c r="H25" i="112"/>
  <c r="G25" i="112"/>
  <c r="F25" i="112"/>
  <c r="C25" i="112"/>
  <c r="B98"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2" i="125"/>
  <c r="B52" i="125"/>
  <c r="C28" i="127" l="1"/>
  <c r="C27" i="127" s="1"/>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C7" i="124"/>
  <c r="CK14" i="124"/>
  <c r="CO53" i="124" l="1"/>
  <c r="CW53" i="124"/>
  <c r="CT53" i="124"/>
  <c r="CO54" i="124"/>
  <c r="CT54" i="124"/>
  <c r="CW54" i="124"/>
  <c r="CP51" i="124"/>
  <c r="CU51" i="124"/>
  <c r="CU65" i="124" s="1"/>
  <c r="CX51" i="124"/>
  <c r="D7" i="124"/>
  <c r="CJ53" i="124"/>
  <c r="CJ52" i="124"/>
  <c r="CJ54" i="124"/>
  <c r="CI30" i="124"/>
  <c r="CI19" i="124"/>
  <c r="CF17" i="124"/>
  <c r="BY41" i="124"/>
  <c r="CE46" i="124"/>
  <c r="CD20" i="124"/>
  <c r="D5" i="125"/>
  <c r="CC41" i="124"/>
  <c r="CI38" i="124"/>
  <c r="CE24" i="124"/>
  <c r="CR24" i="124" s="1"/>
  <c r="CE59" i="124"/>
  <c r="CR59" i="124" s="1"/>
  <c r="CH41" i="124"/>
  <c r="CI43" i="124"/>
  <c r="CE36" i="124"/>
  <c r="CR36" i="124" s="1"/>
  <c r="CE63" i="124"/>
  <c r="CR63" i="124" s="1"/>
  <c r="CB44" i="124"/>
  <c r="CB55" i="124"/>
  <c r="CI49" i="124"/>
  <c r="CE40" i="124"/>
  <c r="CA17" i="124"/>
  <c r="CG44" i="124"/>
  <c r="CG55" i="124"/>
  <c r="CI60" i="124"/>
  <c r="CE51" i="124"/>
  <c r="CA58" i="124"/>
  <c r="CE57" i="124"/>
  <c r="CR57" i="124" s="1"/>
  <c r="BZ20" i="124"/>
  <c r="CF58" i="124"/>
  <c r="CE27" i="124"/>
  <c r="CR27" i="124" s="1"/>
  <c r="CE42" i="124"/>
  <c r="CG17" i="124"/>
  <c r="CF20" i="124"/>
  <c r="CD41" i="124"/>
  <c r="CC44" i="124"/>
  <c r="CC55" i="124"/>
  <c r="CB58" i="124"/>
  <c r="CI21" i="124"/>
  <c r="CI39" i="124"/>
  <c r="CI56" i="124"/>
  <c r="CE18" i="124"/>
  <c r="CR18" i="124" s="1"/>
  <c r="CE30" i="124"/>
  <c r="CR30" i="124" s="1"/>
  <c r="CE43" i="124"/>
  <c r="BY17" i="124"/>
  <c r="CH17" i="124"/>
  <c r="CG20" i="124"/>
  <c r="CF41" i="124"/>
  <c r="CD44" i="124"/>
  <c r="CD55" i="124"/>
  <c r="CC58" i="124"/>
  <c r="CI24" i="124"/>
  <c r="CI40" i="124"/>
  <c r="CI57" i="124"/>
  <c r="CE19" i="124"/>
  <c r="CR19" i="124" s="1"/>
  <c r="CE33" i="124"/>
  <c r="CR33" i="124" s="1"/>
  <c r="CE45" i="124"/>
  <c r="CR45" i="124" s="1"/>
  <c r="BZ17" i="124"/>
  <c r="BY20" i="124"/>
  <c r="CH20" i="124"/>
  <c r="CG41" i="124"/>
  <c r="CF44" i="124"/>
  <c r="CF55" i="124"/>
  <c r="CD58" i="124"/>
  <c r="CI27" i="124"/>
  <c r="CI42" i="124"/>
  <c r="CI59" i="124"/>
  <c r="CE37" i="124"/>
  <c r="CR37" i="124" s="1"/>
  <c r="CE60" i="124"/>
  <c r="CA20" i="124"/>
  <c r="BY44" i="124"/>
  <c r="BY55" i="124"/>
  <c r="CG58" i="124"/>
  <c r="CI45" i="124"/>
  <c r="CE38" i="124"/>
  <c r="CR38" i="124" s="1"/>
  <c r="CE49" i="124"/>
  <c r="CE61" i="124"/>
  <c r="CR61" i="124" s="1"/>
  <c r="CC17" i="124"/>
  <c r="CB20" i="124"/>
  <c r="CA41" i="124"/>
  <c r="BZ44" i="124"/>
  <c r="BZ55" i="124"/>
  <c r="BY58" i="124"/>
  <c r="CH58" i="124"/>
  <c r="CI36" i="124"/>
  <c r="CI46" i="124"/>
  <c r="CI62" i="124"/>
  <c r="CE48" i="124"/>
  <c r="CR48" i="124" s="1"/>
  <c r="CB17" i="124"/>
  <c r="BZ41" i="124"/>
  <c r="CH44" i="124"/>
  <c r="CH55" i="124"/>
  <c r="CI33" i="124"/>
  <c r="CI61" i="124"/>
  <c r="CE21" i="124"/>
  <c r="CR21" i="124" s="1"/>
  <c r="CE39" i="124"/>
  <c r="CR39" i="124" s="1"/>
  <c r="CE56" i="124"/>
  <c r="CR56" i="124" s="1"/>
  <c r="CE62" i="124"/>
  <c r="CR62" i="124" s="1"/>
  <c r="CD17" i="124"/>
  <c r="CC20" i="124"/>
  <c r="CB41" i="124"/>
  <c r="CA44" i="124"/>
  <c r="CA55" i="124"/>
  <c r="BZ58" i="124"/>
  <c r="CI18" i="124"/>
  <c r="CI37" i="124"/>
  <c r="CI48" i="124"/>
  <c r="CI63" i="124"/>
  <c r="AL67" i="124"/>
  <c r="CW60" i="124" l="1"/>
  <c r="CR60" i="124"/>
  <c r="CW40" i="124"/>
  <c r="CR40" i="124"/>
  <c r="CW43" i="124"/>
  <c r="CR43" i="124"/>
  <c r="CW42" i="124"/>
  <c r="CR42" i="124"/>
  <c r="CW49" i="124"/>
  <c r="CR49" i="124"/>
  <c r="CW46" i="124"/>
  <c r="CR46" i="124"/>
  <c r="F101" i="125"/>
  <c r="F93" i="125"/>
  <c r="F91" i="125"/>
  <c r="F90" i="125"/>
  <c r="CW45" i="124"/>
  <c r="CW48" i="124"/>
  <c r="CW50" i="124" s="1"/>
  <c r="F92" i="125"/>
  <c r="CJ30" i="124"/>
  <c r="F102" i="125"/>
  <c r="F94" i="125"/>
  <c r="CO51" i="124"/>
  <c r="CW51" i="124"/>
  <c r="CT51" i="124"/>
  <c r="CT65" i="124" s="1"/>
  <c r="CB65" i="124"/>
  <c r="CG65" i="124"/>
  <c r="CF65" i="124"/>
  <c r="BY65" i="124"/>
  <c r="BZ65" i="124"/>
  <c r="CD65" i="124"/>
  <c r="CC65" i="124"/>
  <c r="CJ49" i="124"/>
  <c r="CJ56" i="124"/>
  <c r="CJ21" i="124"/>
  <c r="CH65" i="124"/>
  <c r="CA65" i="124"/>
  <c r="G91" i="125"/>
  <c r="G93" i="125"/>
  <c r="G102" i="125"/>
  <c r="F97" i="125"/>
  <c r="G92" i="125"/>
  <c r="G90" i="125"/>
  <c r="G94" i="125"/>
  <c r="G101" i="125"/>
  <c r="G97" i="125"/>
  <c r="E98" i="125"/>
  <c r="F98" i="125"/>
  <c r="CJ27" i="124"/>
  <c r="CJ19" i="124"/>
  <c r="CI17" i="124"/>
  <c r="I75" i="125"/>
  <c r="CE20" i="124"/>
  <c r="CR20" i="124" s="1"/>
  <c r="CJ43" i="124"/>
  <c r="CJ59" i="124"/>
  <c r="CJ24" i="124"/>
  <c r="CJ63" i="124"/>
  <c r="CJ45" i="124"/>
  <c r="CJ48" i="124"/>
  <c r="CJ36" i="124"/>
  <c r="CJ57" i="124"/>
  <c r="CJ33" i="124"/>
  <c r="CJ60" i="124"/>
  <c r="CJ62" i="124"/>
  <c r="CJ37" i="124"/>
  <c r="CJ39" i="124"/>
  <c r="CJ42" i="124"/>
  <c r="CJ18" i="124"/>
  <c r="CJ46" i="124"/>
  <c r="CJ61" i="124"/>
  <c r="CI20" i="124"/>
  <c r="CJ40" i="124"/>
  <c r="CJ38" i="124"/>
  <c r="C5" i="112"/>
  <c r="C6" i="112"/>
  <c r="CW47" i="124" l="1"/>
  <c r="O75" i="125"/>
  <c r="R92" i="125"/>
  <c r="L98" i="125"/>
  <c r="J94" i="125"/>
  <c r="P94" i="125" s="1"/>
  <c r="R94" i="125"/>
  <c r="R90" i="125"/>
  <c r="R102" i="125"/>
  <c r="R91" i="125"/>
  <c r="R93" i="125"/>
  <c r="R97" i="125"/>
  <c r="R101" i="125"/>
  <c r="J75" i="125"/>
  <c r="S75" i="125" s="1"/>
  <c r="I94" i="125"/>
  <c r="S94" i="125" s="1"/>
  <c r="F89" i="125"/>
  <c r="G88" i="125"/>
  <c r="I98" i="125"/>
  <c r="I97" i="125"/>
  <c r="J97" i="125"/>
  <c r="P97" i="125" s="1"/>
  <c r="I78" i="125"/>
  <c r="J78" i="125"/>
  <c r="G89" i="125"/>
  <c r="CJ20" i="124"/>
  <c r="S97" i="125" l="1"/>
  <c r="R89" i="125"/>
  <c r="S78" i="125"/>
  <c r="O78" i="125"/>
  <c r="O94" i="125"/>
  <c r="O97" i="125"/>
  <c r="O98" i="125"/>
  <c r="Y98" i="125" s="1"/>
  <c r="N224" i="121"/>
  <c r="B67" i="124"/>
  <c r="C224" i="121" s="1"/>
  <c r="CD50" i="124" l="1"/>
  <c r="CD47" i="124"/>
  <c r="CC50" i="124"/>
  <c r="CC47" i="124"/>
  <c r="CB50" i="124"/>
  <c r="CB47" i="124"/>
  <c r="CA50" i="124"/>
  <c r="CA47" i="124"/>
  <c r="BZ50" i="124"/>
  <c r="BZ47" i="124"/>
  <c r="BY50" i="124"/>
  <c r="BY47" i="124"/>
  <c r="CH50" i="124"/>
  <c r="CH47" i="124"/>
  <c r="CG50" i="124"/>
  <c r="CG47" i="124"/>
  <c r="CF50" i="124"/>
  <c r="CF47" i="124"/>
  <c r="CE41" i="124" l="1"/>
  <c r="CR41" i="124" s="1"/>
  <c r="CE58" i="124"/>
  <c r="CR58" i="124" s="1"/>
  <c r="CI50" i="124"/>
  <c r="CE55" i="124"/>
  <c r="CR55" i="124" s="1"/>
  <c r="CI47" i="124"/>
  <c r="CI44" i="124"/>
  <c r="CE47" i="124"/>
  <c r="CI55" i="124"/>
  <c r="CI41" i="124"/>
  <c r="CI58" i="124"/>
  <c r="CE50" i="124"/>
  <c r="CE44" i="124"/>
  <c r="CR44" i="124" s="1"/>
  <c r="CE17" i="124"/>
  <c r="CR17" i="124" s="1"/>
  <c r="F99" i="125" l="1"/>
  <c r="F96" i="125"/>
  <c r="F100" i="125"/>
  <c r="F95" i="125"/>
  <c r="G96" i="125"/>
  <c r="G99" i="125"/>
  <c r="F88" i="125"/>
  <c r="CE65" i="124"/>
  <c r="G100" i="125"/>
  <c r="G95" i="125"/>
  <c r="CJ58" i="124"/>
  <c r="CJ55" i="124"/>
  <c r="CJ44" i="124"/>
  <c r="CJ41" i="124"/>
  <c r="CJ17" i="124"/>
  <c r="D5" i="123"/>
  <c r="R96" i="125" l="1"/>
  <c r="R88" i="125"/>
  <c r="R95" i="125"/>
  <c r="R100" i="125"/>
  <c r="R99" i="125"/>
  <c r="F103" i="125"/>
  <c r="E5" i="123"/>
  <c r="I28" i="112"/>
  <c r="O28" i="112" s="1"/>
  <c r="R241" i="121" s="1"/>
  <c r="E28" i="112"/>
  <c r="M28" i="112" s="1"/>
  <c r="P241" i="121" s="1"/>
  <c r="D25" i="112"/>
  <c r="N28" i="112" l="1"/>
  <c r="Q241" i="121" s="1"/>
  <c r="D117" i="122" l="1"/>
  <c r="D118" i="122"/>
  <c r="C118" i="122"/>
  <c r="C117" i="122"/>
  <c r="F46" i="107" l="1"/>
  <c r="F56" i="107" s="1"/>
  <c r="G51" i="107" l="1"/>
  <c r="K289" i="121" s="1"/>
  <c r="F51" i="107"/>
  <c r="J289" i="121" s="1"/>
  <c r="G49" i="107"/>
  <c r="K288" i="121" s="1"/>
  <c r="F49" i="107"/>
  <c r="J288" i="121" s="1"/>
  <c r="K287" i="121"/>
  <c r="J287" i="121"/>
  <c r="C289" i="121"/>
  <c r="C288" i="121"/>
  <c r="F43" i="107"/>
  <c r="F40" i="107"/>
  <c r="F36" i="107"/>
  <c r="F31" i="107"/>
  <c r="F29" i="107" s="1"/>
  <c r="E63" i="125" l="1"/>
  <c r="E49" i="125"/>
  <c r="H79" i="124" l="1"/>
  <c r="H78" i="124"/>
  <c r="AZ36" i="124" l="1"/>
  <c r="H71" i="125" s="1"/>
  <c r="AX36" i="124"/>
  <c r="AW36" i="124"/>
  <c r="AV36" i="124"/>
  <c r="J165" i="107" l="1"/>
  <c r="J164" i="107"/>
  <c r="J162" i="107"/>
  <c r="J161" i="107"/>
  <c r="J159" i="107"/>
  <c r="J158" i="107"/>
  <c r="I16" i="107" l="1"/>
  <c r="H19" i="107" s="1"/>
  <c r="H16" i="107"/>
  <c r="H15" i="107"/>
  <c r="H17" i="107" l="1"/>
  <c r="BA44" i="124"/>
  <c r="AP44" i="124" s="1"/>
  <c r="BR39" i="124"/>
  <c r="BR38" i="124"/>
  <c r="BR37" i="124"/>
  <c r="AU37" i="124" s="1"/>
  <c r="CW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44"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B144" i="123"/>
  <c r="C164"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8" i="121"/>
  <c r="D168" i="121"/>
  <c r="G284" i="30"/>
  <c r="L59" i="121" s="1"/>
  <c r="F284" i="30"/>
  <c r="K59" i="121" s="1"/>
  <c r="J59" i="121"/>
  <c r="G214" i="121"/>
  <c r="F214" i="121"/>
  <c r="E214" i="121"/>
  <c r="D214"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5" i="121" s="1"/>
  <c r="C8" i="124"/>
  <c r="D8" i="124" s="1"/>
  <c r="C6" i="124"/>
  <c r="D6" i="124" s="1"/>
  <c r="C5" i="124"/>
  <c r="D5" i="124" s="1"/>
  <c r="D10" i="123"/>
  <c r="D7" i="123"/>
  <c r="D6" i="123"/>
  <c r="E95" i="122"/>
  <c r="G95" i="122" s="1"/>
  <c r="M276" i="121" s="1"/>
  <c r="E98" i="122"/>
  <c r="G98" i="122" s="1"/>
  <c r="M279" i="121" s="1"/>
  <c r="E97" i="122"/>
  <c r="G97" i="122" s="1"/>
  <c r="M278" i="121" s="1"/>
  <c r="E96" i="122"/>
  <c r="G96" i="122" s="1"/>
  <c r="M277" i="121" s="1"/>
  <c r="W20" i="123"/>
  <c r="AC16" i="123"/>
  <c r="C64" i="121" s="1"/>
  <c r="C37" i="121"/>
  <c r="I27" i="141"/>
  <c r="L37" i="121" s="1"/>
  <c r="N37" i="127"/>
  <c r="S295" i="121" s="1"/>
  <c r="M37" i="127"/>
  <c r="R295" i="121" s="1"/>
  <c r="L37" i="127"/>
  <c r="Q295" i="121" s="1"/>
  <c r="K37" i="127"/>
  <c r="P295" i="121" s="1"/>
  <c r="J37" i="127"/>
  <c r="O295" i="121" s="1"/>
  <c r="I37" i="127"/>
  <c r="N295" i="121" s="1"/>
  <c r="H37" i="127"/>
  <c r="M295" i="121" s="1"/>
  <c r="G37" i="127"/>
  <c r="L295" i="121" s="1"/>
  <c r="F37" i="127"/>
  <c r="K295" i="121" s="1"/>
  <c r="E37" i="127"/>
  <c r="J295" i="121" s="1"/>
  <c r="S292" i="121"/>
  <c r="R292" i="121"/>
  <c r="Q292" i="121"/>
  <c r="P292" i="121"/>
  <c r="O292" i="121"/>
  <c r="N292" i="121"/>
  <c r="M292" i="121"/>
  <c r="L292" i="121"/>
  <c r="K292" i="121"/>
  <c r="J292" i="121"/>
  <c r="D15" i="126"/>
  <c r="C74" i="122" s="1"/>
  <c r="G74" i="122" s="1"/>
  <c r="Q47" i="112"/>
  <c r="T251" i="121" s="1"/>
  <c r="Q45" i="112"/>
  <c r="T249" i="121" s="1"/>
  <c r="P47" i="112"/>
  <c r="S251" i="121" s="1"/>
  <c r="P45" i="112"/>
  <c r="S249" i="121" s="1"/>
  <c r="BK17" i="124"/>
  <c r="BI17" i="124"/>
  <c r="BH17" i="124"/>
  <c r="BG17" i="124"/>
  <c r="BE17" i="124"/>
  <c r="BD17" i="124"/>
  <c r="BC17" i="124"/>
  <c r="BB17" i="124"/>
  <c r="BA17" i="124"/>
  <c r="F35" i="127"/>
  <c r="E35" i="127"/>
  <c r="D16" i="92"/>
  <c r="B48" i="125"/>
  <c r="I221" i="121"/>
  <c r="J221" i="121"/>
  <c r="J226" i="121"/>
  <c r="K221" i="121"/>
  <c r="L226" i="121"/>
  <c r="T214" i="121"/>
  <c r="S214" i="121"/>
  <c r="U214" i="121"/>
  <c r="K214" i="121"/>
  <c r="J214" i="121"/>
  <c r="I214" i="121"/>
  <c r="L63" i="124"/>
  <c r="L62" i="124"/>
  <c r="L61" i="124"/>
  <c r="L57" i="124"/>
  <c r="D98" i="125"/>
  <c r="I18" i="124"/>
  <c r="I19" i="124"/>
  <c r="I21" i="124"/>
  <c r="I24" i="124"/>
  <c r="I27" i="124"/>
  <c r="I30" i="124"/>
  <c r="I33" i="124"/>
  <c r="I36" i="124"/>
  <c r="I37" i="124"/>
  <c r="I38" i="124"/>
  <c r="I39" i="124"/>
  <c r="I40" i="124"/>
  <c r="I45" i="124"/>
  <c r="I48" i="124"/>
  <c r="I42" i="124"/>
  <c r="I43" i="124"/>
  <c r="I55" i="124"/>
  <c r="I59" i="124"/>
  <c r="I60" i="124"/>
  <c r="I64" i="124"/>
  <c r="J227" i="121" s="1"/>
  <c r="I49" i="124"/>
  <c r="I46" i="124"/>
  <c r="I34" i="124"/>
  <c r="I31" i="124"/>
  <c r="I28" i="124"/>
  <c r="I25" i="124"/>
  <c r="I22" i="124"/>
  <c r="J18" i="124"/>
  <c r="J19" i="124"/>
  <c r="J21" i="124"/>
  <c r="J24" i="124"/>
  <c r="J27" i="124"/>
  <c r="J30" i="124"/>
  <c r="J33" i="124"/>
  <c r="J36" i="124"/>
  <c r="J37" i="124"/>
  <c r="J38" i="124"/>
  <c r="J39" i="124"/>
  <c r="J40" i="124"/>
  <c r="J45" i="124"/>
  <c r="J48" i="124"/>
  <c r="J42" i="124"/>
  <c r="J43" i="124"/>
  <c r="J55" i="124"/>
  <c r="J59" i="124"/>
  <c r="J60" i="124"/>
  <c r="J64" i="124"/>
  <c r="K227" i="121" s="1"/>
  <c r="J49" i="124"/>
  <c r="J46" i="124"/>
  <c r="J34" i="124"/>
  <c r="J31" i="124"/>
  <c r="J28" i="124"/>
  <c r="J25" i="124"/>
  <c r="J22" i="124"/>
  <c r="K18" i="124"/>
  <c r="K19" i="124"/>
  <c r="K21" i="124"/>
  <c r="K24" i="124"/>
  <c r="K27" i="124"/>
  <c r="K30" i="124"/>
  <c r="K33" i="124"/>
  <c r="K36" i="124"/>
  <c r="K37" i="124"/>
  <c r="K38" i="124"/>
  <c r="K39" i="124"/>
  <c r="K45" i="124"/>
  <c r="K48" i="124"/>
  <c r="K42" i="124"/>
  <c r="K43" i="124"/>
  <c r="K55" i="124"/>
  <c r="K59" i="124"/>
  <c r="K60" i="124"/>
  <c r="K64" i="124"/>
  <c r="L227"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CS63" i="124" s="1"/>
  <c r="AY62" i="124"/>
  <c r="AY61" i="124"/>
  <c r="AY57" i="124"/>
  <c r="CS57" i="124" s="1"/>
  <c r="AY56" i="124"/>
  <c r="CS56" i="124" s="1"/>
  <c r="AV19" i="124"/>
  <c r="AV37" i="124"/>
  <c r="AV38" i="124"/>
  <c r="AV39" i="124"/>
  <c r="AV55" i="124"/>
  <c r="AV59" i="124"/>
  <c r="AV64" i="124"/>
  <c r="AV34" i="124"/>
  <c r="AV31" i="124"/>
  <c r="AV28" i="124"/>
  <c r="AV25" i="124"/>
  <c r="AW18" i="124"/>
  <c r="AW19" i="124"/>
  <c r="AW37" i="124"/>
  <c r="AW38" i="124"/>
  <c r="AW39" i="124"/>
  <c r="AW55" i="124"/>
  <c r="AW59" i="124"/>
  <c r="AW64" i="124"/>
  <c r="AW34" i="124"/>
  <c r="AW31" i="124"/>
  <c r="AW28" i="124"/>
  <c r="AW25" i="124"/>
  <c r="AW22" i="124"/>
  <c r="AX18" i="124"/>
  <c r="AX19" i="124"/>
  <c r="AX37" i="124"/>
  <c r="AX38" i="124"/>
  <c r="AX39" i="124"/>
  <c r="AX55" i="124"/>
  <c r="AX59" i="124"/>
  <c r="AX64" i="124"/>
  <c r="AX34" i="124"/>
  <c r="AX31" i="124"/>
  <c r="AX28" i="124"/>
  <c r="AX25" i="124"/>
  <c r="AX22" i="124"/>
  <c r="BJ60" i="124"/>
  <c r="BJ59" i="124"/>
  <c r="BJ49" i="124"/>
  <c r="AY49" i="124" s="1"/>
  <c r="CS49" i="124" s="1"/>
  <c r="BJ48" i="124"/>
  <c r="AY48" i="124" s="1"/>
  <c r="CS48" i="124" s="1"/>
  <c r="BJ46" i="124"/>
  <c r="AY46" i="124" s="1"/>
  <c r="CS46" i="124" s="1"/>
  <c r="BJ45" i="124"/>
  <c r="AY45" i="124" s="1"/>
  <c r="CS45" i="124" s="1"/>
  <c r="BJ43" i="124"/>
  <c r="AY43" i="124" s="1"/>
  <c r="CS43" i="124" s="1"/>
  <c r="BJ42" i="124"/>
  <c r="AY42" i="124" s="1"/>
  <c r="CS42" i="124" s="1"/>
  <c r="BJ40" i="124"/>
  <c r="AY40" i="124" s="1"/>
  <c r="BJ38" i="124"/>
  <c r="BJ36" i="124"/>
  <c r="BJ33" i="124"/>
  <c r="BJ30" i="124"/>
  <c r="BJ27" i="124"/>
  <c r="BJ24" i="124"/>
  <c r="BJ21" i="124"/>
  <c r="BJ19" i="124"/>
  <c r="BG20" i="124"/>
  <c r="BG44" i="124"/>
  <c r="AV44" i="124" s="1"/>
  <c r="BG41" i="124"/>
  <c r="AV41" i="124" s="1"/>
  <c r="BG58" i="124"/>
  <c r="BG50" i="124"/>
  <c r="BG47" i="124"/>
  <c r="BH20" i="124"/>
  <c r="BH44" i="124"/>
  <c r="AW44" i="124" s="1"/>
  <c r="BH41" i="124"/>
  <c r="AW41" i="124" s="1"/>
  <c r="BH58" i="124"/>
  <c r="BH50" i="124"/>
  <c r="BH47" i="124"/>
  <c r="BI20" i="124"/>
  <c r="BI44" i="124"/>
  <c r="AX44" i="124" s="1"/>
  <c r="BI41" i="124"/>
  <c r="AX41" i="124" s="1"/>
  <c r="BI58" i="124"/>
  <c r="BI50" i="124"/>
  <c r="BI47" i="124"/>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G63" i="125" s="1"/>
  <c r="AA141" i="123"/>
  <c r="G62" i="125" s="1"/>
  <c r="AA139" i="123"/>
  <c r="AA138" i="123"/>
  <c r="G61" i="125" s="1"/>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G52" i="125" s="1"/>
  <c r="AA90" i="123"/>
  <c r="AA89" i="123"/>
  <c r="AA88" i="123"/>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Z87" i="123"/>
  <c r="Z92" i="123"/>
  <c r="Z95" i="123"/>
  <c r="Z122" i="123"/>
  <c r="Z130" i="123"/>
  <c r="Z135" i="123"/>
  <c r="Z140" i="123"/>
  <c r="T163" i="121" s="1"/>
  <c r="Y19" i="123"/>
  <c r="Y58" i="123"/>
  <c r="Y81" i="123"/>
  <c r="Y87" i="123"/>
  <c r="Y92" i="123"/>
  <c r="Y95" i="123"/>
  <c r="Y122" i="123"/>
  <c r="Y130" i="123"/>
  <c r="Y135" i="123"/>
  <c r="Y140" i="123"/>
  <c r="S163" i="121" s="1"/>
  <c r="X19" i="123"/>
  <c r="X58" i="123"/>
  <c r="X81" i="123"/>
  <c r="X87" i="123"/>
  <c r="X92" i="123"/>
  <c r="X95" i="123"/>
  <c r="X122" i="123"/>
  <c r="X130" i="123"/>
  <c r="X135" i="123"/>
  <c r="X140" i="123"/>
  <c r="R163" i="121" s="1"/>
  <c r="L140" i="123"/>
  <c r="K163" i="121" s="1"/>
  <c r="K140" i="123"/>
  <c r="J163" i="121" s="1"/>
  <c r="J140" i="123"/>
  <c r="I163" i="121" s="1"/>
  <c r="M142" i="123"/>
  <c r="D63" i="125" s="1"/>
  <c r="M63" i="125" s="1"/>
  <c r="M141" i="123"/>
  <c r="D62" i="125" s="1"/>
  <c r="M62" i="125" s="1"/>
  <c r="M139" i="123"/>
  <c r="M138" i="123"/>
  <c r="D61"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K95" i="123"/>
  <c r="L95" i="123"/>
  <c r="M94" i="123"/>
  <c r="M93" i="123"/>
  <c r="M91" i="123"/>
  <c r="D52" i="125" s="1"/>
  <c r="M90" i="123"/>
  <c r="M89" i="123"/>
  <c r="M88" i="123"/>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L87" i="123"/>
  <c r="L92" i="123"/>
  <c r="L122" i="123"/>
  <c r="L130" i="123"/>
  <c r="L135" i="123"/>
  <c r="M20" i="123"/>
  <c r="J19" i="123"/>
  <c r="J58" i="123"/>
  <c r="J81" i="123"/>
  <c r="J87" i="123"/>
  <c r="J92" i="123"/>
  <c r="J122" i="123"/>
  <c r="J130" i="123"/>
  <c r="J135" i="123"/>
  <c r="K19" i="123"/>
  <c r="K58" i="123"/>
  <c r="K81" i="123"/>
  <c r="K87" i="123"/>
  <c r="K92" i="123"/>
  <c r="K122" i="123"/>
  <c r="K130" i="123"/>
  <c r="K135" i="123"/>
  <c r="AE19" i="123"/>
  <c r="CQ17" i="124"/>
  <c r="AH81" i="123"/>
  <c r="CQ20" i="124"/>
  <c r="AH19" i="123"/>
  <c r="AH58" i="123"/>
  <c r="AH95" i="123"/>
  <c r="CQ44" i="124"/>
  <c r="CQ41" i="124"/>
  <c r="AH87" i="123"/>
  <c r="CI51" i="124"/>
  <c r="AH92" i="123"/>
  <c r="CQ55" i="124"/>
  <c r="AH122" i="123"/>
  <c r="AH130" i="123"/>
  <c r="AH135" i="123"/>
  <c r="CQ58" i="124"/>
  <c r="C245" i="121"/>
  <c r="E26" i="112"/>
  <c r="E27" i="112"/>
  <c r="M27" i="112" s="1"/>
  <c r="P240" i="121" s="1"/>
  <c r="E29" i="112"/>
  <c r="M29" i="112" s="1"/>
  <c r="P242" i="121" s="1"/>
  <c r="F13" i="112"/>
  <c r="E44" i="112"/>
  <c r="E52" i="112" s="1"/>
  <c r="H255" i="121" s="1"/>
  <c r="I44" i="112"/>
  <c r="J44" i="112"/>
  <c r="C7" i="112"/>
  <c r="CK52" i="124"/>
  <c r="CK54" i="124"/>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CX36" i="124" s="1"/>
  <c r="AT36" i="124"/>
  <c r="AP38" i="124"/>
  <c r="AQ38" i="124"/>
  <c r="CX38" i="124" s="1"/>
  <c r="AT38" i="124"/>
  <c r="AP39" i="124"/>
  <c r="AQ39" i="124"/>
  <c r="CX39" i="124" s="1"/>
  <c r="AT39" i="124"/>
  <c r="AU56" i="124"/>
  <c r="CW56" i="124" s="1"/>
  <c r="AU57" i="124"/>
  <c r="CW57" i="124" s="1"/>
  <c r="AP59" i="124"/>
  <c r="AQ59" i="124"/>
  <c r="CX59" i="124" s="1"/>
  <c r="AT59" i="124"/>
  <c r="AU62" i="124"/>
  <c r="CW62" i="124" s="1"/>
  <c r="AU61" i="124"/>
  <c r="CW61" i="124" s="1"/>
  <c r="CO17" i="124"/>
  <c r="CO20" i="124"/>
  <c r="CO44" i="124"/>
  <c r="CO41" i="124"/>
  <c r="CO55" i="124"/>
  <c r="CO58" i="124"/>
  <c r="M18" i="124"/>
  <c r="M19" i="124"/>
  <c r="M21" i="124"/>
  <c r="M24" i="124"/>
  <c r="M27" i="124"/>
  <c r="M30" i="124"/>
  <c r="M33" i="124"/>
  <c r="M36" i="124"/>
  <c r="M37" i="124"/>
  <c r="M38" i="124"/>
  <c r="M39" i="124"/>
  <c r="M40" i="124"/>
  <c r="M45" i="124"/>
  <c r="M48" i="124"/>
  <c r="M42" i="124"/>
  <c r="M43" i="124"/>
  <c r="M55" i="124"/>
  <c r="M59" i="124"/>
  <c r="M60" i="124"/>
  <c r="AZ18" i="124"/>
  <c r="AZ19" i="124"/>
  <c r="AZ37" i="124"/>
  <c r="H72" i="125" s="1"/>
  <c r="H20" i="125" s="1"/>
  <c r="AZ38" i="124"/>
  <c r="H73" i="125" s="1"/>
  <c r="AZ39" i="124"/>
  <c r="H74" i="125" s="1"/>
  <c r="AZ55" i="124"/>
  <c r="H79" i="125" s="1"/>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D38" i="124"/>
  <c r="G38" i="124"/>
  <c r="C39" i="124"/>
  <c r="D39" i="124"/>
  <c r="G39" i="124"/>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E78" i="125" s="1"/>
  <c r="N78" i="125" s="1"/>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W89" i="123"/>
  <c r="W90" i="123"/>
  <c r="W91" i="123"/>
  <c r="F52" i="125" s="1"/>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F63" i="125" s="1"/>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I89" i="123"/>
  <c r="I90" i="123"/>
  <c r="I91" i="123"/>
  <c r="C52"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I141" i="123"/>
  <c r="C62" i="125" s="1"/>
  <c r="I142" i="123"/>
  <c r="C63" i="125" s="1"/>
  <c r="E60" i="127"/>
  <c r="J304" i="121" s="1"/>
  <c r="N53" i="127"/>
  <c r="S301" i="121" s="1"/>
  <c r="M53" i="127"/>
  <c r="R301" i="121" s="1"/>
  <c r="L53" i="127"/>
  <c r="Q301" i="121" s="1"/>
  <c r="K53" i="127"/>
  <c r="P301" i="121" s="1"/>
  <c r="J53" i="127"/>
  <c r="O301" i="121" s="1"/>
  <c r="I53" i="127"/>
  <c r="N301" i="121" s="1"/>
  <c r="H53" i="127"/>
  <c r="M301" i="121" s="1"/>
  <c r="G53" i="127"/>
  <c r="L301" i="121" s="1"/>
  <c r="F53" i="127"/>
  <c r="K301" i="121" s="1"/>
  <c r="E53" i="127"/>
  <c r="J301" i="121" s="1"/>
  <c r="E44" i="127"/>
  <c r="J298" i="121" s="1"/>
  <c r="N8" i="127"/>
  <c r="S293" i="121" s="1"/>
  <c r="M8" i="127"/>
  <c r="R293" i="121" s="1"/>
  <c r="L8" i="127"/>
  <c r="Q293" i="121" s="1"/>
  <c r="P293" i="121"/>
  <c r="O293" i="121"/>
  <c r="AH140" i="123"/>
  <c r="AG140" i="123"/>
  <c r="AF140" i="123"/>
  <c r="AE140" i="123"/>
  <c r="V163" i="121" s="1"/>
  <c r="AD140" i="123"/>
  <c r="U163" i="121" s="1"/>
  <c r="W139" i="123"/>
  <c r="V140" i="123"/>
  <c r="P163" i="121" s="1"/>
  <c r="U140" i="123"/>
  <c r="T140" i="123"/>
  <c r="O163" i="121" s="1"/>
  <c r="S140" i="123"/>
  <c r="N163" i="121" s="1"/>
  <c r="R140" i="123"/>
  <c r="M163" i="121" s="1"/>
  <c r="Q140" i="123"/>
  <c r="H140" i="123"/>
  <c r="G163" i="121" s="1"/>
  <c r="G140" i="123"/>
  <c r="F140" i="123"/>
  <c r="F163" i="121" s="1"/>
  <c r="E140" i="123"/>
  <c r="E163" i="121" s="1"/>
  <c r="D140" i="123"/>
  <c r="D163" i="121" s="1"/>
  <c r="C140" i="123"/>
  <c r="E123" i="56"/>
  <c r="K21" i="121" s="1"/>
  <c r="D123" i="56"/>
  <c r="J21" i="121" s="1"/>
  <c r="E116" i="56"/>
  <c r="D116" i="56"/>
  <c r="J20" i="121" s="1"/>
  <c r="C70" i="1"/>
  <c r="J5" i="121" s="1"/>
  <c r="C65" i="1"/>
  <c r="J4" i="121" s="1"/>
  <c r="S279" i="30"/>
  <c r="J28" i="121"/>
  <c r="C42" i="121"/>
  <c r="C40" i="121"/>
  <c r="C39" i="121"/>
  <c r="C35" i="121"/>
  <c r="C34" i="121"/>
  <c r="N28" i="121"/>
  <c r="M28" i="121"/>
  <c r="L28" i="121"/>
  <c r="C33" i="121"/>
  <c r="C32" i="121"/>
  <c r="K148" i="141"/>
  <c r="N44" i="121" s="1"/>
  <c r="K131" i="141"/>
  <c r="N43" i="121" s="1"/>
  <c r="L36" i="121"/>
  <c r="J35" i="141"/>
  <c r="M39" i="121" s="1"/>
  <c r="C36" i="121"/>
  <c r="G21" i="141"/>
  <c r="J34" i="121" s="1"/>
  <c r="I21" i="141"/>
  <c r="L34" i="121" s="1"/>
  <c r="J38" i="141"/>
  <c r="M40" i="121" s="1"/>
  <c r="H21" i="141"/>
  <c r="K34" i="121" s="1"/>
  <c r="J63" i="141"/>
  <c r="M42" i="121" s="1"/>
  <c r="K63" i="141"/>
  <c r="N42" i="121" s="1"/>
  <c r="I63" i="141"/>
  <c r="L42" i="121" s="1"/>
  <c r="K62" i="141"/>
  <c r="I106" i="141" s="1"/>
  <c r="J62" i="141"/>
  <c r="I58" i="141"/>
  <c r="I54" i="141"/>
  <c r="L41" i="121" s="1"/>
  <c r="C16" i="92"/>
  <c r="C54" i="141"/>
  <c r="C41" i="121" s="1"/>
  <c r="J20" i="141"/>
  <c r="M33" i="121" s="1"/>
  <c r="J19" i="141"/>
  <c r="M32" i="121" s="1"/>
  <c r="J13" i="141"/>
  <c r="M31" i="121" s="1"/>
  <c r="J12" i="141"/>
  <c r="M30" i="121" s="1"/>
  <c r="K8" i="141"/>
  <c r="N29" i="121" s="1"/>
  <c r="M60" i="112"/>
  <c r="M59" i="112"/>
  <c r="M58" i="112"/>
  <c r="F19" i="112"/>
  <c r="I20" i="112"/>
  <c r="I21" i="112"/>
  <c r="I22" i="112"/>
  <c r="P22" i="112" s="1"/>
  <c r="S235" i="121" s="1"/>
  <c r="I23" i="112"/>
  <c r="N23" i="112" s="1"/>
  <c r="Q236" i="121" s="1"/>
  <c r="I26" i="112"/>
  <c r="I27" i="112"/>
  <c r="N27" i="112" s="1"/>
  <c r="Q240" i="121" s="1"/>
  <c r="I29" i="112"/>
  <c r="O29" i="112" s="1"/>
  <c r="R242" i="121" s="1"/>
  <c r="I30" i="112"/>
  <c r="N30" i="112" s="1"/>
  <c r="Q243" i="121" s="1"/>
  <c r="K21" i="112"/>
  <c r="K23" i="112"/>
  <c r="K27" i="112"/>
  <c r="K29" i="112"/>
  <c r="K30" i="112"/>
  <c r="J19" i="112"/>
  <c r="C19" i="112"/>
  <c r="C31" i="112" s="1"/>
  <c r="D19" i="112"/>
  <c r="D31" i="112" s="1"/>
  <c r="E21" i="112"/>
  <c r="M21" i="112" s="1"/>
  <c r="P234" i="121" s="1"/>
  <c r="E22" i="112"/>
  <c r="E23" i="112"/>
  <c r="M23" i="112" s="1"/>
  <c r="P236"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U130" i="123"/>
  <c r="T130" i="123"/>
  <c r="S130" i="123"/>
  <c r="R130" i="123"/>
  <c r="Q130" i="123"/>
  <c r="D97" i="56"/>
  <c r="D99" i="56"/>
  <c r="D100" i="56"/>
  <c r="D102" i="56"/>
  <c r="D110" i="125"/>
  <c r="N19" i="123"/>
  <c r="N58" i="123"/>
  <c r="N81" i="123"/>
  <c r="N87" i="123"/>
  <c r="E51" i="125" s="1"/>
  <c r="N92" i="123"/>
  <c r="E53" i="125" s="1"/>
  <c r="N95" i="123"/>
  <c r="N122" i="123"/>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CW63" i="124" s="1"/>
  <c r="AP34" i="124"/>
  <c r="AQ34" i="124"/>
  <c r="AT34" i="124"/>
  <c r="AP31" i="124"/>
  <c r="AQ31" i="124"/>
  <c r="AT31" i="124"/>
  <c r="AP28" i="124"/>
  <c r="AQ28" i="124"/>
  <c r="AT28" i="124"/>
  <c r="AP25" i="124"/>
  <c r="AQ25" i="124"/>
  <c r="AT25" i="124"/>
  <c r="AP22" i="124"/>
  <c r="AQ22" i="124"/>
  <c r="AT22" i="124"/>
  <c r="I139" i="123"/>
  <c r="I77" i="123"/>
  <c r="I76" i="123"/>
  <c r="AG81" i="123"/>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65" i="121" s="1"/>
  <c r="B80" i="124"/>
  <c r="C228" i="121" s="1"/>
  <c r="CQ50" i="124"/>
  <c r="CQ47" i="124"/>
  <c r="CP50" i="124"/>
  <c r="CO50" i="124"/>
  <c r="CP47" i="124"/>
  <c r="CO47" i="124"/>
  <c r="CL50" i="124"/>
  <c r="CL47" i="124"/>
  <c r="BK50" i="124"/>
  <c r="BK47" i="124"/>
  <c r="BE50" i="124"/>
  <c r="BD50" i="124"/>
  <c r="BC50" i="124"/>
  <c r="BB50" i="124"/>
  <c r="BA50" i="124"/>
  <c r="BE47" i="124"/>
  <c r="BD47" i="124"/>
  <c r="BC47" i="124"/>
  <c r="BB47" i="124"/>
  <c r="BA47" i="124"/>
  <c r="V221" i="121"/>
  <c r="U221" i="121"/>
  <c r="T221" i="121"/>
  <c r="S221" i="121"/>
  <c r="R221" i="121"/>
  <c r="AO47" i="124"/>
  <c r="AN47" i="124"/>
  <c r="AM47" i="124"/>
  <c r="Q221" i="121"/>
  <c r="P221" i="121"/>
  <c r="O221" i="121"/>
  <c r="AL47" i="124"/>
  <c r="N221" i="121"/>
  <c r="M221" i="121"/>
  <c r="L221" i="121"/>
  <c r="H221" i="121"/>
  <c r="G221" i="121"/>
  <c r="F221" i="121"/>
  <c r="E221" i="121"/>
  <c r="D221" i="121"/>
  <c r="CQ35" i="124"/>
  <c r="CQ32" i="124"/>
  <c r="CQ29" i="124"/>
  <c r="CQ26" i="124"/>
  <c r="CQ23" i="124"/>
  <c r="CP35" i="124"/>
  <c r="CP32" i="124"/>
  <c r="CP29" i="124"/>
  <c r="CP26" i="124"/>
  <c r="CP23" i="124"/>
  <c r="CO35" i="124"/>
  <c r="CL35" i="124"/>
  <c r="BW35" i="124"/>
  <c r="BQ35" i="124"/>
  <c r="BP35" i="124"/>
  <c r="BO35" i="124"/>
  <c r="BN35" i="124"/>
  <c r="BM35" i="124"/>
  <c r="CO32" i="124"/>
  <c r="CL32" i="124"/>
  <c r="BW32" i="124"/>
  <c r="BQ32" i="124"/>
  <c r="BP32" i="124"/>
  <c r="BO32" i="124"/>
  <c r="BN32" i="124"/>
  <c r="BM32" i="124"/>
  <c r="CO29" i="124"/>
  <c r="CL29" i="124"/>
  <c r="BW29" i="124"/>
  <c r="BQ29" i="124"/>
  <c r="BP29" i="124"/>
  <c r="BO29" i="124"/>
  <c r="BN29" i="124"/>
  <c r="BM29" i="124"/>
  <c r="CO26" i="124"/>
  <c r="CL26" i="124"/>
  <c r="BW26" i="124"/>
  <c r="BQ26" i="124"/>
  <c r="BP26" i="124"/>
  <c r="BO26" i="124"/>
  <c r="BN26" i="124"/>
  <c r="BM26" i="124"/>
  <c r="CO23" i="124"/>
  <c r="CL23" i="124"/>
  <c r="BW23" i="124"/>
  <c r="BQ23" i="124"/>
  <c r="BP23" i="124"/>
  <c r="BO23" i="124"/>
  <c r="BN23" i="124"/>
  <c r="BM23" i="124"/>
  <c r="V214" i="121"/>
  <c r="R214" i="121"/>
  <c r="Q214" i="121"/>
  <c r="P214" i="121"/>
  <c r="O214" i="121"/>
  <c r="N214" i="121"/>
  <c r="N47" i="124"/>
  <c r="O47" i="124"/>
  <c r="P47" i="124"/>
  <c r="Q47" i="124"/>
  <c r="R47" i="124"/>
  <c r="X47" i="124"/>
  <c r="D226" i="121"/>
  <c r="E226" i="121"/>
  <c r="F226" i="121"/>
  <c r="G226" i="121"/>
  <c r="H226" i="121"/>
  <c r="I226" i="121"/>
  <c r="C64" i="124"/>
  <c r="D227" i="121" s="1"/>
  <c r="D64" i="124"/>
  <c r="E227" i="121" s="1"/>
  <c r="E64" i="124"/>
  <c r="F227" i="121" s="1"/>
  <c r="F64" i="124"/>
  <c r="G227" i="121" s="1"/>
  <c r="G64" i="124"/>
  <c r="H227" i="121" s="1"/>
  <c r="G230" i="121"/>
  <c r="H230" i="121"/>
  <c r="I230" i="121"/>
  <c r="J230" i="121"/>
  <c r="K230" i="121"/>
  <c r="L230" i="121"/>
  <c r="M230" i="121"/>
  <c r="AZ34" i="124"/>
  <c r="AR34" i="124"/>
  <c r="AZ31" i="124"/>
  <c r="AR31" i="124"/>
  <c r="AZ28" i="124"/>
  <c r="AR28" i="124"/>
  <c r="AZ25" i="124"/>
  <c r="AR25" i="124"/>
  <c r="AZ22" i="124"/>
  <c r="AR22" i="124"/>
  <c r="F167" i="121"/>
  <c r="D167" i="121"/>
  <c r="C212" i="121"/>
  <c r="C211" i="121"/>
  <c r="C210" i="121"/>
  <c r="C209" i="121"/>
  <c r="C208" i="121"/>
  <c r="C207" i="121"/>
  <c r="C206" i="121"/>
  <c r="C205" i="121"/>
  <c r="C204" i="121"/>
  <c r="C203" i="121"/>
  <c r="B50" i="124"/>
  <c r="C223" i="121" s="1"/>
  <c r="C201" i="121"/>
  <c r="C200" i="121"/>
  <c r="B47" i="124"/>
  <c r="C199" i="121" s="1"/>
  <c r="C198" i="121"/>
  <c r="C197" i="121"/>
  <c r="C196" i="121"/>
  <c r="C195" i="121"/>
  <c r="C194" i="121"/>
  <c r="C193" i="121"/>
  <c r="C192" i="121"/>
  <c r="C191" i="121"/>
  <c r="C190" i="121"/>
  <c r="C189" i="121"/>
  <c r="C188" i="121"/>
  <c r="B35" i="124"/>
  <c r="C187" i="121" s="1"/>
  <c r="C186" i="121"/>
  <c r="C185" i="121"/>
  <c r="B32" i="124"/>
  <c r="C184" i="121" s="1"/>
  <c r="C183" i="121"/>
  <c r="C182" i="121"/>
  <c r="B29" i="124"/>
  <c r="C181" i="121" s="1"/>
  <c r="C180" i="121"/>
  <c r="C179" i="121"/>
  <c r="B26" i="124"/>
  <c r="C216" i="121" s="1"/>
  <c r="C177" i="121"/>
  <c r="C176" i="121"/>
  <c r="B23" i="124"/>
  <c r="C175" i="121" s="1"/>
  <c r="C174" i="121"/>
  <c r="C173" i="121"/>
  <c r="C172" i="121"/>
  <c r="C171" i="121"/>
  <c r="C170" i="121"/>
  <c r="C169" i="121"/>
  <c r="AK35" i="124"/>
  <c r="AJ35" i="124"/>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16" i="121" s="1"/>
  <c r="AB26" i="124"/>
  <c r="AA26" i="124"/>
  <c r="Z26" i="124"/>
  <c r="AK23" i="124"/>
  <c r="AJ23" i="124"/>
  <c r="AD23" i="124"/>
  <c r="AC23" i="124"/>
  <c r="AB23" i="124"/>
  <c r="AA23" i="124"/>
  <c r="Z23" i="124"/>
  <c r="Y47" i="124"/>
  <c r="M214" i="121"/>
  <c r="L214" i="121"/>
  <c r="H214" i="121"/>
  <c r="K226" i="121"/>
  <c r="B64" i="124"/>
  <c r="C227" i="121" s="1"/>
  <c r="J152" i="123"/>
  <c r="I152" i="123"/>
  <c r="H153" i="123"/>
  <c r="H154" i="123"/>
  <c r="F152" i="123"/>
  <c r="H87" i="123"/>
  <c r="G87" i="123"/>
  <c r="E152" i="123"/>
  <c r="F87" i="123"/>
  <c r="D152" i="123"/>
  <c r="D87" i="123"/>
  <c r="C152" i="123"/>
  <c r="C87" i="123"/>
  <c r="W77" i="123"/>
  <c r="W76" i="123"/>
  <c r="W74" i="123"/>
  <c r="W73" i="123"/>
  <c r="W72" i="123"/>
  <c r="W71" i="123"/>
  <c r="W70" i="123"/>
  <c r="W69" i="123"/>
  <c r="B140" i="123"/>
  <c r="C163" i="121" s="1"/>
  <c r="C160" i="121"/>
  <c r="C159" i="121"/>
  <c r="C158" i="121"/>
  <c r="C157" i="121"/>
  <c r="C156" i="121"/>
  <c r="C155" i="121"/>
  <c r="C154" i="121"/>
  <c r="C153" i="121"/>
  <c r="C152" i="121"/>
  <c r="C151" i="121"/>
  <c r="C150" i="121"/>
  <c r="C149" i="121"/>
  <c r="C148" i="121"/>
  <c r="C147" i="121"/>
  <c r="C146" i="121"/>
  <c r="C145"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D63" i="121"/>
  <c r="Q230" i="121"/>
  <c r="P230" i="121"/>
  <c r="C31" i="121"/>
  <c r="K28" i="121"/>
  <c r="K23" i="121"/>
  <c r="J23" i="121"/>
  <c r="K19" i="121"/>
  <c r="J19" i="121"/>
  <c r="J3" i="121"/>
  <c r="D1" i="141"/>
  <c r="C44" i="121"/>
  <c r="C131" i="141"/>
  <c r="C43" i="121" s="1"/>
  <c r="C30" i="121"/>
  <c r="K142" i="141"/>
  <c r="K140" i="141" s="1"/>
  <c r="K127" i="141"/>
  <c r="K135" i="141"/>
  <c r="K118" i="141"/>
  <c r="I11" i="141"/>
  <c r="H11" i="141"/>
  <c r="C253" i="121"/>
  <c r="C252" i="121"/>
  <c r="C251" i="121"/>
  <c r="C250" i="121"/>
  <c r="C249" i="121"/>
  <c r="C248" i="121"/>
  <c r="C243" i="121"/>
  <c r="C242" i="121"/>
  <c r="C240" i="121"/>
  <c r="C239" i="121"/>
  <c r="C238" i="121"/>
  <c r="C237" i="121"/>
  <c r="C236" i="121"/>
  <c r="C235" i="121"/>
  <c r="C234" i="121"/>
  <c r="C233" i="121"/>
  <c r="C232" i="121"/>
  <c r="Q231" i="121"/>
  <c r="P231" i="121"/>
  <c r="O49" i="112"/>
  <c r="R253" i="121" s="1"/>
  <c r="I24" i="112"/>
  <c r="O24" i="112" s="1"/>
  <c r="R237" i="121" s="1"/>
  <c r="K49" i="112"/>
  <c r="K48" i="112"/>
  <c r="K46" i="112"/>
  <c r="K24" i="112"/>
  <c r="E41" i="56"/>
  <c r="D41" i="56"/>
  <c r="N16" i="127"/>
  <c r="M16" i="127"/>
  <c r="L16" i="127"/>
  <c r="E40" i="127"/>
  <c r="J297" i="121" s="1"/>
  <c r="B40" i="127"/>
  <c r="C297" i="121" s="1"/>
  <c r="F62" i="127"/>
  <c r="K306" i="121" s="1"/>
  <c r="F34" i="127"/>
  <c r="K294" i="121" s="1"/>
  <c r="E34" i="127"/>
  <c r="J294" i="121" s="1"/>
  <c r="E56" i="127"/>
  <c r="J303" i="121" s="1"/>
  <c r="E55" i="127"/>
  <c r="J302" i="121" s="1"/>
  <c r="E61" i="127"/>
  <c r="J305" i="121" s="1"/>
  <c r="E45" i="127"/>
  <c r="J299" i="121" s="1"/>
  <c r="N62" i="127"/>
  <c r="S306" i="121" s="1"/>
  <c r="M62" i="127"/>
  <c r="R306" i="121" s="1"/>
  <c r="L62" i="127"/>
  <c r="Q306" i="121" s="1"/>
  <c r="K62" i="127"/>
  <c r="P306" i="121" s="1"/>
  <c r="J62" i="127"/>
  <c r="O306" i="121" s="1"/>
  <c r="I62" i="127"/>
  <c r="N306" i="121" s="1"/>
  <c r="H62" i="127"/>
  <c r="M306" i="121" s="1"/>
  <c r="G62" i="127"/>
  <c r="L306" i="121" s="1"/>
  <c r="E62" i="127"/>
  <c r="J306" i="121" s="1"/>
  <c r="E39" i="127"/>
  <c r="J296"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300" i="121" s="1"/>
  <c r="M50" i="127"/>
  <c r="R300" i="121" s="1"/>
  <c r="L50" i="127"/>
  <c r="Q300" i="121" s="1"/>
  <c r="K50" i="127"/>
  <c r="P300" i="121" s="1"/>
  <c r="J50" i="127"/>
  <c r="O300" i="121" s="1"/>
  <c r="I50" i="127"/>
  <c r="N300" i="121" s="1"/>
  <c r="H50" i="127"/>
  <c r="M300" i="121" s="1"/>
  <c r="G50" i="127"/>
  <c r="L300" i="121" s="1"/>
  <c r="F50" i="127"/>
  <c r="K300" i="121" s="1"/>
  <c r="E50" i="127"/>
  <c r="J300" i="121" s="1"/>
  <c r="B61" i="127"/>
  <c r="C305" i="121" s="1"/>
  <c r="B60" i="127"/>
  <c r="C304" i="121" s="1"/>
  <c r="B56" i="127"/>
  <c r="C303" i="121" s="1"/>
  <c r="B55" i="127"/>
  <c r="C302" i="121" s="1"/>
  <c r="B45" i="127"/>
  <c r="C299" i="121" s="1"/>
  <c r="B44" i="127"/>
  <c r="C298" i="121" s="1"/>
  <c r="B39" i="127"/>
  <c r="C296" i="121" s="1"/>
  <c r="B8" i="127"/>
  <c r="C293" i="121" s="1"/>
  <c r="N34" i="127"/>
  <c r="S294" i="121" s="1"/>
  <c r="M34" i="127"/>
  <c r="R294" i="121" s="1"/>
  <c r="L34" i="127"/>
  <c r="Q294" i="121" s="1"/>
  <c r="K34" i="127"/>
  <c r="P294" i="121" s="1"/>
  <c r="J34" i="127"/>
  <c r="O294" i="121" s="1"/>
  <c r="I34" i="127"/>
  <c r="N294" i="121" s="1"/>
  <c r="H34" i="127"/>
  <c r="M294" i="121" s="1"/>
  <c r="G34" i="127"/>
  <c r="L294" i="121" s="1"/>
  <c r="B62" i="127"/>
  <c r="C306" i="121" s="1"/>
  <c r="B53" i="127"/>
  <c r="C301" i="121" s="1"/>
  <c r="B50" i="127"/>
  <c r="C300" i="121" s="1"/>
  <c r="B37" i="127"/>
  <c r="C295" i="121" s="1"/>
  <c r="B34" i="127"/>
  <c r="C294"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CX55" i="124" s="1"/>
  <c r="AP55" i="124"/>
  <c r="F49" i="124"/>
  <c r="S46" i="124"/>
  <c r="F46" i="124"/>
  <c r="E46" i="124"/>
  <c r="S45" i="124"/>
  <c r="CP44" i="124"/>
  <c r="CN44" i="124"/>
  <c r="CM44" i="124"/>
  <c r="BK44" i="124"/>
  <c r="AZ44" i="124" s="1"/>
  <c r="H77" i="125" s="1"/>
  <c r="BE44" i="124"/>
  <c r="AT44" i="124" s="1"/>
  <c r="BD44" i="124"/>
  <c r="AS44" i="124" s="1"/>
  <c r="BC44" i="124"/>
  <c r="AR44" i="124" s="1"/>
  <c r="BB44" i="124"/>
  <c r="AQ44" i="124" s="1"/>
  <c r="CX44" i="124" s="1"/>
  <c r="X44" i="124"/>
  <c r="R44" i="124"/>
  <c r="Q44" i="124"/>
  <c r="P44" i="124"/>
  <c r="O44" i="124"/>
  <c r="N44" i="124"/>
  <c r="S43" i="124"/>
  <c r="S42" i="124"/>
  <c r="CN41" i="124"/>
  <c r="CM41" i="124"/>
  <c r="BK41" i="124"/>
  <c r="AZ41" i="124" s="1"/>
  <c r="H76" i="125" s="1"/>
  <c r="BE41" i="124"/>
  <c r="AT41" i="124" s="1"/>
  <c r="BD41" i="124"/>
  <c r="AS41" i="124" s="1"/>
  <c r="BC41" i="124"/>
  <c r="AR41" i="124" s="1"/>
  <c r="BB41" i="124"/>
  <c r="AQ41" i="124" s="1"/>
  <c r="CX41" i="124" s="1"/>
  <c r="BA41" i="124"/>
  <c r="AP41" i="124" s="1"/>
  <c r="X41" i="124"/>
  <c r="R41" i="124"/>
  <c r="Q41" i="124"/>
  <c r="P41" i="124"/>
  <c r="O41" i="124"/>
  <c r="N41" i="124"/>
  <c r="S40" i="124"/>
  <c r="AS39" i="124"/>
  <c r="AE39" i="124"/>
  <c r="S39" i="124"/>
  <c r="AS38" i="124"/>
  <c r="AE38" i="124"/>
  <c r="S38" i="124"/>
  <c r="AT37" i="124"/>
  <c r="AS37" i="124"/>
  <c r="AR37" i="124"/>
  <c r="AQ37" i="124"/>
  <c r="CX37" i="124" s="1"/>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P65" i="124" s="1"/>
  <c r="BO17" i="124"/>
  <c r="BM17" i="124"/>
  <c r="AK17" i="124"/>
  <c r="AJ17" i="124"/>
  <c r="AD17" i="124"/>
  <c r="AC17" i="124"/>
  <c r="AB17" i="124"/>
  <c r="AA17" i="124"/>
  <c r="Z17" i="124"/>
  <c r="X17" i="124"/>
  <c r="R17" i="124"/>
  <c r="Q17" i="124"/>
  <c r="P17" i="124"/>
  <c r="O17" i="124"/>
  <c r="N17" i="124"/>
  <c r="AG135" i="123"/>
  <c r="AE135" i="123"/>
  <c r="AD135" i="123"/>
  <c r="V135" i="123"/>
  <c r="U135" i="123"/>
  <c r="T135" i="123"/>
  <c r="S135" i="123"/>
  <c r="R135" i="123"/>
  <c r="Q135" i="123"/>
  <c r="H135" i="123"/>
  <c r="G135" i="123"/>
  <c r="F135" i="123"/>
  <c r="E135" i="123"/>
  <c r="D135" i="123"/>
  <c r="C135" i="123"/>
  <c r="H130" i="123"/>
  <c r="G130" i="123"/>
  <c r="F130" i="123"/>
  <c r="E130" i="123"/>
  <c r="D130" i="123"/>
  <c r="C130" i="123"/>
  <c r="AG122" i="123"/>
  <c r="AE122" i="123"/>
  <c r="AD122" i="123"/>
  <c r="V122" i="123"/>
  <c r="U122" i="123"/>
  <c r="T122" i="123"/>
  <c r="S122" i="123"/>
  <c r="R122" i="123"/>
  <c r="Q122" i="123"/>
  <c r="H122" i="123"/>
  <c r="G122" i="123"/>
  <c r="F122" i="123"/>
  <c r="E122" i="123"/>
  <c r="D122" i="123"/>
  <c r="C122" i="123"/>
  <c r="AG95" i="123"/>
  <c r="AE95" i="123"/>
  <c r="AD95" i="123"/>
  <c r="V95" i="123"/>
  <c r="U95" i="123"/>
  <c r="T95" i="123"/>
  <c r="S95" i="123"/>
  <c r="R95" i="123"/>
  <c r="Q95" i="123"/>
  <c r="H95" i="123"/>
  <c r="G95" i="123"/>
  <c r="F95" i="123"/>
  <c r="E95" i="123"/>
  <c r="D95" i="123"/>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U81" i="123"/>
  <c r="T81" i="123"/>
  <c r="S81" i="123"/>
  <c r="R81" i="123"/>
  <c r="Q81" i="123"/>
  <c r="H81" i="123"/>
  <c r="G81" i="123"/>
  <c r="F81" i="123"/>
  <c r="E81" i="123"/>
  <c r="D81" i="123"/>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58" i="121"/>
  <c r="C257" i="121"/>
  <c r="C256" i="121"/>
  <c r="C254" i="121"/>
  <c r="K24" i="121"/>
  <c r="J24" i="121"/>
  <c r="K20" i="121"/>
  <c r="C5" i="121"/>
  <c r="C4" i="121"/>
  <c r="C5" i="92"/>
  <c r="C9" i="92" s="1"/>
  <c r="C1" i="92"/>
  <c r="O48" i="112"/>
  <c r="R252" i="121" s="1"/>
  <c r="O47" i="112"/>
  <c r="R251" i="121" s="1"/>
  <c r="O46" i="112"/>
  <c r="R250" i="121" s="1"/>
  <c r="O45" i="112"/>
  <c r="R249" i="121" s="1"/>
  <c r="N49" i="112"/>
  <c r="Q253" i="121" s="1"/>
  <c r="N48" i="112"/>
  <c r="Q252" i="121" s="1"/>
  <c r="N47" i="112"/>
  <c r="Q251" i="121" s="1"/>
  <c r="N46" i="112"/>
  <c r="Q250" i="121" s="1"/>
  <c r="N45" i="112"/>
  <c r="Q249" i="121" s="1"/>
  <c r="G43" i="107"/>
  <c r="G40" i="107"/>
  <c r="G36" i="107"/>
  <c r="G31" i="107"/>
  <c r="G29" i="107" s="1"/>
  <c r="N44" i="112"/>
  <c r="Q248" i="121" s="1"/>
  <c r="E102" i="56"/>
  <c r="E100" i="56"/>
  <c r="E99" i="56"/>
  <c r="E97" i="56"/>
  <c r="G131" i="107"/>
  <c r="C8" i="112"/>
  <c r="I61" i="112"/>
  <c r="C60" i="112"/>
  <c r="C59" i="112"/>
  <c r="C58" i="112"/>
  <c r="E24" i="112"/>
  <c r="M24" i="112" s="1"/>
  <c r="P237" i="121" s="1"/>
  <c r="J61" i="112"/>
  <c r="J64" i="112" s="1"/>
  <c r="M258"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206" i="115"/>
  <c r="B205" i="115"/>
  <c r="B204" i="115"/>
  <c r="B203" i="115"/>
  <c r="B202" i="115"/>
  <c r="B201" i="115"/>
  <c r="B200" i="115"/>
  <c r="B199" i="115"/>
  <c r="B198" i="115"/>
  <c r="B197" i="115"/>
  <c r="B196" i="115"/>
  <c r="B195" i="115"/>
  <c r="B194" i="115"/>
  <c r="B193" i="115"/>
  <c r="B192" i="115"/>
  <c r="B191" i="115"/>
  <c r="B190" i="115"/>
  <c r="B189" i="115"/>
  <c r="B188" i="115"/>
  <c r="B187" i="115"/>
  <c r="B186" i="115"/>
  <c r="B185" i="115"/>
  <c r="B184" i="115"/>
  <c r="B183" i="115"/>
  <c r="B182" i="115"/>
  <c r="B181" i="115"/>
  <c r="B180" i="115"/>
  <c r="B179" i="115"/>
  <c r="B178" i="115"/>
  <c r="B177" i="115"/>
  <c r="B176" i="115"/>
  <c r="B175" i="115"/>
  <c r="B174" i="115"/>
  <c r="B173" i="115"/>
  <c r="B172" i="115"/>
  <c r="B171" i="115"/>
  <c r="B170" i="115"/>
  <c r="B169" i="115"/>
  <c r="B168" i="115"/>
  <c r="B167" i="115"/>
  <c r="B166" i="115"/>
  <c r="B165" i="115"/>
  <c r="B164" i="115"/>
  <c r="B163" i="115"/>
  <c r="B162" i="115"/>
  <c r="B161" i="115"/>
  <c r="B160" i="115"/>
  <c r="B159" i="115"/>
  <c r="B158" i="115"/>
  <c r="B157" i="115"/>
  <c r="B156" i="115"/>
  <c r="B155" i="115"/>
  <c r="B154" i="115"/>
  <c r="B153" i="115"/>
  <c r="B152" i="115"/>
  <c r="B151" i="115"/>
  <c r="B150" i="115"/>
  <c r="B149" i="115"/>
  <c r="B148" i="115"/>
  <c r="B147" i="115"/>
  <c r="B146" i="11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33"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D25" i="92" s="1"/>
  <c r="E31" i="56"/>
  <c r="E33" i="56" s="1"/>
  <c r="E53" i="56" s="1"/>
  <c r="E55" i="56" s="1"/>
  <c r="E59" i="56" s="1"/>
  <c r="D23" i="56"/>
  <c r="D90" i="56" s="1"/>
  <c r="D92" i="56" s="1"/>
  <c r="D68" i="1" s="1"/>
  <c r="E72" i="56"/>
  <c r="F55" i="56"/>
  <c r="F59" i="56" s="1"/>
  <c r="F64" i="56" s="1"/>
  <c r="F50" i="56"/>
  <c r="F49" i="56"/>
  <c r="F48" i="56"/>
  <c r="F47" i="56"/>
  <c r="C1" i="30"/>
  <c r="D1" i="56"/>
  <c r="F3" i="56"/>
  <c r="E3" i="56"/>
  <c r="D3" i="56"/>
  <c r="F81" i="56"/>
  <c r="F62" i="56"/>
  <c r="D72" i="56"/>
  <c r="D63" i="1" s="1"/>
  <c r="B284" i="30"/>
  <c r="C59" i="121" s="1"/>
  <c r="M43" i="30"/>
  <c r="L44" i="30"/>
  <c r="K44" i="30"/>
  <c r="L43" i="30"/>
  <c r="K43" i="30"/>
  <c r="K42" i="30"/>
  <c r="N42" i="30" s="1"/>
  <c r="L41" i="30"/>
  <c r="K41" i="30"/>
  <c r="L40" i="30"/>
  <c r="L39" i="30" s="1"/>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31" i="56"/>
  <c r="D33" i="56" s="1"/>
  <c r="D7" i="1"/>
  <c r="S302" i="30"/>
  <c r="S301" i="30"/>
  <c r="S300" i="30"/>
  <c r="S299" i="30"/>
  <c r="S298" i="30"/>
  <c r="S296" i="30"/>
  <c r="S295" i="30"/>
  <c r="S294" i="30"/>
  <c r="S293" i="30"/>
  <c r="B8" i="30"/>
  <c r="C56" i="121" s="1"/>
  <c r="M9" i="30"/>
  <c r="N9" i="30" s="1"/>
  <c r="S292" i="30"/>
  <c r="S291" i="30"/>
  <c r="M44" i="30"/>
  <c r="M41" i="30"/>
  <c r="M40" i="30"/>
  <c r="M33" i="30"/>
  <c r="M27" i="30"/>
  <c r="M23" i="30"/>
  <c r="M17" i="30"/>
  <c r="M13" i="30"/>
  <c r="M36" i="30"/>
  <c r="M35" i="30"/>
  <c r="N35" i="30" s="1"/>
  <c r="M32" i="30"/>
  <c r="M31" i="30"/>
  <c r="M22" i="30"/>
  <c r="M21" i="30"/>
  <c r="M16" i="30"/>
  <c r="M12" i="30"/>
  <c r="N7" i="30"/>
  <c r="B56" i="1"/>
  <c r="C1" i="1"/>
  <c r="E63" i="1"/>
  <c r="D222" i="121"/>
  <c r="C77" i="124"/>
  <c r="C80" i="124" s="1"/>
  <c r="D228" i="121" s="1"/>
  <c r="G77" i="124"/>
  <c r="G80" i="124" s="1"/>
  <c r="H228" i="121" s="1"/>
  <c r="H17" i="125"/>
  <c r="I77" i="124"/>
  <c r="F41" i="124"/>
  <c r="H33" i="125"/>
  <c r="D77" i="124"/>
  <c r="D80" i="124" s="1"/>
  <c r="E228" i="121" s="1"/>
  <c r="J77" i="124"/>
  <c r="J80" i="124" s="1"/>
  <c r="K228" i="121" s="1"/>
  <c r="F77" i="124"/>
  <c r="F80" i="124" s="1"/>
  <c r="G228" i="121" s="1"/>
  <c r="H77" i="124"/>
  <c r="M39" i="30" l="1"/>
  <c r="K39" i="30"/>
  <c r="N39" i="30" s="1"/>
  <c r="N6" i="30"/>
  <c r="K30" i="30"/>
  <c r="M30" i="30"/>
  <c r="L30" i="30"/>
  <c r="L20" i="30"/>
  <c r="K20" i="30"/>
  <c r="M20" i="30"/>
  <c r="E94" i="125"/>
  <c r="E75" i="125"/>
  <c r="N75" i="125" s="1"/>
  <c r="D94" i="125"/>
  <c r="M94" i="125" s="1"/>
  <c r="D75" i="125"/>
  <c r="S278" i="30"/>
  <c r="E90" i="56"/>
  <c r="E92" i="56" s="1"/>
  <c r="E68" i="1" s="1"/>
  <c r="Q98" i="125"/>
  <c r="L63" i="125"/>
  <c r="Q63" i="125"/>
  <c r="Q62" i="125"/>
  <c r="R63" i="125"/>
  <c r="D28" i="125"/>
  <c r="M52" i="125"/>
  <c r="C32" i="125"/>
  <c r="Q61" i="125"/>
  <c r="C28" i="125"/>
  <c r="Q52" i="125"/>
  <c r="L52" i="125"/>
  <c r="U52" i="125" s="1"/>
  <c r="J62" i="125"/>
  <c r="P62" i="125" s="1"/>
  <c r="Z62" i="125" s="1"/>
  <c r="R52" i="125"/>
  <c r="D32" i="125"/>
  <c r="M61" i="125"/>
  <c r="V61" i="125" s="1"/>
  <c r="L112" i="141"/>
  <c r="J112" i="141"/>
  <c r="E6" i="123"/>
  <c r="AK33" i="123"/>
  <c r="AJ27" i="123"/>
  <c r="AI27" i="123"/>
  <c r="AJ75" i="123"/>
  <c r="AJ66" i="123" s="1"/>
  <c r="AJ52" i="123"/>
  <c r="AJ51" i="123" s="1"/>
  <c r="AJ33" i="123"/>
  <c r="AJ67" i="123"/>
  <c r="AK52" i="123"/>
  <c r="AK51" i="123" s="1"/>
  <c r="AI33" i="123"/>
  <c r="AK27" i="123"/>
  <c r="AK75" i="123"/>
  <c r="AK66" i="123" s="1"/>
  <c r="AK68" i="123"/>
  <c r="AI67" i="123"/>
  <c r="AJ68" i="123"/>
  <c r="AI52" i="123"/>
  <c r="AI51" i="123" s="1"/>
  <c r="AI75" i="123"/>
  <c r="AI66" i="123" s="1"/>
  <c r="AK67" i="123"/>
  <c r="AI68" i="123"/>
  <c r="E7" i="123"/>
  <c r="AK118" i="123"/>
  <c r="AI101" i="123"/>
  <c r="AJ118" i="123"/>
  <c r="AJ114" i="123"/>
  <c r="AK109" i="123"/>
  <c r="AI118" i="123"/>
  <c r="AI114" i="123"/>
  <c r="AI109" i="123"/>
  <c r="AK114" i="123"/>
  <c r="AJ109" i="123"/>
  <c r="AK101" i="123"/>
  <c r="AJ101" i="123"/>
  <c r="E60" i="1"/>
  <c r="C25" i="92"/>
  <c r="F81" i="125"/>
  <c r="F82" i="125"/>
  <c r="I82" i="125" s="1"/>
  <c r="CW64" i="124"/>
  <c r="D205" i="121"/>
  <c r="CV51" i="124"/>
  <c r="CV65" i="124" s="1"/>
  <c r="CY51" i="124"/>
  <c r="CY65" i="124" s="1"/>
  <c r="F72" i="125"/>
  <c r="J31" i="112"/>
  <c r="G36" i="125" s="1"/>
  <c r="J37" i="112"/>
  <c r="M246" i="121" s="1"/>
  <c r="E155" i="123"/>
  <c r="E165" i="121" s="1"/>
  <c r="CP65" i="124"/>
  <c r="F31" i="112"/>
  <c r="F33" i="112" s="1"/>
  <c r="I244" i="121" s="1"/>
  <c r="F37" i="112"/>
  <c r="I246" i="121" s="1"/>
  <c r="M61" i="112"/>
  <c r="G28" i="125"/>
  <c r="J52" i="125"/>
  <c r="J28" i="125" s="1"/>
  <c r="J63" i="125"/>
  <c r="P63" i="125" s="1"/>
  <c r="F28" i="125"/>
  <c r="I52" i="125"/>
  <c r="G32" i="125"/>
  <c r="J61" i="125"/>
  <c r="J32" i="125" s="1"/>
  <c r="M63" i="112"/>
  <c r="Q257" i="121" s="1"/>
  <c r="C61" i="112"/>
  <c r="M263" i="121"/>
  <c r="F44" i="112"/>
  <c r="F52" i="112" s="1"/>
  <c r="I255" i="121" s="1"/>
  <c r="N24" i="112"/>
  <c r="Q237" i="121" s="1"/>
  <c r="E50" i="112"/>
  <c r="H254" i="121" s="1"/>
  <c r="N29" i="112"/>
  <c r="Q242" i="121" s="1"/>
  <c r="BU65" i="124"/>
  <c r="B550" i="115"/>
  <c r="B619" i="115"/>
  <c r="B531" i="115"/>
  <c r="B567" i="115"/>
  <c r="B547" i="115"/>
  <c r="B595" i="115"/>
  <c r="B623" i="115"/>
  <c r="B566" i="115"/>
  <c r="B571" i="115"/>
  <c r="B555" i="115"/>
  <c r="B606" i="115"/>
  <c r="B586" i="115"/>
  <c r="B587" i="115"/>
  <c r="B607" i="115"/>
  <c r="B529" i="115"/>
  <c r="B548" i="115"/>
  <c r="B608" i="115"/>
  <c r="B530" i="115"/>
  <c r="B549" i="115"/>
  <c r="B588" i="115"/>
  <c r="B609" i="115"/>
  <c r="B589" i="115"/>
  <c r="B569" i="115"/>
  <c r="B590" i="115"/>
  <c r="B611" i="115"/>
  <c r="B610" i="115"/>
  <c r="B532" i="115"/>
  <c r="B551" i="115"/>
  <c r="B570" i="115"/>
  <c r="B591" i="115"/>
  <c r="B612" i="115"/>
  <c r="B568" i="115"/>
  <c r="B533" i="115"/>
  <c r="B613" i="115"/>
  <c r="B534" i="115"/>
  <c r="B552" i="115"/>
  <c r="B592" i="115"/>
  <c r="B614" i="115"/>
  <c r="B553" i="115"/>
  <c r="B572" i="115"/>
  <c r="B593" i="115"/>
  <c r="B615" i="115"/>
  <c r="B535" i="115"/>
  <c r="B554" i="115"/>
  <c r="B573" i="115"/>
  <c r="B594" i="115"/>
  <c r="B616" i="115"/>
  <c r="B617" i="115"/>
  <c r="B574" i="115"/>
  <c r="B536" i="115"/>
  <c r="B575" i="115"/>
  <c r="B618" i="115"/>
  <c r="B537" i="115"/>
  <c r="B576" i="115"/>
  <c r="B596" i="115"/>
  <c r="B556" i="115"/>
  <c r="B538" i="115"/>
  <c r="B557" i="115"/>
  <c r="B577" i="115"/>
  <c r="B597" i="115"/>
  <c r="B539" i="115"/>
  <c r="B558" i="115"/>
  <c r="B578" i="115"/>
  <c r="B598" i="115"/>
  <c r="B620" i="115"/>
  <c r="B559" i="115"/>
  <c r="B579" i="115"/>
  <c r="B599" i="115"/>
  <c r="B621" i="115"/>
  <c r="B622" i="115"/>
  <c r="B580" i="115"/>
  <c r="B540" i="115"/>
  <c r="B560" i="115"/>
  <c r="B600" i="115"/>
  <c r="B541" i="115"/>
  <c r="B561" i="115"/>
  <c r="B601" i="115"/>
  <c r="B542" i="115"/>
  <c r="B562" i="115"/>
  <c r="B581" i="115"/>
  <c r="B602" i="115"/>
  <c r="B543" i="115"/>
  <c r="B563" i="115"/>
  <c r="B582" i="115"/>
  <c r="B603" i="115"/>
  <c r="B624" i="115"/>
  <c r="B544" i="115"/>
  <c r="B625" i="115"/>
  <c r="B583" i="115"/>
  <c r="B545" i="115"/>
  <c r="B564" i="115"/>
  <c r="B584" i="115"/>
  <c r="B604" i="115"/>
  <c r="B626" i="115"/>
  <c r="B546" i="115"/>
  <c r="B565" i="115"/>
  <c r="B585" i="115"/>
  <c r="B605" i="115"/>
  <c r="B627" i="115"/>
  <c r="G75" i="125"/>
  <c r="CS40" i="124"/>
  <c r="F192" i="121" s="1"/>
  <c r="G81" i="125"/>
  <c r="CS61" i="124"/>
  <c r="F210" i="121" s="1"/>
  <c r="Q20" i="112"/>
  <c r="T233" i="121" s="1"/>
  <c r="R20" i="112"/>
  <c r="U233" i="121" s="1"/>
  <c r="S20" i="112"/>
  <c r="V233" i="121" s="1"/>
  <c r="CO65" i="124"/>
  <c r="G82" i="125"/>
  <c r="CS62" i="124"/>
  <c r="F211" i="121" s="1"/>
  <c r="BN65" i="124"/>
  <c r="D62" i="112"/>
  <c r="G256" i="121" s="1"/>
  <c r="BS65" i="124"/>
  <c r="E97" i="125"/>
  <c r="CQ51" i="124"/>
  <c r="CI65" i="124"/>
  <c r="D53" i="56"/>
  <c r="D55" i="56" s="1"/>
  <c r="D59" i="56" s="1"/>
  <c r="N33" i="30"/>
  <c r="L66" i="127"/>
  <c r="L69" i="127" s="1"/>
  <c r="L70" i="127" s="1"/>
  <c r="L84" i="127" s="1"/>
  <c r="M66" i="127"/>
  <c r="M69" i="127" s="1"/>
  <c r="M70" i="127" s="1"/>
  <c r="M84" i="127" s="1"/>
  <c r="BM65" i="124"/>
  <c r="BO65" i="124"/>
  <c r="O44" i="112"/>
  <c r="R248" i="121" s="1"/>
  <c r="F62" i="112"/>
  <c r="I256" i="121" s="1"/>
  <c r="R26" i="112"/>
  <c r="U239" i="121" s="1"/>
  <c r="S26" i="112"/>
  <c r="V239" i="121" s="1"/>
  <c r="Q26" i="112"/>
  <c r="T239" i="121" s="1"/>
  <c r="P26" i="112"/>
  <c r="S239" i="121" s="1"/>
  <c r="O22" i="112"/>
  <c r="R235" i="121" s="1"/>
  <c r="N22" i="112"/>
  <c r="Q235" i="121" s="1"/>
  <c r="S21" i="112"/>
  <c r="V234" i="121" s="1"/>
  <c r="R21" i="112"/>
  <c r="U234" i="121" s="1"/>
  <c r="O27" i="112"/>
  <c r="R240" i="121" s="1"/>
  <c r="S27" i="112"/>
  <c r="V240" i="121" s="1"/>
  <c r="R27" i="112"/>
  <c r="U240" i="121" s="1"/>
  <c r="N66" i="127"/>
  <c r="N69" i="127" s="1"/>
  <c r="G126" i="107"/>
  <c r="G127" i="107" s="1"/>
  <c r="G7" i="107" s="1"/>
  <c r="G111" i="125" s="1"/>
  <c r="E19" i="112"/>
  <c r="M30" i="112"/>
  <c r="P243" i="121" s="1"/>
  <c r="M22" i="112"/>
  <c r="P235" i="121" s="1"/>
  <c r="G62" i="112"/>
  <c r="J256" i="121" s="1"/>
  <c r="O30" i="112"/>
  <c r="R243" i="121" s="1"/>
  <c r="N20" i="112"/>
  <c r="Q233" i="121" s="1"/>
  <c r="O20" i="112"/>
  <c r="R233" i="121" s="1"/>
  <c r="K25" i="112"/>
  <c r="K44" i="112"/>
  <c r="I7" i="112" s="1"/>
  <c r="K19" i="112"/>
  <c r="K37" i="112" s="1"/>
  <c r="N246" i="121" s="1"/>
  <c r="I19" i="112"/>
  <c r="K126" i="141"/>
  <c r="K122" i="141" s="1"/>
  <c r="K117" i="141" s="1"/>
  <c r="F104" i="56"/>
  <c r="E122" i="125" s="1"/>
  <c r="D60" i="1"/>
  <c r="N16" i="30"/>
  <c r="N21" i="30"/>
  <c r="N41" i="30"/>
  <c r="BQ65" i="124"/>
  <c r="I8" i="112"/>
  <c r="BW65" i="124"/>
  <c r="P20" i="112"/>
  <c r="S233" i="121" s="1"/>
  <c r="J262" i="121"/>
  <c r="I25" i="112"/>
  <c r="J101" i="125"/>
  <c r="P101" i="125" s="1"/>
  <c r="C101" i="125"/>
  <c r="E101" i="125"/>
  <c r="I101" i="125"/>
  <c r="D101" i="125"/>
  <c r="M101" i="125" s="1"/>
  <c r="Q22" i="112"/>
  <c r="T235" i="121" s="1"/>
  <c r="M26" i="112"/>
  <c r="P239" i="121" s="1"/>
  <c r="E25" i="112"/>
  <c r="M25" i="112" s="1"/>
  <c r="P238" i="121" s="1"/>
  <c r="K270" i="121"/>
  <c r="E99" i="122"/>
  <c r="D122" i="122" s="1"/>
  <c r="G78" i="125"/>
  <c r="AU44" i="124"/>
  <c r="CW44" i="124" s="1"/>
  <c r="G98" i="125"/>
  <c r="CJ51" i="124"/>
  <c r="AY60" i="124"/>
  <c r="CS60" i="124" s="1"/>
  <c r="F209" i="121" s="1"/>
  <c r="BK65" i="124"/>
  <c r="AU41" i="124"/>
  <c r="CW41" i="124" s="1"/>
  <c r="BT65" i="124"/>
  <c r="J81" i="125"/>
  <c r="I81" i="125"/>
  <c r="K42" i="127"/>
  <c r="L42" i="127"/>
  <c r="M42" i="127"/>
  <c r="G42" i="127"/>
  <c r="H42" i="127"/>
  <c r="F42" i="127"/>
  <c r="J42" i="127"/>
  <c r="N42" i="127"/>
  <c r="I42" i="127"/>
  <c r="M76" i="127"/>
  <c r="L76" i="127"/>
  <c r="E42" i="127"/>
  <c r="M75" i="127"/>
  <c r="L75" i="127"/>
  <c r="T39" i="123"/>
  <c r="AF39" i="123"/>
  <c r="E104" i="56"/>
  <c r="E105" i="56" s="1"/>
  <c r="E106" i="56" s="1"/>
  <c r="E67" i="1" s="1"/>
  <c r="E39" i="123"/>
  <c r="AB131" i="123"/>
  <c r="AB121" i="123"/>
  <c r="AB88" i="123"/>
  <c r="AB65" i="123"/>
  <c r="AB56" i="123"/>
  <c r="AB43" i="123"/>
  <c r="AB32" i="123"/>
  <c r="F206" i="121"/>
  <c r="D212" i="121"/>
  <c r="D189" i="121"/>
  <c r="D210" i="121"/>
  <c r="D206" i="121"/>
  <c r="F205" i="121"/>
  <c r="D211" i="121"/>
  <c r="U98" i="125"/>
  <c r="F212" i="121"/>
  <c r="H29" i="125"/>
  <c r="AY27" i="124"/>
  <c r="J222" i="121"/>
  <c r="AY38" i="124"/>
  <c r="L219" i="121"/>
  <c r="J215" i="121"/>
  <c r="F219" i="121"/>
  <c r="K215" i="121"/>
  <c r="U218" i="121"/>
  <c r="AV58" i="124"/>
  <c r="D216" i="121"/>
  <c r="L36" i="124"/>
  <c r="L25" i="124"/>
  <c r="O215" i="121"/>
  <c r="R222" i="121"/>
  <c r="F215" i="121"/>
  <c r="M222" i="121"/>
  <c r="BJ17" i="124"/>
  <c r="K219" i="121"/>
  <c r="O219" i="121"/>
  <c r="G219" i="121"/>
  <c r="AI17" i="124"/>
  <c r="V223" i="121"/>
  <c r="AY34" i="124"/>
  <c r="L218" i="121"/>
  <c r="O217" i="121"/>
  <c r="S217" i="121"/>
  <c r="F218" i="121"/>
  <c r="M219" i="121"/>
  <c r="O216" i="121"/>
  <c r="S222" i="121"/>
  <c r="H217" i="121"/>
  <c r="V215" i="121"/>
  <c r="I223" i="121"/>
  <c r="E217" i="121"/>
  <c r="AX58" i="124"/>
  <c r="E215" i="121"/>
  <c r="I219" i="121"/>
  <c r="J219" i="121"/>
  <c r="AP58" i="124"/>
  <c r="W58" i="124"/>
  <c r="H223" i="121"/>
  <c r="D58" i="124"/>
  <c r="AW58" i="124"/>
  <c r="J223" i="121"/>
  <c r="H216" i="121"/>
  <c r="I216" i="121"/>
  <c r="Q217" i="121"/>
  <c r="AU55" i="124"/>
  <c r="CW55" i="124" s="1"/>
  <c r="J216" i="121"/>
  <c r="G215" i="121"/>
  <c r="AJ65" i="124"/>
  <c r="AW17" i="124"/>
  <c r="AV17" i="124"/>
  <c r="I222" i="121"/>
  <c r="I217" i="121"/>
  <c r="AE17" i="124"/>
  <c r="AW20" i="124"/>
  <c r="M218" i="121"/>
  <c r="L24" i="124"/>
  <c r="G217" i="121"/>
  <c r="L217" i="121"/>
  <c r="G223" i="121"/>
  <c r="Q222" i="121"/>
  <c r="H222" i="121"/>
  <c r="AU25" i="124"/>
  <c r="Q218" i="121"/>
  <c r="U217" i="121"/>
  <c r="E44" i="124"/>
  <c r="Q215" i="121"/>
  <c r="T215" i="121"/>
  <c r="Q216" i="121"/>
  <c r="H34" i="124"/>
  <c r="V222" i="121"/>
  <c r="P219" i="121"/>
  <c r="Q219" i="121"/>
  <c r="T217" i="121"/>
  <c r="R223" i="121"/>
  <c r="R217" i="121"/>
  <c r="D223" i="121"/>
  <c r="I17" i="124"/>
  <c r="J41" i="124"/>
  <c r="M41" i="124"/>
  <c r="N65" i="124"/>
  <c r="S41" i="124"/>
  <c r="H215" i="121"/>
  <c r="F217" i="121"/>
  <c r="R215" i="121"/>
  <c r="O222" i="121"/>
  <c r="AU28" i="124"/>
  <c r="F44" i="124"/>
  <c r="AZ58" i="124"/>
  <c r="H80" i="125" s="1"/>
  <c r="H19" i="125"/>
  <c r="M20" i="124"/>
  <c r="AQ58" i="124"/>
  <c r="CX58" i="124" s="1"/>
  <c r="L34" i="124"/>
  <c r="AU22" i="124"/>
  <c r="J17" i="124"/>
  <c r="AP17" i="124"/>
  <c r="C44" i="124"/>
  <c r="D215" i="121"/>
  <c r="M223" i="121"/>
  <c r="AY31" i="124"/>
  <c r="L222" i="121"/>
  <c r="E222" i="121"/>
  <c r="P215" i="121"/>
  <c r="P216" i="121"/>
  <c r="P217" i="121"/>
  <c r="P218" i="121"/>
  <c r="E223" i="121"/>
  <c r="H49" i="124"/>
  <c r="H37" i="124"/>
  <c r="H21" i="124"/>
  <c r="G17" i="124"/>
  <c r="AU33" i="124"/>
  <c r="CW33" i="124" s="1"/>
  <c r="AU21" i="124"/>
  <c r="CW21" i="124" s="1"/>
  <c r="T218" i="121"/>
  <c r="S218" i="121"/>
  <c r="AY22" i="124"/>
  <c r="AY39" i="124"/>
  <c r="L31" i="124"/>
  <c r="K222" i="121"/>
  <c r="L60" i="124"/>
  <c r="I58" i="124"/>
  <c r="S44" i="124"/>
  <c r="G222" i="121"/>
  <c r="N215" i="121"/>
  <c r="R216" i="121"/>
  <c r="N217" i="121"/>
  <c r="N219" i="121"/>
  <c r="U222" i="121"/>
  <c r="K218" i="121"/>
  <c r="L22" i="124"/>
  <c r="L43" i="124"/>
  <c r="W41" i="124"/>
  <c r="AK65" i="124"/>
  <c r="G41" i="124"/>
  <c r="Q223" i="121"/>
  <c r="T222" i="121"/>
  <c r="S223" i="121"/>
  <c r="L223" i="121"/>
  <c r="P223" i="121"/>
  <c r="F223" i="121"/>
  <c r="H22" i="125"/>
  <c r="AU39" i="124"/>
  <c r="CW39" i="124" s="1"/>
  <c r="AU19" i="124"/>
  <c r="CW19" i="124" s="1"/>
  <c r="U215" i="121"/>
  <c r="U219" i="121"/>
  <c r="T219" i="121"/>
  <c r="S215" i="121"/>
  <c r="S219" i="121"/>
  <c r="AY18" i="124"/>
  <c r="CS18" i="124" s="1"/>
  <c r="BJ20" i="124"/>
  <c r="AY33" i="124"/>
  <c r="CS33" i="124" s="1"/>
  <c r="K217" i="121"/>
  <c r="J217" i="121"/>
  <c r="L33" i="124"/>
  <c r="K223" i="121"/>
  <c r="V65" i="124"/>
  <c r="L18" i="124"/>
  <c r="L27" i="124"/>
  <c r="L42" i="124"/>
  <c r="W44" i="124"/>
  <c r="K58" i="124"/>
  <c r="K41" i="124"/>
  <c r="J44" i="124"/>
  <c r="AX20" i="124"/>
  <c r="BF17" i="124"/>
  <c r="BF58" i="124"/>
  <c r="R65" i="124"/>
  <c r="S20" i="124"/>
  <c r="H31" i="124"/>
  <c r="E216" i="121"/>
  <c r="M217" i="121"/>
  <c r="G218" i="121"/>
  <c r="N216" i="121"/>
  <c r="R218" i="121"/>
  <c r="R219" i="121"/>
  <c r="F17" i="124"/>
  <c r="J218" i="121"/>
  <c r="L28" i="124"/>
  <c r="K44" i="124"/>
  <c r="K17" i="124"/>
  <c r="BF44" i="124"/>
  <c r="AZ17" i="124"/>
  <c r="L38" i="124"/>
  <c r="G58" i="124"/>
  <c r="L49" i="124"/>
  <c r="N222" i="121"/>
  <c r="I218" i="121"/>
  <c r="N218" i="121"/>
  <c r="H219" i="121"/>
  <c r="L215" i="121"/>
  <c r="F216" i="121"/>
  <c r="M216" i="121"/>
  <c r="D218" i="121"/>
  <c r="H218" i="121"/>
  <c r="E219" i="121"/>
  <c r="AY25" i="124"/>
  <c r="O218" i="121"/>
  <c r="N223" i="121"/>
  <c r="L39" i="124"/>
  <c r="H18" i="125"/>
  <c r="AU59" i="124"/>
  <c r="CW59" i="124" s="1"/>
  <c r="AY59" i="124"/>
  <c r="CS59" i="124" s="1"/>
  <c r="L48" i="124"/>
  <c r="BV17" i="124"/>
  <c r="AY21" i="124"/>
  <c r="CS21" i="124" s="1"/>
  <c r="AR17" i="124"/>
  <c r="AU34" i="124"/>
  <c r="AT58" i="124"/>
  <c r="AU38" i="124"/>
  <c r="CW38" i="124" s="1"/>
  <c r="AU36" i="124"/>
  <c r="CW36" i="124" s="1"/>
  <c r="AU27" i="124"/>
  <c r="CW27" i="124" s="1"/>
  <c r="AQ20" i="124"/>
  <c r="CX20" i="124" s="1"/>
  <c r="AT17" i="124"/>
  <c r="I44" i="124"/>
  <c r="I20" i="124"/>
  <c r="L55" i="124"/>
  <c r="BJ44" i="124"/>
  <c r="AY44" i="124" s="1"/>
  <c r="BJ41" i="124"/>
  <c r="AY41" i="124" s="1"/>
  <c r="C41" i="124"/>
  <c r="G44" i="124"/>
  <c r="AH65" i="124"/>
  <c r="AF65" i="124"/>
  <c r="W17" i="124"/>
  <c r="AB77" i="123"/>
  <c r="F49" i="125"/>
  <c r="E45" i="125"/>
  <c r="E59" i="125"/>
  <c r="D49" i="125"/>
  <c r="E58" i="125"/>
  <c r="C49" i="125"/>
  <c r="F39" i="123"/>
  <c r="R39" i="123"/>
  <c r="AD39" i="123"/>
  <c r="E17" i="124"/>
  <c r="F58" i="124"/>
  <c r="U65" i="124"/>
  <c r="L19" i="124"/>
  <c r="L30" i="124"/>
  <c r="K20" i="124"/>
  <c r="AY19" i="124"/>
  <c r="CS19" i="124" s="1"/>
  <c r="BJ58" i="124"/>
  <c r="X65" i="124"/>
  <c r="AC65" i="124"/>
  <c r="AB65" i="124"/>
  <c r="M44" i="124"/>
  <c r="M17" i="124"/>
  <c r="AV20" i="124"/>
  <c r="AZ20" i="124"/>
  <c r="BF41" i="124"/>
  <c r="BR17" i="124"/>
  <c r="BR20" i="124"/>
  <c r="AA65" i="124"/>
  <c r="D44" i="124"/>
  <c r="H40" i="124"/>
  <c r="H38" i="124"/>
  <c r="H30" i="124"/>
  <c r="H27" i="124"/>
  <c r="H24" i="124"/>
  <c r="H19" i="124"/>
  <c r="D17" i="124"/>
  <c r="J58" i="124"/>
  <c r="J20" i="124"/>
  <c r="AU24" i="124"/>
  <c r="CW24" i="124" s="1"/>
  <c r="W20" i="124"/>
  <c r="H36" i="124"/>
  <c r="AY24" i="124"/>
  <c r="CS24" i="124" s="1"/>
  <c r="H80" i="124"/>
  <c r="I228" i="121" s="1"/>
  <c r="C215" i="121"/>
  <c r="AY55" i="124"/>
  <c r="G79" i="125" s="1"/>
  <c r="BH65" i="124"/>
  <c r="H43" i="124"/>
  <c r="S17" i="124"/>
  <c r="E58" i="124"/>
  <c r="AU18" i="124"/>
  <c r="CW18" i="124" s="1"/>
  <c r="N75" i="127"/>
  <c r="E58" i="127"/>
  <c r="D112" i="125"/>
  <c r="N76" i="127"/>
  <c r="AE20" i="124"/>
  <c r="H25" i="124"/>
  <c r="O65" i="124"/>
  <c r="AS58" i="124"/>
  <c r="M215" i="121"/>
  <c r="D217" i="121"/>
  <c r="E218" i="121"/>
  <c r="P222" i="121"/>
  <c r="U223" i="121"/>
  <c r="AR58" i="124"/>
  <c r="F20" i="124"/>
  <c r="H46" i="124"/>
  <c r="C78" i="125" s="1"/>
  <c r="H33" i="124"/>
  <c r="CK53" i="124"/>
  <c r="U216" i="121"/>
  <c r="T216" i="121"/>
  <c r="S216" i="121"/>
  <c r="AY28" i="124"/>
  <c r="AX17" i="124"/>
  <c r="AS20" i="124"/>
  <c r="I41" i="124"/>
  <c r="BG65" i="124"/>
  <c r="AI20" i="124"/>
  <c r="L21" i="124"/>
  <c r="L59" i="124"/>
  <c r="AI58" i="124"/>
  <c r="T65" i="124"/>
  <c r="L37" i="124"/>
  <c r="L46" i="124"/>
  <c r="P65" i="124"/>
  <c r="F222" i="121"/>
  <c r="V216" i="121"/>
  <c r="V217" i="121"/>
  <c r="V218" i="121"/>
  <c r="V219" i="121"/>
  <c r="T223" i="121"/>
  <c r="AR20" i="124"/>
  <c r="E20" i="124"/>
  <c r="S58" i="124"/>
  <c r="O223" i="121"/>
  <c r="AE58" i="124"/>
  <c r="Z65" i="124"/>
  <c r="G20" i="124"/>
  <c r="C17" i="124"/>
  <c r="H18" i="124"/>
  <c r="K216" i="121"/>
  <c r="AG65" i="124"/>
  <c r="Q65" i="124"/>
  <c r="AD65" i="124"/>
  <c r="H42" i="124"/>
  <c r="C20" i="124"/>
  <c r="M58" i="124"/>
  <c r="AP20" i="124"/>
  <c r="I80" i="124"/>
  <c r="J228" i="121" s="1"/>
  <c r="BD65" i="124"/>
  <c r="H39" i="124"/>
  <c r="H59" i="124"/>
  <c r="C58" i="124"/>
  <c r="D20" i="124"/>
  <c r="L45" i="124"/>
  <c r="BB65" i="124"/>
  <c r="E41" i="124"/>
  <c r="H48" i="124"/>
  <c r="AU30" i="124"/>
  <c r="CW30" i="124" s="1"/>
  <c r="AT20" i="124"/>
  <c r="AQ17" i="124"/>
  <c r="BV20" i="124"/>
  <c r="AY30" i="124"/>
  <c r="CS30" i="124" s="1"/>
  <c r="AS17" i="124"/>
  <c r="D41" i="124"/>
  <c r="H60" i="124"/>
  <c r="AU31" i="124"/>
  <c r="H45" i="124"/>
  <c r="H28" i="124"/>
  <c r="I215" i="121"/>
  <c r="H22" i="124"/>
  <c r="BI65" i="124"/>
  <c r="BF20" i="124"/>
  <c r="L216" i="121"/>
  <c r="D219" i="121"/>
  <c r="AY37" i="124"/>
  <c r="BA65" i="124"/>
  <c r="CM65" i="124"/>
  <c r="BC65" i="124"/>
  <c r="AY36" i="124"/>
  <c r="BE65" i="124"/>
  <c r="H25" i="125"/>
  <c r="Y65" i="124"/>
  <c r="CL65" i="124"/>
  <c r="CN65" i="124"/>
  <c r="C218" i="121"/>
  <c r="C222" i="121"/>
  <c r="C219" i="121"/>
  <c r="C202" i="121"/>
  <c r="C217" i="121"/>
  <c r="C178" i="121"/>
  <c r="N26" i="112"/>
  <c r="Q239" i="121" s="1"/>
  <c r="O23" i="112"/>
  <c r="R236" i="121" s="1"/>
  <c r="O21" i="112"/>
  <c r="R234" i="121" s="1"/>
  <c r="O26" i="112"/>
  <c r="R239" i="121" s="1"/>
  <c r="H62" i="112"/>
  <c r="K256" i="121" s="1"/>
  <c r="E62" i="112"/>
  <c r="H256" i="121" s="1"/>
  <c r="N21" i="112"/>
  <c r="Q234" i="121" s="1"/>
  <c r="C58" i="1"/>
  <c r="V62" i="125"/>
  <c r="M56" i="121"/>
  <c r="C66" i="1"/>
  <c r="AT11" i="164" s="1"/>
  <c r="D104" i="56"/>
  <c r="D105" i="56" s="1"/>
  <c r="H33" i="123"/>
  <c r="C27" i="123"/>
  <c r="D52" i="123"/>
  <c r="D51" i="123" s="1"/>
  <c r="J68" i="123"/>
  <c r="I46" i="123"/>
  <c r="AA68" i="123"/>
  <c r="AD52" i="123"/>
  <c r="AD51" i="123" s="1"/>
  <c r="AD33" i="123"/>
  <c r="AG27" i="123"/>
  <c r="AB127" i="123"/>
  <c r="M130" i="123"/>
  <c r="AF33" i="123"/>
  <c r="AB142" i="123"/>
  <c r="Z33" i="123"/>
  <c r="AE79" i="123"/>
  <c r="AB111" i="123"/>
  <c r="AB102" i="123"/>
  <c r="AB89" i="123"/>
  <c r="AB45" i="123"/>
  <c r="AB34" i="123"/>
  <c r="M87" i="123"/>
  <c r="AB31" i="123"/>
  <c r="W52" i="123"/>
  <c r="AG33" i="123"/>
  <c r="R52" i="123"/>
  <c r="R51" i="123" s="1"/>
  <c r="K33" i="123"/>
  <c r="J39" i="123"/>
  <c r="U39" i="123"/>
  <c r="AG39" i="123"/>
  <c r="L52" i="123"/>
  <c r="L51" i="123" s="1"/>
  <c r="X52" i="123"/>
  <c r="X51" i="123" s="1"/>
  <c r="N33" i="123"/>
  <c r="M27" i="123"/>
  <c r="V33" i="123"/>
  <c r="G27" i="123"/>
  <c r="R68" i="123"/>
  <c r="H52" i="123"/>
  <c r="H51" i="123" s="1"/>
  <c r="X33" i="123"/>
  <c r="X27" i="123"/>
  <c r="AH33" i="123"/>
  <c r="AA27" i="123"/>
  <c r="S75" i="123"/>
  <c r="S52" i="123"/>
  <c r="S51" i="123" s="1"/>
  <c r="AE52" i="123"/>
  <c r="AE51" i="123" s="1"/>
  <c r="K67" i="123"/>
  <c r="U67" i="123"/>
  <c r="E79" i="123"/>
  <c r="M52" i="123"/>
  <c r="G52" i="123"/>
  <c r="G51" i="123" s="1"/>
  <c r="L68" i="123"/>
  <c r="J27" i="123"/>
  <c r="X68" i="123"/>
  <c r="Q67" i="123"/>
  <c r="J67" i="123"/>
  <c r="Y68" i="123"/>
  <c r="AH79" i="123"/>
  <c r="G68" i="123"/>
  <c r="I33" i="123"/>
  <c r="T79" i="123"/>
  <c r="I52" i="123"/>
  <c r="C52" i="123"/>
  <c r="C51" i="123" s="1"/>
  <c r="C109" i="123"/>
  <c r="T68" i="123"/>
  <c r="H27" i="123"/>
  <c r="N27" i="123"/>
  <c r="Q68" i="123"/>
  <c r="N67" i="123"/>
  <c r="F79" i="123"/>
  <c r="N39" i="123"/>
  <c r="H67" i="123"/>
  <c r="AH75" i="123"/>
  <c r="E52" i="123"/>
  <c r="E51" i="123" s="1"/>
  <c r="AH52" i="123"/>
  <c r="AH51" i="123" s="1"/>
  <c r="AG68" i="123"/>
  <c r="R27" i="123"/>
  <c r="T27" i="123"/>
  <c r="U68" i="123"/>
  <c r="F68" i="123"/>
  <c r="M92" i="123"/>
  <c r="D53" i="125" s="1"/>
  <c r="W87" i="123"/>
  <c r="AB29" i="123"/>
  <c r="AB117" i="123"/>
  <c r="D39" i="123"/>
  <c r="AB120" i="123"/>
  <c r="AB42" i="123"/>
  <c r="W75" i="123"/>
  <c r="K39" i="123"/>
  <c r="I135" i="123"/>
  <c r="AB119" i="123"/>
  <c r="AB85" i="123"/>
  <c r="AB63" i="123"/>
  <c r="AB54" i="123"/>
  <c r="AB41" i="123"/>
  <c r="Q39" i="123"/>
  <c r="Z39" i="123"/>
  <c r="AB137" i="123"/>
  <c r="AB106" i="123"/>
  <c r="AB84" i="123"/>
  <c r="U79" i="123"/>
  <c r="I87" i="123"/>
  <c r="AF79" i="123"/>
  <c r="AB48" i="123"/>
  <c r="AB134" i="123"/>
  <c r="S39" i="123"/>
  <c r="AB73" i="123"/>
  <c r="Z79" i="123"/>
  <c r="AB37" i="123"/>
  <c r="AB61" i="123"/>
  <c r="AA92" i="123"/>
  <c r="G53" i="125" s="1"/>
  <c r="AA135" i="123"/>
  <c r="I81" i="123"/>
  <c r="I79" i="123" s="1"/>
  <c r="AB62" i="123"/>
  <c r="AB53" i="123"/>
  <c r="AF52" i="123"/>
  <c r="AF51" i="123" s="1"/>
  <c r="Y52" i="123"/>
  <c r="Y51" i="123" s="1"/>
  <c r="T52" i="123"/>
  <c r="T51" i="123" s="1"/>
  <c r="K79" i="123"/>
  <c r="W68" i="123"/>
  <c r="E67" i="123"/>
  <c r="E75" i="123"/>
  <c r="AH68" i="123"/>
  <c r="M33" i="123"/>
  <c r="V68" i="123"/>
  <c r="AD68" i="123"/>
  <c r="AB104" i="123"/>
  <c r="AB64" i="123"/>
  <c r="Y39" i="123"/>
  <c r="AB116" i="123"/>
  <c r="M46" i="123"/>
  <c r="Z52" i="123"/>
  <c r="Z51" i="123" s="1"/>
  <c r="U52" i="123"/>
  <c r="U51" i="123" s="1"/>
  <c r="J52" i="123"/>
  <c r="J51" i="123" s="1"/>
  <c r="AB98" i="123"/>
  <c r="AC98" i="123" s="1"/>
  <c r="E27" i="123"/>
  <c r="L27" i="123"/>
  <c r="D75" i="123"/>
  <c r="AH27" i="123"/>
  <c r="AG79" i="123"/>
  <c r="AA67" i="123"/>
  <c r="F75" i="123"/>
  <c r="AE33" i="123"/>
  <c r="C75" i="123"/>
  <c r="L79" i="123"/>
  <c r="H79" i="123"/>
  <c r="U63" i="125"/>
  <c r="AB112" i="123"/>
  <c r="AB28" i="123"/>
  <c r="J79" i="123"/>
  <c r="W135" i="123"/>
  <c r="AB105" i="123"/>
  <c r="AB38" i="123"/>
  <c r="AA52" i="123"/>
  <c r="V52" i="123"/>
  <c r="V51" i="123" s="1"/>
  <c r="K52" i="123"/>
  <c r="K51" i="123" s="1"/>
  <c r="F52" i="123"/>
  <c r="F51" i="123" s="1"/>
  <c r="U27" i="123"/>
  <c r="Q27" i="123"/>
  <c r="L75" i="123"/>
  <c r="L66" i="123" s="1"/>
  <c r="R33" i="123"/>
  <c r="D27" i="123"/>
  <c r="S68" i="123"/>
  <c r="AF75" i="123"/>
  <c r="C67" i="123"/>
  <c r="G75" i="123"/>
  <c r="F155" i="123"/>
  <c r="F165" i="121" s="1"/>
  <c r="I75" i="123"/>
  <c r="G39" i="123"/>
  <c r="AE39" i="123"/>
  <c r="S79" i="123"/>
  <c r="AB74" i="123"/>
  <c r="N79" i="123"/>
  <c r="AB49" i="123"/>
  <c r="E118" i="123"/>
  <c r="AB71" i="123"/>
  <c r="W122" i="123"/>
  <c r="AB115" i="123"/>
  <c r="Z118" i="123"/>
  <c r="AB136" i="123"/>
  <c r="AB72" i="123"/>
  <c r="AB55" i="123"/>
  <c r="C39" i="123"/>
  <c r="V109" i="123"/>
  <c r="AA130" i="123"/>
  <c r="F109" i="123"/>
  <c r="AB76" i="123"/>
  <c r="H152" i="123"/>
  <c r="AB50" i="123"/>
  <c r="W81" i="123"/>
  <c r="W79" i="123" s="1"/>
  <c r="W19" i="123"/>
  <c r="R109" i="123"/>
  <c r="AB20" i="123"/>
  <c r="AB126" i="123"/>
  <c r="W46" i="123"/>
  <c r="AB57" i="123"/>
  <c r="AB69" i="123"/>
  <c r="AB132" i="123"/>
  <c r="J118" i="123"/>
  <c r="H118" i="123"/>
  <c r="I19" i="123"/>
  <c r="AB125" i="123"/>
  <c r="AB107" i="123"/>
  <c r="AB97" i="123"/>
  <c r="AC97" i="123" s="1"/>
  <c r="AB86" i="123"/>
  <c r="M95" i="123"/>
  <c r="M135" i="123"/>
  <c r="AB47" i="123"/>
  <c r="AB59" i="123"/>
  <c r="AB90" i="123"/>
  <c r="AB103" i="123"/>
  <c r="F62" i="125"/>
  <c r="L62" i="125" s="1"/>
  <c r="AB141" i="123"/>
  <c r="C101" i="123"/>
  <c r="AB44" i="123"/>
  <c r="Q109" i="123"/>
  <c r="AB80" i="123"/>
  <c r="AD114" i="123"/>
  <c r="K118" i="123"/>
  <c r="AH109" i="123"/>
  <c r="I130" i="123"/>
  <c r="V63" i="125"/>
  <c r="E101" i="123"/>
  <c r="S114" i="123"/>
  <c r="T118" i="123"/>
  <c r="AB123" i="123"/>
  <c r="F61" i="125"/>
  <c r="L61" i="125" s="1"/>
  <c r="W140" i="123"/>
  <c r="Q163" i="121" s="1"/>
  <c r="W40" i="123"/>
  <c r="AB23" i="123"/>
  <c r="AB138" i="123"/>
  <c r="AG118" i="123"/>
  <c r="AE118" i="123"/>
  <c r="V118" i="123"/>
  <c r="AA95" i="123"/>
  <c r="D155" i="123"/>
  <c r="D165" i="121" s="1"/>
  <c r="U114" i="123"/>
  <c r="M114" i="123"/>
  <c r="X109" i="123"/>
  <c r="C118" i="123"/>
  <c r="R118" i="123"/>
  <c r="G118" i="123"/>
  <c r="S109" i="123"/>
  <c r="F118" i="123"/>
  <c r="AD118" i="123"/>
  <c r="G109" i="123"/>
  <c r="AG109" i="123"/>
  <c r="Z109" i="123"/>
  <c r="F114" i="123"/>
  <c r="L101" i="123"/>
  <c r="E114" i="123"/>
  <c r="M118" i="123"/>
  <c r="N118" i="123"/>
  <c r="T109" i="123"/>
  <c r="AA118" i="123"/>
  <c r="D118" i="123"/>
  <c r="H109" i="123"/>
  <c r="N109" i="123"/>
  <c r="D114" i="123"/>
  <c r="M101" i="123"/>
  <c r="X114" i="123"/>
  <c r="AG101" i="123"/>
  <c r="AH118" i="123"/>
  <c r="L109" i="123"/>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W95" i="123"/>
  <c r="AB93" i="123"/>
  <c r="I122" i="123"/>
  <c r="I118" i="123"/>
  <c r="W109" i="123"/>
  <c r="AB96" i="123"/>
  <c r="AC96" i="123" s="1"/>
  <c r="J155" i="123"/>
  <c r="I165" i="121" s="1"/>
  <c r="AB91" i="123"/>
  <c r="AB30" i="123"/>
  <c r="V39" i="123"/>
  <c r="AH39" i="123"/>
  <c r="AB70" i="123"/>
  <c r="W130" i="123"/>
  <c r="AB82" i="123"/>
  <c r="M81" i="123"/>
  <c r="M79" i="123" s="1"/>
  <c r="AB128" i="123"/>
  <c r="X39" i="123"/>
  <c r="H39" i="123"/>
  <c r="AA46" i="123"/>
  <c r="AB22" i="123"/>
  <c r="M122" i="123"/>
  <c r="AA81" i="123"/>
  <c r="AA79" i="123" s="1"/>
  <c r="C155" i="123"/>
  <c r="I92" i="123"/>
  <c r="C53" i="125" s="1"/>
  <c r="I40" i="123"/>
  <c r="M109" i="123"/>
  <c r="AB108" i="123"/>
  <c r="AB129" i="123"/>
  <c r="G49" i="125"/>
  <c r="AB78" i="123"/>
  <c r="AC78" i="123" s="1"/>
  <c r="AB83" i="123"/>
  <c r="E54" i="125"/>
  <c r="AB124" i="123"/>
  <c r="AA122" i="123"/>
  <c r="W92" i="123"/>
  <c r="AB94" i="123"/>
  <c r="W58" i="123"/>
  <c r="AB110" i="123"/>
  <c r="I63" i="125"/>
  <c r="AB133" i="123"/>
  <c r="W118" i="123"/>
  <c r="AG52" i="123"/>
  <c r="AG51" i="123" s="1"/>
  <c r="D79" i="123"/>
  <c r="Y79" i="123"/>
  <c r="AE68" i="123"/>
  <c r="Z67" i="123"/>
  <c r="Y33" i="123"/>
  <c r="W27" i="123"/>
  <c r="Z75" i="123"/>
  <c r="M68" i="123"/>
  <c r="X75" i="123"/>
  <c r="S67" i="123"/>
  <c r="F33" i="123"/>
  <c r="G79" i="123"/>
  <c r="T33" i="123"/>
  <c r="U75" i="123"/>
  <c r="W33" i="123"/>
  <c r="AD75" i="123"/>
  <c r="W67" i="123"/>
  <c r="C33" i="123"/>
  <c r="C79" i="123"/>
  <c r="D68" i="123"/>
  <c r="Q79" i="123"/>
  <c r="V75" i="123"/>
  <c r="AG75" i="123"/>
  <c r="AF67" i="123"/>
  <c r="V67" i="123"/>
  <c r="U33" i="123"/>
  <c r="S27" i="123"/>
  <c r="R75" i="123"/>
  <c r="E68" i="123"/>
  <c r="H75" i="123"/>
  <c r="L67" i="123"/>
  <c r="AF27" i="123"/>
  <c r="AE75" i="123"/>
  <c r="J33" i="123"/>
  <c r="AH67" i="123"/>
  <c r="L33" i="123"/>
  <c r="T75" i="123"/>
  <c r="I67" i="123"/>
  <c r="AD27" i="123"/>
  <c r="Y75" i="123"/>
  <c r="T67" i="123"/>
  <c r="N52" i="123"/>
  <c r="N51" i="123" s="1"/>
  <c r="E47" i="125" s="1"/>
  <c r="Q52" i="123"/>
  <c r="Q51" i="123" s="1"/>
  <c r="J75" i="123"/>
  <c r="J66" i="123" s="1"/>
  <c r="AA75" i="123"/>
  <c r="Z68" i="123"/>
  <c r="R67" i="123"/>
  <c r="Q33" i="123"/>
  <c r="K27" i="123"/>
  <c r="N75" i="123"/>
  <c r="Y67" i="123"/>
  <c r="AF68" i="123"/>
  <c r="G67" i="123"/>
  <c r="Y27" i="123"/>
  <c r="M75" i="123"/>
  <c r="D33" i="123"/>
  <c r="X67" i="123"/>
  <c r="Z27" i="123"/>
  <c r="D67" i="123"/>
  <c r="V27" i="123"/>
  <c r="Q75" i="123"/>
  <c r="M67" i="123"/>
  <c r="AD79" i="123"/>
  <c r="I68" i="123"/>
  <c r="K75" i="123"/>
  <c r="K66" i="123" s="1"/>
  <c r="N68" i="123"/>
  <c r="F67" i="123"/>
  <c r="E33" i="123"/>
  <c r="X79" i="123"/>
  <c r="AE67" i="123"/>
  <c r="R79" i="123"/>
  <c r="K68" i="123"/>
  <c r="AA33" i="123"/>
  <c r="I27" i="123"/>
  <c r="H68" i="123"/>
  <c r="C68" i="123"/>
  <c r="AE27" i="123"/>
  <c r="V79" i="123"/>
  <c r="AG67" i="123"/>
  <c r="S33" i="123"/>
  <c r="F27" i="123"/>
  <c r="AD67" i="123"/>
  <c r="G33" i="123"/>
  <c r="E60" i="125"/>
  <c r="I58" i="123"/>
  <c r="I95" i="123"/>
  <c r="M40" i="123"/>
  <c r="AA19" i="123"/>
  <c r="AB21" i="123"/>
  <c r="AB60" i="123"/>
  <c r="AF101" i="123"/>
  <c r="Q114" i="123"/>
  <c r="H101" i="123"/>
  <c r="AH101" i="123"/>
  <c r="AF114" i="123"/>
  <c r="X101" i="123"/>
  <c r="W101" i="123"/>
  <c r="K114" i="123"/>
  <c r="D101" i="123"/>
  <c r="AD101" i="123"/>
  <c r="AA114" i="123"/>
  <c r="T101" i="123"/>
  <c r="S101" i="123"/>
  <c r="C114" i="123"/>
  <c r="AG114" i="123"/>
  <c r="Y101" i="123"/>
  <c r="W114" i="123"/>
  <c r="N101" i="123"/>
  <c r="S118" i="123"/>
  <c r="R114" i="123"/>
  <c r="AH114" i="123"/>
  <c r="V101" i="123"/>
  <c r="N114" i="123"/>
  <c r="K101" i="123"/>
  <c r="I114" i="123"/>
  <c r="AB36" i="123"/>
  <c r="G101" i="123"/>
  <c r="R101" i="123"/>
  <c r="H114" i="123"/>
  <c r="AB35" i="123"/>
  <c r="AA40" i="123"/>
  <c r="F101" i="123"/>
  <c r="Q101" i="123"/>
  <c r="Z101" i="123"/>
  <c r="Z114" i="123"/>
  <c r="L39" i="123"/>
  <c r="AB139" i="123"/>
  <c r="AB25" i="123"/>
  <c r="J101" i="123"/>
  <c r="U101" i="123"/>
  <c r="AE101" i="123"/>
  <c r="D6" i="125"/>
  <c r="D7" i="125"/>
  <c r="N17" i="30"/>
  <c r="N15" i="30" s="1"/>
  <c r="N40" i="30"/>
  <c r="N44" i="30"/>
  <c r="N22" i="30"/>
  <c r="N31" i="30"/>
  <c r="N32" i="30"/>
  <c r="N23" i="30"/>
  <c r="N11" i="30"/>
  <c r="N36" i="30"/>
  <c r="N13" i="30"/>
  <c r="N27" i="30"/>
  <c r="N12" i="30"/>
  <c r="N26" i="30"/>
  <c r="N43" i="30"/>
  <c r="V114" i="123"/>
  <c r="G114" i="123"/>
  <c r="Y114" i="123"/>
  <c r="I101" i="123"/>
  <c r="AA101" i="123"/>
  <c r="L114" i="123"/>
  <c r="AE114" i="123"/>
  <c r="G56" i="107"/>
  <c r="G5" i="107" s="1"/>
  <c r="D111" i="125" s="1"/>
  <c r="S81" i="125" l="1"/>
  <c r="N30" i="30"/>
  <c r="N29" i="30" s="1"/>
  <c r="N25" i="30"/>
  <c r="N10" i="30"/>
  <c r="N20" i="30"/>
  <c r="N19" i="30" s="1"/>
  <c r="C94" i="125"/>
  <c r="C75" i="125"/>
  <c r="L78" i="125"/>
  <c r="J82" i="125"/>
  <c r="P82" i="125" s="1"/>
  <c r="Z82" i="125" s="1"/>
  <c r="D78" i="125"/>
  <c r="Q78" i="125" s="1"/>
  <c r="I62" i="112"/>
  <c r="L256" i="121" s="1"/>
  <c r="D36" i="125"/>
  <c r="M36" i="125" s="1"/>
  <c r="F34" i="112"/>
  <c r="I245" i="121" s="1"/>
  <c r="C122" i="122"/>
  <c r="L94" i="125"/>
  <c r="Q94" i="125"/>
  <c r="S101" i="125"/>
  <c r="O101" i="125"/>
  <c r="L101" i="125"/>
  <c r="Q101" i="125"/>
  <c r="G33" i="125"/>
  <c r="P81" i="125"/>
  <c r="P75" i="125"/>
  <c r="R75" i="125"/>
  <c r="M75" i="125"/>
  <c r="R98" i="125"/>
  <c r="X98" i="125" s="1"/>
  <c r="S82" i="125"/>
  <c r="I91" i="125"/>
  <c r="D72" i="125"/>
  <c r="E72" i="125"/>
  <c r="N72" i="125" s="1"/>
  <c r="W72" i="125" s="1"/>
  <c r="C72" i="125"/>
  <c r="P78" i="125"/>
  <c r="R78" i="125"/>
  <c r="R82" i="125"/>
  <c r="O82" i="125"/>
  <c r="D82" i="125"/>
  <c r="M82" i="125" s="1"/>
  <c r="C82" i="125"/>
  <c r="E82" i="125"/>
  <c r="N82" i="125" s="1"/>
  <c r="R81" i="125"/>
  <c r="O81" i="125"/>
  <c r="C81" i="125"/>
  <c r="E81" i="125"/>
  <c r="N81" i="125" s="1"/>
  <c r="D81" i="125"/>
  <c r="M81" i="125" s="1"/>
  <c r="E102" i="125"/>
  <c r="I102" i="125"/>
  <c r="D102" i="125"/>
  <c r="M102" i="125" s="1"/>
  <c r="V102" i="125" s="1"/>
  <c r="AJ100" i="123"/>
  <c r="C102" i="125"/>
  <c r="J102" i="125"/>
  <c r="P102" i="125" s="1"/>
  <c r="Z102" i="125" s="1"/>
  <c r="G34" i="125"/>
  <c r="M98" i="125"/>
  <c r="V98" i="125" s="1"/>
  <c r="AI113" i="123"/>
  <c r="S63" i="125"/>
  <c r="AA63" i="125" s="1"/>
  <c r="AK26" i="123"/>
  <c r="AK24" i="123" s="1"/>
  <c r="AK100" i="123"/>
  <c r="M28" i="125"/>
  <c r="M53" i="125"/>
  <c r="V53" i="125" s="1"/>
  <c r="P28" i="125"/>
  <c r="P32" i="125"/>
  <c r="O63" i="125"/>
  <c r="R49" i="125"/>
  <c r="I28" i="125"/>
  <c r="O28" i="125" s="1"/>
  <c r="S52" i="125"/>
  <c r="AA52" i="125" s="1"/>
  <c r="M32" i="125"/>
  <c r="L28" i="125"/>
  <c r="Q53" i="125"/>
  <c r="P61" i="125"/>
  <c r="Z61" i="125" s="1"/>
  <c r="J53" i="125"/>
  <c r="P53" i="125" s="1"/>
  <c r="Z53" i="125" s="1"/>
  <c r="Z63" i="125"/>
  <c r="O52" i="125"/>
  <c r="Y52" i="125" s="1"/>
  <c r="Q49" i="125"/>
  <c r="L49" i="125"/>
  <c r="U49" i="125" s="1"/>
  <c r="P52" i="125"/>
  <c r="Z52" i="125" s="1"/>
  <c r="J49" i="125"/>
  <c r="P49" i="125" s="1"/>
  <c r="Z49" i="125" s="1"/>
  <c r="R62" i="125"/>
  <c r="X62" i="125" s="1"/>
  <c r="R61" i="125"/>
  <c r="X61" i="125" s="1"/>
  <c r="M49" i="125"/>
  <c r="V49" i="125" s="1"/>
  <c r="AI100" i="123"/>
  <c r="AJ113" i="123"/>
  <c r="AK113" i="123"/>
  <c r="AI26" i="123"/>
  <c r="AI24" i="123" s="1"/>
  <c r="AJ26" i="123"/>
  <c r="AJ24" i="123" s="1"/>
  <c r="I72" i="125"/>
  <c r="O72" i="125" s="1"/>
  <c r="F20" i="125"/>
  <c r="E91" i="125"/>
  <c r="CX17" i="124"/>
  <c r="CX65" i="124" s="1"/>
  <c r="J72" i="125"/>
  <c r="J91" i="125"/>
  <c r="P91" i="125" s="1"/>
  <c r="F51" i="125"/>
  <c r="F27" i="125" s="1"/>
  <c r="G51" i="125"/>
  <c r="G27" i="125" s="1"/>
  <c r="C51" i="125"/>
  <c r="D51" i="125"/>
  <c r="F71" i="125"/>
  <c r="F73" i="125"/>
  <c r="D171" i="121"/>
  <c r="F77" i="125"/>
  <c r="CQ65" i="124"/>
  <c r="D182" i="121"/>
  <c r="D176" i="121"/>
  <c r="F74" i="125"/>
  <c r="D173" i="121"/>
  <c r="F76" i="125"/>
  <c r="D179" i="121"/>
  <c r="D185" i="121"/>
  <c r="N71" i="127"/>
  <c r="N83" i="127" s="1"/>
  <c r="N70" i="127"/>
  <c r="N84" i="127" s="1"/>
  <c r="AC129" i="123"/>
  <c r="D152" i="121" s="1"/>
  <c r="AC131" i="123"/>
  <c r="D154" i="121" s="1"/>
  <c r="AC74" i="123"/>
  <c r="D112" i="121" s="1"/>
  <c r="AC49" i="123"/>
  <c r="D88" i="121" s="1"/>
  <c r="AC126" i="123"/>
  <c r="D149" i="121" s="1"/>
  <c r="AC84" i="123"/>
  <c r="D122" i="121" s="1"/>
  <c r="AC64" i="123"/>
  <c r="D102" i="121" s="1"/>
  <c r="AC69" i="123"/>
  <c r="D107" i="121" s="1"/>
  <c r="AC44" i="123"/>
  <c r="D84" i="121" s="1"/>
  <c r="AC106" i="123"/>
  <c r="D140" i="121" s="1"/>
  <c r="AC38" i="123"/>
  <c r="D78" i="121" s="1"/>
  <c r="AC48" i="123"/>
  <c r="D87" i="121" s="1"/>
  <c r="AC57" i="123"/>
  <c r="D95" i="121" s="1"/>
  <c r="X63" i="125"/>
  <c r="AC137" i="123"/>
  <c r="D160" i="121" s="1"/>
  <c r="AC127" i="123"/>
  <c r="D150" i="121" s="1"/>
  <c r="AC29" i="123"/>
  <c r="D69" i="121" s="1"/>
  <c r="AC35" i="123"/>
  <c r="D75" i="121" s="1"/>
  <c r="AC132" i="123"/>
  <c r="D155" i="121" s="1"/>
  <c r="AC103" i="123"/>
  <c r="D137" i="121" s="1"/>
  <c r="AC41" i="123"/>
  <c r="D81" i="121" s="1"/>
  <c r="AC90" i="123"/>
  <c r="D128" i="121" s="1"/>
  <c r="AC54" i="123"/>
  <c r="D92" i="121" s="1"/>
  <c r="AC31" i="123"/>
  <c r="D71" i="121" s="1"/>
  <c r="AC71" i="123"/>
  <c r="D109" i="121" s="1"/>
  <c r="AC77" i="123"/>
  <c r="D115" i="121" s="1"/>
  <c r="AC104" i="123"/>
  <c r="D138" i="121" s="1"/>
  <c r="AC59" i="123"/>
  <c r="D97" i="121" s="1"/>
  <c r="AC76" i="123"/>
  <c r="D114" i="121" s="1"/>
  <c r="AC63" i="123"/>
  <c r="D101" i="121" s="1"/>
  <c r="AC134" i="123"/>
  <c r="D157" i="121" s="1"/>
  <c r="AC128" i="123"/>
  <c r="D151" i="121" s="1"/>
  <c r="AC47" i="123"/>
  <c r="D86" i="121" s="1"/>
  <c r="AC85" i="123"/>
  <c r="D123" i="121" s="1"/>
  <c r="AC34" i="123"/>
  <c r="D74" i="121" s="1"/>
  <c r="AC60" i="123"/>
  <c r="D98" i="121" s="1"/>
  <c r="AC110" i="123"/>
  <c r="D144" i="121" s="1"/>
  <c r="AC53" i="123"/>
  <c r="D91" i="121" s="1"/>
  <c r="AC36" i="123"/>
  <c r="D76" i="121" s="1"/>
  <c r="AC82" i="123"/>
  <c r="D120" i="121" s="1"/>
  <c r="AC62" i="123"/>
  <c r="D100" i="121" s="1"/>
  <c r="AC89" i="123"/>
  <c r="D127" i="121" s="1"/>
  <c r="AC105" i="123"/>
  <c r="D139" i="121" s="1"/>
  <c r="AC86" i="123"/>
  <c r="D124" i="121" s="1"/>
  <c r="AC102" i="123"/>
  <c r="D136" i="121" s="1"/>
  <c r="AC70" i="123"/>
  <c r="D108" i="121" s="1"/>
  <c r="AC55" i="123"/>
  <c r="D93" i="121" s="1"/>
  <c r="AC107" i="123"/>
  <c r="D141" i="121" s="1"/>
  <c r="AC72" i="123"/>
  <c r="D110" i="121" s="1"/>
  <c r="AC32" i="123"/>
  <c r="D72" i="121" s="1"/>
  <c r="AC124" i="123"/>
  <c r="D147" i="121" s="1"/>
  <c r="AC123" i="123"/>
  <c r="D146" i="121" s="1"/>
  <c r="AC125" i="123"/>
  <c r="D148" i="121" s="1"/>
  <c r="AC136" i="123"/>
  <c r="D159" i="121" s="1"/>
  <c r="AC61" i="123"/>
  <c r="D99" i="121" s="1"/>
  <c r="AC43" i="123"/>
  <c r="D83" i="121" s="1"/>
  <c r="X52" i="125"/>
  <c r="AC30" i="123"/>
  <c r="D70" i="121" s="1"/>
  <c r="AC37" i="123"/>
  <c r="D77" i="121" s="1"/>
  <c r="AC42" i="123"/>
  <c r="D82" i="121" s="1"/>
  <c r="C97" i="125"/>
  <c r="AC56" i="123"/>
  <c r="D94" i="121" s="1"/>
  <c r="AC83" i="123"/>
  <c r="D121" i="121" s="1"/>
  <c r="AC65" i="123"/>
  <c r="D103" i="121" s="1"/>
  <c r="AC133" i="123"/>
  <c r="D156" i="121" s="1"/>
  <c r="AC73" i="123"/>
  <c r="D111" i="121" s="1"/>
  <c r="AC88" i="123"/>
  <c r="D126" i="121" s="1"/>
  <c r="AC28" i="123"/>
  <c r="D68" i="121" s="1"/>
  <c r="O19" i="112"/>
  <c r="R232" i="121" s="1"/>
  <c r="I37" i="112"/>
  <c r="L246" i="121" s="1"/>
  <c r="M19" i="112"/>
  <c r="P232" i="121" s="1"/>
  <c r="E37" i="112"/>
  <c r="H246" i="121" s="1"/>
  <c r="I49" i="125"/>
  <c r="F32" i="125"/>
  <c r="L32" i="125" s="1"/>
  <c r="I61" i="125"/>
  <c r="O61" i="125" s="1"/>
  <c r="BR65" i="124"/>
  <c r="BV65" i="124"/>
  <c r="G76" i="125"/>
  <c r="CS41" i="124"/>
  <c r="G73" i="125"/>
  <c r="CS38" i="124"/>
  <c r="F190" i="121" s="1"/>
  <c r="G77" i="125"/>
  <c r="CS44" i="124"/>
  <c r="G71" i="125"/>
  <c r="CS36" i="124"/>
  <c r="F188" i="121" s="1"/>
  <c r="CS55" i="124"/>
  <c r="F204" i="121" s="1"/>
  <c r="G74" i="125"/>
  <c r="CS39" i="124"/>
  <c r="F191" i="121" s="1"/>
  <c r="CS27" i="124"/>
  <c r="F179" i="121" s="1"/>
  <c r="G72" i="125"/>
  <c r="R72" i="125" s="1"/>
  <c r="CS37" i="124"/>
  <c r="F189" i="121" s="1"/>
  <c r="D91" i="125"/>
  <c r="M91" i="125" s="1"/>
  <c r="N19" i="112"/>
  <c r="Q232" i="121" s="1"/>
  <c r="J111" i="125"/>
  <c r="N73" i="127"/>
  <c r="K31" i="112"/>
  <c r="J36" i="125" s="1"/>
  <c r="P36" i="125" s="1"/>
  <c r="J98" i="125"/>
  <c r="S98" i="125" s="1"/>
  <c r="G103" i="125"/>
  <c r="D97" i="125"/>
  <c r="M97" i="125" s="1"/>
  <c r="C91" i="125"/>
  <c r="D204" i="121"/>
  <c r="F79" i="125"/>
  <c r="H70" i="125"/>
  <c r="H16" i="125" s="1"/>
  <c r="H69" i="125"/>
  <c r="L71" i="127"/>
  <c r="L73" i="127"/>
  <c r="M71" i="127"/>
  <c r="M73" i="127"/>
  <c r="G22" i="125"/>
  <c r="I51" i="125"/>
  <c r="F33" i="125"/>
  <c r="V101" i="125"/>
  <c r="Z101" i="125"/>
  <c r="D192" i="121"/>
  <c r="D188" i="121"/>
  <c r="H31" i="125"/>
  <c r="D198" i="121"/>
  <c r="D190" i="121"/>
  <c r="G29" i="125"/>
  <c r="D170" i="121"/>
  <c r="D191" i="121"/>
  <c r="F198" i="121"/>
  <c r="G25" i="125"/>
  <c r="D208" i="121"/>
  <c r="F34" i="125"/>
  <c r="F186" i="121"/>
  <c r="F173" i="121"/>
  <c r="F170" i="121"/>
  <c r="D186" i="121"/>
  <c r="D177" i="121"/>
  <c r="AW65" i="124"/>
  <c r="F174" i="121"/>
  <c r="F171" i="121"/>
  <c r="D197" i="121"/>
  <c r="F183" i="121"/>
  <c r="F177" i="121"/>
  <c r="L41" i="124"/>
  <c r="J65" i="124"/>
  <c r="J66" i="124" s="1"/>
  <c r="K65" i="124"/>
  <c r="K66" i="124" s="1"/>
  <c r="F195" i="121"/>
  <c r="F194" i="121"/>
  <c r="BF65" i="124"/>
  <c r="F185" i="121"/>
  <c r="AV65" i="124"/>
  <c r="S65" i="124"/>
  <c r="D200" i="121"/>
  <c r="F176" i="121"/>
  <c r="AU17" i="124"/>
  <c r="CW17" i="124" s="1"/>
  <c r="L17" i="124"/>
  <c r="AU58" i="124"/>
  <c r="CW58" i="124" s="1"/>
  <c r="D174" i="121"/>
  <c r="D209" i="121"/>
  <c r="W65" i="124"/>
  <c r="AE65" i="124"/>
  <c r="AI65" i="124"/>
  <c r="D180" i="121"/>
  <c r="AY17" i="124"/>
  <c r="D195" i="121"/>
  <c r="D201" i="121"/>
  <c r="BJ65" i="124"/>
  <c r="F200" i="121"/>
  <c r="F197" i="121"/>
  <c r="D194" i="121"/>
  <c r="F201" i="121"/>
  <c r="M65" i="124"/>
  <c r="M66" i="124" s="1"/>
  <c r="AY58" i="124"/>
  <c r="F208" i="121"/>
  <c r="I65" i="124"/>
  <c r="I66" i="124" s="1"/>
  <c r="F45" i="125"/>
  <c r="AE66" i="123"/>
  <c r="G50" i="125"/>
  <c r="F54" i="125"/>
  <c r="D45" i="125"/>
  <c r="G66" i="123"/>
  <c r="F60" i="125"/>
  <c r="G45" i="125"/>
  <c r="H66" i="123"/>
  <c r="C54" i="125"/>
  <c r="D58" i="125"/>
  <c r="F59" i="125"/>
  <c r="C58" i="125"/>
  <c r="L100" i="123"/>
  <c r="G59" i="125"/>
  <c r="C60" i="125"/>
  <c r="C45" i="125"/>
  <c r="G60" i="125"/>
  <c r="D59" i="125"/>
  <c r="D130" i="121"/>
  <c r="G54" i="125"/>
  <c r="C59" i="125"/>
  <c r="F58" i="125"/>
  <c r="W66" i="123"/>
  <c r="F48" i="125" s="1"/>
  <c r="M113" i="123"/>
  <c r="AZ65" i="124"/>
  <c r="H58" i="124"/>
  <c r="AX65" i="124"/>
  <c r="L44" i="124"/>
  <c r="AT65" i="124"/>
  <c r="C65" i="124"/>
  <c r="C66" i="124" s="1"/>
  <c r="G65" i="124"/>
  <c r="G66" i="124" s="1"/>
  <c r="H24" i="125"/>
  <c r="F182" i="121"/>
  <c r="E65" i="124"/>
  <c r="E66" i="124" s="1"/>
  <c r="F180" i="121"/>
  <c r="D183" i="121"/>
  <c r="H17" i="124"/>
  <c r="L58" i="124"/>
  <c r="L20" i="124"/>
  <c r="AP65" i="124"/>
  <c r="AY20" i="124"/>
  <c r="AS65" i="124"/>
  <c r="AQ65" i="124"/>
  <c r="D65" i="124"/>
  <c r="D66" i="124" s="1"/>
  <c r="H41" i="124"/>
  <c r="AR65" i="124"/>
  <c r="AU20" i="124"/>
  <c r="CW20" i="124" s="1"/>
  <c r="H20" i="124"/>
  <c r="F65" i="124"/>
  <c r="F66" i="124" s="1"/>
  <c r="Y82" i="125"/>
  <c r="V82" i="125"/>
  <c r="H44" i="124"/>
  <c r="O25" i="112"/>
  <c r="R238" i="121" s="1"/>
  <c r="N25" i="112"/>
  <c r="Q238" i="121" s="1"/>
  <c r="I31" i="112"/>
  <c r="E31" i="112"/>
  <c r="E33" i="112" s="1"/>
  <c r="H244" i="121" s="1"/>
  <c r="K113" i="123"/>
  <c r="E69" i="1"/>
  <c r="E80" i="56"/>
  <c r="E81" i="56" s="1"/>
  <c r="E82" i="56" s="1"/>
  <c r="E83" i="56" s="1"/>
  <c r="E62" i="1" s="1"/>
  <c r="D106" i="56"/>
  <c r="D67" i="1" s="1"/>
  <c r="D69" i="1"/>
  <c r="D80" i="56"/>
  <c r="D81" i="56" s="1"/>
  <c r="H26" i="123"/>
  <c r="J26" i="123"/>
  <c r="J24" i="123" s="1"/>
  <c r="C26" i="123"/>
  <c r="E113" i="123"/>
  <c r="I39" i="123"/>
  <c r="AH26" i="123"/>
  <c r="N26" i="123"/>
  <c r="AB68" i="123"/>
  <c r="U26" i="123"/>
  <c r="I155" i="123"/>
  <c r="H165" i="121" s="1"/>
  <c r="AF26" i="123"/>
  <c r="F66" i="123"/>
  <c r="AD26" i="123"/>
  <c r="X26" i="123"/>
  <c r="AA66" i="123"/>
  <c r="AG26" i="123"/>
  <c r="AE100" i="123"/>
  <c r="D132" i="121"/>
  <c r="AE26" i="123"/>
  <c r="AB75" i="123"/>
  <c r="AF66" i="123"/>
  <c r="S66" i="123"/>
  <c r="R26" i="123"/>
  <c r="G26" i="123"/>
  <c r="AH66" i="123"/>
  <c r="AF113" i="123"/>
  <c r="Z26" i="123"/>
  <c r="K26" i="123"/>
  <c r="K24" i="123" s="1"/>
  <c r="R100" i="123"/>
  <c r="V26" i="123"/>
  <c r="AB27" i="123"/>
  <c r="E50" i="125"/>
  <c r="W113" i="123"/>
  <c r="I51" i="123"/>
  <c r="C47" i="125" s="1"/>
  <c r="I26" i="123"/>
  <c r="L26" i="123"/>
  <c r="L24" i="123" s="1"/>
  <c r="T26" i="123"/>
  <c r="U113" i="123"/>
  <c r="M39" i="123"/>
  <c r="V100" i="123"/>
  <c r="Y100" i="123"/>
  <c r="H155" i="123"/>
  <c r="G165" i="121" s="1"/>
  <c r="AA26" i="123"/>
  <c r="M26" i="123"/>
  <c r="D66" i="123"/>
  <c r="M51" i="123"/>
  <c r="D47" i="125" s="1"/>
  <c r="D26" i="123"/>
  <c r="AB109" i="123"/>
  <c r="S100" i="123"/>
  <c r="T66" i="123"/>
  <c r="AB58" i="123"/>
  <c r="C100" i="123"/>
  <c r="C50" i="125"/>
  <c r="Z113" i="123"/>
  <c r="W26" i="123"/>
  <c r="N113" i="123"/>
  <c r="E66" i="123"/>
  <c r="Q26" i="123"/>
  <c r="AD113" i="123"/>
  <c r="E100" i="123"/>
  <c r="AH100" i="123"/>
  <c r="AD66" i="123"/>
  <c r="AB135" i="123"/>
  <c r="AB67" i="123"/>
  <c r="AB122" i="123"/>
  <c r="AA113" i="123"/>
  <c r="AA51" i="123"/>
  <c r="G47" i="125" s="1"/>
  <c r="F100" i="123"/>
  <c r="D60" i="125"/>
  <c r="AB81" i="123"/>
  <c r="D54" i="125"/>
  <c r="H113" i="123"/>
  <c r="AB46" i="123"/>
  <c r="T113" i="123"/>
  <c r="U66" i="123"/>
  <c r="AB19" i="123"/>
  <c r="C113" i="123"/>
  <c r="E26" i="123"/>
  <c r="C66" i="123"/>
  <c r="J113" i="123"/>
  <c r="AB52" i="123"/>
  <c r="I113" i="123"/>
  <c r="N100" i="123"/>
  <c r="D131" i="121"/>
  <c r="AG113" i="123"/>
  <c r="I66" i="123"/>
  <c r="V113" i="123"/>
  <c r="G100" i="123"/>
  <c r="W100" i="123"/>
  <c r="M100" i="123"/>
  <c r="X113" i="123"/>
  <c r="AB118" i="123"/>
  <c r="S113" i="123"/>
  <c r="AA100" i="123"/>
  <c r="D100" i="123"/>
  <c r="X100" i="123"/>
  <c r="AB79" i="123"/>
  <c r="AG100" i="123"/>
  <c r="D113" i="123"/>
  <c r="F113" i="123"/>
  <c r="J47" i="125"/>
  <c r="J100" i="123"/>
  <c r="Z100" i="123"/>
  <c r="Q113" i="123"/>
  <c r="N66" i="123"/>
  <c r="Q100" i="123"/>
  <c r="T100" i="123"/>
  <c r="AF100" i="123"/>
  <c r="W39" i="123"/>
  <c r="I62" i="125"/>
  <c r="L113" i="123"/>
  <c r="D50" i="125"/>
  <c r="AB87" i="123"/>
  <c r="M66" i="123"/>
  <c r="Y26" i="123"/>
  <c r="D116" i="121"/>
  <c r="I100" i="123"/>
  <c r="AB95" i="123"/>
  <c r="U100" i="123"/>
  <c r="AA39" i="123"/>
  <c r="AH113" i="123"/>
  <c r="AB114" i="123"/>
  <c r="H100" i="123"/>
  <c r="S26" i="123"/>
  <c r="AD100" i="123"/>
  <c r="U61" i="125"/>
  <c r="AE113" i="123"/>
  <c r="F50" i="125"/>
  <c r="U62" i="125"/>
  <c r="Y113" i="123"/>
  <c r="R113" i="123"/>
  <c r="K100" i="123"/>
  <c r="G113" i="123"/>
  <c r="AB130" i="123"/>
  <c r="F26" i="123"/>
  <c r="AG66" i="123"/>
  <c r="Y66" i="123"/>
  <c r="Y63" i="125"/>
  <c r="F53" i="125"/>
  <c r="AB92" i="123"/>
  <c r="W51" i="123"/>
  <c r="V66" i="123"/>
  <c r="G58" i="125"/>
  <c r="AB40" i="123"/>
  <c r="X66" i="123"/>
  <c r="AB33" i="123"/>
  <c r="Z66" i="123"/>
  <c r="Q66" i="123"/>
  <c r="R66" i="123"/>
  <c r="AB101" i="123"/>
  <c r="J50" i="125"/>
  <c r="P98" i="125" l="1"/>
  <c r="N46" i="30"/>
  <c r="N315" i="30" s="1"/>
  <c r="AI99" i="123"/>
  <c r="AI143" i="123" s="1"/>
  <c r="M78" i="125"/>
  <c r="AJ99" i="123"/>
  <c r="D34" i="125"/>
  <c r="M34" i="125" s="1"/>
  <c r="L75" i="125"/>
  <c r="Q75" i="125"/>
  <c r="I20" i="125"/>
  <c r="E95" i="125"/>
  <c r="R76" i="125"/>
  <c r="D76" i="125"/>
  <c r="M76" i="125" s="1"/>
  <c r="C76" i="125"/>
  <c r="E76" i="125"/>
  <c r="N76" i="125" s="1"/>
  <c r="I93" i="125"/>
  <c r="R74" i="125"/>
  <c r="D74" i="125"/>
  <c r="M74" i="125" s="1"/>
  <c r="E74" i="125"/>
  <c r="N74" i="125" s="1"/>
  <c r="C74" i="125"/>
  <c r="L72" i="125"/>
  <c r="Q72" i="125"/>
  <c r="M72" i="125"/>
  <c r="V72" i="125" s="1"/>
  <c r="E96" i="125"/>
  <c r="R77" i="125"/>
  <c r="E77" i="125"/>
  <c r="N77" i="125" s="1"/>
  <c r="D77" i="125"/>
  <c r="M77" i="125" s="1"/>
  <c r="C77" i="125"/>
  <c r="L97" i="125"/>
  <c r="Q97" i="125"/>
  <c r="G17" i="125"/>
  <c r="D92" i="125"/>
  <c r="M92" i="125" s="1"/>
  <c r="V92" i="125" s="1"/>
  <c r="R73" i="125"/>
  <c r="E73" i="125"/>
  <c r="N73" i="125" s="1"/>
  <c r="C73" i="125"/>
  <c r="D73" i="125"/>
  <c r="M73" i="125" s="1"/>
  <c r="S91" i="125"/>
  <c r="O91" i="125"/>
  <c r="E90" i="125"/>
  <c r="R71" i="125"/>
  <c r="D71" i="125"/>
  <c r="M71" i="125" s="1"/>
  <c r="V71" i="125" s="1"/>
  <c r="E71" i="125"/>
  <c r="N71" i="125" s="1"/>
  <c r="C71" i="125"/>
  <c r="Q102" i="125"/>
  <c r="X102" i="125" s="1"/>
  <c r="L102" i="125"/>
  <c r="U102" i="125" s="1"/>
  <c r="I77" i="125"/>
  <c r="I74" i="125"/>
  <c r="S102" i="125"/>
  <c r="AA102" i="125" s="1"/>
  <c r="O102" i="125"/>
  <c r="Y102" i="125" s="1"/>
  <c r="R79" i="125"/>
  <c r="E79" i="125"/>
  <c r="N79" i="125" s="1"/>
  <c r="C79" i="125"/>
  <c r="D79" i="125"/>
  <c r="M79" i="125" s="1"/>
  <c r="V79" i="125" s="1"/>
  <c r="C20" i="125"/>
  <c r="L20" i="125" s="1"/>
  <c r="L91" i="125"/>
  <c r="Q91" i="125"/>
  <c r="L81" i="125"/>
  <c r="Q81" i="125"/>
  <c r="R103" i="125"/>
  <c r="O20" i="125"/>
  <c r="G20" i="125"/>
  <c r="P72" i="125"/>
  <c r="Z72" i="125" s="1"/>
  <c r="S72" i="125"/>
  <c r="Q82" i="125"/>
  <c r="X82" i="125" s="1"/>
  <c r="L82" i="125"/>
  <c r="U82" i="125" s="1"/>
  <c r="AK99" i="123"/>
  <c r="AK143" i="123" s="1"/>
  <c r="S49" i="125"/>
  <c r="AA49" i="125" s="1"/>
  <c r="M50" i="125"/>
  <c r="V50" i="125" s="1"/>
  <c r="M60" i="125"/>
  <c r="V60" i="125" s="1"/>
  <c r="M45" i="125"/>
  <c r="V45" i="125" s="1"/>
  <c r="L59" i="125"/>
  <c r="U59" i="125" s="1"/>
  <c r="Q59" i="125"/>
  <c r="I27" i="125"/>
  <c r="O27" i="125" s="1"/>
  <c r="J54" i="125"/>
  <c r="J26" i="125" s="1"/>
  <c r="L58" i="125"/>
  <c r="U58" i="125" s="1"/>
  <c r="Q58" i="125"/>
  <c r="D26" i="125"/>
  <c r="M54" i="125"/>
  <c r="I59" i="125"/>
  <c r="R59" i="125"/>
  <c r="R54" i="125"/>
  <c r="D27" i="125"/>
  <c r="M27" i="125" s="1"/>
  <c r="V27" i="125" s="1"/>
  <c r="M51" i="125"/>
  <c r="S62" i="125"/>
  <c r="AA62" i="125" s="1"/>
  <c r="M59" i="125"/>
  <c r="V59" i="125" s="1"/>
  <c r="M58" i="125"/>
  <c r="V58" i="125" s="1"/>
  <c r="C27" i="125"/>
  <c r="L27" i="125" s="1"/>
  <c r="U27" i="125" s="1"/>
  <c r="Q51" i="125"/>
  <c r="L51" i="125"/>
  <c r="U51" i="125" s="1"/>
  <c r="J59" i="125"/>
  <c r="P59" i="125" s="1"/>
  <c r="Z59" i="125" s="1"/>
  <c r="I53" i="125"/>
  <c r="S53" i="125" s="1"/>
  <c r="R53" i="125"/>
  <c r="J60" i="125"/>
  <c r="P60" i="125" s="1"/>
  <c r="Z60" i="125" s="1"/>
  <c r="C26" i="125"/>
  <c r="L54" i="125"/>
  <c r="U54" i="125" s="1"/>
  <c r="Q54" i="125"/>
  <c r="J51" i="125"/>
  <c r="P51" i="125" s="1"/>
  <c r="Z51" i="125" s="1"/>
  <c r="O49" i="125"/>
  <c r="Y49" i="125" s="1"/>
  <c r="L45" i="125"/>
  <c r="U45" i="125" s="1"/>
  <c r="Q45" i="125"/>
  <c r="I45" i="125"/>
  <c r="O45" i="125" s="1"/>
  <c r="Y45" i="125" s="1"/>
  <c r="R45" i="125"/>
  <c r="Y61" i="125"/>
  <c r="S61" i="125"/>
  <c r="AA61" i="125" s="1"/>
  <c r="R51" i="125"/>
  <c r="O51" i="125"/>
  <c r="Y51" i="125" s="1"/>
  <c r="O62" i="125"/>
  <c r="Y62" i="125" s="1"/>
  <c r="L53" i="125"/>
  <c r="U53" i="125" s="1"/>
  <c r="R60" i="125"/>
  <c r="I60" i="125"/>
  <c r="R58" i="125"/>
  <c r="Q60" i="125"/>
  <c r="L60" i="125"/>
  <c r="U60" i="125" s="1"/>
  <c r="N79" i="127"/>
  <c r="N82" i="127" s="1"/>
  <c r="N78" i="127"/>
  <c r="N81" i="127" s="1"/>
  <c r="N106" i="127" s="1"/>
  <c r="G112" i="125" s="1"/>
  <c r="M112" i="125" s="1"/>
  <c r="M47" i="125"/>
  <c r="AJ143" i="123"/>
  <c r="P47" i="125"/>
  <c r="Z47" i="125" s="1"/>
  <c r="L50" i="125"/>
  <c r="U50" i="125" s="1"/>
  <c r="Q50" i="125"/>
  <c r="I50" i="125"/>
  <c r="S50" i="125" s="1"/>
  <c r="R50" i="125"/>
  <c r="Q47" i="125"/>
  <c r="P50" i="125"/>
  <c r="Z50" i="125" s="1"/>
  <c r="C92" i="125"/>
  <c r="J92" i="125"/>
  <c r="C93" i="125"/>
  <c r="I90" i="125"/>
  <c r="D96" i="125"/>
  <c r="M96" i="125" s="1"/>
  <c r="I92" i="125"/>
  <c r="J74" i="125"/>
  <c r="P74" i="125" s="1"/>
  <c r="E93" i="125"/>
  <c r="J93" i="125"/>
  <c r="C90" i="125"/>
  <c r="D90" i="125"/>
  <c r="I71" i="125"/>
  <c r="O71" i="125" s="1"/>
  <c r="D93" i="125"/>
  <c r="M93" i="125" s="1"/>
  <c r="V93" i="125" s="1"/>
  <c r="J90" i="125"/>
  <c r="J71" i="125"/>
  <c r="J76" i="125"/>
  <c r="P76" i="125" s="1"/>
  <c r="I73" i="125"/>
  <c r="E92" i="125"/>
  <c r="I95" i="125"/>
  <c r="J73" i="125"/>
  <c r="P73" i="125" s="1"/>
  <c r="Z73" i="125" s="1"/>
  <c r="I76" i="125"/>
  <c r="E20" i="125"/>
  <c r="N20" i="125" s="1"/>
  <c r="J77" i="125"/>
  <c r="P77" i="125" s="1"/>
  <c r="I96" i="125"/>
  <c r="J95" i="125"/>
  <c r="P95" i="125" s="1"/>
  <c r="J96" i="125"/>
  <c r="P96" i="125" s="1"/>
  <c r="F70" i="125"/>
  <c r="F80" i="125"/>
  <c r="F69" i="125"/>
  <c r="CW65" i="124"/>
  <c r="X49" i="125"/>
  <c r="I58" i="125"/>
  <c r="J45" i="125"/>
  <c r="P45" i="125" s="1"/>
  <c r="F26" i="125"/>
  <c r="I54" i="125"/>
  <c r="O54" i="125" s="1"/>
  <c r="I32" i="125"/>
  <c r="O32" i="125" s="1"/>
  <c r="G80" i="125"/>
  <c r="CS58" i="124"/>
  <c r="F207" i="121" s="1"/>
  <c r="G69" i="125"/>
  <c r="CS17" i="124"/>
  <c r="F169" i="121" s="1"/>
  <c r="AA98" i="125"/>
  <c r="G70" i="125"/>
  <c r="CS20" i="124"/>
  <c r="F172" i="121" s="1"/>
  <c r="H83" i="125"/>
  <c r="Z98" i="125"/>
  <c r="I5" i="112"/>
  <c r="E64" i="1"/>
  <c r="E60" i="56"/>
  <c r="E65" i="56" s="1"/>
  <c r="E59" i="1" s="1"/>
  <c r="C96" i="125"/>
  <c r="E99" i="125"/>
  <c r="I99" i="125"/>
  <c r="D99" i="125"/>
  <c r="J99" i="125"/>
  <c r="C99" i="125"/>
  <c r="C95" i="125"/>
  <c r="D95" i="125"/>
  <c r="M95" i="125" s="1"/>
  <c r="I79" i="125"/>
  <c r="J79" i="125"/>
  <c r="P79" i="125" s="1"/>
  <c r="H15" i="125"/>
  <c r="H14" i="125" s="1"/>
  <c r="M78" i="127"/>
  <c r="M81" i="127" s="1"/>
  <c r="M106" i="127" s="1"/>
  <c r="M83" i="127"/>
  <c r="M79" i="127"/>
  <c r="M82" i="127" s="1"/>
  <c r="L83" i="127"/>
  <c r="L78" i="127"/>
  <c r="L81" i="127" s="1"/>
  <c r="L106" i="127" s="1"/>
  <c r="L79" i="127"/>
  <c r="L82" i="127" s="1"/>
  <c r="Z91" i="125"/>
  <c r="J20" i="125"/>
  <c r="V91" i="125"/>
  <c r="D20" i="125"/>
  <c r="V78" i="125"/>
  <c r="G26" i="125"/>
  <c r="D193" i="121"/>
  <c r="Y72" i="125"/>
  <c r="F18" i="125"/>
  <c r="C33" i="125"/>
  <c r="L33" i="125" s="1"/>
  <c r="X81" i="125"/>
  <c r="U81" i="125"/>
  <c r="F193" i="121"/>
  <c r="C34" i="125"/>
  <c r="L34" i="125" s="1"/>
  <c r="F22" i="125"/>
  <c r="G18" i="125"/>
  <c r="F17" i="125"/>
  <c r="F29" i="125"/>
  <c r="F25" i="125"/>
  <c r="V97" i="125"/>
  <c r="Z97" i="125"/>
  <c r="J33" i="125"/>
  <c r="P33" i="125" s="1"/>
  <c r="Z81" i="125"/>
  <c r="I33" i="125"/>
  <c r="O33" i="125" s="1"/>
  <c r="AA81" i="125"/>
  <c r="F196" i="121"/>
  <c r="G24" i="125"/>
  <c r="U91" i="125"/>
  <c r="X91" i="125"/>
  <c r="Y81" i="125"/>
  <c r="X101" i="125"/>
  <c r="U101" i="125"/>
  <c r="D207" i="121"/>
  <c r="E34" i="125"/>
  <c r="N34" i="125" s="1"/>
  <c r="W82" i="125"/>
  <c r="D196" i="121"/>
  <c r="I34" i="125"/>
  <c r="O34" i="125" s="1"/>
  <c r="AA82" i="125"/>
  <c r="D172" i="121"/>
  <c r="D33" i="125"/>
  <c r="M33" i="125" s="1"/>
  <c r="V81" i="125"/>
  <c r="J34" i="125"/>
  <c r="P34" i="125" s="1"/>
  <c r="AA101" i="125"/>
  <c r="Y101" i="125"/>
  <c r="U72" i="125"/>
  <c r="Y91" i="125"/>
  <c r="AA91" i="125"/>
  <c r="D169" i="121"/>
  <c r="E33" i="125"/>
  <c r="N33" i="125" s="1"/>
  <c r="W81" i="125"/>
  <c r="Y75" i="125"/>
  <c r="Z78" i="125"/>
  <c r="AU65" i="124"/>
  <c r="Q24" i="123"/>
  <c r="D24" i="123"/>
  <c r="G48" i="125"/>
  <c r="J48" i="125" s="1"/>
  <c r="H24" i="123"/>
  <c r="L99" i="123"/>
  <c r="L143" i="123" s="1"/>
  <c r="R24" i="123"/>
  <c r="AG24" i="123"/>
  <c r="G56" i="125"/>
  <c r="E56" i="125"/>
  <c r="D57" i="125"/>
  <c r="E48" i="125"/>
  <c r="F56" i="125"/>
  <c r="I56" i="125" s="1"/>
  <c r="C57" i="125"/>
  <c r="M99" i="123"/>
  <c r="T24" i="123"/>
  <c r="F57" i="125"/>
  <c r="C24" i="123"/>
  <c r="L65" i="124"/>
  <c r="L66" i="124" s="1"/>
  <c r="U78" i="125"/>
  <c r="H65" i="124"/>
  <c r="H66" i="124" s="1"/>
  <c r="H23" i="125"/>
  <c r="AY65" i="124"/>
  <c r="I36" i="125"/>
  <c r="F36" i="125"/>
  <c r="O36" i="125" s="1"/>
  <c r="C36" i="125"/>
  <c r="C62" i="112"/>
  <c r="F256" i="121" s="1"/>
  <c r="AH24" i="123"/>
  <c r="D82" i="56"/>
  <c r="D60" i="56" s="1"/>
  <c r="Y99" i="123"/>
  <c r="N24" i="123"/>
  <c r="X24" i="123"/>
  <c r="AD24" i="123"/>
  <c r="AF24" i="123"/>
  <c r="AE24" i="123"/>
  <c r="V54" i="125"/>
  <c r="AB66" i="123"/>
  <c r="U24" i="123"/>
  <c r="I48" i="125"/>
  <c r="I24" i="123"/>
  <c r="AE99" i="123"/>
  <c r="V99" i="123"/>
  <c r="J99" i="123"/>
  <c r="J143" i="123" s="1"/>
  <c r="Z24" i="123"/>
  <c r="V24" i="123"/>
  <c r="G24" i="123"/>
  <c r="E57" i="125"/>
  <c r="E24" i="123"/>
  <c r="AA99" i="123"/>
  <c r="AA24" i="123"/>
  <c r="G57" i="125"/>
  <c r="M24" i="123"/>
  <c r="E99" i="123"/>
  <c r="N99" i="123"/>
  <c r="U99" i="123"/>
  <c r="G110" i="125"/>
  <c r="AB113" i="123"/>
  <c r="AB26" i="123"/>
  <c r="G99" i="123"/>
  <c r="C99" i="123"/>
  <c r="J110" i="125"/>
  <c r="H99" i="123"/>
  <c r="S99" i="123"/>
  <c r="Y24" i="123"/>
  <c r="F99" i="123"/>
  <c r="I99" i="123"/>
  <c r="W99" i="123"/>
  <c r="AB100" i="123"/>
  <c r="X99" i="123"/>
  <c r="T99" i="123"/>
  <c r="C48" i="125"/>
  <c r="D56" i="125"/>
  <c r="K99" i="123"/>
  <c r="K143" i="123" s="1"/>
  <c r="AG99" i="123"/>
  <c r="Z99" i="123"/>
  <c r="Q99" i="123"/>
  <c r="W24" i="123"/>
  <c r="AB39" i="123"/>
  <c r="AF99" i="123"/>
  <c r="D99" i="123"/>
  <c r="AH99" i="123"/>
  <c r="R99" i="123"/>
  <c r="S24" i="123"/>
  <c r="F24" i="123"/>
  <c r="D48" i="125"/>
  <c r="AD99" i="123"/>
  <c r="C56" i="125"/>
  <c r="J58" i="125"/>
  <c r="P58" i="125" s="1"/>
  <c r="F47" i="125"/>
  <c r="L47" i="125" s="1"/>
  <c r="AB51" i="123"/>
  <c r="X51" i="125" l="1"/>
  <c r="S74" i="125"/>
  <c r="S77" i="125"/>
  <c r="S76" i="125"/>
  <c r="L36" i="125"/>
  <c r="P20" i="125"/>
  <c r="S79" i="125"/>
  <c r="S60" i="125"/>
  <c r="P26" i="125"/>
  <c r="J27" i="125"/>
  <c r="P27" i="125" s="1"/>
  <c r="Q77" i="125"/>
  <c r="L77" i="125"/>
  <c r="S92" i="125"/>
  <c r="O92" i="125"/>
  <c r="O77" i="125"/>
  <c r="J100" i="125"/>
  <c r="P100" i="125" s="1"/>
  <c r="R80" i="125"/>
  <c r="D80" i="125"/>
  <c r="M80" i="125" s="1"/>
  <c r="E80" i="125"/>
  <c r="N80" i="125" s="1"/>
  <c r="C80" i="125"/>
  <c r="L71" i="125"/>
  <c r="U71" i="125" s="1"/>
  <c r="Q71" i="125"/>
  <c r="X71" i="125" s="1"/>
  <c r="L90" i="125"/>
  <c r="U90" i="125" s="1"/>
  <c r="Q90" i="125"/>
  <c r="X90" i="125" s="1"/>
  <c r="S90" i="125"/>
  <c r="AA90" i="125" s="1"/>
  <c r="O90" i="125"/>
  <c r="Y90" i="125" s="1"/>
  <c r="Q93" i="125"/>
  <c r="X93" i="125" s="1"/>
  <c r="L93" i="125"/>
  <c r="U93" i="125" s="1"/>
  <c r="M20" i="125"/>
  <c r="S96" i="125"/>
  <c r="O96" i="125"/>
  <c r="P92" i="125"/>
  <c r="Z92" i="125" s="1"/>
  <c r="P99" i="125"/>
  <c r="Z99" i="125" s="1"/>
  <c r="L92" i="125"/>
  <c r="Q92" i="125"/>
  <c r="E88" i="125"/>
  <c r="R69" i="125"/>
  <c r="D69" i="125"/>
  <c r="M69" i="125" s="1"/>
  <c r="E69" i="125"/>
  <c r="N69" i="125" s="1"/>
  <c r="C69" i="125"/>
  <c r="L74" i="125"/>
  <c r="U74" i="125" s="1"/>
  <c r="Q74" i="125"/>
  <c r="X74" i="125" s="1"/>
  <c r="L95" i="125"/>
  <c r="Q95" i="125"/>
  <c r="M90" i="125"/>
  <c r="V90" i="125" s="1"/>
  <c r="O74" i="125"/>
  <c r="Y74" i="125" s="1"/>
  <c r="L99" i="125"/>
  <c r="U99" i="125" s="1"/>
  <c r="Q99" i="125"/>
  <c r="X99" i="125" s="1"/>
  <c r="C17" i="125"/>
  <c r="L17" i="125" s="1"/>
  <c r="S95" i="125"/>
  <c r="O95" i="125"/>
  <c r="Q73" i="125"/>
  <c r="X73" i="125" s="1"/>
  <c r="L73" i="125"/>
  <c r="U73" i="125" s="1"/>
  <c r="S93" i="125"/>
  <c r="O93" i="125"/>
  <c r="C89" i="125"/>
  <c r="R70" i="125"/>
  <c r="D70" i="125"/>
  <c r="M70" i="125" s="1"/>
  <c r="V70" i="125" s="1"/>
  <c r="C70" i="125"/>
  <c r="E70" i="125"/>
  <c r="N70" i="125" s="1"/>
  <c r="S73" i="125"/>
  <c r="AA73" i="125" s="1"/>
  <c r="Q79" i="125"/>
  <c r="X79" i="125" s="1"/>
  <c r="L79" i="125"/>
  <c r="U79" i="125" s="1"/>
  <c r="O73" i="125"/>
  <c r="Y73" i="125" s="1"/>
  <c r="S99" i="125"/>
  <c r="AA99" i="125" s="1"/>
  <c r="O99" i="125"/>
  <c r="Y99" i="125" s="1"/>
  <c r="G31" i="125"/>
  <c r="Q76" i="125"/>
  <c r="L76" i="125"/>
  <c r="U76" i="125" s="1"/>
  <c r="P93" i="125"/>
  <c r="Z93" i="125" s="1"/>
  <c r="O79" i="125"/>
  <c r="Y79" i="125" s="1"/>
  <c r="P90" i="125"/>
  <c r="Z90" i="125" s="1"/>
  <c r="P71" i="125"/>
  <c r="Z71" i="125" s="1"/>
  <c r="O76" i="125"/>
  <c r="O53" i="125"/>
  <c r="Y53" i="125" s="1"/>
  <c r="M99" i="125"/>
  <c r="V99" i="125" s="1"/>
  <c r="L96" i="125"/>
  <c r="Q96" i="125"/>
  <c r="Y71" i="125"/>
  <c r="S71" i="125"/>
  <c r="AA71" i="125" s="1"/>
  <c r="AA53" i="125"/>
  <c r="P54" i="125"/>
  <c r="Z54" i="125" s="1"/>
  <c r="O60" i="125"/>
  <c r="Y60" i="125" s="1"/>
  <c r="S59" i="125"/>
  <c r="AA59" i="125" s="1"/>
  <c r="Y54" i="125"/>
  <c r="S54" i="125"/>
  <c r="AA54" i="125" s="1"/>
  <c r="S45" i="125"/>
  <c r="AA45" i="125" s="1"/>
  <c r="O59" i="125"/>
  <c r="Y59" i="125" s="1"/>
  <c r="S51" i="125"/>
  <c r="AA51" i="125" s="1"/>
  <c r="S58" i="125"/>
  <c r="AA58" i="125" s="1"/>
  <c r="O58" i="125"/>
  <c r="Y58" i="125" s="1"/>
  <c r="L26" i="125"/>
  <c r="M26" i="125"/>
  <c r="J112" i="125"/>
  <c r="O50" i="125"/>
  <c r="Y50" i="125" s="1"/>
  <c r="P48" i="125"/>
  <c r="Z48" i="125" s="1"/>
  <c r="M57" i="125"/>
  <c r="V57" i="125" s="1"/>
  <c r="M56" i="125"/>
  <c r="V56" i="125" s="1"/>
  <c r="I57" i="125"/>
  <c r="O57" i="125" s="1"/>
  <c r="Y57" i="125" s="1"/>
  <c r="R57" i="125"/>
  <c r="M48" i="125"/>
  <c r="V48" i="125" s="1"/>
  <c r="Q57" i="125"/>
  <c r="L57" i="125"/>
  <c r="U57" i="125" s="1"/>
  <c r="S48" i="125"/>
  <c r="J56" i="125"/>
  <c r="S56" i="125" s="1"/>
  <c r="L56" i="125"/>
  <c r="U56" i="125" s="1"/>
  <c r="Q56" i="125"/>
  <c r="R56" i="125"/>
  <c r="O56" i="125"/>
  <c r="Y56" i="125" s="1"/>
  <c r="J57" i="125"/>
  <c r="P57" i="125" s="1"/>
  <c r="Z57" i="125" s="1"/>
  <c r="O48" i="125"/>
  <c r="Y48" i="125" s="1"/>
  <c r="R47" i="125"/>
  <c r="X47" i="125" s="1"/>
  <c r="Q48" i="125"/>
  <c r="L48" i="125"/>
  <c r="U48" i="125" s="1"/>
  <c r="R48" i="125"/>
  <c r="P110" i="125"/>
  <c r="M110" i="125"/>
  <c r="I89" i="125"/>
  <c r="J70" i="125"/>
  <c r="P70" i="125" s="1"/>
  <c r="D89" i="125"/>
  <c r="M89" i="125" s="1"/>
  <c r="C88" i="125"/>
  <c r="D100" i="125"/>
  <c r="M100" i="125" s="1"/>
  <c r="J88" i="125"/>
  <c r="P88" i="125" s="1"/>
  <c r="Z88" i="125" s="1"/>
  <c r="E100" i="125"/>
  <c r="J80" i="125"/>
  <c r="P80" i="125" s="1"/>
  <c r="Z80" i="125" s="1"/>
  <c r="I70" i="125"/>
  <c r="J89" i="125"/>
  <c r="P89" i="125" s="1"/>
  <c r="E89" i="125"/>
  <c r="F83" i="125"/>
  <c r="D88" i="125"/>
  <c r="M88" i="125" s="1"/>
  <c r="V88" i="125" s="1"/>
  <c r="V69" i="125"/>
  <c r="I88" i="125"/>
  <c r="C100" i="125"/>
  <c r="I80" i="125"/>
  <c r="O80" i="125" s="1"/>
  <c r="J69" i="125"/>
  <c r="P69" i="125" s="1"/>
  <c r="Z69" i="125" s="1"/>
  <c r="I69" i="125"/>
  <c r="I100" i="125"/>
  <c r="X54" i="125"/>
  <c r="X78" i="125"/>
  <c r="X50" i="125"/>
  <c r="AA60" i="125"/>
  <c r="X59" i="125"/>
  <c r="AA72" i="125"/>
  <c r="X60" i="125"/>
  <c r="X58" i="125"/>
  <c r="X72" i="125"/>
  <c r="AA50" i="125"/>
  <c r="V52" i="125"/>
  <c r="V47" i="125"/>
  <c r="X53" i="125"/>
  <c r="Z45" i="125"/>
  <c r="X45" i="125"/>
  <c r="I26" i="125"/>
  <c r="O26" i="125" s="1"/>
  <c r="G83" i="125"/>
  <c r="G16" i="125"/>
  <c r="E103" i="125"/>
  <c r="E64" i="56"/>
  <c r="E61" i="1" s="1"/>
  <c r="J29" i="125"/>
  <c r="P29" i="125" s="1"/>
  <c r="G23" i="125"/>
  <c r="Z94" i="125"/>
  <c r="V94" i="125"/>
  <c r="G15" i="125"/>
  <c r="Z74" i="125"/>
  <c r="I29" i="125"/>
  <c r="O29" i="125" s="1"/>
  <c r="AA79" i="125"/>
  <c r="E22" i="125"/>
  <c r="N22" i="125" s="1"/>
  <c r="W75" i="125"/>
  <c r="AA93" i="125"/>
  <c r="Y93" i="125"/>
  <c r="C18" i="125"/>
  <c r="L18" i="125" s="1"/>
  <c r="AA94" i="125"/>
  <c r="Y94" i="125"/>
  <c r="C22" i="125"/>
  <c r="L22" i="125" s="1"/>
  <c r="X75" i="125"/>
  <c r="U75" i="125"/>
  <c r="Y92" i="125"/>
  <c r="AA92" i="125"/>
  <c r="F24" i="125"/>
  <c r="V96" i="125"/>
  <c r="Z96" i="125"/>
  <c r="U94" i="125"/>
  <c r="X94" i="125"/>
  <c r="E29" i="125"/>
  <c r="N29" i="125" s="1"/>
  <c r="W79" i="125"/>
  <c r="U97" i="125"/>
  <c r="X97" i="125"/>
  <c r="U92" i="125"/>
  <c r="X92" i="125"/>
  <c r="F31" i="125"/>
  <c r="Z100" i="125"/>
  <c r="Y97" i="125"/>
  <c r="AA97" i="125"/>
  <c r="D25" i="125"/>
  <c r="M25" i="125" s="1"/>
  <c r="D29" i="125"/>
  <c r="M29" i="125" s="1"/>
  <c r="D17" i="125"/>
  <c r="M17" i="125" s="1"/>
  <c r="J22" i="125"/>
  <c r="P22" i="125" s="1"/>
  <c r="Z75" i="125"/>
  <c r="J18" i="125"/>
  <c r="P18" i="125" s="1"/>
  <c r="D18" i="125"/>
  <c r="M18" i="125" s="1"/>
  <c r="V73" i="125"/>
  <c r="AA74" i="125"/>
  <c r="I18" i="125"/>
  <c r="O18" i="125" s="1"/>
  <c r="I25" i="125"/>
  <c r="O25" i="125" s="1"/>
  <c r="AA78" i="125"/>
  <c r="Y78" i="125"/>
  <c r="F16" i="125"/>
  <c r="C29" i="125"/>
  <c r="L29" i="125" s="1"/>
  <c r="E17" i="125"/>
  <c r="N17" i="125" s="1"/>
  <c r="W71" i="125"/>
  <c r="C25" i="125"/>
  <c r="L25" i="125" s="1"/>
  <c r="J25" i="125"/>
  <c r="P25" i="125" s="1"/>
  <c r="F23" i="125"/>
  <c r="V95" i="125"/>
  <c r="C23" i="125"/>
  <c r="Z95" i="125"/>
  <c r="Z79" i="125"/>
  <c r="I17" i="125"/>
  <c r="O17" i="125" s="1"/>
  <c r="D22" i="125"/>
  <c r="M22" i="125" s="1"/>
  <c r="V75" i="125"/>
  <c r="F15" i="125"/>
  <c r="E25" i="125"/>
  <c r="N25" i="125" s="1"/>
  <c r="W78" i="125"/>
  <c r="J17" i="125"/>
  <c r="P17" i="125" s="1"/>
  <c r="I22" i="125"/>
  <c r="O22" i="125" s="1"/>
  <c r="AA75" i="125"/>
  <c r="E18" i="125"/>
  <c r="N18" i="125" s="1"/>
  <c r="W73" i="125"/>
  <c r="E19" i="125"/>
  <c r="N19" i="125" s="1"/>
  <c r="W74" i="125"/>
  <c r="V74" i="125"/>
  <c r="Y77" i="125"/>
  <c r="C55" i="125"/>
  <c r="D46" i="125"/>
  <c r="D55" i="125"/>
  <c r="C46" i="125"/>
  <c r="E46" i="125"/>
  <c r="G55" i="125"/>
  <c r="F55" i="125"/>
  <c r="H21" i="125"/>
  <c r="H35" i="125" s="1"/>
  <c r="H40" i="125" s="1"/>
  <c r="H109" i="125" s="1"/>
  <c r="U77" i="125"/>
  <c r="E66" i="1"/>
  <c r="E58" i="1"/>
  <c r="D65" i="56"/>
  <c r="D83" i="56"/>
  <c r="D62" i="1" s="1"/>
  <c r="D64" i="1"/>
  <c r="X143" i="123"/>
  <c r="G46" i="125"/>
  <c r="J46" i="125" s="1"/>
  <c r="J19" i="125" s="1"/>
  <c r="AD143" i="123"/>
  <c r="U143" i="123"/>
  <c r="AE143" i="123"/>
  <c r="F46" i="125"/>
  <c r="E143" i="123"/>
  <c r="H143" i="123"/>
  <c r="I143" i="123"/>
  <c r="V143" i="123"/>
  <c r="AB99" i="123"/>
  <c r="G143" i="123"/>
  <c r="AA143" i="123"/>
  <c r="C143" i="123"/>
  <c r="AG143" i="123"/>
  <c r="E55" i="125"/>
  <c r="N143" i="123"/>
  <c r="N144" i="123" s="1"/>
  <c r="L164" i="121" s="1"/>
  <c r="Q143" i="123"/>
  <c r="M143" i="123"/>
  <c r="Z143" i="123"/>
  <c r="Y143" i="123"/>
  <c r="W143" i="123"/>
  <c r="AB24" i="123"/>
  <c r="I55" i="125"/>
  <c r="AF143" i="123"/>
  <c r="T143" i="123"/>
  <c r="AH143" i="123"/>
  <c r="J55" i="125"/>
  <c r="J30" i="125" s="1"/>
  <c r="D143" i="123"/>
  <c r="R143" i="123"/>
  <c r="S143" i="123"/>
  <c r="F143" i="123"/>
  <c r="I47" i="125"/>
  <c r="O47" i="125" s="1"/>
  <c r="U47" i="125"/>
  <c r="Z58" i="125"/>
  <c r="C83" i="125" l="1"/>
  <c r="C16" i="125"/>
  <c r="S70" i="125"/>
  <c r="S69" i="125"/>
  <c r="O69" i="125"/>
  <c r="L83" i="125"/>
  <c r="R83" i="125"/>
  <c r="L69" i="125"/>
  <c r="U69" i="125" s="1"/>
  <c r="Q69" i="125"/>
  <c r="X69" i="125" s="1"/>
  <c r="Q80" i="125"/>
  <c r="X80" i="125" s="1"/>
  <c r="L80" i="125"/>
  <c r="Q70" i="125"/>
  <c r="X70" i="125" s="1"/>
  <c r="L70" i="125"/>
  <c r="U70" i="125" s="1"/>
  <c r="L88" i="125"/>
  <c r="U88" i="125" s="1"/>
  <c r="Q88" i="125"/>
  <c r="X88" i="125" s="1"/>
  <c r="O70" i="125"/>
  <c r="S88" i="125"/>
  <c r="AA88" i="125" s="1"/>
  <c r="O88" i="125"/>
  <c r="Y88" i="125" s="1"/>
  <c r="Z70" i="125"/>
  <c r="L89" i="125"/>
  <c r="U89" i="125" s="1"/>
  <c r="Q89" i="125"/>
  <c r="X89" i="125" s="1"/>
  <c r="C103" i="125"/>
  <c r="L100" i="125"/>
  <c r="U100" i="125" s="1"/>
  <c r="Q100" i="125"/>
  <c r="X100" i="125" s="1"/>
  <c r="S89" i="125"/>
  <c r="AA89" i="125" s="1"/>
  <c r="O89" i="125"/>
  <c r="Y89" i="125" s="1"/>
  <c r="S100" i="125"/>
  <c r="O100" i="125"/>
  <c r="G21" i="125"/>
  <c r="L23" i="125"/>
  <c r="Y80" i="125"/>
  <c r="S80" i="125"/>
  <c r="L16" i="125"/>
  <c r="P56" i="125"/>
  <c r="Z56" i="125" s="1"/>
  <c r="D19" i="125"/>
  <c r="M46" i="125"/>
  <c r="Y47" i="125"/>
  <c r="S47" i="125"/>
  <c r="AA47" i="125" s="1"/>
  <c r="F30" i="125"/>
  <c r="R55" i="125"/>
  <c r="O55" i="125"/>
  <c r="Y55" i="125" s="1"/>
  <c r="G30" i="125"/>
  <c r="P30" i="125" s="1"/>
  <c r="P55" i="125"/>
  <c r="Z55" i="125" s="1"/>
  <c r="D30" i="125"/>
  <c r="M55" i="125"/>
  <c r="V55" i="125" s="1"/>
  <c r="C19" i="125"/>
  <c r="L46" i="125"/>
  <c r="U46" i="125" s="1"/>
  <c r="Q46" i="125"/>
  <c r="I30" i="125"/>
  <c r="S55" i="125"/>
  <c r="G19" i="125"/>
  <c r="P19" i="125" s="1"/>
  <c r="P46" i="125"/>
  <c r="Z46" i="125" s="1"/>
  <c r="P111" i="125"/>
  <c r="M111" i="125"/>
  <c r="C30" i="125"/>
  <c r="Q55" i="125"/>
  <c r="L55" i="125"/>
  <c r="U55" i="125" s="1"/>
  <c r="F19" i="125"/>
  <c r="R46" i="125"/>
  <c r="S57" i="125"/>
  <c r="AA57" i="125" s="1"/>
  <c r="D103" i="125"/>
  <c r="M103" i="125" s="1"/>
  <c r="V103" i="125" s="1"/>
  <c r="V100" i="125"/>
  <c r="J83" i="125"/>
  <c r="P83" i="125" s="1"/>
  <c r="Z83" i="125" s="1"/>
  <c r="I103" i="125"/>
  <c r="E83" i="125"/>
  <c r="N83" i="125" s="1"/>
  <c r="W83" i="125" s="1"/>
  <c r="J16" i="125"/>
  <c r="P16" i="125" s="1"/>
  <c r="J103" i="125"/>
  <c r="P103" i="125" s="1"/>
  <c r="Z103" i="125" s="1"/>
  <c r="E15" i="125"/>
  <c r="N15" i="125" s="1"/>
  <c r="D83" i="125"/>
  <c r="M83" i="125" s="1"/>
  <c r="I83" i="125"/>
  <c r="O83" i="125" s="1"/>
  <c r="Y83" i="125" s="1"/>
  <c r="V80" i="125"/>
  <c r="C31" i="125"/>
  <c r="L31" i="125" s="1"/>
  <c r="X48" i="125"/>
  <c r="AA56" i="125"/>
  <c r="X77" i="125"/>
  <c r="X56" i="125"/>
  <c r="X57" i="125"/>
  <c r="AA48" i="125"/>
  <c r="X76" i="125"/>
  <c r="G14" i="125"/>
  <c r="I46" i="125"/>
  <c r="D23" i="125"/>
  <c r="M23" i="125" s="1"/>
  <c r="D24" i="125"/>
  <c r="M24" i="125" s="1"/>
  <c r="J23" i="125"/>
  <c r="P23" i="125" s="1"/>
  <c r="F21" i="125"/>
  <c r="V89" i="125"/>
  <c r="J24" i="125"/>
  <c r="P24" i="125" s="1"/>
  <c r="Z77" i="125"/>
  <c r="I15" i="125"/>
  <c r="O15" i="125" s="1"/>
  <c r="AA69" i="125"/>
  <c r="Y69" i="125"/>
  <c r="Y95" i="125"/>
  <c r="AA95" i="125"/>
  <c r="I23" i="125"/>
  <c r="O23" i="125" s="1"/>
  <c r="AA76" i="125"/>
  <c r="Y76" i="125"/>
  <c r="U96" i="125"/>
  <c r="X96" i="125"/>
  <c r="J15" i="125"/>
  <c r="P15" i="125" s="1"/>
  <c r="E23" i="125"/>
  <c r="N23" i="125" s="1"/>
  <c r="W76" i="125"/>
  <c r="E16" i="125"/>
  <c r="N16" i="125" s="1"/>
  <c r="W70" i="125"/>
  <c r="Y96" i="125"/>
  <c r="AA96" i="125"/>
  <c r="W69" i="125"/>
  <c r="U95" i="125"/>
  <c r="X95" i="125"/>
  <c r="I16" i="125"/>
  <c r="O16" i="125" s="1"/>
  <c r="AA70" i="125"/>
  <c r="E31" i="125"/>
  <c r="N31" i="125" s="1"/>
  <c r="W80" i="125"/>
  <c r="I24" i="125"/>
  <c r="O24" i="125" s="1"/>
  <c r="AA77" i="125"/>
  <c r="I31" i="125"/>
  <c r="O31" i="125" s="1"/>
  <c r="AA80" i="125"/>
  <c r="U80" i="125"/>
  <c r="V77" i="125"/>
  <c r="V76" i="125"/>
  <c r="F14" i="125"/>
  <c r="Z89" i="125"/>
  <c r="J31" i="125"/>
  <c r="P31" i="125" s="1"/>
  <c r="Y100" i="125"/>
  <c r="AA100" i="125"/>
  <c r="C24" i="125"/>
  <c r="L24" i="125" s="1"/>
  <c r="C15" i="125"/>
  <c r="Z76" i="125"/>
  <c r="D15" i="125"/>
  <c r="M15" i="125" s="1"/>
  <c r="D16" i="125"/>
  <c r="M16" i="125" s="1"/>
  <c r="D31" i="125"/>
  <c r="M31" i="125" s="1"/>
  <c r="E24" i="125"/>
  <c r="N24" i="125" s="1"/>
  <c r="W77" i="125"/>
  <c r="AB143" i="123"/>
  <c r="E64" i="125"/>
  <c r="C64" i="125"/>
  <c r="D64" i="125"/>
  <c r="G64" i="125"/>
  <c r="D59" i="1"/>
  <c r="D148" i="125" s="1"/>
  <c r="D64" i="56"/>
  <c r="F64" i="125"/>
  <c r="J64" i="125"/>
  <c r="M30" i="125" l="1"/>
  <c r="Q103" i="125"/>
  <c r="X103" i="125" s="1"/>
  <c r="L103" i="125"/>
  <c r="S103" i="125"/>
  <c r="O103" i="125"/>
  <c r="Q83" i="125"/>
  <c r="X83" i="125" s="1"/>
  <c r="S83" i="125"/>
  <c r="AA83" i="125" s="1"/>
  <c r="L19" i="125"/>
  <c r="R64" i="125"/>
  <c r="S46" i="125"/>
  <c r="AA46" i="125" s="1"/>
  <c r="C14" i="125"/>
  <c r="L14" i="125" s="1"/>
  <c r="L15" i="125"/>
  <c r="P64" i="125"/>
  <c r="L64" i="125"/>
  <c r="U64" i="125" s="1"/>
  <c r="Q64" i="125"/>
  <c r="O46" i="125"/>
  <c r="Y46" i="125" s="1"/>
  <c r="M19" i="125"/>
  <c r="M64" i="125"/>
  <c r="V64" i="125" s="1"/>
  <c r="O30" i="125"/>
  <c r="L30" i="125"/>
  <c r="V83" i="125"/>
  <c r="X55" i="125"/>
  <c r="I19" i="125"/>
  <c r="O19" i="125" s="1"/>
  <c r="AA55" i="125"/>
  <c r="V46" i="125"/>
  <c r="V51" i="125"/>
  <c r="X46" i="125"/>
  <c r="I64" i="125"/>
  <c r="C21" i="125"/>
  <c r="L21" i="125" s="1"/>
  <c r="E21" i="125"/>
  <c r="N21" i="125" s="1"/>
  <c r="D21" i="125"/>
  <c r="M21" i="125" s="1"/>
  <c r="U83" i="125"/>
  <c r="I21" i="125"/>
  <c r="O21" i="125" s="1"/>
  <c r="Y103" i="125"/>
  <c r="AA103" i="125"/>
  <c r="U103" i="125"/>
  <c r="J14" i="125"/>
  <c r="P14" i="125" s="1"/>
  <c r="D14" i="125"/>
  <c r="M14" i="125" s="1"/>
  <c r="E14" i="125"/>
  <c r="N14" i="125" s="1"/>
  <c r="J21" i="125"/>
  <c r="P21" i="125" s="1"/>
  <c r="I14" i="125"/>
  <c r="O14" i="125" s="1"/>
  <c r="G35" i="125"/>
  <c r="Z64" i="125"/>
  <c r="D61" i="1"/>
  <c r="D139" i="125"/>
  <c r="D66" i="1"/>
  <c r="D58" i="1"/>
  <c r="F35" i="125"/>
  <c r="J113" i="141" l="1"/>
  <c r="L113" i="141"/>
  <c r="F40" i="125"/>
  <c r="F109" i="125" s="1"/>
  <c r="G40" i="125"/>
  <c r="G109" i="125" s="1"/>
  <c r="S64" i="125"/>
  <c r="AA64" i="125" s="1"/>
  <c r="O64" i="125"/>
  <c r="Y64" i="125" s="1"/>
  <c r="X64" i="125"/>
  <c r="D149" i="125"/>
  <c r="D141" i="125"/>
  <c r="D150" i="125"/>
  <c r="C35" i="125"/>
  <c r="I35" i="125"/>
  <c r="I40" i="125" s="1"/>
  <c r="I109" i="125" s="1"/>
  <c r="D35" i="125"/>
  <c r="J35" i="125"/>
  <c r="J40" i="125" s="1"/>
  <c r="J109" i="125" s="1"/>
  <c r="J115" i="125" s="1"/>
  <c r="J130" i="125" s="1"/>
  <c r="E35" i="125"/>
  <c r="N35" i="125" s="1"/>
  <c r="D140" i="125"/>
  <c r="O109" i="125" l="1"/>
  <c r="C40" i="125"/>
  <c r="L35" i="125"/>
  <c r="P109" i="125"/>
  <c r="D40" i="125"/>
  <c r="M35" i="125"/>
  <c r="P35" i="125"/>
  <c r="O35" i="125"/>
  <c r="P40" i="125"/>
  <c r="O40" i="125"/>
  <c r="E40" i="125"/>
  <c r="E109" i="125" s="1"/>
  <c r="N109" i="125" s="1"/>
  <c r="G115" i="125"/>
  <c r="D109" i="125" l="1"/>
  <c r="M40" i="125"/>
  <c r="C109" i="125"/>
  <c r="L109" i="125" s="1"/>
  <c r="L40" i="125"/>
  <c r="G130" i="125"/>
  <c r="G132" i="125" s="1"/>
  <c r="P115" i="125"/>
  <c r="D115" i="125" l="1"/>
  <c r="M109" i="125"/>
  <c r="G138" i="125"/>
  <c r="G137" i="125"/>
  <c r="G136" i="125"/>
  <c r="G131" i="125"/>
  <c r="G139" i="125"/>
  <c r="G140" i="125"/>
  <c r="G141" i="125"/>
  <c r="M115" i="125" l="1"/>
  <c r="D130" i="125"/>
  <c r="E130" i="125"/>
  <c r="C130" i="125"/>
  <c r="E138" i="125" l="1"/>
  <c r="E136" i="125"/>
  <c r="E137" i="125"/>
  <c r="C137" i="125"/>
  <c r="C136" i="125"/>
  <c r="C138" i="125"/>
  <c r="D131" i="125"/>
  <c r="D144" i="125"/>
  <c r="D136" i="125"/>
  <c r="D137" i="125"/>
  <c r="D138"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<sst xmlns="http://schemas.openxmlformats.org/spreadsheetml/2006/main" count="5073" uniqueCount="2303">
  <si>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</si>
  <si>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</si>
  <si>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</si>
  <si>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</si>
  <si>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</si>
  <si>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</si>
  <si>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</si>
  <si>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</si>
  <si>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</si>
  <si>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</si>
  <si>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</si>
  <si>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</si>
  <si>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</si>
  <si>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</si>
  <si>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</si>
  <si>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</si>
  <si>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</si>
  <si>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</si>
  <si>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</si>
  <si>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</si>
  <si>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</si>
  <si>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</si>
  <si>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</si>
  <si>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</si>
  <si>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</si>
  <si>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</si>
  <si>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</si>
  <si>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</si>
  <si>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</si>
  <si>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</si>
  <si>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</si>
  <si>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</si>
  <si>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</si>
  <si>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</si>
  <si>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</si>
  <si>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</si>
  <si>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</si>
  <si>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</si>
  <si>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</si>
  <si>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</si>
  <si>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</si>
  <si>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</si>
  <si>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</si>
  <si>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</si>
  <si>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</si>
  <si>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</si>
  <si>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</si>
  <si>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</si>
  <si>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</si>
  <si>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</si>
  <si>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</si>
  <si>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</si>
  <si>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</si>
  <si>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</si>
  <si>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</si>
  <si>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</si>
  <si>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</si>
  <si>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</si>
  <si>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</si>
  <si>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</si>
  <si>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</si>
  <si>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</si>
  <si>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</si>
  <si>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</si>
  <si>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</si>
  <si>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</si>
  <si>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</si>
  <si>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</si>
  <si>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</si>
  <si>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</si>
  <si>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</si>
  <si>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</si>
  <si>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</si>
  <si>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</si>
  <si>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</si>
  <si>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</si>
  <si>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</si>
  <si>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</si>
  <si>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</si>
  <si>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</si>
  <si>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</si>
  <si>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</si>
  <si>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</si>
  <si>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</si>
  <si>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</si>
  <si>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</si>
  <si>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</si>
  <si>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</si>
  <si>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</si>
  <si>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</si>
  <si>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</si>
  <si>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</si>
  <si>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</si>
  <si>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</si>
  <si>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</si>
  <si>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</si>
  <si>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</si>
  <si>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</si>
  <si>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</si>
  <si>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</si>
  <si>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</si>
  <si>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</si>
  <si>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</si>
  <si>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</si>
  <si>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</si>
  <si>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</si>
  <si>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</si>
  <si>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</si>
  <si>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</si>
  <si>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</si>
  <si>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</si>
  <si>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</si>
  <si>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</si>
  <si>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</si>
  <si>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</si>
  <si>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</si>
  <si>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</si>
  <si>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</si>
  <si>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</si>
  <si>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</si>
  <si>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</si>
  <si>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</si>
  <si>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</si>
  <si>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</si>
  <si>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</si>
  <si>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</si>
  <si>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</si>
  <si>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</si>
  <si>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</si>
  <si>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</si>
  <si>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</si>
  <si>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</si>
  <si>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</si>
  <si>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</si>
  <si>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</si>
  <si>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</si>
  <si>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</si>
  <si>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</si>
  <si>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</si>
  <si>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</si>
  <si>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</si>
  <si>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</si>
  <si>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</si>
  <si>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</si>
  <si>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</si>
  <si>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</si>
  <si>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</si>
  <si>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</si>
  <si>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</si>
  <si>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</si>
  <si>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</si>
  <si>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</si>
  <si>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</si>
  <si>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</si>
  <si>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</si>
  <si>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</si>
  <si>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</si>
  <si>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</si>
  <si>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</si>
  <si>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</si>
  <si>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</si>
  <si>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</si>
  <si>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</si>
  <si>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</si>
  <si>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</si>
  <si>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</si>
  <si>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</si>
  <si>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</si>
  <si>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</si>
  <si>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</si>
  <si>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</si>
  <si>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</si>
  <si>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</si>
  <si>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</si>
  <si>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</si>
  <si>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</si>
  <si>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</si>
  <si>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</si>
  <si>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</si>
  <si>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</si>
  <si>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</si>
  <si>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</si>
  <si>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</si>
  <si>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</si>
  <si>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</si>
  <si>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</si>
  <si>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</si>
  <si>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</si>
  <si>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</si>
  <si>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</si>
  <si>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</si>
  <si>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</si>
  <si>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</si>
  <si>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</si>
  <si>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Definition of capital</t>
  </si>
  <si>
    <t>EU</t>
  </si>
  <si>
    <t>Total amount with respect to provisions to be included in Tier 2 capital</t>
  </si>
  <si>
    <t>2022 national impl.</t>
  </si>
  <si>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</si>
  <si>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</si>
  <si>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</si>
  <si>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</si>
  <si>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</si>
  <si>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</si>
  <si>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</si>
  <si>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</si>
  <si>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</si>
  <si>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</si>
  <si>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Deduction for defined benefit pension fund assets</t>
  </si>
  <si>
    <t>Deductions for prudent valuation</t>
  </si>
  <si>
    <t>Other CET1 deductions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</si>
  <si>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</si>
  <si>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</si>
  <si>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</si>
  <si>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</si>
  <si>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</si>
  <si>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</si>
  <si>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Deduction for reciprocal cross holdings of Tier 2 capital</t>
  </si>
  <si>
    <t>Other deductions from additional Tier 1 capital</t>
  </si>
  <si>
    <t>Additional Tier 1 capital net of regulatory adjustments</t>
  </si>
  <si>
    <t>Total Tier 2 capital prior to regulatory adjustments</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</si>
  <si>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</si>
  <si>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</si>
  <si>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</si>
  <si>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</si>
  <si>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</si>
  <si>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</si>
  <si>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</si>
  <si>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</si>
  <si>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</si>
  <si>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</si>
  <si>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</si>
  <si>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</si>
  <si>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</si>
  <si>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</si>
  <si>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</si>
  <si>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</si>
  <si>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</si>
  <si>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</si>
  <si>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</si>
  <si>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</si>
  <si>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</si>
  <si>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</si>
  <si>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</si>
  <si>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</si>
  <si>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</si>
  <si>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</si>
  <si>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</si>
  <si>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</si>
  <si>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Deduction for qualifying holdings outside the financial sector which can alternatively be subject to a 1,250% risk weight</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</si>
  <si>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</si>
  <si>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</si>
  <si>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</si>
  <si>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</si>
  <si>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</si>
  <si>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</si>
  <si>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</si>
  <si>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</si>
  <si>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</si>
  <si>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</si>
  <si>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</si>
  <si>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</si>
  <si>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</si>
  <si>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</si>
  <si>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</si>
  <si>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</si>
  <si>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</si>
  <si>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</si>
  <si>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</si>
  <si>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</si>
  <si>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</si>
  <si>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</si>
  <si>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</si>
  <si>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</si>
  <si>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</si>
  <si>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</si>
  <si>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Total initial margin received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</si>
  <si>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</si>
  <si>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</si>
  <si>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</si>
  <si>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</si>
  <si>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</si>
  <si>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</si>
  <si>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</si>
  <si>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</si>
  <si>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</si>
  <si>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</si>
  <si>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</si>
  <si>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</si>
  <si>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</si>
  <si>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</si>
  <si>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</si>
  <si>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</si>
  <si>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</si>
  <si>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</si>
  <si>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</si>
  <si>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</si>
  <si>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</si>
  <si>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</si>
  <si>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</si>
  <si>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</si>
  <si>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</si>
  <si>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</si>
  <si>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</si>
  <si>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</si>
  <si>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</si>
  <si>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</si>
  <si>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</si>
  <si>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</si>
  <si>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</si>
  <si>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</si>
  <si>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</si>
  <si>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</si>
  <si>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</si>
  <si>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</si>
  <si>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</si>
  <si>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</si>
  <si>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</si>
  <si>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</si>
  <si>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</si>
  <si>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</si>
  <si>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</si>
  <si>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</si>
  <si>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</si>
  <si>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</si>
  <si>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</si>
  <si>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</si>
  <si>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</si>
  <si>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</si>
  <si>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</si>
  <si>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</si>
  <si>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</si>
  <si>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</si>
  <si>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</si>
  <si>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</si>
  <si>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</si>
  <si>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</si>
  <si>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</si>
  <si>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</si>
  <si>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</si>
  <si>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</si>
  <si>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</si>
  <si>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</si>
  <si>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</si>
  <si>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</si>
  <si>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</si>
  <si>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</si>
  <si>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</si>
  <si>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</si>
  <si>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</si>
  <si>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</si>
  <si>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</si>
  <si>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</si>
  <si>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</si>
  <si>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</si>
  <si>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</si>
  <si>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</si>
  <si>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</si>
  <si>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</si>
  <si>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</si>
  <si>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</si>
  <si>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</si>
  <si>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</si>
  <si>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</si>
  <si>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</si>
  <si>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</si>
  <si>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</si>
  <si>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</si>
  <si>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</si>
  <si>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</si>
  <si>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</si>
  <si>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</si>
  <si>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</si>
  <si>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</si>
  <si>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</si>
  <si>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</si>
  <si>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</si>
  <si>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</si>
  <si>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</si>
  <si>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</si>
  <si>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</si>
  <si>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</si>
  <si>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</si>
  <si>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</si>
  <si>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</si>
  <si>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</si>
  <si>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</si>
  <si>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</si>
  <si>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</si>
  <si>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</si>
  <si>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</si>
  <si>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</si>
  <si>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</si>
  <si>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</si>
  <si>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</si>
  <si>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</si>
  <si>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</si>
  <si>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</si>
  <si>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</si>
  <si>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</si>
  <si>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</si>
  <si>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</si>
  <si>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</si>
  <si>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</si>
  <si>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</si>
  <si>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</si>
  <si>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</si>
  <si>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</si>
  <si>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</si>
  <si>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</si>
  <si>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</si>
  <si>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</si>
  <si>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</si>
  <si>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</si>
  <si>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</si>
  <si>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</si>
  <si>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</si>
  <si>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</si>
  <si>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</si>
  <si>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</si>
  <si>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</si>
  <si>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</si>
  <si>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</si>
  <si>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</si>
  <si>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</si>
  <si>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</si>
  <si>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</si>
  <si>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</si>
  <si>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</si>
  <si>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</si>
  <si>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</si>
  <si>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</si>
  <si>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</si>
  <si>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</si>
  <si>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</si>
  <si>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</si>
  <si>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</si>
  <si>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</si>
  <si>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</si>
  <si>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</si>
  <si>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</si>
  <si>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</si>
  <si>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</si>
  <si>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</si>
  <si>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</si>
  <si>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</si>
  <si>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</si>
  <si>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</si>
  <si>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</si>
  <si>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</si>
  <si>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</si>
  <si>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</si>
  <si>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</si>
  <si>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</si>
  <si>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</si>
  <si>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</si>
  <si>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</si>
  <si>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</si>
  <si>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</si>
  <si>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</si>
  <si>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</si>
  <si>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</si>
  <si>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</si>
  <si>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</si>
  <si>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</si>
  <si>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</si>
  <si>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</si>
  <si>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</si>
  <si>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</si>
  <si>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</si>
  <si>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</si>
  <si>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</si>
  <si>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</si>
  <si>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</si>
  <si>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</si>
  <si>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</si>
  <si>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</si>
  <si>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</si>
  <si>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</si>
  <si>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</si>
  <si>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</si>
  <si>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</si>
  <si>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</si>
  <si>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</si>
  <si>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</si>
  <si>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</si>
  <si>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</si>
  <si>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</si>
  <si>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</si>
  <si>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</si>
  <si>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</si>
  <si>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</si>
  <si>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</si>
  <si>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</si>
  <si>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</si>
  <si>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</si>
  <si>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</si>
  <si>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</si>
  <si>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</si>
  <si>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</si>
  <si>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</si>
  <si>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</si>
  <si>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</si>
  <si>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</si>
  <si>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</si>
  <si>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</si>
  <si>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</si>
  <si>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</si>
  <si>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</si>
  <si>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</si>
  <si>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</si>
  <si>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</si>
  <si>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</si>
  <si>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</si>
  <si>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</si>
  <si>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</si>
  <si>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</si>
  <si>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</si>
  <si>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</si>
  <si>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</si>
  <si>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</si>
  <si>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</si>
  <si>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</si>
  <si>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</si>
  <si>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</si>
  <si>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</si>
  <si>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</si>
  <si>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</si>
  <si>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</si>
  <si>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</si>
  <si>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</si>
  <si>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</si>
  <si>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</si>
  <si>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</si>
  <si>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</si>
  <si>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</si>
  <si>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</si>
  <si>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</si>
  <si>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</si>
  <si>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</si>
  <si>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</si>
  <si>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internal ratings-based approach (SEC-IRBA)</t>
  </si>
  <si>
    <t>of which: external ratings-based approach (SEC-ERBA)</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</si>
  <si>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</si>
  <si>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</si>
  <si>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</si>
  <si>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</si>
  <si>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</si>
  <si>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</si>
  <si>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</si>
  <si>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</si>
  <si>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</si>
  <si>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</si>
  <si>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of which: standardised approach (SEC-SA)</t>
  </si>
  <si>
    <t>Deduction for securitisation gain on sale</t>
  </si>
  <si>
    <t>for securitisation gain on sale</t>
  </si>
  <si>
    <t xml:space="preserve">Securitisation exposures currently deducted: </t>
  </si>
  <si>
    <t>Total amount of gross losses</t>
  </si>
  <si>
    <t>Final standards</t>
  </si>
  <si>
    <t>Revised market risk framework definition of TB-BB boundary</t>
  </si>
  <si>
    <t>Change</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</si>
  <si>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</si>
  <si>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</si>
  <si>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</si>
  <si>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</si>
  <si>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</si>
  <si>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</si>
  <si>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</si>
  <si>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</si>
  <si>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</si>
  <si>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</si>
  <si>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</si>
  <si>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</si>
  <si>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</si>
  <si>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</si>
  <si>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</si>
  <si>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</si>
  <si>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</si>
  <si>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</si>
  <si>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</si>
  <si>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</si>
  <si>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</si>
  <si>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</si>
  <si>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</si>
  <si>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</si>
  <si>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</si>
  <si>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</si>
  <si>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</si>
  <si>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</si>
  <si>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</si>
  <si>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</si>
  <si>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</si>
  <si>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</si>
  <si>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</si>
  <si>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Exposures to sovereigns</t>
  </si>
  <si>
    <t>Defaulted exposures</t>
  </si>
  <si>
    <t>DTA: Deduction treatment</t>
  </si>
  <si>
    <t>Full deduction</t>
  </si>
  <si>
    <t>Threshold deduction</t>
  </si>
  <si>
    <t>DTA: deduction treatment (threshold vs full deductions)</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</si>
  <si>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</si>
  <si>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</si>
  <si>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</si>
  <si>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</si>
  <si>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</si>
  <si>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</si>
  <si>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</si>
  <si>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</si>
  <si>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</si>
  <si>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</si>
  <si>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</si>
  <si>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</si>
  <si>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</si>
  <si>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</si>
  <si>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</si>
  <si>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</si>
  <si>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</si>
  <si>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</si>
  <si>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</si>
  <si>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</si>
  <si>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</si>
  <si>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</si>
  <si>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</si>
  <si>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</si>
  <si>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</si>
  <si>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</si>
  <si>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</si>
  <si>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</si>
  <si>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</si>
  <si>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Pure</t>
  </si>
  <si>
    <t>Consistency check</t>
  </si>
  <si>
    <t>Empty cells in panel A2</t>
  </si>
  <si>
    <t>Checks</t>
  </si>
  <si>
    <t>Panel</t>
  </si>
  <si>
    <t>B</t>
  </si>
  <si>
    <t>E</t>
  </si>
  <si>
    <t>A</t>
  </si>
  <si>
    <t>B1</t>
  </si>
  <si>
    <t>A1</t>
  </si>
  <si>
    <t>A2</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</si>
  <si>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</si>
  <si>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</si>
  <si>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</si>
  <si>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</si>
  <si>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</si>
  <si>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</si>
  <si>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</si>
  <si>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</si>
  <si>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</si>
  <si>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</si>
  <si>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</si>
  <si>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</si>
  <si>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</si>
  <si>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</si>
  <si>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</si>
  <si>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</si>
  <si>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</si>
  <si>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</si>
  <si>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</si>
  <si>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</si>
  <si>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</si>
  <si>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</si>
  <si>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</si>
  <si>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</si>
  <si>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</si>
  <si>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</si>
  <si>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</si>
  <si>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</si>
  <si>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</si>
  <si>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</si>
  <si>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</si>
  <si>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</si>
  <si>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</si>
  <si>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</si>
  <si>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</si>
  <si>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</si>
  <si>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</si>
  <si>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</si>
  <si>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</si>
  <si>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</si>
  <si>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</si>
  <si>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</si>
  <si>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</si>
  <si>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</si>
  <si>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</si>
  <si>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</si>
  <si>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</si>
  <si>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</si>
  <si>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</si>
  <si>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</si>
  <si>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</si>
  <si>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</si>
  <si>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</si>
  <si>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</si>
  <si>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</si>
  <si>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</si>
  <si>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</si>
  <si>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</si>
  <si>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</si>
  <si>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</si>
  <si>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</si>
  <si>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</si>
  <si>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</si>
  <si>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</si>
  <si>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</si>
  <si>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</si>
  <si>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</si>
  <si>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</si>
  <si>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</si>
  <si>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</si>
  <si>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</si>
  <si>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</si>
  <si>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</si>
  <si>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</si>
  <si>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</si>
  <si>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</si>
  <si>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</si>
  <si>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</si>
  <si>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</si>
  <si>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</si>
  <si>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</si>
  <si>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</si>
  <si>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</si>
  <si>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</si>
  <si>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</si>
  <si>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</si>
  <si>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</si>
  <si>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</si>
  <si>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</si>
  <si>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</si>
  <si>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</si>
  <si>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</si>
  <si>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</si>
  <si>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</si>
  <si>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</si>
  <si>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</si>
  <si>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</si>
  <si>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</si>
  <si>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</si>
  <si>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</si>
  <si>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</si>
  <si>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</si>
  <si>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</si>
  <si>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</si>
  <si>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</si>
  <si>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</si>
  <si>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Loss events netting ≥ EUR 100,000</t>
  </si>
  <si>
    <t>Interest, leases and dividend component (ILDC)</t>
  </si>
  <si>
    <t>Business Indicator (BI)</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</si>
  <si>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</si>
  <si>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</si>
  <si>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</si>
  <si>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</si>
  <si>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</si>
  <si>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</si>
  <si>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100,000</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</si>
  <si>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</si>
  <si>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</si>
  <si>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</si>
  <si>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</si>
  <si>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</si>
  <si>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</si>
  <si>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</si>
  <si>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</si>
  <si>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</si>
  <si>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</si>
  <si>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</si>
  <si>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</si>
  <si>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</si>
  <si>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</si>
  <si>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</si>
  <si>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</si>
  <si>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</si>
  <si>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</si>
  <si>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</si>
  <si>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</si>
  <si>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</si>
  <si>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</si>
  <si>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</si>
  <si>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</si>
  <si>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</si>
  <si>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</si>
  <si>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</si>
  <si>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</si>
  <si>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</si>
  <si>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</si>
  <si>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</si>
  <si>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</si>
  <si>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</si>
  <si>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</si>
  <si>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</si>
  <si>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</si>
  <si>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</si>
  <si>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</si>
  <si>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</si>
  <si>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</si>
  <si>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</si>
  <si>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</si>
  <si>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</si>
  <si>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</si>
  <si>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</si>
  <si>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</si>
  <si>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</si>
  <si>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</si>
  <si>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</si>
  <si>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</si>
  <si>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</si>
  <si>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</si>
  <si>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</si>
  <si>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</si>
  <si>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</si>
  <si>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</si>
  <si>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</si>
  <si>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</si>
  <si>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</si>
  <si>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</si>
  <si>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</si>
  <si>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</si>
  <si>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</si>
  <si>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</si>
  <si>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</si>
  <si>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</si>
  <si>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</si>
  <si>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</si>
  <si>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</si>
  <si>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</si>
  <si>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</si>
  <si>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</si>
  <si>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</si>
  <si>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</si>
  <si>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</si>
  <si>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</si>
  <si>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</si>
  <si>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</si>
  <si>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</si>
  <si>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</si>
  <si>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</si>
  <si>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</si>
  <si>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</si>
  <si>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</si>
  <si>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</si>
  <si>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</si>
  <si>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</si>
  <si>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</si>
  <si>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</si>
  <si>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</si>
  <si>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</si>
  <si>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</si>
  <si>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</si>
  <si>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</si>
  <si>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</si>
  <si>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</si>
  <si>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</si>
  <si>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</si>
  <si>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</si>
  <si>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</si>
  <si>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</si>
  <si>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</si>
  <si>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</si>
  <si>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</si>
  <si>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</si>
  <si>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</si>
  <si>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</si>
  <si>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</si>
  <si>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</si>
  <si>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</si>
  <si>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</si>
  <si>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</si>
  <si>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</si>
  <si>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</si>
  <si>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</si>
  <si>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</si>
  <si>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</si>
  <si>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</si>
  <si>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</si>
  <si>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</si>
  <si>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</si>
  <si>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</si>
  <si>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</si>
  <si>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</si>
  <si>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</si>
  <si>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</si>
  <si>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</si>
  <si>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</si>
  <si>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</si>
  <si>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</si>
  <si>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</si>
  <si>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</si>
  <si>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</si>
  <si>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</si>
  <si>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</si>
  <si>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</si>
  <si>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</si>
  <si>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</si>
  <si>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</si>
  <si>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</si>
  <si>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</si>
  <si>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</si>
  <si>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</si>
  <si>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</si>
  <si>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</si>
  <si>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</si>
  <si>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</si>
  <si>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</si>
  <si>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</si>
  <si>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</si>
  <si>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</si>
  <si>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</si>
  <si>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</si>
  <si>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</si>
  <si>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</si>
  <si>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</si>
  <si>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</si>
  <si>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</si>
  <si>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</si>
  <si>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</si>
  <si>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</si>
  <si>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</si>
  <si>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</si>
  <si>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</si>
  <si>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</si>
  <si>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</si>
  <si>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</si>
  <si>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</si>
  <si>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</si>
  <si>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</si>
  <si>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</si>
  <si>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</si>
  <si>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</si>
  <si>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</si>
  <si>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</si>
  <si>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</si>
  <si>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</si>
  <si>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</si>
  <si>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</si>
  <si>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</si>
  <si>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</si>
  <si>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</si>
  <si>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</si>
  <si>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</si>
  <si>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</si>
  <si>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</si>
  <si>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</si>
  <si>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</si>
  <si>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</si>
  <si>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</si>
  <si>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</si>
  <si>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</si>
  <si>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</si>
  <si>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</si>
  <si>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</si>
  <si>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</si>
  <si>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</si>
  <si>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</si>
  <si>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</si>
  <si>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</si>
  <si>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</si>
  <si>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Check: total RWA should not be higher than total reported in panel A1</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</si>
  <si>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</si>
  <si>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</si>
  <si>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</si>
  <si>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</si>
  <si>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</si>
  <si>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</si>
  <si>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</si>
  <si>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</si>
  <si>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</si>
  <si>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</si>
  <si>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</si>
  <si>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</si>
  <si>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</si>
  <si>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</si>
  <si>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</si>
  <si>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</si>
  <si>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</si>
  <si>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</si>
  <si>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</si>
  <si>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</si>
  <si>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</si>
  <si>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</si>
  <si>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</si>
  <si>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</si>
  <si>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</si>
  <si>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</si>
  <si>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</si>
  <si>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</si>
  <si>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</si>
  <si>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</si>
  <si>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</si>
  <si>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</si>
  <si>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</si>
  <si>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</si>
  <si>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</si>
  <si>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</si>
  <si>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</si>
  <si>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</si>
  <si>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</si>
  <si>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</si>
  <si>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On-balance sheet exposures post-CRM</t>
  </si>
  <si>
    <t>Empty cells in panel B</t>
  </si>
  <si>
    <t>Loan splitting approach</t>
  </si>
  <si>
    <t xml:space="preserve">The flag in the "Supervisory information" worksheet is set to </t>
  </si>
  <si>
    <t>Empty cells in panel A3</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</si>
  <si>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</si>
  <si>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</si>
  <si>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</si>
  <si>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</si>
  <si>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</si>
  <si>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</si>
  <si>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</si>
  <si>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</si>
  <si>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</si>
  <si>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</si>
  <si>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</si>
  <si>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</si>
  <si>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</si>
  <si>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</si>
  <si>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</si>
  <si>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</si>
  <si>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</si>
  <si>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</si>
  <si>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</si>
  <si>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</si>
  <si>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</si>
  <si>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</si>
  <si>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</si>
  <si>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</si>
  <si>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</si>
  <si>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</si>
  <si>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</si>
  <si>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</si>
  <si>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</si>
  <si>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</si>
  <si>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</si>
  <si>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</si>
  <si>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</si>
  <si>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</si>
  <si>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</si>
  <si>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</si>
  <si>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</si>
  <si>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</si>
  <si>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</si>
  <si>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</si>
  <si>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</si>
  <si>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</si>
  <si>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</si>
  <si>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</si>
  <si>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</si>
  <si>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</si>
  <si>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</si>
  <si>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</si>
  <si>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</si>
  <si>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</si>
  <si>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</si>
  <si>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</si>
  <si>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</si>
  <si>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B2</t>
  </si>
  <si>
    <t>B3a</t>
  </si>
  <si>
    <t>B3b</t>
  </si>
  <si>
    <t>B3c2</t>
  </si>
  <si>
    <t>B 1</t>
  </si>
  <si>
    <t>SEC-ERBA</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</si>
  <si>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</si>
  <si>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</si>
  <si>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</si>
  <si>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</si>
  <si>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</si>
  <si>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</si>
  <si>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</si>
  <si>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</si>
  <si>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</si>
  <si>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</si>
  <si>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</si>
  <si>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</si>
  <si>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</si>
  <si>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</si>
  <si>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</si>
  <si>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</si>
  <si>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</si>
  <si>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</si>
  <si>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RWA under SEC-SA</t>
  </si>
  <si>
    <t>Corresponding RWA under SEC-SA only</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</si>
  <si>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</si>
  <si>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</si>
  <si>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</si>
  <si>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</si>
  <si>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</si>
  <si>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Check: K_reduced and K_hedged in panel 3c3 should be larger than 0 and not equal</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</si>
  <si>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</si>
  <si>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</si>
  <si>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</si>
  <si>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</si>
  <si>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</si>
  <si>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</si>
  <si>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</si>
  <si>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</si>
  <si>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</si>
  <si>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</si>
  <si>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</si>
  <si>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</si>
  <si>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</si>
  <si>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</si>
  <si>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</si>
  <si>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</si>
  <si>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</si>
  <si>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</si>
  <si>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</si>
  <si>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</si>
  <si>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</si>
  <si>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</si>
  <si>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</si>
  <si>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</si>
  <si>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</si>
  <si>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</si>
  <si>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</si>
  <si>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</si>
  <si>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</si>
  <si>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</si>
  <si>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</si>
  <si>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</si>
  <si>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</si>
  <si>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</si>
  <si>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</si>
  <si>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</si>
  <si>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</si>
  <si>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</si>
  <si>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</si>
  <si>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</si>
  <si>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</si>
  <si>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</si>
  <si>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</si>
  <si>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</si>
  <si>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</si>
  <si>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</si>
  <si>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</si>
  <si>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</si>
  <si>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</si>
  <si>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</si>
  <si>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</si>
  <si>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</si>
  <si>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</si>
  <si>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</si>
  <si>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</si>
  <si>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</si>
  <si>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</si>
  <si>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</si>
  <si>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</si>
  <si>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</si>
  <si>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</si>
  <si>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</si>
  <si>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</si>
  <si>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</si>
  <si>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</si>
  <si>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</si>
  <si>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</si>
  <si>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</si>
  <si>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</si>
  <si>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</si>
  <si>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</si>
  <si>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</si>
  <si>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</si>
  <si>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</si>
  <si>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</si>
  <si>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</si>
  <si>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</si>
  <si>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</si>
  <si>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</si>
  <si>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</si>
  <si>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</si>
  <si>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</si>
  <si>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</si>
  <si>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</si>
  <si>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</si>
  <si>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</si>
  <si>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</si>
  <si>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</si>
  <si>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</si>
  <si>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</si>
  <si>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</si>
  <si>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</si>
  <si>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</si>
  <si>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</si>
  <si>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</si>
  <si>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</si>
  <si>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</si>
  <si>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</si>
  <si>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</si>
  <si>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</si>
  <si>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</si>
  <si>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</si>
  <si>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</si>
  <si>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</si>
  <si>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</si>
  <si>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</si>
  <si>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</si>
  <si>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</si>
  <si>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</si>
  <si>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</si>
  <si>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</si>
  <si>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</si>
  <si>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</si>
  <si>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</si>
  <si>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</si>
  <si>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</si>
  <si>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</si>
  <si>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</si>
  <si>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</si>
  <si>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</si>
  <si>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</si>
  <si>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</si>
  <si>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</si>
  <si>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</si>
  <si>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</si>
  <si>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</si>
  <si>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</si>
  <si>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</si>
  <si>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</si>
  <si>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</si>
  <si>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</si>
  <si>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</si>
  <si>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</si>
  <si>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</si>
  <si>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</si>
  <si>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</si>
  <si>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</si>
  <si>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</si>
  <si>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</si>
  <si>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</si>
  <si>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</si>
  <si>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</si>
  <si>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</si>
  <si>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</si>
  <si>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</si>
  <si>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</si>
  <si>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</si>
  <si>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</si>
  <si>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</si>
  <si>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</si>
  <si>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</si>
  <si>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</si>
  <si>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</si>
  <si>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</si>
  <si>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</si>
  <si>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</si>
  <si>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</si>
  <si>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</si>
  <si>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</si>
  <si>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</si>
  <si>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</si>
  <si>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</si>
  <si>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</si>
  <si>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</si>
  <si>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</si>
  <si>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</si>
  <si>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</si>
  <si>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</si>
  <si>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</si>
  <si>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</si>
  <si>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</si>
  <si>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</si>
  <si>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</si>
  <si>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</si>
  <si>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</si>
  <si>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</si>
  <si>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</si>
  <si>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</si>
  <si>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</si>
  <si>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</si>
  <si>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</si>
  <si>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</si>
  <si>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</si>
  <si>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</si>
  <si>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</si>
  <si>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</si>
  <si>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</si>
  <si>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</si>
  <si>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</si>
  <si>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</si>
  <si>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</si>
  <si>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</si>
  <si>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</si>
  <si>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</si>
  <si>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</si>
  <si>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</si>
  <si>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</si>
  <si>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</si>
  <si>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</si>
  <si>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</si>
  <si>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</si>
  <si>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</si>
  <si>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</si>
  <si>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</si>
  <si>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</si>
  <si>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</si>
  <si>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</si>
  <si>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</si>
  <si>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</si>
  <si>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</si>
  <si>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</si>
  <si>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</si>
  <si>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</si>
  <si>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</si>
  <si>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</si>
  <si>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</si>
  <si>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</si>
  <si>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</si>
  <si>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</si>
  <si>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</si>
  <si>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</si>
  <si>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</si>
  <si>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</si>
  <si>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</si>
  <si>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</si>
  <si>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</si>
  <si>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</si>
  <si>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</si>
  <si>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</si>
  <si>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</si>
  <si>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</si>
  <si>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</si>
  <si>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</si>
  <si>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</si>
  <si>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</si>
  <si>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</si>
  <si>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</si>
  <si>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</si>
  <si>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</si>
  <si>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</si>
  <si>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</si>
  <si>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</si>
  <si>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</si>
  <si>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</si>
  <si>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</si>
  <si>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</si>
  <si>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</si>
  <si>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</si>
  <si>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</si>
  <si>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</si>
  <si>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</si>
  <si>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</si>
  <si>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</si>
  <si>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</si>
  <si>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</si>
  <si>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</si>
  <si>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</si>
  <si>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</si>
  <si>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</si>
  <si>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</si>
  <si>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</si>
  <si>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</si>
  <si>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</si>
  <si>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</si>
  <si>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</si>
  <si>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</si>
  <si>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</si>
  <si>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</si>
  <si>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</si>
  <si>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</si>
  <si>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</si>
  <si>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</si>
  <si>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</si>
  <si>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</si>
  <si>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</si>
  <si>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</si>
  <si>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</si>
  <si>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</si>
  <si>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</si>
  <si>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</si>
  <si>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</si>
  <si>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</si>
  <si>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</si>
  <si>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</si>
  <si>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</si>
  <si>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</si>
  <si>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</si>
  <si>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</si>
  <si>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</si>
  <si>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</si>
  <si>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</si>
  <si>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</si>
  <si>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</si>
  <si>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</si>
  <si>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</si>
  <si>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</si>
  <si>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</si>
  <si>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</si>
  <si>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</si>
  <si>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</si>
  <si>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</si>
  <si>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</si>
  <si>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</si>
  <si>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</si>
  <si>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</si>
  <si>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</si>
  <si>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</si>
  <si>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</si>
  <si>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</si>
  <si>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</si>
  <si>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</si>
  <si>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</si>
  <si>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</si>
  <si>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</si>
  <si>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</si>
  <si>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</si>
  <si>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</si>
  <si>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</si>
  <si>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</si>
  <si>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</si>
  <si>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</si>
  <si>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</si>
  <si>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</si>
  <si>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</si>
  <si>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</si>
  <si>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</si>
  <si>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</si>
  <si>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</si>
  <si>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</si>
  <si>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</si>
  <si>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</si>
  <si>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</si>
  <si>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</si>
  <si>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</si>
  <si>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</si>
  <si>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</si>
  <si>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</si>
  <si>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</si>
  <si>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</si>
  <si>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</si>
  <si>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</si>
  <si>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</si>
  <si>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</si>
  <si>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</si>
  <si>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</si>
  <si>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</si>
  <si>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</si>
  <si>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</si>
  <si>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</si>
  <si>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</si>
  <si>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</si>
  <si>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</si>
  <si>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</si>
  <si>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</si>
  <si>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</si>
  <si>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</si>
  <si>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</si>
  <si>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</si>
  <si>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</si>
  <si>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</si>
  <si>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</si>
  <si>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</si>
  <si>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</si>
  <si>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</si>
  <si>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</si>
  <si>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</si>
  <si>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</si>
  <si>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</si>
  <si>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</si>
  <si>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</si>
  <si>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</si>
  <si>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</si>
  <si>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</si>
  <si>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</si>
  <si>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</si>
  <si>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</si>
  <si>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</si>
  <si>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</si>
  <si>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</si>
  <si>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</si>
  <si>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</si>
  <si>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</si>
  <si>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</si>
  <si>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</si>
  <si>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</si>
  <si>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</si>
  <si>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</si>
  <si>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</si>
  <si>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</si>
  <si>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</si>
  <si>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</si>
  <si>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</si>
  <si>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SbM capital requirements in TB worksheet, panel B2</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</si>
  <si>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</si>
  <si>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</si>
  <si>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</si>
  <si>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</si>
  <si>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</si>
  <si>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</si>
  <si>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</si>
  <si>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</si>
  <si>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</si>
  <si>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</si>
  <si>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</si>
  <si>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</si>
  <si>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</si>
  <si>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</si>
  <si>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</si>
  <si>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</si>
  <si>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</si>
  <si>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Shortfall of provisions to expected losses to be deducted from Common Equity Tier 1 capital (gross of any tax adjustment)</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</si>
  <si>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</si>
  <si>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t>Instruments that meet the Tier 2 criteria issued by subsidiaries to third parties that are given recognition in Tier 2 capital</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</si>
  <si>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</si>
  <si>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</si>
  <si>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</si>
  <si>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</si>
  <si>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</si>
  <si>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B3c1</t>
  </si>
  <si>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</si>
  <si>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</si>
  <si>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</si>
  <si>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</si>
  <si>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</si>
  <si>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</si>
  <si>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</si>
  <si>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</si>
  <si>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securitisation exposures reported in the trading book in regulatory reporting that are included above due to the application of the revised market risk framework definition of TB-BB boundary</t>
  </si>
  <si>
    <t>Memo item: securitisation exposures reported in the banking book in regulatory reporting but no longer included above due to the application of the revised market risk framework definition of TB-BB boundary</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</si>
  <si>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</si>
  <si>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</si>
  <si>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</si>
  <si>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</si>
  <si>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</si>
  <si>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</si>
  <si>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</si>
  <si>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</si>
  <si>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</si>
  <si>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</si>
  <si>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</si>
  <si>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</si>
  <si>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national implementation</t>
  </si>
  <si>
    <t>pure</t>
  </si>
  <si>
    <t>[%] current
(applying national rules at the reporting date)</t>
  </si>
  <si>
    <t>[%]
initial Basel III 2022</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</si>
  <si>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</si>
  <si>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</si>
  <si>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</si>
  <si>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</si>
  <si>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</si>
  <si>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</si>
  <si>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</si>
  <si>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</si>
  <si>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</si>
  <si>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</si>
  <si>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</si>
  <si>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</si>
  <si>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</si>
  <si>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</si>
  <si>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</si>
  <si>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</si>
  <si>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</si>
  <si>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</si>
  <si>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</si>
  <si>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</si>
  <si>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</si>
  <si>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</si>
  <si>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</si>
  <si>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</si>
  <si>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</si>
  <si>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</si>
  <si>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</si>
  <si>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</si>
  <si>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</si>
  <si>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</si>
  <si>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</si>
  <si>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</si>
  <si>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</si>
  <si>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</si>
  <si>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</si>
  <si>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</si>
  <si>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</si>
  <si>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</si>
  <si>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</si>
  <si>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</si>
  <si>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</si>
  <si>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</si>
  <si>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</si>
  <si>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</si>
  <si>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</si>
  <si>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</si>
  <si>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</si>
  <si>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</si>
  <si>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</si>
  <si>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</si>
  <si>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</si>
  <si>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</si>
  <si>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</si>
  <si>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</si>
  <si>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</si>
  <si>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</si>
  <si>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</si>
  <si>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</si>
  <si>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</si>
  <si>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</si>
  <si>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</si>
  <si>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</si>
  <si>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</si>
  <si>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</si>
  <si>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CAP30.13</t>
  </si>
  <si>
    <t>CAP10.18</t>
  </si>
  <si>
    <t>CAP30.9</t>
  </si>
  <si>
    <t>CAP30.32</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</si>
  <si>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</si>
  <si>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</si>
  <si>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</si>
  <si>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</si>
  <si>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</si>
  <si>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</si>
  <si>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</si>
  <si>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</si>
  <si>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</si>
  <si>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</si>
  <si>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</si>
  <si>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CAP10.19</t>
  </si>
  <si>
    <t>CAP10.6–8</t>
  </si>
  <si>
    <t>CAP10.20–25</t>
  </si>
  <si>
    <t>CAP30.7–8</t>
  </si>
  <si>
    <t>CAP30.11–12</t>
  </si>
  <si>
    <t>CAP30.16–17</t>
  </si>
  <si>
    <t>CAP10.11, CAP10.13</t>
  </si>
  <si>
    <t>CAP10.16–17</t>
  </si>
  <si>
    <t>CAP30.18–20</t>
  </si>
  <si>
    <t>CAP30.22–28</t>
  </si>
  <si>
    <t>CAP30.23(1)</t>
  </si>
  <si>
    <t>of which: holdings designated under CAP30.23(1)</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</si>
  <si>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</si>
  <si>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Tier 2 capital instruments issued by parent company of group (and any related surplus), including any compliant capital issued via SPVs as determined by CAP10.26</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</si>
  <si>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</si>
  <si>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</si>
  <si>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</si>
  <si>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Additional Tier 1 instruments issued by parent company of group (and any related surplus), including any compliant capital issued via SPVs as determined by CAP10.26</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</si>
  <si>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</si>
  <si>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</si>
  <si>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</si>
  <si>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CAP30.15</t>
  </si>
  <si>
    <t>CAP30.14</t>
  </si>
  <si>
    <t>Deduction for securitisation gain on sale (expected future margin income) as set out in CAP30.14</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</si>
  <si>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</si>
  <si>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</si>
  <si>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</si>
  <si>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</si>
  <si>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</si>
  <si>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</si>
  <si>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</si>
  <si>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</si>
  <si>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</si>
  <si>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</si>
  <si>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</si>
  <si>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</si>
  <si>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</si>
  <si>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</si>
  <si>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</si>
  <si>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</si>
  <si>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</si>
  <si>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</si>
  <si>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</si>
  <si>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</si>
  <si>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</si>
  <si>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</si>
  <si>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</si>
  <si>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</si>
  <si>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</si>
  <si>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</si>
  <si>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</si>
  <si>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</si>
  <si>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</si>
  <si>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</si>
  <si>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</si>
  <si>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</si>
  <si>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</si>
  <si>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</si>
  <si>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</si>
  <si>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</si>
  <si>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</si>
  <si>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</si>
  <si>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</si>
  <si>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</si>
  <si>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</si>
  <si>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</si>
  <si>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</si>
  <si>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</si>
  <si>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</si>
  <si>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</si>
  <si>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</si>
  <si>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</si>
  <si>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</si>
  <si>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</si>
  <si>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</si>
  <si>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</si>
  <si>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</si>
  <si>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</si>
  <si>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</si>
  <si>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</si>
  <si>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</si>
  <si>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</si>
  <si>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</si>
  <si>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</si>
  <si>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</si>
  <si>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</si>
  <si>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</si>
  <si>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</si>
  <si>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</si>
  <si>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</si>
  <si>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</si>
  <si>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</si>
  <si>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</si>
  <si>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</si>
  <si>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</si>
  <si>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</si>
  <si>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</si>
  <si>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</si>
  <si>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</si>
  <si>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</si>
  <si>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</si>
  <si>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Current asset class classification</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</si>
  <si>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</si>
  <si>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</si>
  <si>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</si>
  <si>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</si>
  <si>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</si>
  <si>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</si>
  <si>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</si>
  <si>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</si>
  <si>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</si>
  <si>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</si>
  <si>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</si>
  <si>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</si>
  <si>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</si>
  <si>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</si>
  <si>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</si>
  <si>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</si>
  <si>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</si>
  <si>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</si>
  <si>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</si>
  <si>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</si>
  <si>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</si>
  <si>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</si>
  <si>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</si>
  <si>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</si>
  <si>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</si>
  <si>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</si>
  <si>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</si>
  <si>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</si>
  <si>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</si>
  <si>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</si>
  <si>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</si>
  <si>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</si>
  <si>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</si>
  <si>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</si>
  <si>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</si>
  <si>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</si>
  <si>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</si>
  <si>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</si>
  <si>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</si>
  <si>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</si>
  <si>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</si>
  <si>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</si>
  <si>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</si>
  <si>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</si>
  <si>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</si>
  <si>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</si>
  <si>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</si>
  <si>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</si>
  <si>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</si>
  <si>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</si>
  <si>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</si>
  <si>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</si>
  <si>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</si>
  <si>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</si>
  <si>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</si>
  <si>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</si>
  <si>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</si>
  <si>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</si>
  <si>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</si>
  <si>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</si>
  <si>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</si>
  <si>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</si>
  <si>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</si>
  <si>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</si>
  <si>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</si>
  <si>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</si>
  <si>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</si>
  <si>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</si>
  <si>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</si>
  <si>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</si>
  <si>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</si>
  <si>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</si>
  <si>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</si>
  <si>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</si>
  <si>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</si>
  <si>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</si>
  <si>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</si>
  <si>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</si>
  <si>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</si>
  <si>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</si>
  <si>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</si>
  <si>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</si>
  <si>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</si>
  <si>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</si>
  <si>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</si>
  <si>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</si>
  <si>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</si>
  <si>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</si>
  <si>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</si>
  <si>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</si>
  <si>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</si>
  <si>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</si>
  <si>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</si>
  <si>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</si>
  <si>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</si>
  <si>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</si>
  <si>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</si>
  <si>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</si>
  <si>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</si>
  <si>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</si>
  <si>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</si>
  <si>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</si>
  <si>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</si>
  <si>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</si>
  <si>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</si>
  <si>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</si>
  <si>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</si>
  <si>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</si>
  <si>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</si>
  <si>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</si>
  <si>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</si>
  <si>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</si>
  <si>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</si>
  <si>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</si>
  <si>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</si>
  <si>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</si>
  <si>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</si>
  <si>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</si>
  <si>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</si>
  <si>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</si>
  <si>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</si>
  <si>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</si>
  <si>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</si>
  <si>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</si>
  <si>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</si>
  <si>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</si>
  <si>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</si>
  <si>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</si>
  <si>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</si>
  <si>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</si>
  <si>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</si>
  <si>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</si>
  <si>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</si>
  <si>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</si>
  <si>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</si>
  <si>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</si>
  <si>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</si>
  <si>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</si>
  <si>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</si>
  <si>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</si>
  <si>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</si>
  <si>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</si>
  <si>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</si>
  <si>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</si>
  <si>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</si>
  <si>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</si>
  <si>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</si>
  <si>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</si>
  <si>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</si>
  <si>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</si>
  <si>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</si>
  <si>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</si>
  <si>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</si>
  <si>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</si>
  <si>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</si>
  <si>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</si>
  <si>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</si>
  <si>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</si>
  <si>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</si>
  <si>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</si>
  <si>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</si>
  <si>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</si>
  <si>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</si>
  <si>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</si>
  <si>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</si>
  <si>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</si>
  <si>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</si>
  <si>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</si>
  <si>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</si>
  <si>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</si>
  <si>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</si>
  <si>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</si>
  <si>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</si>
  <si>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</si>
  <si>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</si>
  <si>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</si>
  <si>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</si>
  <si>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</si>
  <si>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</si>
  <si>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</si>
  <si>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</si>
  <si>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</si>
  <si>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</si>
  <si>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</si>
  <si>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</si>
  <si>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</si>
  <si>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</si>
  <si>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</si>
  <si>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</si>
  <si>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</si>
  <si>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</si>
  <si>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</si>
  <si>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</si>
  <si>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</si>
  <si>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</si>
  <si>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</si>
  <si>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</si>
  <si>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</si>
  <si>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</si>
  <si>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</si>
  <si>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</si>
  <si>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</si>
  <si>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</si>
  <si>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</si>
  <si>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</si>
  <si>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</si>
  <si>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</si>
  <si>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</si>
  <si>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</si>
  <si>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</si>
  <si>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</si>
  <si>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</si>
  <si>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</si>
  <si>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</si>
  <si>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</si>
  <si>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</si>
  <si>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</si>
  <si>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</si>
  <si>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</si>
  <si>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</si>
  <si>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</si>
  <si>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</si>
  <si>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</si>
  <si>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</si>
  <si>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</si>
  <si>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</si>
  <si>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</si>
  <si>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</si>
  <si>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</si>
  <si>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</si>
  <si>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</si>
  <si>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</si>
  <si>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</si>
  <si>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</si>
  <si>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</si>
  <si>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</si>
  <si>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</si>
  <si>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</si>
  <si>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</si>
  <si>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</si>
  <si>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</si>
  <si>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</si>
  <si>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</si>
  <si>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</si>
  <si>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</si>
  <si>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</si>
  <si>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</si>
  <si>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</si>
  <si>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</si>
  <si>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</si>
  <si>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</si>
  <si>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</si>
  <si>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</si>
  <si>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</si>
  <si>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Classification conditions</t>
  </si>
  <si>
    <t>Intangible</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</si>
  <si>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</si>
  <si>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</si>
  <si>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</si>
  <si>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</si>
  <si>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</si>
  <si>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</si>
  <si>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</si>
  <si>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</si>
  <si>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</si>
  <si>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</si>
  <si>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</si>
  <si>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</si>
  <si>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</si>
  <si>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</si>
  <si>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</si>
  <si>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</si>
  <si>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</si>
  <si>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</si>
  <si>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</si>
  <si>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2) Regulatory adjustments related to the asset side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</si>
  <si>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</si>
  <si>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</si>
  <si>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</si>
  <si>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</si>
  <si>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</si>
  <si>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</si>
  <si>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</si>
  <si>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</si>
  <si>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</si>
  <si>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</si>
  <si>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</si>
  <si>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</si>
  <si>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</si>
  <si>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</si>
  <si>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</si>
  <si>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</si>
  <si>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</si>
  <si>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</si>
  <si>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</si>
  <si>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</si>
  <si>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</si>
  <si>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</si>
  <si>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</si>
  <si>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</si>
  <si>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</si>
  <si>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</si>
  <si>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</si>
  <si>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</si>
  <si>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</si>
  <si>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</si>
  <si>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</si>
  <si>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</si>
  <si>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</si>
  <si>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</si>
  <si>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</si>
  <si>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</si>
  <si>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</si>
  <si>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</si>
  <si>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</si>
  <si>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</si>
  <si>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</si>
  <si>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</si>
  <si>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</si>
  <si>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</si>
  <si>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</si>
  <si>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</si>
  <si>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</si>
  <si>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</si>
  <si>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</si>
  <si>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</si>
  <si>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</si>
  <si>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</si>
  <si>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</si>
  <si>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</si>
  <si>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BI gross of excluded divested activities (per supervisory approval) or other adjustments</t>
  </si>
  <si>
    <t>E1</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</si>
  <si>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</si>
  <si>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</si>
  <si>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</si>
  <si>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</si>
  <si>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</si>
  <si>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</si>
  <si>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</si>
  <si>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Number of loss events qualifying for exclusion in the ten year window (per supervisory approval)</t>
  </si>
  <si>
    <t xml:space="preserve">of which: insurance recoveries </t>
  </si>
  <si>
    <t>Services component (SC)</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</si>
  <si>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</si>
  <si>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</si>
  <si>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</si>
  <si>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</si>
  <si>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</si>
  <si>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</si>
  <si>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</si>
  <si>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</si>
  <si>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Group 2a</t>
  </si>
  <si>
    <t>Group 2b</t>
  </si>
  <si>
    <t>Permissionless</t>
  </si>
  <si>
    <t>Crypto asset network</t>
  </si>
  <si>
    <t>Permissioned</t>
  </si>
  <si>
    <t>Credit risk exposures (including derivatives)</t>
  </si>
  <si>
    <t>Exposures (post-CCF, post-CRM)</t>
  </si>
  <si>
    <t>Amount used for calculating RWA</t>
  </si>
  <si>
    <t>RWA under cryptoasset framework</t>
  </si>
  <si>
    <t>Market risk exposures (including derivatives)</t>
  </si>
  <si>
    <t>Market risk approach</t>
  </si>
  <si>
    <t>Crypto asset market risk treatment</t>
  </si>
  <si>
    <t>SSA</t>
  </si>
  <si>
    <t>CVA</t>
  </si>
  <si>
    <t>Assets under custody</t>
  </si>
  <si>
    <t>Exposures that do not give rise to credit, market or liquidity risk requirements</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</si>
  <si>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</si>
  <si>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</si>
  <si>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</si>
  <si>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</si>
  <si>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</si>
  <si>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</si>
  <si>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</si>
  <si>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</si>
  <si>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</si>
  <si>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</si>
  <si>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</si>
  <si>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</si>
  <si>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</si>
  <si>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</si>
  <si>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</si>
  <si>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</si>
  <si>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</si>
  <si>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</si>
  <si>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</si>
  <si>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</si>
  <si>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</si>
  <si>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B. Capital and TLAC</t>
  </si>
  <si>
    <t>B.1 DefCap worksheet</t>
  </si>
  <si>
    <t>B.2 TLAC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</si>
  <si>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</si>
  <si>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</si>
  <si>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</si>
  <si>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</si>
  <si>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</si>
  <si>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</si>
  <si>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</si>
  <si>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</si>
  <si>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</si>
  <si>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</si>
  <si>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</si>
  <si>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</si>
  <si>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</si>
  <si>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</si>
  <si>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</si>
  <si>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</si>
  <si>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</si>
  <si>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</si>
  <si>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</si>
  <si>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A.6 Accounting information</t>
  </si>
  <si>
    <t>B. Current capital applying…</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</si>
  <si>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</si>
  <si>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</si>
  <si>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</si>
  <si>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</si>
  <si>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</si>
  <si>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</si>
  <si>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</si>
  <si>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C. RWA effects from Basel III definition of capital and other national phase-in arrangements</t>
  </si>
  <si>
    <t>D. Total risk-weighted assets and capital ratios</t>
  </si>
  <si>
    <t>E. Reconciliation with regulatory reporting</t>
  </si>
  <si>
    <t>A. Provisions and expected losses</t>
  </si>
  <si>
    <t>B. Common Equity Tier 1 capital</t>
  </si>
  <si>
    <t>B.1 Eligible Common Equity Tier 1 capital held</t>
  </si>
  <si>
    <t>B.2 Regulatory adjustments to Common Equity Tier 1 capital</t>
  </si>
  <si>
    <t>C. Additional Tier 1 capital</t>
  </si>
  <si>
    <t>C.1 Eligible additional Tier 1 capital held</t>
  </si>
  <si>
    <t>C.2 Regulatory adjustments to additional Tier 1 capital</t>
  </si>
  <si>
    <t>D. Tier 2 capital</t>
  </si>
  <si>
    <t>D.1 Eligible Tier 2 capital held</t>
  </si>
  <si>
    <t>D.2 Regulatory adjustments to Tier 2 capital</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</si>
  <si>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</si>
  <si>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</si>
  <si>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</si>
  <si>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</si>
  <si>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</si>
  <si>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</si>
  <si>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</si>
  <si>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</si>
  <si>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</si>
  <si>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</si>
  <si>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</si>
  <si>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</si>
  <si>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</si>
  <si>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</si>
  <si>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</si>
  <si>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</si>
  <si>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</si>
  <si>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</si>
  <si>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</si>
  <si>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</si>
  <si>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A.3 EU: Information on deductions</t>
  </si>
  <si>
    <t>B. Bank role</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</si>
  <si>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</si>
  <si>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</si>
  <si>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</si>
  <si>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</si>
  <si>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</si>
  <si>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</si>
  <si>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</si>
  <si>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</si>
  <si>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</si>
  <si>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</si>
  <si>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</si>
  <si>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</si>
  <si>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</si>
  <si>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</si>
  <si>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</si>
  <si>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</si>
  <si>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</si>
  <si>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</si>
  <si>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</si>
  <si>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</si>
  <si>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</si>
  <si>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</si>
  <si>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</si>
  <si>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</si>
  <si>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</si>
  <si>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</si>
  <si>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</si>
  <si>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</si>
  <si>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</si>
  <si>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</si>
  <si>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</si>
  <si>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</si>
  <si>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</si>
  <si>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</si>
  <si>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</si>
  <si>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</si>
  <si>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</si>
  <si>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</si>
  <si>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</si>
  <si>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</si>
  <si>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</si>
  <si>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</si>
  <si>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</si>
  <si>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</si>
  <si>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</si>
  <si>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</si>
  <si>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</si>
  <si>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</si>
  <si>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</si>
  <si>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</si>
  <si>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</si>
  <si>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</si>
  <si>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</si>
  <si>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</si>
  <si>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</si>
  <si>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</si>
  <si>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</si>
  <si>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</si>
  <si>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</si>
  <si>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Cryptoassets exposures and activities</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</si>
  <si>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</si>
  <si>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</si>
  <si>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</si>
  <si>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</si>
  <si>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</si>
  <si>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</si>
  <si>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</si>
  <si>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</si>
  <si>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</si>
  <si>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</si>
  <si>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</si>
  <si>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</si>
  <si>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B. Definition of capital and provisioning</t>
  </si>
  <si>
    <t>B.1 Reporting discretion definition of capital</t>
  </si>
  <si>
    <t>B.2 Information on provisions</t>
  </si>
  <si>
    <t>C. National discretion items liquidity</t>
  </si>
  <si>
    <t>C.1 NSFR RSF on-balance sheet items</t>
  </si>
  <si>
    <t>C.2 NSFR RSF off-balance sheet items</t>
  </si>
  <si>
    <t>D. National discretion items on standardised approach to credit risk</t>
  </si>
  <si>
    <t>E. National discretion items on market risk</t>
  </si>
  <si>
    <t>F. National discretion items on operational risk</t>
  </si>
  <si>
    <t>G. National discretion items on output floor</t>
  </si>
  <si>
    <t>H. Drop-down menus</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</si>
  <si>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</si>
  <si>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</si>
  <si>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</si>
  <si>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</si>
  <si>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</si>
  <si>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</si>
  <si>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</si>
  <si>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</si>
  <si>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</si>
  <si>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</si>
  <si>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</si>
  <si>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</si>
  <si>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</si>
  <si>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</si>
  <si>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</si>
  <si>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</si>
  <si>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</si>
  <si>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</si>
  <si>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</si>
  <si>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</si>
  <si>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</si>
  <si>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</si>
  <si>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</si>
  <si>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</si>
  <si>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If "other" is selected in column B, include cryptoasset ticker or identifier here</t>
  </si>
  <si>
    <t>Type of instrument</t>
  </si>
  <si>
    <t>Cryptoasset instrument type</t>
  </si>
  <si>
    <t>Spot</t>
  </si>
  <si>
    <t>Derivative</t>
  </si>
  <si>
    <t>ETP</t>
  </si>
  <si>
    <t>Tokenised asset</t>
  </si>
  <si>
    <t>Stablecoin</t>
  </si>
  <si>
    <t>Underlying cryptoasset or traditional asset (report the ticker or other identifier)</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</si>
  <si>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</si>
  <si>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</si>
  <si>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</si>
  <si>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</si>
  <si>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Cryptoasset ticker or other identifier
(use one row for each distinct activity in column H)</t>
  </si>
  <si>
    <t>If "other" is selected in column F, include type of instrument here</t>
  </si>
  <si>
    <t>Cryptoasset identifier</t>
  </si>
  <si>
    <t>Frequency of available information on value of reserve assets</t>
  </si>
  <si>
    <t>Infrastructure risk RWA add-on</t>
  </si>
  <si>
    <t>Additional RWA amount</t>
  </si>
  <si>
    <t>Add-on percentage of exposures</t>
  </si>
  <si>
    <t>Any other cryptoasset exposure amounts not reported in columns U to AV or BG</t>
  </si>
  <si>
    <t>Full name of the cryptoasset instrument or any other relevant information for its identification</t>
  </si>
  <si>
    <t>Total from off balance-sheet items</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</si>
  <si>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</si>
  <si>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</si>
  <si>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S3</t>
  </si>
  <si>
    <r>
      <t xml:space="preserve">NSFR </t>
    </r>
    <r>
      <rPr>
        <b/>
        <sz val="10"/>
        <rFont val="Segoe UI"/>
        <family val="2"/>
      </rPr>
      <t>net</t>
    </r>
    <r>
      <rPr>
        <sz val="10"/>
        <rFont val="Segoe UI"/>
        <family val="2"/>
      </rPr>
      <t xml:space="preserve"> derivative liabilities</t>
    </r>
  </si>
  <si>
    <r>
      <t xml:space="preserve">NSFR </t>
    </r>
    <r>
      <rPr>
        <b/>
        <sz val="10"/>
        <rFont val="Segoe UI"/>
        <family val="2"/>
      </rPr>
      <t>net</t>
    </r>
    <r>
      <rPr>
        <sz val="10"/>
        <rFont val="Segoe UI"/>
        <family val="2"/>
      </rPr>
      <t xml:space="preserve"> derivative assets</t>
    </r>
  </si>
  <si>
    <t>RWA under the cryptoasset framework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</si>
</sst>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1"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sz val="10"/>
      <color theme="0"/>
      <name val="Segoe UI"/>
      <family val="2"/>
    </font>
    <font>
      <b/>
      <sz val="16"/>
      <name val="Segoe UI"/>
      <family val="2"/>
    </font>
  </fonts>
  <fills count="59">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FFFF00"/>
        <bgColor indexed="64"/>
      </patternFill>
    </fill>
    <fill>
      <patternFill patternType="solid">
        <fgColor indexed="47"/>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style="thin">
        <color auto="1"/>
      </right>
      <top/>
      <bottom style="thin">
        <color auto="1"/>
      </bottom>
      <diagonal/>
    </border>
    <border>
      <left/>
      <right/>
      <top style="thin">
        <color indexed="64"/>
      </top>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right/>
      <top style="thin">
        <color indexed="64"/>
      </top>
      <bottom style="thin">
        <color auto="1"/>
      </bottom>
      <diagonal/>
    </border>
    <border>
      <left style="thin">
        <color rgb="FFBCBDBC"/>
      </left>
      <right style="thin">
        <color rgb="FFBCBDBC"/>
      </right>
      <top style="thin">
        <color indexed="64"/>
      </top>
      <bottom style="thin">
        <color rgb="FFBCBDBC"/>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rgb="FFBCBDBC"/>
      </left>
      <right/>
      <top style="thin">
        <color auto="1"/>
      </top>
      <bottom style="thin">
        <color auto="1"/>
      </bottom>
      <diagonal/>
    </border>
    <border>
      <left style="thin">
        <color auto="1"/>
      </left>
      <right/>
      <top/>
      <bottom/>
      <diagonal/>
    </border>
    <border>
      <left style="thin">
        <color auto="1"/>
      </left>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right style="thin">
        <color rgb="FFBCBDBC"/>
      </right>
      <top style="thin">
        <color auto="1"/>
      </top>
      <bottom style="thin">
        <color rgb="FFBCBDBC"/>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24" fillId="6" borderId="3"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2"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4" borderId="19">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46" applyNumberFormat="0" applyFill="0" applyAlignment="0" applyProtection="0"/>
    <xf numFmtId="0" fontId="33" fillId="17" borderId="0" applyNumberFormat="0" applyBorder="0" applyAlignment="0" applyProtection="0"/>
    <xf numFmtId="0" fontId="29" fillId="6" borderId="0" applyNumberFormat="0" applyFill="0" applyBorder="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45" fillId="11" borderId="14" applyNumberFormat="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9" fontId="44" fillId="0" borderId="0" applyFont="0" applyFill="0" applyBorder="0" applyAlignment="0" applyProtection="0"/>
    <xf numFmtId="0" fontId="62" fillId="53" borderId="92" applyBorder="0">
      <alignment horizontal="center" vertical="center"/>
    </xf>
    <xf numFmtId="0" fontId="44" fillId="0" borderId="0"/>
    <xf numFmtId="172" fontId="22" fillId="6" borderId="179" applyBorder="0">
      <alignment horizontal="right" vertical="center"/>
    </xf>
    <xf numFmtId="3" fontId="3" fillId="6" borderId="179" applyFont="0">
      <alignment horizontal="right" vertical="center"/>
    </xf>
    <xf numFmtId="0" fontId="24" fillId="6" borderId="131" applyBorder="0">
      <alignment horizontal="center" wrapText="1"/>
    </xf>
  </cellStyleXfs>
  <cellXfs count="3206">
    <xf numFmtId="0" fontId="0" fillId="2" borderId="0" xfId="0" applyFill="1">
      <alignment vertical="center"/>
    </xf>
    <xf numFmtId="3" fontId="22" fillId="14" borderId="20" xfId="20" applyFont="1">
      <alignment horizontal="right" vertical="center"/>
      <protection locked="0"/>
    </xf>
    <xf numFmtId="0" fontId="22" fillId="2" borderId="0" xfId="0" applyFont="1" applyFill="1" applyBorder="1" applyAlignment="1">
      <alignment vertical="center"/>
    </xf>
    <xf numFmtId="1" fontId="22" fillId="15" borderId="32" xfId="48" applyFont="1" applyBorder="1" applyAlignment="1">
      <alignment horizontal="center" vertical="center"/>
    </xf>
    <xf numFmtId="0" fontId="22" fillId="13" borderId="42" xfId="0" applyFont="1" applyFill="1" applyBorder="1" applyAlignment="1">
      <alignment vertical="center"/>
    </xf>
    <xf numFmtId="0" fontId="22" fillId="15" borderId="32" xfId="55" applyFont="1" applyBorder="1">
      <alignment horizontal="center" vertical="center" wrapText="1"/>
    </xf>
    <xf numFmtId="1" fontId="22" fillId="15" borderId="32" xfId="48" applyFont="1" applyBorder="1">
      <alignment horizontal="right" vertical="center"/>
    </xf>
    <xf numFmtId="170" fontId="22" fillId="15" borderId="32" xfId="49" applyFont="1" applyBorder="1">
      <alignment vertical="center"/>
    </xf>
    <xf numFmtId="0" fontId="22" fillId="13" borderId="33" xfId="0" applyFont="1" applyFill="1" applyBorder="1" applyAlignment="1">
      <alignment vertical="center"/>
    </xf>
    <xf numFmtId="3" fontId="22" fillId="6" borderId="32"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3"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2"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0" fontId="22" fillId="13" borderId="25" xfId="3" applyFont="1" applyBorder="1">
      <alignment horizontal="center" vertical="center"/>
    </xf>
    <xf numFmtId="0" fontId="22" fillId="13" borderId="32" xfId="3" applyFont="1" applyBorder="1">
      <alignment horizontal="center" vertical="center"/>
    </xf>
    <xf numFmtId="0" fontId="22" fillId="13" borderId="36" xfId="3" applyFont="1" applyBorder="1">
      <alignment horizontal="center" vertical="center"/>
    </xf>
    <xf numFmtId="0" fontId="22" fillId="13" borderId="38" xfId="3" applyFont="1" applyBorder="1">
      <alignment horizontal="center" vertical="center"/>
    </xf>
    <xf numFmtId="3" fontId="22" fillId="41" borderId="36" xfId="11" applyFont="1" applyBorder="1">
      <alignment horizontal="right" vertical="center"/>
      <protection locked="0"/>
    </xf>
    <xf numFmtId="3" fontId="22" fillId="6" borderId="20" xfId="30" applyFont="1" applyBorder="1">
      <alignment horizontal="right" vertical="center"/>
    </xf>
    <xf numFmtId="0" fontId="22" fillId="13" borderId="26" xfId="3" applyFont="1" applyBorder="1" applyAlignment="1" applyProtection="1">
      <alignment vertical="center" wrapText="1"/>
    </xf>
    <xf numFmtId="3" fontId="22" fillId="14" borderId="38" xfId="20" applyFont="1" applyBorder="1">
      <alignment horizontal="right" vertical="center"/>
      <protection locked="0"/>
    </xf>
    <xf numFmtId="3" fontId="22" fillId="41" borderId="25" xfId="11" applyFont="1" applyBorder="1">
      <alignment horizontal="right" vertical="center"/>
      <protection locked="0"/>
    </xf>
    <xf numFmtId="3" fontId="22" fillId="41" borderId="32"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2" fillId="13" borderId="36" xfId="3" applyFont="1" applyBorder="1" applyProtection="1">
      <alignment horizontal="center" vertical="center"/>
    </xf>
    <xf numFmtId="3" fontId="28" fillId="14" borderId="20" xfId="20" applyFont="1" applyBorder="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2" fontId="22" fillId="6" borderId="20" xfId="32" applyNumberFormat="1" applyFont="1" applyBorder="1">
      <alignment horizontal="right" vertical="center"/>
    </xf>
    <xf numFmtId="0" fontId="22" fillId="13" borderId="34" xfId="3" applyFont="1" applyBorder="1" applyProtection="1">
      <alignment horizontal="center" vertical="center"/>
    </xf>
    <xf numFmtId="0" fontId="22" fillId="13" borderId="22" xfId="3" applyFont="1" applyBorder="1" applyProtection="1">
      <alignment horizontal="center" vertical="center"/>
    </xf>
    <xf numFmtId="0" fontId="22" fillId="2" borderId="27" xfId="0" applyFont="1" applyFill="1" applyBorder="1" applyAlignment="1" applyProtection="1">
      <alignment vertical="center" wrapText="1"/>
    </xf>
    <xf numFmtId="2" fontId="22" fillId="13" borderId="22" xfId="3" applyNumberFormat="1" applyFont="1" applyBorder="1" applyProtection="1">
      <alignment horizontal="center" vertical="center"/>
    </xf>
    <xf numFmtId="0" fontId="22" fillId="13" borderId="33" xfId="3" applyFont="1" applyBorder="1" applyProtection="1">
      <alignment horizontal="center" vertical="center"/>
    </xf>
    <xf numFmtId="0" fontId="25" fillId="2" borderId="27" xfId="83" applyFont="1" applyFill="1" applyBorder="1" applyAlignment="1" applyProtection="1">
      <alignment horizontal="left" vertical="center" wrapText="1" indent="1"/>
    </xf>
    <xf numFmtId="0" fontId="22" fillId="13" borderId="44"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3" xfId="11" applyFont="1" applyBorder="1" applyProtection="1">
      <alignment horizontal="right" vertical="center"/>
      <protection locked="0"/>
    </xf>
    <xf numFmtId="0" fontId="20" fillId="6" borderId="5" xfId="0" applyFont="1" applyFill="1" applyBorder="1" applyAlignment="1">
      <alignment vertical="center"/>
    </xf>
    <xf numFmtId="0" fontId="20" fillId="6" borderId="11" xfId="0" applyFont="1" applyFill="1" applyBorder="1" applyAlignment="1">
      <alignment vertical="center"/>
    </xf>
    <xf numFmtId="0" fontId="29" fillId="13" borderId="25" xfId="3" applyFont="1" applyBorder="1">
      <alignment horizontal="center" vertical="center"/>
    </xf>
    <xf numFmtId="3" fontId="22" fillId="41" borderId="38"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3" fontId="22" fillId="41" borderId="30" xfId="11" applyFont="1" applyBorder="1">
      <alignment horizontal="right" vertical="center"/>
      <protection locked="0"/>
    </xf>
    <xf numFmtId="0" fontId="29" fillId="13" borderId="37" xfId="3" applyFont="1" applyBorder="1">
      <alignment horizontal="center" vertical="center"/>
    </xf>
    <xf numFmtId="3" fontId="22" fillId="14" borderId="36"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39"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2" xfId="3" applyNumberFormat="1" applyFont="1" applyBorder="1">
      <alignment horizontal="center" vertical="center"/>
    </xf>
    <xf numFmtId="3" fontId="22" fillId="43" borderId="31" xfId="6" applyFont="1" applyBorder="1" applyProtection="1">
      <alignment horizontal="right" vertical="center"/>
    </xf>
    <xf numFmtId="0" fontId="22" fillId="2" borderId="32" xfId="0" applyFont="1" applyFill="1" applyBorder="1" applyAlignment="1" applyProtection="1">
      <alignment horizontal="left" vertical="center" wrapText="1"/>
    </xf>
    <xf numFmtId="3" fontId="22" fillId="41" borderId="42" xfId="11" applyFont="1" applyBorder="1">
      <alignment horizontal="right" vertical="center"/>
      <protection locked="0"/>
    </xf>
    <xf numFmtId="0" fontId="24" fillId="2" borderId="39" xfId="0" applyFont="1" applyFill="1" applyBorder="1" applyAlignment="1" applyProtection="1">
      <alignment horizontal="center" wrapText="1"/>
    </xf>
    <xf numFmtId="0" fontId="22" fillId="2" borderId="38" xfId="0" applyFont="1" applyFill="1" applyBorder="1" applyAlignment="1" applyProtection="1">
      <alignment horizontal="left" vertical="center" wrapText="1"/>
    </xf>
    <xf numFmtId="3" fontId="22" fillId="43" borderId="32"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3" xfId="11" applyFont="1" applyBorder="1">
      <alignment horizontal="right" vertical="center"/>
      <protection locked="0"/>
    </xf>
    <xf numFmtId="0" fontId="22" fillId="13" borderId="27" xfId="3" applyFont="1" applyBorder="1">
      <alignment horizontal="center" vertical="center"/>
    </xf>
    <xf numFmtId="0" fontId="22" fillId="13" borderId="45" xfId="3" applyFont="1" applyBorder="1">
      <alignment horizontal="center" vertical="center"/>
    </xf>
    <xf numFmtId="0" fontId="0" fillId="2" borderId="42"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8"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5" fillId="2" borderId="27" xfId="83" applyFont="1" applyFill="1" applyBorder="1" applyAlignment="1" applyProtection="1">
      <alignment horizontal="left" vertical="center" wrapText="1"/>
    </xf>
    <xf numFmtId="0" fontId="22" fillId="13" borderId="27" xfId="3" applyFont="1" applyBorder="1" applyProtection="1">
      <alignment horizontal="center" vertical="center"/>
    </xf>
    <xf numFmtId="3" fontId="22" fillId="6" borderId="27" xfId="30" applyFont="1" applyBorder="1">
      <alignment horizontal="right" vertical="center"/>
    </xf>
    <xf numFmtId="2" fontId="22" fillId="2" borderId="21" xfId="0" applyNumberFormat="1" applyFont="1" applyFill="1" applyBorder="1" applyProtection="1">
      <alignment vertical="center"/>
    </xf>
    <xf numFmtId="0" fontId="22" fillId="13" borderId="47" xfId="3" applyFont="1" applyBorder="1" applyProtection="1">
      <alignment horizontal="center"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7" xfId="0" applyFont="1" applyFill="1" applyBorder="1" applyAlignment="1" applyProtection="1">
      <alignment horizontal="center" vertical="center"/>
    </xf>
    <xf numFmtId="0" fontId="22" fillId="6" borderId="9" xfId="0" applyFont="1" applyFill="1" applyBorder="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2" xfId="30" applyFont="1" applyFill="1" applyBorder="1">
      <alignment horizontal="right" vertical="center"/>
    </xf>
    <xf numFmtId="169" fontId="22" fillId="6" borderId="32"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2" xfId="30" applyFont="1" applyFill="1" applyBorder="1" applyAlignment="1">
      <alignment horizontal="right" vertical="center"/>
    </xf>
    <xf numFmtId="0" fontId="32" fillId="6" borderId="0" xfId="0" applyFont="1" applyFill="1" applyBorder="1" applyAlignment="1">
      <alignment vertical="center"/>
    </xf>
    <xf numFmtId="3" fontId="22" fillId="6" borderId="32" xfId="30" applyFont="1" applyFill="1" applyBorder="1" applyProtection="1">
      <alignment horizontal="right" vertical="center"/>
    </xf>
    <xf numFmtId="0" fontId="22" fillId="6" borderId="2" xfId="0" applyFont="1" applyFill="1" applyBorder="1">
      <alignment vertical="center"/>
    </xf>
    <xf numFmtId="0" fontId="24" fillId="6" borderId="39" xfId="0" applyFont="1" applyFill="1" applyBorder="1" applyAlignment="1" applyProtection="1">
      <alignment horizontal="center" wrapText="1"/>
    </xf>
    <xf numFmtId="0" fontId="22" fillId="6" borderId="37"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2"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34" xfId="0" applyFont="1" applyFill="1" applyBorder="1" applyAlignment="1">
      <alignment horizontal="center" vertical="center"/>
    </xf>
    <xf numFmtId="3" fontId="22" fillId="6" borderId="25" xfId="30" applyFont="1" applyFill="1" applyBorder="1">
      <alignment horizontal="right" vertical="center"/>
    </xf>
    <xf numFmtId="0" fontId="0" fillId="6" borderId="0" xfId="0" applyFill="1">
      <alignment vertical="center"/>
    </xf>
    <xf numFmtId="0" fontId="22" fillId="6" borderId="43" xfId="0" applyFont="1" applyFill="1" applyBorder="1" applyAlignment="1" applyProtection="1">
      <alignment horizontal="lef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5"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2" xfId="20" applyFont="1" applyBorder="1">
      <alignment horizontal="right" vertical="center"/>
      <protection locked="0"/>
    </xf>
    <xf numFmtId="3" fontId="22" fillId="14" borderId="27" xfId="20" applyFont="1" applyBorder="1">
      <alignment horizontal="right" vertical="center"/>
      <protection locked="0"/>
    </xf>
    <xf numFmtId="3" fontId="22" fillId="6" borderId="37" xfId="30" applyFont="1" applyBorder="1">
      <alignment horizontal="right" vertical="center"/>
    </xf>
    <xf numFmtId="3" fontId="22" fillId="6" borderId="21"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2" xfId="3" applyFont="1" applyBorder="1" applyProtection="1">
      <alignment horizontal="center" vertical="center"/>
    </xf>
    <xf numFmtId="3" fontId="28" fillId="41" borderId="32"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9" fillId="13" borderId="34"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22" fillId="6" borderId="25"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2"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0" fillId="6" borderId="6" xfId="0" applyFill="1" applyBorder="1">
      <alignment vertical="center"/>
    </xf>
    <xf numFmtId="3" fontId="22" fillId="14" borderId="28" xfId="20" applyFont="1" applyBorder="1">
      <alignment horizontal="right" vertical="center"/>
      <protection locked="0"/>
    </xf>
    <xf numFmtId="0" fontId="22" fillId="2" borderId="0" xfId="0" applyFont="1" applyFill="1" applyBorder="1">
      <alignment vertical="center"/>
    </xf>
    <xf numFmtId="0" fontId="22" fillId="2" borderId="0" xfId="0" applyFont="1" applyFill="1">
      <alignment vertical="center"/>
    </xf>
    <xf numFmtId="3" fontId="22" fillId="13" borderId="36"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14" borderId="32"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3"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2" xfId="20" applyFont="1" applyBorder="1">
      <alignment horizontal="right" vertical="center"/>
      <protection locked="0"/>
    </xf>
    <xf numFmtId="3" fontId="0" fillId="6" borderId="32" xfId="30" applyFont="1" applyBorder="1">
      <alignment horizontal="right" vertical="center"/>
    </xf>
    <xf numFmtId="3" fontId="0" fillId="41" borderId="32"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39" fillId="41" borderId="32" xfId="11" applyFont="1" applyBorder="1">
      <alignment horizontal="right" vertical="center"/>
      <protection locked="0"/>
    </xf>
    <xf numFmtId="3" fontId="39" fillId="6" borderId="32" xfId="30" applyFont="1" applyBorder="1">
      <alignment horizontal="right"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4" xfId="0" applyFont="1" applyFill="1" applyBorder="1" applyAlignment="1" applyProtection="1">
      <alignment horizontal="center" vertical="center"/>
    </xf>
    <xf numFmtId="0" fontId="22" fillId="41" borderId="22" xfId="18" applyFont="1" applyBorder="1">
      <alignment horizontal="center" vertical="center" wrapText="1"/>
      <protection locked="0"/>
    </xf>
    <xf numFmtId="0" fontId="22" fillId="0" borderId="26" xfId="0" applyFont="1" applyFill="1" applyBorder="1" applyAlignment="1" applyProtection="1">
      <alignment horizontal="center" vertical="center"/>
    </xf>
    <xf numFmtId="3" fontId="22" fillId="6" borderId="25" xfId="30" applyFont="1" applyFill="1" applyBorder="1" applyAlignment="1">
      <alignment horizontal="center" vertical="center"/>
    </xf>
    <xf numFmtId="3" fontId="22" fillId="6" borderId="37"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0" fillId="2" borderId="32"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7" fillId="6" borderId="54" xfId="0" applyFont="1" applyBorder="1" applyAlignment="1">
      <alignment horizontal="center" vertical="center" wrapText="1"/>
    </xf>
    <xf numFmtId="3" fontId="39" fillId="41" borderId="33" xfId="11" applyFont="1" applyBorder="1">
      <alignment horizontal="right" vertical="center"/>
      <protection locked="0"/>
    </xf>
    <xf numFmtId="3" fontId="39" fillId="6" borderId="40" xfId="30" applyFont="1" applyBorder="1">
      <alignment horizontal="right" vertical="center"/>
    </xf>
    <xf numFmtId="0" fontId="39" fillId="6" borderId="53" xfId="0" applyFont="1" applyBorder="1" applyAlignment="1">
      <alignment horizontal="left" vertical="center" wrapText="1"/>
    </xf>
    <xf numFmtId="3" fontId="39" fillId="6" borderId="53" xfId="30" applyFont="1" applyBorder="1">
      <alignment horizontal="right" vertical="center"/>
    </xf>
    <xf numFmtId="0" fontId="25" fillId="6" borderId="27" xfId="83" applyFont="1" applyFill="1" applyBorder="1" applyAlignment="1" applyProtection="1">
      <alignment horizontal="left" vertical="center" wrapText="1" indent="1"/>
    </xf>
    <xf numFmtId="3" fontId="39" fillId="6" borderId="31" xfId="30" applyFont="1" applyBorder="1">
      <alignment horizontal="right" vertical="center"/>
    </xf>
    <xf numFmtId="0" fontId="39" fillId="6" borderId="27" xfId="0" applyFont="1" applyFill="1" applyBorder="1" applyAlignment="1" applyProtection="1">
      <alignment horizontal="left" vertical="center"/>
    </xf>
    <xf numFmtId="0" fontId="39" fillId="6" borderId="28" xfId="0" applyFont="1" applyFill="1" applyBorder="1" applyAlignment="1" applyProtection="1">
      <alignment horizontal="left" vertical="center"/>
    </xf>
    <xf numFmtId="0" fontId="24" fillId="6" borderId="43" xfId="0" applyFont="1" applyFill="1" applyBorder="1" applyAlignment="1" applyProtection="1">
      <alignment vertical="center"/>
    </xf>
    <xf numFmtId="0" fontId="22" fillId="6" borderId="55" xfId="0" applyFont="1" applyFill="1" applyBorder="1">
      <alignment vertical="center"/>
    </xf>
    <xf numFmtId="0" fontId="0" fillId="6" borderId="27" xfId="0" applyFont="1" applyFill="1" applyBorder="1">
      <alignment vertical="center"/>
    </xf>
    <xf numFmtId="0" fontId="39" fillId="6" borderId="27" xfId="0" applyFont="1" applyFill="1" applyBorder="1" applyAlignment="1" applyProtection="1">
      <alignment horizontal="left" vertical="center" indent="1"/>
    </xf>
    <xf numFmtId="0" fontId="39"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5" fillId="6" borderId="27" xfId="0" applyFont="1" applyFill="1" applyBorder="1" applyProtection="1">
      <alignment vertical="center"/>
    </xf>
    <xf numFmtId="0" fontId="0" fillId="6" borderId="35" xfId="0" applyFont="1" applyFill="1" applyBorder="1">
      <alignment vertical="center"/>
    </xf>
    <xf numFmtId="0" fontId="0" fillId="6" borderId="37" xfId="0" applyFont="1" applyFill="1" applyBorder="1">
      <alignment vertical="center"/>
    </xf>
    <xf numFmtId="3" fontId="0" fillId="41" borderId="20" xfId="11" applyFont="1" applyBorder="1">
      <alignment horizontal="right" vertical="center"/>
      <protection locked="0"/>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6" xfId="0" applyFont="1" applyBorder="1">
      <alignment vertical="center"/>
    </xf>
    <xf numFmtId="0" fontId="0" fillId="6" borderId="38" xfId="0" applyFont="1" applyBorder="1">
      <alignment vertical="center"/>
    </xf>
    <xf numFmtId="0" fontId="0" fillId="6" borderId="0" xfId="0" applyFont="1" applyBorder="1">
      <alignment vertical="center"/>
    </xf>
    <xf numFmtId="0" fontId="0" fillId="13" borderId="32" xfId="3"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7" xfId="3" applyNumberFormat="1" applyFont="1" applyBorder="1">
      <alignment horizontal="center" vertical="center"/>
    </xf>
    <xf numFmtId="0" fontId="0" fillId="13" borderId="25" xfId="3" applyFont="1" applyBorder="1">
      <alignment horizontal="center" vertical="center"/>
    </xf>
    <xf numFmtId="0" fontId="0" fillId="13" borderId="37"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39" fillId="41" borderId="42" xfId="11" applyFont="1" applyBorder="1">
      <alignment horizontal="right" vertical="center"/>
      <protection locked="0"/>
    </xf>
    <xf numFmtId="0" fontId="0" fillId="6" borderId="0" xfId="0" applyFont="1" applyFill="1" applyBorder="1">
      <alignment vertical="center"/>
    </xf>
    <xf numFmtId="0" fontId="0" fillId="6" borderId="43" xfId="0" applyFill="1" applyBorder="1">
      <alignment vertical="center"/>
    </xf>
    <xf numFmtId="0" fontId="0" fillId="6" borderId="43" xfId="0" applyFont="1" applyFill="1" applyBorder="1">
      <alignment vertical="center"/>
    </xf>
    <xf numFmtId="0" fontId="0" fillId="6" borderId="34" xfId="0" applyFont="1" applyFill="1" applyBorder="1">
      <alignment vertical="center"/>
    </xf>
    <xf numFmtId="3" fontId="0" fillId="41" borderId="32" xfId="11" applyFont="1" applyFill="1" applyBorder="1">
      <alignment horizontal="right" vertical="center"/>
      <protection locked="0"/>
    </xf>
    <xf numFmtId="3" fontId="0" fillId="47" borderId="32" xfId="20" applyFont="1" applyFill="1" applyBorder="1">
      <alignment horizontal="right" vertical="center"/>
      <protection locked="0"/>
    </xf>
    <xf numFmtId="3" fontId="22" fillId="41" borderId="32"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22" fillId="2" borderId="22" xfId="0" applyFont="1" applyFill="1" applyBorder="1" applyAlignment="1" applyProtection="1">
      <alignment horizontal="center" vertical="center"/>
    </xf>
    <xf numFmtId="0" fontId="22" fillId="2" borderId="32"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1"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3" fontId="0" fillId="41" borderId="20" xfId="11" applyFont="1" applyBorder="1" applyProtection="1">
      <alignment horizontal="right" vertical="center"/>
      <protection locked="0"/>
    </xf>
    <xf numFmtId="0" fontId="22" fillId="6" borderId="65" xfId="0" applyFont="1" applyFill="1" applyBorder="1" applyProtection="1">
      <alignment vertical="center"/>
    </xf>
    <xf numFmtId="0" fontId="22" fillId="6" borderId="65" xfId="0" applyFont="1" applyFill="1" applyBorder="1">
      <alignment vertical="center"/>
    </xf>
    <xf numFmtId="3" fontId="22" fillId="41" borderId="59" xfId="11" applyFont="1" applyBorder="1">
      <alignment horizontal="right" vertical="center"/>
      <protection locked="0"/>
    </xf>
    <xf numFmtId="0" fontId="22" fillId="6" borderId="56" xfId="0" applyFont="1" applyFill="1" applyBorder="1" applyAlignment="1" applyProtection="1">
      <alignment vertical="center"/>
    </xf>
    <xf numFmtId="0" fontId="24" fillId="6" borderId="60" xfId="0" applyFont="1" applyFill="1" applyBorder="1">
      <alignment vertical="center"/>
    </xf>
    <xf numFmtId="0" fontId="39" fillId="6" borderId="57" xfId="0" applyFont="1" applyBorder="1" applyAlignment="1">
      <alignment horizontal="left" vertical="center" wrapText="1" indent="1"/>
    </xf>
    <xf numFmtId="0" fontId="24" fillId="2" borderId="64" xfId="0" applyFont="1" applyFill="1" applyBorder="1" applyAlignment="1" applyProtection="1">
      <alignment horizontal="center" wrapText="1"/>
    </xf>
    <xf numFmtId="0" fontId="24" fillId="6" borderId="63" xfId="0" applyFont="1" applyFill="1" applyBorder="1" applyAlignment="1">
      <alignment horizontal="center" wrapText="1"/>
    </xf>
    <xf numFmtId="0" fontId="39" fillId="6" borderId="62" xfId="0" applyFont="1" applyBorder="1" applyAlignment="1">
      <alignment horizontal="center" vertical="center" wrapText="1"/>
    </xf>
    <xf numFmtId="0" fontId="39" fillId="6" borderId="34" xfId="0" applyFont="1" applyBorder="1" applyAlignment="1">
      <alignment horizontal="center" vertical="center" wrapText="1"/>
    </xf>
    <xf numFmtId="0" fontId="39" fillId="6" borderId="58" xfId="0" applyFont="1" applyBorder="1" applyAlignment="1">
      <alignment horizontal="center" vertical="center" wrapText="1"/>
    </xf>
    <xf numFmtId="3" fontId="39" fillId="41" borderId="31" xfId="11" applyFont="1" applyBorder="1">
      <alignment horizontal="right" vertical="center"/>
      <protection locked="0"/>
    </xf>
    <xf numFmtId="0" fontId="29" fillId="6" borderId="65" xfId="114" applyFont="1" applyFill="1" applyBorder="1" applyAlignment="1">
      <alignment vertical="center"/>
    </xf>
    <xf numFmtId="0" fontId="22" fillId="6" borderId="65" xfId="0" applyFont="1" applyFill="1" applyBorder="1" applyAlignment="1">
      <alignment vertical="center"/>
    </xf>
    <xf numFmtId="0" fontId="39" fillId="6" borderId="25" xfId="0" applyFont="1" applyBorder="1" applyAlignment="1">
      <alignment horizontal="center" vertical="center" wrapText="1"/>
    </xf>
    <xf numFmtId="0" fontId="22" fillId="2" borderId="32" xfId="0" applyFont="1" applyFill="1" applyBorder="1" applyAlignment="1" applyProtection="1">
      <alignment vertical="center"/>
    </xf>
    <xf numFmtId="3" fontId="22" fillId="41" borderId="61" xfId="11" applyFont="1" applyBorder="1">
      <alignment horizontal="right" vertical="center"/>
      <protection locked="0"/>
    </xf>
    <xf numFmtId="3" fontId="22" fillId="6" borderId="36" xfId="30" applyFont="1" applyBorder="1">
      <alignment horizontal="right" vertical="center"/>
    </xf>
    <xf numFmtId="0" fontId="29" fillId="6" borderId="66" xfId="116" applyFont="1" applyFill="1" applyBorder="1" applyAlignment="1" applyProtection="1">
      <alignment horizontal="left" vertical="center"/>
    </xf>
    <xf numFmtId="0" fontId="47" fillId="6" borderId="0" xfId="0" applyFont="1" applyFill="1" applyBorder="1" applyAlignment="1">
      <alignment horizontal="center"/>
    </xf>
    <xf numFmtId="0" fontId="47" fillId="6" borderId="0" xfId="0" applyFont="1" applyFill="1" applyBorder="1" applyAlignment="1">
      <alignment horizontal="center" vertical="center"/>
    </xf>
    <xf numFmtId="0" fontId="47" fillId="6" borderId="0" xfId="0" applyFont="1" applyBorder="1" applyAlignment="1">
      <alignment horizontal="center" vertical="center"/>
    </xf>
    <xf numFmtId="0" fontId="0" fillId="6" borderId="35" xfId="0" applyFill="1" applyBorder="1">
      <alignment vertical="center"/>
    </xf>
    <xf numFmtId="0" fontId="0" fillId="6" borderId="67" xfId="0" applyFont="1" applyFill="1" applyBorder="1">
      <alignment vertical="center"/>
    </xf>
    <xf numFmtId="0" fontId="0" fillId="6" borderId="67" xfId="0" applyFont="1" applyFill="1" applyBorder="1" applyProtection="1">
      <alignment vertical="center"/>
    </xf>
    <xf numFmtId="3" fontId="0" fillId="41" borderId="20" xfId="11" applyFont="1" applyBorder="1" applyAlignment="1" applyProtection="1">
      <alignment horizontal="right" vertical="center"/>
      <protection locked="0"/>
    </xf>
    <xf numFmtId="0" fontId="35"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39" fillId="41" borderId="20" xfId="11" applyFont="1" applyBorder="1">
      <alignment horizontal="right" vertical="center"/>
      <protection locked="0"/>
    </xf>
    <xf numFmtId="0" fontId="39" fillId="46" borderId="20" xfId="3" applyFont="1" applyFill="1" applyBorder="1">
      <alignment horizontal="center" vertical="center"/>
    </xf>
    <xf numFmtId="3" fontId="39" fillId="41" borderId="36" xfId="11" applyFont="1" applyBorder="1">
      <alignment horizontal="right" vertical="center"/>
      <protection locked="0"/>
    </xf>
    <xf numFmtId="0" fontId="39" fillId="46" borderId="25" xfId="3" applyFont="1" applyFill="1" applyBorder="1">
      <alignment horizontal="center" vertical="center"/>
    </xf>
    <xf numFmtId="3" fontId="39"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39" fillId="46" borderId="31" xfId="3" applyFont="1" applyFill="1" applyBorder="1">
      <alignment horizontal="center" vertical="center"/>
    </xf>
    <xf numFmtId="0" fontId="22" fillId="6" borderId="0" xfId="0" applyFont="1" applyFill="1" applyBorder="1" applyAlignment="1">
      <alignment vertical="center"/>
    </xf>
    <xf numFmtId="0" fontId="22" fillId="6" borderId="0" xfId="0" applyFont="1" applyFill="1" applyBorder="1" applyAlignment="1">
      <alignment vertical="top"/>
    </xf>
    <xf numFmtId="0" fontId="0" fillId="2" borderId="31" xfId="0" applyFont="1" applyFill="1" applyBorder="1" applyAlignment="1">
      <alignment horizontal="left" vertical="center"/>
    </xf>
    <xf numFmtId="0" fontId="0" fillId="6" borderId="32" xfId="0" applyFont="1" applyFill="1" applyBorder="1" applyProtection="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56" xfId="0" applyFont="1" applyFill="1" applyBorder="1" applyAlignment="1" applyProtection="1">
      <alignment horizontal="left" vertical="center"/>
    </xf>
    <xf numFmtId="0" fontId="22" fillId="6" borderId="56" xfId="0" applyFont="1" applyFill="1" applyBorder="1" applyAlignment="1">
      <alignment vertical="center"/>
    </xf>
    <xf numFmtId="0" fontId="22" fillId="6" borderId="68" xfId="0" applyFont="1" applyFill="1" applyBorder="1">
      <alignment vertical="center"/>
    </xf>
    <xf numFmtId="0" fontId="39" fillId="6" borderId="27" xfId="0" applyFont="1" applyBorder="1" applyAlignment="1">
      <alignment horizontal="left" indent="1"/>
    </xf>
    <xf numFmtId="0" fontId="39" fillId="46" borderId="21" xfId="3" applyFont="1" applyFill="1" applyBorder="1">
      <alignment horizontal="center" vertical="center"/>
    </xf>
    <xf numFmtId="0" fontId="39" fillId="6" borderId="27" xfId="0" applyFont="1" applyFill="1" applyBorder="1" applyAlignment="1">
      <alignment horizontal="left" indent="1"/>
    </xf>
    <xf numFmtId="0" fontId="39" fillId="6" borderId="27" xfId="0" applyFont="1" applyFill="1" applyBorder="1" applyAlignment="1">
      <alignment horizontal="left"/>
    </xf>
    <xf numFmtId="0" fontId="39" fillId="6" borderId="67" xfId="0" applyFont="1" applyFill="1" applyBorder="1" applyAlignment="1" applyProtection="1">
      <alignment horizontal="left" vertical="center"/>
    </xf>
    <xf numFmtId="3" fontId="0" fillId="6" borderId="33" xfId="30" applyFont="1" applyFill="1" applyBorder="1" applyProtection="1">
      <alignment horizontal="right" vertical="center"/>
    </xf>
    <xf numFmtId="3" fontId="0" fillId="41" borderId="69" xfId="11" applyFont="1" applyBorder="1" applyProtection="1">
      <alignment horizontal="right" vertical="center"/>
      <protection locked="0"/>
    </xf>
    <xf numFmtId="0" fontId="22" fillId="41" borderId="32"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3" xfId="0" applyFont="1" applyFill="1" applyBorder="1" applyProtection="1">
      <alignment vertical="center"/>
    </xf>
    <xf numFmtId="0" fontId="25" fillId="13" borderId="32" xfId="3" applyFont="1" applyBorder="1" applyAlignment="1">
      <alignment horizontal="center"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8" fillId="6" borderId="0" xfId="0" applyFont="1" applyFill="1" applyBorder="1" applyAlignment="1" applyProtection="1">
      <alignment horizontal="left" vertical="center" indent="2"/>
    </xf>
    <xf numFmtId="0" fontId="48" fillId="6" borderId="0" xfId="0" applyFont="1" applyFill="1" applyBorder="1" applyAlignment="1" applyProtection="1">
      <alignment horizontal="center" vertical="center"/>
    </xf>
    <xf numFmtId="0" fontId="48" fillId="6" borderId="0" xfId="0" applyFont="1" applyBorder="1">
      <alignment vertical="center"/>
    </xf>
    <xf numFmtId="4" fontId="48"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24" fillId="6" borderId="27" xfId="0" applyFont="1" applyFill="1" applyBorder="1">
      <alignment vertical="center"/>
    </xf>
    <xf numFmtId="3" fontId="22" fillId="6" borderId="38"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39" fillId="41" borderId="38" xfId="11" applyFont="1" applyBorder="1">
      <alignment horizontal="right" vertical="center"/>
      <protection locked="0"/>
    </xf>
    <xf numFmtId="0" fontId="0" fillId="6" borderId="28" xfId="0" applyFont="1" applyFill="1" applyBorder="1" applyAlignment="1" applyProtection="1">
      <alignment horizontal="left" vertical="center" indent="1"/>
    </xf>
    <xf numFmtId="0" fontId="37" fillId="6" borderId="27" xfId="0" applyFont="1" applyFill="1" applyBorder="1" applyAlignment="1" applyProtection="1">
      <alignment horizontal="left" vertical="center"/>
    </xf>
    <xf numFmtId="0" fontId="22" fillId="6" borderId="60" xfId="0" applyFont="1" applyFill="1" applyBorder="1">
      <alignment vertical="center"/>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5" fillId="6" borderId="0" xfId="0" applyFont="1" applyFill="1" applyBorder="1" applyAlignment="1">
      <alignment horizontal="left" indent="2"/>
    </xf>
    <xf numFmtId="0" fontId="49" fillId="6" borderId="27" xfId="0" applyFont="1" applyFill="1" applyBorder="1" applyAlignment="1">
      <alignment horizontal="left" indent="2"/>
    </xf>
    <xf numFmtId="0" fontId="39" fillId="46" borderId="26" xfId="3" applyFont="1" applyFill="1" applyBorder="1">
      <alignment horizontal="center" vertical="center"/>
    </xf>
    <xf numFmtId="0" fontId="0" fillId="6" borderId="38" xfId="0" applyFont="1" applyFill="1" applyBorder="1" applyAlignment="1" applyProtection="1">
      <alignment horizontal="left"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6" borderId="27" xfId="0" applyBorder="1">
      <alignment vertical="center"/>
    </xf>
    <xf numFmtId="0" fontId="25" fillId="0" borderId="27" xfId="0" applyFont="1" applyFill="1" applyBorder="1" applyAlignment="1">
      <alignment horizontal="left"/>
    </xf>
    <xf numFmtId="0" fontId="25" fillId="0" borderId="28" xfId="0" applyFont="1" applyFill="1" applyBorder="1" applyAlignment="1">
      <alignment horizontal="left"/>
    </xf>
    <xf numFmtId="0" fontId="24" fillId="6" borderId="41" xfId="5" applyFont="1" applyBorder="1" applyAlignment="1">
      <alignment horizontal="center" vertical="center" wrapText="1"/>
    </xf>
    <xf numFmtId="0" fontId="20" fillId="6" borderId="3" xfId="4" applyFont="1" applyFill="1" applyBorder="1" applyAlignment="1" applyProtection="1"/>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5" xfId="0" applyFont="1" applyFill="1" applyBorder="1" applyAlignment="1">
      <alignment horizontal="center" vertical="center" wrapText="1"/>
    </xf>
    <xf numFmtId="0" fontId="39" fillId="6" borderId="32"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8" xfId="20" applyFont="1" applyFill="1" applyBorder="1">
      <alignment horizontal="right" vertical="center"/>
      <protection locked="0"/>
    </xf>
    <xf numFmtId="0" fontId="0" fillId="6" borderId="28" xfId="0" applyBorder="1">
      <alignment vertical="center"/>
    </xf>
    <xf numFmtId="0" fontId="37" fillId="6" borderId="60" xfId="0" applyFont="1" applyBorder="1" applyAlignment="1">
      <alignment horizontal="center" vertical="center" wrapText="1"/>
    </xf>
    <xf numFmtId="0" fontId="0" fillId="6" borderId="0" xfId="0" applyFont="1" applyFill="1" applyBorder="1" applyAlignment="1" applyProtection="1">
      <alignment horizontal="left" vertical="center"/>
    </xf>
    <xf numFmtId="0" fontId="22" fillId="6" borderId="70" xfId="0" applyFont="1" applyFill="1" applyBorder="1">
      <alignment vertical="center"/>
    </xf>
    <xf numFmtId="0" fontId="29" fillId="6" borderId="70" xfId="116" applyFill="1" applyBorder="1" applyAlignment="1">
      <alignment vertical="center"/>
    </xf>
    <xf numFmtId="0" fontId="22" fillId="6" borderId="70"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70" xfId="0" applyFill="1" applyBorder="1">
      <alignment vertical="center"/>
    </xf>
    <xf numFmtId="0" fontId="23" fillId="6" borderId="70" xfId="0" applyFont="1" applyFill="1" applyBorder="1" applyAlignment="1" applyProtection="1">
      <alignment vertical="center"/>
    </xf>
    <xf numFmtId="0" fontId="0" fillId="6" borderId="70" xfId="0" applyFill="1" applyBorder="1" applyAlignment="1">
      <alignment vertical="center"/>
    </xf>
    <xf numFmtId="0" fontId="20" fillId="6" borderId="74" xfId="0" applyFont="1" applyFill="1" applyBorder="1" applyAlignment="1">
      <alignment vertical="center"/>
    </xf>
    <xf numFmtId="3" fontId="22" fillId="13" borderId="78" xfId="3" applyNumberFormat="1" applyFont="1" applyBorder="1">
      <alignment horizontal="center" vertical="center"/>
    </xf>
    <xf numFmtId="0" fontId="24" fillId="6" borderId="70" xfId="0" applyFont="1" applyFill="1" applyBorder="1" applyAlignment="1" applyProtection="1">
      <alignment horizontal="left" vertical="center"/>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24" fillId="6" borderId="83" xfId="0" applyFont="1" applyFill="1" applyBorder="1" applyAlignment="1" applyProtection="1">
      <alignment horizontal="center" wrapText="1"/>
    </xf>
    <xf numFmtId="0" fontId="24" fillId="13" borderId="83" xfId="3" applyFont="1" applyBorder="1" applyAlignment="1">
      <alignment horizontal="center" vertical="center"/>
    </xf>
    <xf numFmtId="0" fontId="22" fillId="6" borderId="22" xfId="0" applyNumberFormat="1" applyFont="1" applyBorder="1">
      <alignment vertical="center"/>
    </xf>
    <xf numFmtId="3" fontId="22" fillId="13" borderId="75" xfId="3" applyNumberFormat="1" applyFont="1" applyBorder="1">
      <alignment horizontal="center" vertical="center"/>
    </xf>
    <xf numFmtId="0" fontId="22" fillId="6" borderId="74" xfId="0" applyFont="1" applyFill="1" applyBorder="1" applyAlignment="1" applyProtection="1">
      <alignment horizontal="center" vertical="center"/>
    </xf>
    <xf numFmtId="0" fontId="24" fillId="6" borderId="75" xfId="0" applyFont="1" applyFill="1" applyBorder="1">
      <alignment vertical="center"/>
    </xf>
    <xf numFmtId="0" fontId="22" fillId="6" borderId="74" xfId="0" applyFont="1" applyFill="1" applyBorder="1">
      <alignment vertical="center"/>
    </xf>
    <xf numFmtId="0" fontId="23" fillId="6" borderId="84" xfId="0" applyFont="1" applyFill="1" applyBorder="1" applyAlignment="1" applyProtection="1">
      <alignment horizontal="left" vertical="center"/>
    </xf>
    <xf numFmtId="0" fontId="22" fillId="6" borderId="74" xfId="0" applyFont="1" applyFill="1" applyBorder="1" applyAlignment="1" applyProtection="1">
      <alignment horizontal="left"/>
    </xf>
    <xf numFmtId="0" fontId="22" fillId="6" borderId="74" xfId="0" applyFont="1" applyFill="1" applyBorder="1" applyProtection="1">
      <alignment vertical="center"/>
    </xf>
    <xf numFmtId="0" fontId="0" fillId="6" borderId="71" xfId="0" applyFill="1" applyBorder="1">
      <alignment vertical="center"/>
    </xf>
    <xf numFmtId="0" fontId="0" fillId="6" borderId="28" xfId="0" applyFont="1" applyFill="1" applyBorder="1" applyAlignment="1" applyProtection="1">
      <alignment horizontal="left" vertical="center"/>
    </xf>
    <xf numFmtId="0" fontId="23" fillId="6" borderId="70" xfId="0" applyFont="1" applyFill="1" applyBorder="1" applyAlignment="1" applyProtection="1">
      <alignment horizontal="left" vertical="center"/>
    </xf>
    <xf numFmtId="3" fontId="22" fillId="41" borderId="32"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22" fillId="6" borderId="70" xfId="0" applyFont="1" applyFill="1" applyBorder="1" applyAlignment="1" applyProtection="1">
      <alignment vertical="center"/>
    </xf>
    <xf numFmtId="0" fontId="22" fillId="6" borderId="74" xfId="0" applyFont="1" applyFill="1" applyBorder="1" applyAlignment="1">
      <alignment vertical="center"/>
    </xf>
    <xf numFmtId="0" fontId="0" fillId="6" borderId="35"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33" xfId="0" applyFont="1" applyFill="1" applyBorder="1" applyAlignment="1" applyProtection="1">
      <alignment horizontal="left" vertical="center"/>
    </xf>
    <xf numFmtId="0" fontId="22" fillId="6" borderId="89" xfId="0" applyFont="1" applyFill="1" applyBorder="1" applyAlignment="1">
      <alignment vertical="center"/>
    </xf>
    <xf numFmtId="0" fontId="22" fillId="6" borderId="90" xfId="0" applyFont="1" applyFill="1" applyBorder="1">
      <alignment vertical="center"/>
    </xf>
    <xf numFmtId="0" fontId="22" fillId="6" borderId="75" xfId="0" applyFont="1"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94" xfId="30" applyFont="1" applyBorder="1">
      <alignment horizontal="right" vertical="center"/>
    </xf>
    <xf numFmtId="0" fontId="22" fillId="6" borderId="91" xfId="0" applyFont="1" applyFill="1" applyBorder="1" applyAlignment="1" applyProtection="1">
      <alignment horizontal="left" vertical="center"/>
    </xf>
    <xf numFmtId="0" fontId="0" fillId="6" borderId="91" xfId="0" applyBorder="1">
      <alignment vertical="center"/>
    </xf>
    <xf numFmtId="0" fontId="0" fillId="6" borderId="91" xfId="0" applyFill="1" applyBorder="1">
      <alignment vertical="center"/>
    </xf>
    <xf numFmtId="0" fontId="39" fillId="6" borderId="70" xfId="0" applyFont="1" applyFill="1" applyBorder="1">
      <alignment vertical="center"/>
    </xf>
    <xf numFmtId="0" fontId="22" fillId="15" borderId="94" xfId="55" applyFont="1" applyBorder="1">
      <alignment horizontal="center" vertical="center" wrapText="1"/>
    </xf>
    <xf numFmtId="0" fontId="26" fillId="6" borderId="41" xfId="5" applyFont="1" applyBorder="1" applyAlignment="1">
      <alignment horizontal="center" vertical="center" wrapText="1"/>
    </xf>
    <xf numFmtId="172" fontId="22" fillId="41" borderId="83" xfId="10" applyFont="1" applyBorder="1">
      <alignment vertical="center"/>
      <protection locked="0"/>
    </xf>
    <xf numFmtId="0" fontId="22" fillId="6" borderId="91" xfId="0" applyFont="1" applyFill="1" applyBorder="1">
      <alignment vertical="center"/>
    </xf>
    <xf numFmtId="3" fontId="22" fillId="41" borderId="83" xfId="11" applyFont="1" applyBorder="1">
      <alignment horizontal="right" vertical="center"/>
      <protection locked="0"/>
    </xf>
    <xf numFmtId="3" fontId="22" fillId="41" borderId="83" xfId="20" applyFont="1" applyFill="1" applyBorder="1">
      <alignment horizontal="right" vertical="center"/>
      <protection locked="0"/>
    </xf>
    <xf numFmtId="0" fontId="22" fillId="6" borderId="87" xfId="0" applyFont="1" applyFill="1" applyBorder="1">
      <alignment vertical="center"/>
    </xf>
    <xf numFmtId="0" fontId="22" fillId="6" borderId="96" xfId="0" applyFont="1" applyFill="1" applyBorder="1">
      <alignment vertical="center"/>
    </xf>
    <xf numFmtId="0" fontId="22" fillId="6" borderId="96" xfId="0" applyFont="1" applyBorder="1">
      <alignment vertical="center"/>
    </xf>
    <xf numFmtId="0" fontId="29" fillId="6" borderId="70" xfId="116" applyFont="1" applyFill="1" applyBorder="1" applyAlignment="1" applyProtection="1">
      <alignment horizontal="left" vertical="center"/>
    </xf>
    <xf numFmtId="0" fontId="22" fillId="6" borderId="96" xfId="0" applyFont="1" applyFill="1" applyBorder="1" applyAlignment="1">
      <alignment vertical="center"/>
    </xf>
    <xf numFmtId="0" fontId="24" fillId="6" borderId="78" xfId="0" applyFont="1" applyFill="1" applyBorder="1" applyAlignment="1">
      <alignment horizontal="center" wrapText="1"/>
    </xf>
    <xf numFmtId="0" fontId="24" fillId="6" borderId="79" xfId="0" applyFont="1" applyFill="1" applyBorder="1" applyAlignment="1" applyProtection="1">
      <alignment horizontal="center" wrapText="1"/>
    </xf>
    <xf numFmtId="0" fontId="22" fillId="6" borderId="75" xfId="0" applyFont="1" applyBorder="1" applyAlignment="1">
      <alignment horizontal="center" vertical="center"/>
    </xf>
    <xf numFmtId="172" fontId="22" fillId="41" borderId="79" xfId="10" applyFont="1" applyBorder="1">
      <alignment vertical="center"/>
      <protection locked="0"/>
    </xf>
    <xf numFmtId="0" fontId="22" fillId="6" borderId="91" xfId="0" applyFont="1" applyFill="1" applyBorder="1" applyAlignment="1">
      <alignment horizontal="center" vertical="center"/>
    </xf>
    <xf numFmtId="3" fontId="22" fillId="6" borderId="82" xfId="30" applyFont="1" applyFill="1" applyBorder="1" applyAlignment="1">
      <alignment horizontal="center" vertical="center"/>
    </xf>
    <xf numFmtId="0" fontId="22" fillId="6" borderId="93" xfId="0" applyNumberFormat="1" applyFont="1" applyBorder="1">
      <alignment vertical="center"/>
    </xf>
    <xf numFmtId="3" fontId="22" fillId="6" borderId="75" xfId="30" applyFont="1" applyFill="1" applyBorder="1" applyAlignment="1">
      <alignment horizontal="center" vertical="center"/>
    </xf>
    <xf numFmtId="3" fontId="22" fillId="41" borderId="79" xfId="11" applyFont="1" applyBorder="1">
      <alignment horizontal="right" vertical="center"/>
      <protection locked="0"/>
    </xf>
    <xf numFmtId="3" fontId="22" fillId="6" borderId="91" xfId="30" applyFont="1" applyFill="1" applyBorder="1" applyAlignment="1">
      <alignment horizontal="center" vertical="center"/>
    </xf>
    <xf numFmtId="3" fontId="22" fillId="41" borderId="79" xfId="20" applyFont="1" applyFill="1" applyBorder="1">
      <alignment horizontal="right" vertical="center"/>
      <protection locked="0"/>
    </xf>
    <xf numFmtId="0" fontId="29" fillId="6" borderId="84" xfId="116" applyFont="1" applyFill="1" applyBorder="1" applyAlignment="1" applyProtection="1">
      <alignment horizontal="left" vertical="center"/>
    </xf>
    <xf numFmtId="0" fontId="22" fillId="6" borderId="74" xfId="0" applyFont="1" applyFill="1" applyBorder="1" applyAlignment="1" applyProtection="1">
      <alignment horizontal="left" vertical="center"/>
    </xf>
    <xf numFmtId="0" fontId="29" fillId="6" borderId="70" xfId="116" applyFont="1" applyFill="1" applyBorder="1" applyAlignment="1" applyProtection="1">
      <alignment vertical="center"/>
    </xf>
    <xf numFmtId="3" fontId="22" fillId="6" borderId="27" xfId="30" applyFont="1" applyBorder="1" applyAlignment="1">
      <alignment horizontal="center" vertical="center"/>
    </xf>
    <xf numFmtId="0" fontId="22" fillId="6" borderId="96" xfId="0" applyFont="1" applyFill="1" applyBorder="1" applyProtection="1">
      <alignment vertical="center"/>
    </xf>
    <xf numFmtId="0" fontId="22" fillId="6" borderId="91" xfId="0" applyFont="1" applyFill="1" applyBorder="1" applyAlignment="1" applyProtection="1">
      <alignment vertical="center"/>
    </xf>
    <xf numFmtId="0" fontId="22" fillId="6" borderId="21" xfId="0" applyFont="1" applyFill="1" applyBorder="1" applyAlignment="1" applyProtection="1">
      <alignment horizontal="center" vertical="center"/>
    </xf>
    <xf numFmtId="3" fontId="39" fillId="13" borderId="32" xfId="3" applyNumberFormat="1" applyFont="1" applyBorder="1">
      <alignment horizontal="center" vertical="center"/>
    </xf>
    <xf numFmtId="3" fontId="39" fillId="13" borderId="20" xfId="3" applyNumberFormat="1" applyFont="1" applyBorder="1">
      <alignment horizontal="center" vertical="center"/>
    </xf>
    <xf numFmtId="0" fontId="22" fillId="2" borderId="32" xfId="0" applyFont="1" applyFill="1" applyBorder="1" applyAlignment="1" applyProtection="1">
      <alignment vertical="center" wrapText="1"/>
    </xf>
    <xf numFmtId="0" fontId="20" fillId="6" borderId="75" xfId="0" applyFont="1" applyFill="1" applyBorder="1" applyAlignment="1"/>
    <xf numFmtId="0" fontId="23" fillId="6" borderId="70" xfId="0" applyFont="1" applyFill="1" applyBorder="1" applyAlignment="1">
      <alignment vertical="center"/>
    </xf>
    <xf numFmtId="0" fontId="0" fillId="6" borderId="34"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2" xfId="0" applyFont="1" applyFill="1" applyBorder="1" applyAlignment="1">
      <alignment vertical="center"/>
    </xf>
    <xf numFmtId="3" fontId="39" fillId="41" borderId="94" xfId="11" applyFont="1" applyBorder="1">
      <alignment horizontal="right" vertical="center"/>
      <protection locked="0"/>
    </xf>
    <xf numFmtId="0" fontId="22" fillId="6" borderId="70" xfId="0" applyFont="1" applyFill="1" applyBorder="1" applyAlignment="1" applyProtection="1">
      <alignment horizontal="left" vertical="center"/>
    </xf>
    <xf numFmtId="0" fontId="22" fillId="6" borderId="10" xfId="0" applyFont="1" applyFill="1" applyBorder="1">
      <alignment vertical="center"/>
    </xf>
    <xf numFmtId="0" fontId="0" fillId="6" borderId="70" xfId="0" applyFont="1" applyFill="1" applyBorder="1" applyProtection="1">
      <alignment vertical="center"/>
    </xf>
    <xf numFmtId="0" fontId="20" fillId="6" borderId="97" xfId="4" applyFont="1" applyFill="1" applyBorder="1" applyAlignment="1" applyProtection="1"/>
    <xf numFmtId="3" fontId="22" fillId="41" borderId="27" xfId="11" applyFont="1" applyBorder="1">
      <alignment horizontal="right" vertical="center"/>
      <protection locked="0"/>
    </xf>
    <xf numFmtId="0" fontId="22" fillId="6" borderId="26" xfId="0" applyFont="1" applyFill="1" applyBorder="1" applyAlignment="1" applyProtection="1">
      <alignment horizontal="left" vertical="center"/>
    </xf>
    <xf numFmtId="3" fontId="39" fillId="43" borderId="21" xfId="6" applyFont="1" applyBorder="1" applyAlignment="1" applyProtection="1">
      <alignment vertical="center"/>
    </xf>
    <xf numFmtId="0" fontId="39" fillId="6" borderId="70" xfId="0" applyFont="1" applyFill="1" applyBorder="1" applyAlignment="1"/>
    <xf numFmtId="0" fontId="0" fillId="6" borderId="0" xfId="0" applyFont="1" applyFill="1" applyBorder="1">
      <alignment vertical="center"/>
    </xf>
    <xf numFmtId="0" fontId="54" fillId="6" borderId="0" xfId="0" applyFont="1" applyFill="1" applyBorder="1">
      <alignment vertical="center"/>
    </xf>
    <xf numFmtId="0" fontId="39" fillId="6" borderId="20" xfId="0" applyFont="1" applyBorder="1">
      <alignment vertical="center"/>
    </xf>
    <xf numFmtId="0" fontId="39" fillId="46" borderId="20" xfId="0" applyFont="1" applyFill="1" applyBorder="1">
      <alignment vertical="center"/>
    </xf>
    <xf numFmtId="3" fontId="39"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49" fillId="46" borderId="20" xfId="0" applyFont="1" applyFill="1" applyBorder="1">
      <alignment vertical="center"/>
    </xf>
    <xf numFmtId="0" fontId="35" fillId="6" borderId="70" xfId="0" applyFont="1" applyFill="1" applyBorder="1">
      <alignment vertical="center"/>
    </xf>
    <xf numFmtId="0" fontId="0" fillId="0" borderId="27" xfId="0" applyFont="1" applyFill="1" applyBorder="1" applyAlignment="1" applyProtection="1">
      <alignment horizontal="left" vertical="center" indent="1"/>
    </xf>
    <xf numFmtId="0" fontId="39"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5" xfId="0" applyFont="1" applyFill="1" applyBorder="1" applyAlignment="1" applyProtection="1">
      <alignment horizontal="left" vertical="center"/>
    </xf>
    <xf numFmtId="3" fontId="39" fillId="41" borderId="37" xfId="11" applyFont="1" applyBorder="1">
      <alignment horizontal="right" vertical="center"/>
      <protection locked="0"/>
    </xf>
    <xf numFmtId="0" fontId="39" fillId="6" borderId="36" xfId="0" applyFont="1" applyBorder="1">
      <alignment vertical="center"/>
    </xf>
    <xf numFmtId="0" fontId="39" fillId="46" borderId="36" xfId="0" applyFont="1" applyFill="1" applyBorder="1">
      <alignment vertical="center"/>
    </xf>
    <xf numFmtId="0" fontId="55" fillId="46" borderId="21" xfId="0" applyFont="1" applyFill="1" applyBorder="1">
      <alignment vertical="center"/>
    </xf>
    <xf numFmtId="0" fontId="29" fillId="6" borderId="70" xfId="0" applyFont="1" applyFill="1" applyBorder="1" applyAlignment="1" applyProtection="1">
      <alignment horizontal="left" vertical="center"/>
    </xf>
    <xf numFmtId="0" fontId="25" fillId="6" borderId="0" xfId="0" applyFont="1" applyFill="1" applyBorder="1" applyAlignment="1" applyProtection="1">
      <alignment vertical="center"/>
    </xf>
    <xf numFmtId="0" fontId="39" fillId="0" borderId="27" xfId="0" applyFont="1" applyFill="1" applyBorder="1" applyAlignment="1"/>
    <xf numFmtId="0" fontId="39" fillId="0" borderId="28" xfId="0" applyFont="1" applyFill="1" applyBorder="1" applyAlignment="1">
      <alignment horizontal="left" indent="1"/>
    </xf>
    <xf numFmtId="0" fontId="0" fillId="6" borderId="96" xfId="0" applyFill="1" applyBorder="1">
      <alignment vertical="center"/>
    </xf>
    <xf numFmtId="0" fontId="0" fillId="6" borderId="96" xfId="0" applyFill="1" applyBorder="1" applyAlignment="1">
      <alignment vertical="center"/>
    </xf>
    <xf numFmtId="0" fontId="39" fillId="46" borderId="32" xfId="0" applyFont="1" applyFill="1" applyBorder="1">
      <alignment vertical="center"/>
    </xf>
    <xf numFmtId="0" fontId="39" fillId="46" borderId="21" xfId="0" applyFont="1" applyFill="1" applyBorder="1">
      <alignment vertical="center"/>
    </xf>
    <xf numFmtId="0" fontId="39" fillId="46" borderId="31" xfId="0" applyFont="1" applyFill="1" applyBorder="1">
      <alignment vertical="center"/>
    </xf>
    <xf numFmtId="0" fontId="39" fillId="46" borderId="25" xfId="0" applyFont="1" applyFill="1" applyBorder="1">
      <alignment vertical="center"/>
    </xf>
    <xf numFmtId="0" fontId="39" fillId="46" borderId="26" xfId="0" applyFont="1" applyFill="1" applyBorder="1">
      <alignment vertical="center"/>
    </xf>
    <xf numFmtId="0" fontId="0" fillId="6" borderId="96" xfId="0" applyFont="1" applyFill="1" applyBorder="1" applyAlignment="1">
      <alignment vertical="center"/>
    </xf>
    <xf numFmtId="0" fontId="0" fillId="6" borderId="70" xfId="0" applyFont="1" applyFill="1" applyBorder="1" applyAlignment="1"/>
    <xf numFmtId="0" fontId="39" fillId="0" borderId="20" xfId="0" applyFont="1" applyFill="1" applyBorder="1" applyAlignment="1">
      <alignment horizontal="left" indent="1"/>
    </xf>
    <xf numFmtId="0" fontId="39" fillId="6" borderId="27" xfId="0" applyFont="1" applyFill="1" applyBorder="1" applyAlignment="1"/>
    <xf numFmtId="0" fontId="25" fillId="6" borderId="27" xfId="0" applyFont="1" applyFill="1" applyBorder="1" applyAlignment="1">
      <alignment horizontal="left" indent="2"/>
    </xf>
    <xf numFmtId="0" fontId="39" fillId="6" borderId="28" xfId="0" applyFont="1" applyFill="1" applyBorder="1" applyAlignment="1">
      <alignment horizontal="left" indent="1"/>
    </xf>
    <xf numFmtId="0" fontId="0" fillId="6" borderId="0" xfId="0" applyFill="1" applyBorder="1">
      <alignment vertical="center"/>
    </xf>
    <xf numFmtId="0" fontId="0" fillId="6" borderId="91" xfId="0" applyFill="1" applyBorder="1" applyAlignment="1">
      <alignment vertical="center"/>
    </xf>
    <xf numFmtId="0" fontId="20" fillId="6" borderId="70" xfId="0" applyFont="1" applyFill="1" applyBorder="1" applyAlignment="1"/>
    <xf numFmtId="0" fontId="36" fillId="6" borderId="0" xfId="0" applyFont="1" applyFill="1" applyBorder="1" applyAlignment="1" applyProtection="1"/>
    <xf numFmtId="0" fontId="20" fillId="6" borderId="0" xfId="0" applyFont="1" applyFill="1" applyBorder="1" applyAlignment="1"/>
    <xf numFmtId="0" fontId="60" fillId="6" borderId="0" xfId="0" applyFont="1" applyFill="1" applyBorder="1">
      <alignment vertical="center"/>
    </xf>
    <xf numFmtId="0" fontId="24" fillId="6" borderId="0" xfId="0" applyFont="1" applyFill="1" applyBorder="1">
      <alignment vertical="center"/>
    </xf>
    <xf numFmtId="0" fontId="24" fillId="6" borderId="70" xfId="0" applyFont="1" applyFill="1" applyBorder="1" applyAlignment="1"/>
    <xf numFmtId="0" fontId="49" fillId="46" borderId="32" xfId="0" applyFont="1" applyFill="1" applyBorder="1">
      <alignment vertical="center"/>
    </xf>
    <xf numFmtId="0" fontId="37" fillId="6" borderId="27" xfId="0" applyFont="1" applyFill="1" applyBorder="1" applyAlignment="1"/>
    <xf numFmtId="0" fontId="49" fillId="46" borderId="21" xfId="0" applyFont="1" applyFill="1" applyBorder="1">
      <alignment vertical="center"/>
    </xf>
    <xf numFmtId="0" fontId="49" fillId="46" borderId="31" xfId="0" applyFont="1" applyFill="1" applyBorder="1">
      <alignment vertical="center"/>
    </xf>
    <xf numFmtId="0" fontId="49" fillId="46" borderId="25" xfId="0" applyFont="1" applyFill="1" applyBorder="1">
      <alignment vertical="center"/>
    </xf>
    <xf numFmtId="0" fontId="49" fillId="46" borderId="26" xfId="0" applyFont="1" applyFill="1" applyBorder="1">
      <alignment vertical="center"/>
    </xf>
    <xf numFmtId="0" fontId="61" fillId="46" borderId="36" xfId="0" applyFont="1" applyFill="1" applyBorder="1">
      <alignment vertical="center"/>
    </xf>
    <xf numFmtId="0" fontId="0" fillId="6" borderId="91" xfId="0" applyFont="1" applyBorder="1">
      <alignment vertical="center"/>
    </xf>
    <xf numFmtId="0" fontId="22" fillId="6" borderId="96" xfId="0" applyFont="1" applyFill="1" applyBorder="1" applyAlignment="1" applyProtection="1">
      <alignment vertical="center"/>
    </xf>
    <xf numFmtId="0" fontId="22" fillId="6" borderId="82" xfId="0" applyFont="1" applyFill="1" applyBorder="1" applyAlignment="1" applyProtection="1">
      <alignment vertical="center"/>
    </xf>
    <xf numFmtId="0" fontId="20" fillId="6" borderId="75" xfId="0" applyFont="1" applyFill="1" applyBorder="1" applyAlignment="1">
      <alignment vertical="center"/>
    </xf>
    <xf numFmtId="0" fontId="39" fillId="46" borderId="33" xfId="3" applyFont="1" applyFill="1" applyBorder="1">
      <alignment horizontal="center" vertical="center"/>
    </xf>
    <xf numFmtId="0" fontId="22" fillId="6" borderId="27" xfId="0" applyFont="1" applyFill="1" applyBorder="1" applyAlignment="1" applyProtection="1">
      <alignment horizontal="left" vertical="center" indent="1"/>
    </xf>
    <xf numFmtId="0" fontId="39" fillId="46" borderId="32" xfId="3" applyFont="1" applyFill="1" applyBorder="1">
      <alignment horizontal="center" vertical="center"/>
    </xf>
    <xf numFmtId="0" fontId="22" fillId="6" borderId="35" xfId="0" applyFont="1" applyFill="1" applyBorder="1" applyAlignment="1" applyProtection="1">
      <alignment horizontal="left" vertical="center" indent="1"/>
    </xf>
    <xf numFmtId="0" fontId="50" fillId="6" borderId="27" xfId="0" applyFont="1" applyFill="1" applyBorder="1" applyAlignment="1" applyProtection="1">
      <alignment horizontal="left" vertical="center"/>
    </xf>
    <xf numFmtId="0" fontId="49" fillId="46" borderId="32" xfId="3" applyFont="1" applyFill="1" applyBorder="1">
      <alignment horizontal="center" vertical="center"/>
    </xf>
    <xf numFmtId="174" fontId="22" fillId="15" borderId="32"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49" fillId="6" borderId="35" xfId="0" applyFont="1" applyFill="1" applyBorder="1" applyAlignment="1">
      <alignment horizontal="left" indent="2"/>
    </xf>
    <xf numFmtId="0" fontId="24" fillId="6" borderId="35" xfId="0" applyFont="1" applyFill="1" applyBorder="1" applyAlignment="1" applyProtection="1">
      <alignment horizontal="left" vertical="center"/>
    </xf>
    <xf numFmtId="49" fontId="22" fillId="15" borderId="94" xfId="56" applyFont="1" applyBorder="1" applyAlignment="1">
      <alignment horizontal="center" vertical="center"/>
    </xf>
    <xf numFmtId="0" fontId="22" fillId="13" borderId="81" xfId="0" applyFont="1" applyFill="1" applyBorder="1" applyAlignment="1">
      <alignment vertical="center"/>
    </xf>
    <xf numFmtId="0" fontId="22" fillId="6" borderId="91" xfId="0" applyFont="1" applyFill="1" applyBorder="1" applyAlignment="1">
      <alignment vertical="center"/>
    </xf>
    <xf numFmtId="0" fontId="22" fillId="6" borderId="82" xfId="0" applyFont="1" applyFill="1" applyBorder="1" applyAlignment="1" applyProtection="1">
      <alignment horizontal="left" vertical="center"/>
    </xf>
    <xf numFmtId="172" fontId="22" fillId="16" borderId="31" xfId="46" applyFont="1" applyBorder="1">
      <alignment vertical="center"/>
    </xf>
    <xf numFmtId="0" fontId="0" fillId="6" borderId="96" xfId="0" applyFont="1" applyFill="1" applyBorder="1">
      <alignment vertical="center"/>
    </xf>
    <xf numFmtId="0" fontId="0" fillId="6" borderId="70" xfId="0" applyFont="1" applyFill="1" applyBorder="1">
      <alignment vertical="center"/>
    </xf>
    <xf numFmtId="0" fontId="0" fillId="6" borderId="96" xfId="0" applyFont="1" applyFill="1" applyBorder="1" applyProtection="1">
      <alignment vertical="center"/>
    </xf>
    <xf numFmtId="0" fontId="0" fillId="6" borderId="31" xfId="0" applyFont="1" applyFill="1" applyBorder="1" applyAlignment="1">
      <alignment vertical="center" wrapText="1"/>
    </xf>
    <xf numFmtId="0" fontId="0" fillId="6" borderId="91" xfId="0" applyFont="1" applyFill="1" applyBorder="1" applyProtection="1">
      <alignment vertical="center"/>
    </xf>
    <xf numFmtId="0" fontId="0" fillId="6" borderId="91" xfId="0" applyFont="1" applyFill="1" applyBorder="1">
      <alignment vertical="center"/>
    </xf>
    <xf numFmtId="0" fontId="0" fillId="6" borderId="37" xfId="0" applyFont="1" applyFill="1" applyBorder="1" applyAlignment="1">
      <alignment horizontal="center" vertical="center"/>
    </xf>
    <xf numFmtId="0" fontId="0" fillId="13" borderId="36" xfId="3" applyFont="1" applyBorder="1">
      <alignment horizontal="center" vertical="center"/>
    </xf>
    <xf numFmtId="3" fontId="22" fillId="13" borderId="27" xfId="3" applyNumberFormat="1" applyFont="1" applyBorder="1">
      <alignment horizontal="center" vertical="center"/>
    </xf>
    <xf numFmtId="0" fontId="62" fillId="53" borderId="20" xfId="144" applyBorder="1">
      <alignment horizontal="center" vertical="center"/>
    </xf>
    <xf numFmtId="0" fontId="62" fillId="53" borderId="31" xfId="144" applyBorder="1">
      <alignment horizontal="center" vertical="center"/>
    </xf>
    <xf numFmtId="0" fontId="62" fillId="53" borderId="21" xfId="144" applyBorder="1">
      <alignment horizontal="center" vertical="center"/>
    </xf>
    <xf numFmtId="0" fontId="62" fillId="53" borderId="33" xfId="144" applyBorder="1">
      <alignment horizontal="center" vertical="center"/>
    </xf>
    <xf numFmtId="0" fontId="62" fillId="53" borderId="32" xfId="144" applyBorder="1">
      <alignment horizontal="center" vertical="center"/>
    </xf>
    <xf numFmtId="0" fontId="62" fillId="53" borderId="38" xfId="144" applyBorder="1">
      <alignment horizontal="center" vertical="center"/>
    </xf>
    <xf numFmtId="0" fontId="62" fillId="53" borderId="28" xfId="144" applyBorder="1">
      <alignment horizontal="center" vertical="center"/>
    </xf>
    <xf numFmtId="0" fontId="62" fillId="53" borderId="25" xfId="144" applyBorder="1">
      <alignment horizontal="center" vertical="center"/>
    </xf>
    <xf numFmtId="0" fontId="62" fillId="53" borderId="26" xfId="144" applyBorder="1">
      <alignment horizontal="center" vertical="center"/>
    </xf>
    <xf numFmtId="0" fontId="0" fillId="13" borderId="38" xfId="3" applyFont="1" applyBorder="1">
      <alignment horizontal="center" vertical="center"/>
    </xf>
    <xf numFmtId="3" fontId="22" fillId="13" borderId="38" xfId="3" applyNumberFormat="1" applyFont="1" applyBorder="1">
      <alignment horizontal="center" vertical="center"/>
    </xf>
    <xf numFmtId="0" fontId="22" fillId="6" borderId="27"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83" xfId="0" applyFont="1" applyFill="1" applyBorder="1" applyAlignment="1">
      <alignment horizontal="center" wrapText="1"/>
    </xf>
    <xf numFmtId="0" fontId="62" fillId="53" borderId="36" xfId="144" applyNumberFormat="1" applyBorder="1">
      <alignment horizontal="center" vertical="center"/>
    </xf>
    <xf numFmtId="0" fontId="62" fillId="53" borderId="38" xfId="144" applyNumberFormat="1" applyBorder="1">
      <alignment horizontal="center" vertical="center"/>
    </xf>
    <xf numFmtId="0" fontId="18" fillId="6" borderId="28" xfId="83" applyFill="1" applyBorder="1" applyAlignment="1">
      <alignment horizontal="left" vertical="center" wrapText="1" indent="1"/>
    </xf>
    <xf numFmtId="0" fontId="22" fillId="6" borderId="91" xfId="0" applyFont="1" applyFill="1" applyBorder="1" applyAlignment="1" applyProtection="1"/>
    <xf numFmtId="0" fontId="22" fillId="6" borderId="98" xfId="0" applyFont="1" applyFill="1" applyBorder="1" applyAlignment="1" applyProtection="1">
      <alignment horizontal="center" vertical="center"/>
    </xf>
    <xf numFmtId="0" fontId="39" fillId="6" borderId="0" xfId="0" applyFont="1" applyBorder="1">
      <alignment vertical="center"/>
    </xf>
    <xf numFmtId="3" fontId="22" fillId="41" borderId="37" xfId="11" applyFont="1" applyBorder="1" applyAlignment="1" applyProtection="1">
      <alignment horizontal="right" vertical="center"/>
      <protection locked="0"/>
    </xf>
    <xf numFmtId="3" fontId="0" fillId="14" borderId="36" xfId="20" applyFont="1" applyBorder="1">
      <alignment horizontal="right" vertical="center"/>
      <protection locked="0"/>
    </xf>
    <xf numFmtId="0" fontId="0" fillId="13" borderId="34" xfId="3" applyFont="1" applyBorder="1">
      <alignment horizontal="center" vertical="center"/>
    </xf>
    <xf numFmtId="0" fontId="0" fillId="13" borderId="33" xfId="3" applyFont="1" applyBorder="1">
      <alignment horizontal="center" vertical="center"/>
    </xf>
    <xf numFmtId="3" fontId="39" fillId="6" borderId="20" xfId="30" applyFont="1" applyBorder="1">
      <alignment horizontal="right" vertical="center"/>
    </xf>
    <xf numFmtId="0" fontId="39" fillId="46" borderId="37" xfId="3" applyFont="1" applyFill="1" applyBorder="1">
      <alignment horizontal="center" vertical="center"/>
    </xf>
    <xf numFmtId="0" fontId="24" fillId="6" borderId="98" xfId="5" applyFont="1" applyBorder="1" applyAlignment="1">
      <alignment horizontal="center" vertical="center" wrapText="1"/>
    </xf>
    <xf numFmtId="0" fontId="26" fillId="6" borderId="98" xfId="5" applyFont="1" applyBorder="1" applyAlignment="1">
      <alignment horizontal="center" vertical="center" wrapText="1"/>
    </xf>
    <xf numFmtId="0" fontId="26" fillId="6" borderId="99" xfId="5" applyFont="1" applyFill="1" applyBorder="1" applyAlignment="1">
      <alignment horizontal="center" vertical="center" wrapText="1"/>
    </xf>
    <xf numFmtId="0" fontId="62"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2" fillId="13" borderId="25" xfId="3" applyFont="1" applyBorder="1">
      <alignment horizontal="center" vertical="center"/>
    </xf>
    <xf numFmtId="0" fontId="62" fillId="13" borderId="20" xfId="3" applyFont="1" applyBorder="1">
      <alignment horizontal="center" vertical="center"/>
    </xf>
    <xf numFmtId="0" fontId="22" fillId="6" borderId="91" xfId="0" applyFont="1" applyFill="1" applyBorder="1" applyAlignment="1" applyProtection="1">
      <alignment horizontal="center" vertical="center" wrapText="1"/>
    </xf>
    <xf numFmtId="0" fontId="22" fillId="6" borderId="91" xfId="0" applyFont="1" applyFill="1" applyBorder="1" applyAlignment="1" applyProtection="1">
      <alignment horizontal="left" vertical="center" indent="1"/>
    </xf>
    <xf numFmtId="0" fontId="22" fillId="6" borderId="91" xfId="0" applyFont="1" applyFill="1" applyBorder="1" applyAlignment="1">
      <alignment horizontal="right" vertical="center"/>
    </xf>
    <xf numFmtId="0" fontId="22" fillId="2" borderId="91" xfId="0" applyFont="1" applyFill="1" applyBorder="1" applyAlignment="1">
      <alignment vertical="center"/>
    </xf>
    <xf numFmtId="0" fontId="0" fillId="6" borderId="0" xfId="0" applyFill="1" applyBorder="1" applyAlignment="1">
      <alignment vertical="center"/>
    </xf>
    <xf numFmtId="0" fontId="22" fillId="6" borderId="32" xfId="0" applyFont="1" applyFill="1" applyBorder="1" applyAlignment="1">
      <alignment horizontal="left" vertical="top" wrapText="1" indent="1"/>
    </xf>
    <xf numFmtId="0" fontId="22" fillId="6" borderId="27" xfId="0" applyFont="1" applyFill="1" applyBorder="1">
      <alignment vertical="center"/>
    </xf>
    <xf numFmtId="0" fontId="0" fillId="6" borderId="32" xfId="0" applyFont="1" applyFill="1" applyBorder="1" applyAlignment="1">
      <alignment horizontal="left" vertical="top" wrapText="1" indent="2"/>
    </xf>
    <xf numFmtId="0" fontId="22" fillId="6" borderId="32" xfId="0" applyFont="1" applyFill="1" applyBorder="1" applyAlignment="1">
      <alignment horizontal="left" vertical="top" wrapText="1" indent="2"/>
    </xf>
    <xf numFmtId="0" fontId="22" fillId="6" borderId="32" xfId="0" applyFont="1" applyFill="1" applyBorder="1" applyAlignment="1">
      <alignment horizontal="left" vertical="top" wrapText="1" indent="3"/>
    </xf>
    <xf numFmtId="0" fontId="22" fillId="6" borderId="32" xfId="0" applyFont="1" applyFill="1" applyBorder="1" applyAlignment="1">
      <alignment horizontal="left" vertical="top" wrapText="1" indent="4"/>
    </xf>
    <xf numFmtId="0" fontId="25" fillId="6" borderId="32" xfId="83" applyFont="1" applyFill="1" applyBorder="1" applyAlignment="1">
      <alignment horizontal="left" vertical="top" indent="5"/>
    </xf>
    <xf numFmtId="0" fontId="0" fillId="6" borderId="32" xfId="0" applyFont="1" applyFill="1" applyBorder="1" applyAlignment="1">
      <alignment horizontal="left" vertical="top" wrapText="1" indent="3"/>
    </xf>
    <xf numFmtId="0" fontId="25" fillId="6" borderId="32"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3" fontId="0" fillId="41" borderId="34" xfId="11" applyFont="1" applyBorder="1">
      <alignment horizontal="right" vertical="center"/>
      <protection locked="0"/>
    </xf>
    <xf numFmtId="0" fontId="0" fillId="6" borderId="100" xfId="0" applyFont="1" applyFill="1" applyBorder="1">
      <alignment vertical="center"/>
    </xf>
    <xf numFmtId="0" fontId="0" fillId="6" borderId="91" xfId="0" applyFont="1" applyFill="1" applyBorder="1" applyAlignment="1" applyProtection="1">
      <alignment vertical="center" wrapText="1"/>
    </xf>
    <xf numFmtId="0" fontId="0" fillId="6" borderId="91" xfId="0" applyFont="1" applyFill="1" applyBorder="1" applyAlignment="1">
      <alignment horizontal="left" vertical="center" indent="1"/>
    </xf>
    <xf numFmtId="0" fontId="62" fillId="53" borderId="27" xfId="144" applyBorder="1">
      <alignment horizontal="center" vertical="center"/>
    </xf>
    <xf numFmtId="0" fontId="39" fillId="0" borderId="27" xfId="0" applyFont="1" applyFill="1" applyBorder="1" applyAlignment="1">
      <alignment horizontal="left" indent="2"/>
    </xf>
    <xf numFmtId="0" fontId="39" fillId="0" borderId="27" xfId="0" applyFont="1" applyFill="1" applyBorder="1" applyAlignment="1">
      <alignment horizontal="left" indent="3"/>
    </xf>
    <xf numFmtId="0" fontId="39" fillId="6" borderId="27" xfId="0" applyFont="1" applyFill="1" applyBorder="1" applyAlignment="1">
      <alignment horizontal="left" indent="2"/>
    </xf>
    <xf numFmtId="0" fontId="39"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3"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4"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3"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2" xfId="0" applyFont="1" applyFill="1" applyBorder="1" applyAlignment="1">
      <alignment vertical="center" wrapText="1"/>
    </xf>
    <xf numFmtId="0" fontId="0" fillId="13" borderId="35" xfId="3" applyFont="1" applyBorder="1">
      <alignment horizontal="center" vertical="center"/>
    </xf>
    <xf numFmtId="0" fontId="62" fillId="53" borderId="35" xfId="144" applyBorder="1">
      <alignment horizontal="center" vertical="center"/>
    </xf>
    <xf numFmtId="0" fontId="22" fillId="6" borderId="27" xfId="0" applyFont="1" applyFill="1" applyBorder="1" applyAlignment="1">
      <alignment vertical="center"/>
    </xf>
    <xf numFmtId="0" fontId="0" fillId="6" borderId="35" xfId="0" applyFont="1" applyFill="1" applyBorder="1" applyAlignment="1">
      <alignment horizontal="left" vertical="center"/>
    </xf>
    <xf numFmtId="0" fontId="24" fillId="6" borderId="91" xfId="0" applyFont="1" applyFill="1" applyBorder="1" applyAlignment="1" applyProtection="1">
      <alignment horizontal="left" vertical="center"/>
    </xf>
    <xf numFmtId="0" fontId="24" fillId="6" borderId="33" xfId="0" applyFont="1" applyFill="1" applyBorder="1" applyAlignment="1" applyProtection="1">
      <alignment vertical="center"/>
    </xf>
    <xf numFmtId="0" fontId="0" fillId="6" borderId="32" xfId="0" applyFont="1" applyFill="1" applyBorder="1" applyAlignment="1" applyProtection="1">
      <alignment horizontal="left" vertical="center" wrapText="1" indent="1"/>
    </xf>
    <xf numFmtId="0" fontId="22" fillId="6" borderId="32" xfId="0" applyFont="1" applyFill="1" applyBorder="1" applyAlignment="1" applyProtection="1">
      <alignment horizontal="left" vertical="center" wrapText="1" indent="1"/>
    </xf>
    <xf numFmtId="0" fontId="24" fillId="6" borderId="32" xfId="0" applyFont="1" applyFill="1" applyBorder="1" applyAlignment="1" applyProtection="1">
      <alignment vertical="center"/>
    </xf>
    <xf numFmtId="0" fontId="24" fillId="6" borderId="81" xfId="0" applyFont="1" applyFill="1" applyBorder="1" applyAlignment="1">
      <alignment horizontal="center" wrapText="1"/>
    </xf>
    <xf numFmtId="0" fontId="24" fillId="6" borderId="94" xfId="0" applyFont="1" applyFill="1" applyBorder="1" applyAlignment="1" applyProtection="1">
      <alignment horizontal="left" vertical="center" wrapText="1"/>
    </xf>
    <xf numFmtId="0" fontId="22" fillId="6" borderId="38" xfId="0" applyFont="1" applyFill="1" applyBorder="1" applyAlignment="1" applyProtection="1">
      <alignment horizontal="left" vertical="center" wrapText="1"/>
    </xf>
    <xf numFmtId="0" fontId="22" fillId="6" borderId="94" xfId="0" applyFont="1" applyFill="1" applyBorder="1" applyAlignment="1" applyProtection="1">
      <alignment vertical="center" wrapText="1"/>
    </xf>
    <xf numFmtId="0" fontId="22" fillId="6" borderId="32" xfId="0" applyFont="1" applyFill="1" applyBorder="1" applyAlignment="1" applyProtection="1">
      <alignment vertical="center" wrapText="1"/>
    </xf>
    <xf numFmtId="0" fontId="22" fillId="6" borderId="32" xfId="0" applyFont="1" applyFill="1" applyBorder="1" applyAlignment="1" applyProtection="1">
      <alignment vertical="center"/>
    </xf>
    <xf numFmtId="0" fontId="22" fillId="6" borderId="32" xfId="0" applyFont="1" applyFill="1" applyBorder="1" applyAlignment="1">
      <alignment vertical="center" wrapText="1"/>
    </xf>
    <xf numFmtId="0" fontId="22" fillId="6" borderId="32" xfId="0" applyFont="1" applyFill="1" applyBorder="1" applyAlignment="1">
      <alignment vertical="center"/>
    </xf>
    <xf numFmtId="0" fontId="0" fillId="6" borderId="32" xfId="0" applyFont="1" applyFill="1" applyBorder="1" applyAlignment="1" applyProtection="1">
      <alignment vertical="center" wrapText="1"/>
    </xf>
    <xf numFmtId="0" fontId="22" fillId="6" borderId="38"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81" xfId="0" applyFont="1" applyFill="1" applyBorder="1" applyAlignment="1">
      <alignment horizontal="center" wrapText="1"/>
    </xf>
    <xf numFmtId="0" fontId="0" fillId="2" borderId="38" xfId="0" applyFont="1" applyFill="1" applyBorder="1" applyAlignment="1" applyProtection="1">
      <alignment horizontal="left" vertical="center" wrapText="1"/>
    </xf>
    <xf numFmtId="0" fontId="22" fillId="2" borderId="94" xfId="0" applyFont="1" applyFill="1" applyBorder="1" applyAlignment="1" applyProtection="1">
      <alignment vertical="center"/>
    </xf>
    <xf numFmtId="0" fontId="22" fillId="43" borderId="38" xfId="9" applyFont="1" applyBorder="1" applyAlignment="1" applyProtection="1">
      <alignment horizontal="left" vertical="center" indent="1"/>
    </xf>
    <xf numFmtId="0" fontId="0" fillId="43" borderId="38"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75" xfId="0" applyFont="1" applyFill="1" applyBorder="1" applyAlignment="1" applyProtection="1">
      <alignment horizontal="center" vertical="center"/>
    </xf>
    <xf numFmtId="0" fontId="24" fillId="2" borderId="94" xfId="0" applyFont="1" applyFill="1" applyBorder="1" applyAlignment="1" applyProtection="1">
      <alignment horizontal="left" vertical="center"/>
    </xf>
    <xf numFmtId="0" fontId="22" fillId="2" borderId="32" xfId="0" applyFont="1" applyFill="1" applyBorder="1" applyAlignment="1" applyProtection="1">
      <alignment horizontal="left" vertical="center" indent="1"/>
    </xf>
    <xf numFmtId="0" fontId="0" fillId="2" borderId="32" xfId="0" applyFont="1" applyFill="1" applyBorder="1" applyAlignment="1" applyProtection="1">
      <alignment horizontal="left" vertical="center" indent="1"/>
    </xf>
    <xf numFmtId="0" fontId="0" fillId="2" borderId="32"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91" xfId="0" applyFont="1" applyFill="1" applyBorder="1" applyAlignment="1" applyProtection="1">
      <alignment horizontal="left" vertical="center" wrapText="1"/>
    </xf>
    <xf numFmtId="15" fontId="21" fillId="6" borderId="75" xfId="0" applyNumberFormat="1" applyFont="1" applyFill="1" applyBorder="1" applyAlignment="1">
      <alignment vertical="center"/>
    </xf>
    <xf numFmtId="0" fontId="24" fillId="6" borderId="75" xfId="0" applyFont="1" applyFill="1" applyBorder="1" applyAlignment="1" applyProtection="1">
      <alignment horizontal="center" wrapText="1"/>
    </xf>
    <xf numFmtId="0" fontId="22" fillId="13" borderId="43" xfId="3" applyFont="1" applyBorder="1">
      <alignment horizontal="center" vertical="center"/>
    </xf>
    <xf numFmtId="3" fontId="0" fillId="41" borderId="27" xfId="11" applyFont="1" applyBorder="1">
      <alignment horizontal="right" vertical="center"/>
      <protection locked="0"/>
    </xf>
    <xf numFmtId="3" fontId="22" fillId="41" borderId="82" xfId="11" applyFont="1" applyBorder="1">
      <alignment horizontal="right" vertical="center"/>
      <protection locked="0"/>
    </xf>
    <xf numFmtId="3" fontId="22" fillId="41" borderId="37" xfId="11" applyFont="1" applyBorder="1">
      <alignment horizontal="right" vertical="center"/>
      <protection locked="0"/>
    </xf>
    <xf numFmtId="3" fontId="22" fillId="41" borderId="45" xfId="11" applyFont="1" applyBorder="1">
      <alignment horizontal="right" vertical="center"/>
      <protection locked="0"/>
    </xf>
    <xf numFmtId="3" fontId="22" fillId="6" borderId="27" xfId="30" applyFont="1" applyFill="1" applyBorder="1" applyProtection="1">
      <alignment horizontal="right" vertical="center"/>
    </xf>
    <xf numFmtId="3" fontId="22" fillId="14" borderId="37"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3" fontId="22" fillId="41" borderId="80" xfId="11" applyFont="1" applyBorder="1">
      <alignment horizontal="right" vertical="center"/>
      <protection locked="0"/>
    </xf>
    <xf numFmtId="3" fontId="22" fillId="43" borderId="37" xfId="6" applyFont="1" applyBorder="1" applyProtection="1">
      <alignment horizontal="right" vertical="center"/>
    </xf>
    <xf numFmtId="0" fontId="22" fillId="13" borderId="85" xfId="3" applyFont="1" applyBorder="1">
      <alignment horizontal="center" vertical="center"/>
    </xf>
    <xf numFmtId="3" fontId="22" fillId="41" borderId="35" xfId="11" applyFont="1" applyBorder="1">
      <alignment horizontal="right" vertical="center"/>
      <protection locked="0"/>
    </xf>
    <xf numFmtId="3" fontId="22" fillId="6" borderId="91" xfId="11" applyFont="1" applyFill="1" applyBorder="1" applyProtection="1">
      <alignment horizontal="right" vertical="center"/>
    </xf>
    <xf numFmtId="3" fontId="22" fillId="13" borderId="25" xfId="3" applyNumberFormat="1" applyFont="1" applyBorder="1">
      <alignment horizontal="center" vertical="center"/>
    </xf>
    <xf numFmtId="3" fontId="22" fillId="13" borderId="37" xfId="3" applyNumberFormat="1" applyFont="1" applyBorder="1">
      <alignment horizontal="center" vertical="center"/>
    </xf>
    <xf numFmtId="0" fontId="39" fillId="6" borderId="94" xfId="0" applyFont="1" applyBorder="1" applyAlignment="1">
      <alignment horizontal="left" vertical="center" wrapText="1" indent="1"/>
    </xf>
    <xf numFmtId="0" fontId="39" fillId="6" borderId="33" xfId="0" applyFont="1" applyBorder="1" applyAlignment="1">
      <alignment horizontal="left" vertical="center" wrapText="1" indent="1"/>
    </xf>
    <xf numFmtId="0" fontId="39" fillId="6" borderId="99" xfId="0" applyFont="1" applyBorder="1" applyAlignment="1">
      <alignment horizontal="left" vertical="center" wrapText="1" indent="1"/>
    </xf>
    <xf numFmtId="0" fontId="39" fillId="6" borderId="72" xfId="0" applyFont="1" applyBorder="1" applyAlignment="1">
      <alignment horizontal="left" vertical="center" wrapText="1" indent="1"/>
    </xf>
    <xf numFmtId="0" fontId="24" fillId="2" borderId="63" xfId="0" applyFont="1" applyFill="1" applyBorder="1" applyAlignment="1" applyProtection="1">
      <alignment horizontal="center" wrapText="1"/>
    </xf>
    <xf numFmtId="3" fontId="39" fillId="41" borderId="43" xfId="11" applyFont="1" applyBorder="1">
      <alignment horizontal="right" vertical="center"/>
      <protection locked="0"/>
    </xf>
    <xf numFmtId="3" fontId="39" fillId="41" borderId="28" xfId="11" applyFont="1" applyBorder="1">
      <alignment horizontal="right" vertical="center"/>
      <protection locked="0"/>
    </xf>
    <xf numFmtId="3" fontId="39" fillId="41" borderId="27" xfId="11" applyFont="1" applyBorder="1">
      <alignment horizontal="right" vertical="center"/>
      <protection locked="0"/>
    </xf>
    <xf numFmtId="3" fontId="39" fillId="6" borderId="27" xfId="30" applyFont="1" applyBorder="1">
      <alignment horizontal="right" vertical="center"/>
    </xf>
    <xf numFmtId="3" fontId="39" fillId="6" borderId="72" xfId="30" applyFont="1" applyBorder="1">
      <alignment horizontal="right" vertical="center"/>
    </xf>
    <xf numFmtId="3" fontId="39" fillId="41" borderId="0" xfId="11" applyFont="1" applyBorder="1">
      <alignment horizontal="right" vertical="center"/>
      <protection locked="0"/>
    </xf>
    <xf numFmtId="3" fontId="39" fillId="6" borderId="28" xfId="30" applyFont="1" applyBorder="1">
      <alignment horizontal="right" vertical="center"/>
    </xf>
    <xf numFmtId="3" fontId="39" fillId="41" borderId="85" xfId="11" applyFont="1" applyBorder="1">
      <alignment horizontal="right" vertical="center"/>
      <protection locked="0"/>
    </xf>
    <xf numFmtId="0" fontId="22" fillId="6" borderId="32" xfId="0" applyFont="1" applyFill="1" applyBorder="1" applyAlignment="1">
      <alignment horizontal="left" vertical="center" indent="1"/>
    </xf>
    <xf numFmtId="0" fontId="24" fillId="6" borderId="32" xfId="0" applyFont="1" applyFill="1" applyBorder="1" applyAlignment="1">
      <alignment vertical="center"/>
    </xf>
    <xf numFmtId="0" fontId="0" fillId="6" borderId="27" xfId="0" applyFont="1" applyFill="1" applyBorder="1" applyAlignment="1">
      <alignment vertical="center"/>
    </xf>
    <xf numFmtId="0" fontId="62" fillId="53" borderId="32" xfId="144" applyBorder="1">
      <alignment horizontal="center" vertical="center"/>
    </xf>
    <xf numFmtId="0" fontId="0" fillId="6" borderId="106" xfId="0" applyFont="1" applyFill="1" applyBorder="1">
      <alignment vertical="center"/>
    </xf>
    <xf numFmtId="0" fontId="0" fillId="6" borderId="106" xfId="0" applyFill="1" applyBorder="1">
      <alignment vertical="center"/>
    </xf>
    <xf numFmtId="0" fontId="22" fillId="6" borderId="106" xfId="0" applyFont="1" applyFill="1" applyBorder="1" applyAlignment="1">
      <alignment vertical="center"/>
    </xf>
    <xf numFmtId="0" fontId="22" fillId="6" borderId="106" xfId="0" applyFont="1" applyFill="1" applyBorder="1" applyAlignment="1" applyProtection="1">
      <alignment vertical="center"/>
    </xf>
    <xf numFmtId="0" fontId="25" fillId="13" borderId="27" xfId="3" applyFont="1" applyBorder="1">
      <alignment horizontal="center" vertical="center"/>
    </xf>
    <xf numFmtId="0" fontId="22" fillId="6" borderId="104" xfId="5" applyFont="1" applyBorder="1">
      <alignment horizontal="center" wrapText="1"/>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07" xfId="3" applyFont="1" applyBorder="1">
      <alignment horizontal="center" vertical="center"/>
    </xf>
    <xf numFmtId="0" fontId="22" fillId="13" borderId="109" xfId="3" applyFont="1" applyBorder="1">
      <alignment horizontal="center" vertical="center"/>
    </xf>
    <xf numFmtId="0" fontId="22" fillId="13" borderId="105"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4" fillId="6" borderId="106" xfId="0" applyFont="1" applyFill="1" applyBorder="1" applyAlignment="1" applyProtection="1">
      <alignment horizontal="left" vertical="center"/>
    </xf>
    <xf numFmtId="0" fontId="24" fillId="6" borderId="104" xfId="5" applyFont="1" applyFill="1" applyBorder="1" applyAlignment="1">
      <alignment horizontal="center" vertical="center" wrapText="1"/>
    </xf>
    <xf numFmtId="0" fontId="39" fillId="46" borderId="34" xfId="3" applyFont="1" applyFill="1" applyBorder="1">
      <alignment horizontal="center" vertical="center"/>
    </xf>
    <xf numFmtId="0" fontId="49" fillId="46" borderId="25" xfId="3" applyFont="1" applyFill="1" applyBorder="1">
      <alignment horizontal="center" vertical="center"/>
    </xf>
    <xf numFmtId="0" fontId="22" fillId="15" borderId="106" xfId="55" applyFont="1" applyBorder="1">
      <alignment horizontal="center" vertical="center" wrapText="1"/>
    </xf>
    <xf numFmtId="0" fontId="22" fillId="15" borderId="28" xfId="55" applyFont="1" applyBorder="1">
      <alignment horizontal="center" vertical="center" wrapText="1"/>
    </xf>
    <xf numFmtId="0" fontId="22" fillId="6" borderId="106" xfId="0" applyFont="1" applyFill="1" applyBorder="1" applyAlignment="1">
      <alignment horizontal="left" vertical="center"/>
    </xf>
    <xf numFmtId="0" fontId="24" fillId="6" borderId="106" xfId="0" applyFont="1" applyFill="1" applyBorder="1" applyAlignment="1">
      <alignment vertical="center" wrapText="1"/>
    </xf>
    <xf numFmtId="0" fontId="22" fillId="6" borderId="106" xfId="0" applyFont="1" applyFill="1" applyBorder="1">
      <alignment vertical="center"/>
    </xf>
    <xf numFmtId="0" fontId="0" fillId="6" borderId="106" xfId="0" applyFont="1" applyFill="1" applyBorder="1" applyAlignment="1">
      <alignment horizontal="left" vertical="center"/>
    </xf>
    <xf numFmtId="3" fontId="22" fillId="13" borderId="107" xfId="3" applyNumberFormat="1" applyFont="1" applyBorder="1">
      <alignment horizontal="center" vertical="center"/>
    </xf>
    <xf numFmtId="0" fontId="62" fillId="53" borderId="37" xfId="144" applyNumberFormat="1" applyBorder="1">
      <alignment horizontal="center" vertical="center"/>
    </xf>
    <xf numFmtId="0" fontId="25" fillId="0" borderId="106" xfId="0" applyFont="1" applyFill="1" applyBorder="1" applyAlignment="1">
      <alignment horizontal="left"/>
    </xf>
    <xf numFmtId="3" fontId="39" fillId="6" borderId="34" xfId="30" applyFont="1" applyBorder="1">
      <alignment horizontal="right" vertical="center"/>
    </xf>
    <xf numFmtId="3" fontId="39" fillId="43" borderId="104" xfId="6" applyFont="1" applyBorder="1">
      <alignment horizontal="right" vertical="center"/>
    </xf>
    <xf numFmtId="0" fontId="62" fillId="53" borderId="107" xfId="144" applyBorder="1">
      <alignment horizontal="center" vertical="center"/>
    </xf>
    <xf numFmtId="0" fontId="62" fillId="53" borderId="109" xfId="144" applyBorder="1">
      <alignment horizontal="center" vertical="center"/>
    </xf>
    <xf numFmtId="0" fontId="39" fillId="46" borderId="109" xfId="3" applyFont="1" applyFill="1" applyBorder="1">
      <alignment horizontal="center" vertical="center"/>
    </xf>
    <xf numFmtId="0" fontId="39" fillId="46" borderId="105" xfId="3" applyFont="1" applyFill="1" applyBorder="1">
      <alignment horizontal="center" vertical="center"/>
    </xf>
    <xf numFmtId="0" fontId="24" fillId="6" borderId="73" xfId="5" applyFont="1" applyBorder="1" applyAlignment="1">
      <alignment horizontal="center" vertical="center" wrapText="1"/>
    </xf>
    <xf numFmtId="0" fontId="39" fillId="46" borderId="107" xfId="3" applyFont="1" applyFill="1" applyBorder="1">
      <alignment horizontal="center" vertical="center"/>
    </xf>
    <xf numFmtId="0" fontId="24" fillId="6" borderId="45" xfId="5" applyFont="1" applyBorder="1" applyAlignment="1">
      <alignment horizontal="center" vertical="center" wrapText="1"/>
    </xf>
    <xf numFmtId="3" fontId="39" fillId="41" borderId="34" xfId="11" applyFont="1" applyBorder="1">
      <alignment horizontal="right" vertical="center"/>
      <protection locked="0"/>
    </xf>
    <xf numFmtId="3" fontId="39" fillId="41" borderId="106" xfId="11" applyFont="1" applyBorder="1">
      <alignment horizontal="right" vertical="center"/>
      <protection locked="0"/>
    </xf>
    <xf numFmtId="0" fontId="39" fillId="6" borderId="106" xfId="0" applyFont="1" applyFill="1" applyBorder="1" applyAlignment="1" applyProtection="1">
      <alignment horizontal="left" vertical="center"/>
    </xf>
    <xf numFmtId="0" fontId="39" fillId="43" borderId="28" xfId="9" applyFont="1" applyBorder="1" applyProtection="1">
      <alignment horizontal="left" vertical="center"/>
    </xf>
    <xf numFmtId="0" fontId="39" fillId="6" borderId="110" xfId="0" applyFont="1" applyFill="1" applyBorder="1" applyAlignment="1">
      <alignment horizontal="left"/>
    </xf>
    <xf numFmtId="0" fontId="39" fillId="6" borderId="111" xfId="0" applyFont="1" applyFill="1" applyBorder="1" applyAlignment="1">
      <alignment horizontal="left"/>
    </xf>
    <xf numFmtId="0" fontId="24" fillId="6" borderId="103" xfId="0" applyFont="1" applyFill="1" applyBorder="1">
      <alignment vertical="center"/>
    </xf>
    <xf numFmtId="0" fontId="24" fillId="51" borderId="73" xfId="0" applyFont="1" applyFill="1" applyBorder="1" applyAlignment="1" applyProtection="1">
      <alignment horizontal="center" vertical="center" wrapText="1"/>
    </xf>
    <xf numFmtId="3" fontId="39" fillId="41" borderId="107" xfId="11" applyFont="1" applyBorder="1">
      <alignment horizontal="right" vertical="center"/>
      <protection locked="0"/>
    </xf>
    <xf numFmtId="3" fontId="39" fillId="41" borderId="26" xfId="11" applyFont="1" applyBorder="1">
      <alignment horizontal="right" vertical="center"/>
      <protection locked="0"/>
    </xf>
    <xf numFmtId="3" fontId="39" fillId="43" borderId="26" xfId="6" applyFont="1" applyBorder="1" applyAlignment="1" applyProtection="1">
      <alignment vertical="center"/>
    </xf>
    <xf numFmtId="0" fontId="24" fillId="51" borderId="104" xfId="0" applyFont="1" applyFill="1" applyBorder="1" applyAlignment="1" applyProtection="1">
      <alignment horizontal="center" vertical="center" wrapText="1"/>
    </xf>
    <xf numFmtId="0" fontId="39"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2" xfId="0" applyFont="1" applyFill="1" applyBorder="1" applyAlignment="1">
      <alignment horizontal="left" vertical="center" indent="1"/>
    </xf>
    <xf numFmtId="0" fontId="0" fillId="6" borderId="106" xfId="0" applyFont="1" applyFill="1" applyBorder="1" applyAlignment="1">
      <alignment vertical="center"/>
    </xf>
    <xf numFmtId="0" fontId="0" fillId="6" borderId="105" xfId="0" applyFont="1" applyFill="1" applyBorder="1" applyAlignment="1">
      <alignment horizontal="left" vertical="center" wrapText="1"/>
    </xf>
    <xf numFmtId="0" fontId="32" fillId="6" borderId="112" xfId="0" applyFont="1" applyFill="1" applyBorder="1" applyAlignment="1">
      <alignment vertical="center"/>
    </xf>
    <xf numFmtId="0" fontId="32" fillId="6" borderId="112" xfId="0" applyFont="1" applyFill="1" applyBorder="1" applyAlignment="1" applyProtection="1">
      <alignment horizontal="left" vertical="center"/>
    </xf>
    <xf numFmtId="0" fontId="0" fillId="0" borderId="27" xfId="0" applyFont="1" applyFill="1" applyBorder="1" applyAlignment="1">
      <alignment horizontal="left" indent="2"/>
    </xf>
    <xf numFmtId="0" fontId="39" fillId="6" borderId="105" xfId="0" applyFont="1" applyBorder="1">
      <alignment vertical="center"/>
    </xf>
    <xf numFmtId="0" fontId="39" fillId="0" borderId="35" xfId="0" applyFont="1" applyFill="1" applyBorder="1" applyAlignment="1">
      <alignment horizontal="left" indent="1"/>
    </xf>
    <xf numFmtId="0" fontId="24" fillId="0" borderId="43"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07" xfId="3" applyFont="1" applyBorder="1">
      <alignment horizontal="center"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05" xfId="3" applyFont="1" applyBorder="1">
      <alignment horizontal="center" vertical="center"/>
    </xf>
    <xf numFmtId="0" fontId="20" fillId="6" borderId="113" xfId="0" applyFont="1" applyFill="1" applyBorder="1" applyAlignment="1"/>
    <xf numFmtId="0" fontId="0" fillId="6" borderId="107" xfId="0" applyFont="1" applyFill="1" applyBorder="1" applyAlignment="1">
      <alignment horizontal="center" vertical="center"/>
    </xf>
    <xf numFmtId="0" fontId="0" fillId="0" borderId="106" xfId="0" applyFont="1" applyFill="1" applyBorder="1" applyAlignment="1">
      <alignment horizontal="left"/>
    </xf>
    <xf numFmtId="0" fontId="62" fillId="53" borderId="105" xfId="144" applyBorder="1">
      <alignment horizontal="center" vertical="center"/>
    </xf>
    <xf numFmtId="0" fontId="24" fillId="6" borderId="104" xfId="0" applyFont="1" applyFill="1" applyBorder="1" applyAlignment="1">
      <alignment horizontal="center" vertical="center"/>
    </xf>
    <xf numFmtId="0" fontId="0" fillId="13" borderId="109" xfId="3" applyFont="1" applyBorder="1">
      <alignment horizontal="center" vertical="center"/>
    </xf>
    <xf numFmtId="0" fontId="0" fillId="6" borderId="105" xfId="0" applyFont="1" applyFill="1" applyBorder="1" applyAlignment="1">
      <alignment vertical="center" wrapText="1"/>
    </xf>
    <xf numFmtId="0" fontId="0" fillId="6" borderId="99"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03" xfId="0" applyFont="1" applyFill="1" applyBorder="1" applyAlignment="1"/>
    <xf numFmtId="0" fontId="0" fillId="6" borderId="112" xfId="0" applyFont="1" applyFill="1" applyBorder="1">
      <alignment vertical="center"/>
    </xf>
    <xf numFmtId="0" fontId="0" fillId="6" borderId="31" xfId="0" applyFont="1" applyFill="1" applyBorder="1" applyAlignment="1">
      <alignment horizontal="left" vertical="center" wrapText="1"/>
    </xf>
    <xf numFmtId="0" fontId="39" fillId="46" borderId="22" xfId="0" applyFont="1" applyFill="1" applyBorder="1">
      <alignment vertical="center"/>
    </xf>
    <xf numFmtId="0" fontId="39" fillId="46" borderId="115" xfId="0" applyFont="1" applyFill="1" applyBorder="1">
      <alignment vertical="center"/>
    </xf>
    <xf numFmtId="0" fontId="39" fillId="46" borderId="98" xfId="0" applyFont="1" applyFill="1" applyBorder="1">
      <alignment vertical="center"/>
    </xf>
    <xf numFmtId="0" fontId="23" fillId="6" borderId="116" xfId="0" applyFont="1" applyFill="1" applyBorder="1" applyAlignment="1">
      <alignment vertical="center"/>
    </xf>
    <xf numFmtId="0" fontId="0" fillId="6" borderId="117" xfId="0" applyFont="1" applyFill="1" applyBorder="1">
      <alignment vertical="center"/>
    </xf>
    <xf numFmtId="0" fontId="0" fillId="6" borderId="104" xfId="0" applyFont="1" applyFill="1" applyBorder="1" applyAlignment="1">
      <alignment horizontal="center" vertical="center"/>
    </xf>
    <xf numFmtId="0" fontId="62" fillId="53" borderId="104" xfId="144" applyBorder="1">
      <alignment horizontal="center" vertical="center"/>
    </xf>
    <xf numFmtId="0" fontId="24" fillId="13" borderId="114" xfId="3" applyFont="1" applyBorder="1">
      <alignment horizontal="center" vertical="center"/>
    </xf>
    <xf numFmtId="0" fontId="24" fillId="13" borderId="115" xfId="3" applyFont="1" applyBorder="1">
      <alignment horizontal="center" vertical="center"/>
    </xf>
    <xf numFmtId="0" fontId="0" fillId="6" borderId="103" xfId="0" applyFont="1" applyFill="1" applyBorder="1">
      <alignment vertical="center"/>
    </xf>
    <xf numFmtId="0" fontId="0" fillId="6" borderId="96" xfId="0" applyFont="1" applyBorder="1">
      <alignment vertical="center"/>
    </xf>
    <xf numFmtId="3" fontId="41" fillId="47" borderId="20" xfId="20" applyFont="1" applyFill="1" applyBorder="1">
      <alignment horizontal="right" vertical="center"/>
      <protection locked="0"/>
    </xf>
    <xf numFmtId="0" fontId="63" fillId="6" borderId="70" xfId="0" applyFont="1" applyFill="1" applyBorder="1">
      <alignment vertical="center"/>
    </xf>
    <xf numFmtId="0" fontId="62" fillId="53" borderId="25" xfId="144" applyFont="1" applyBorder="1">
      <alignment horizontal="center" vertical="center"/>
    </xf>
    <xf numFmtId="0" fontId="62" fillId="53" borderId="32" xfId="144" applyFont="1" applyBorder="1">
      <alignment horizontal="center" vertical="center"/>
    </xf>
    <xf numFmtId="3" fontId="41" fillId="47" borderId="36" xfId="20" applyFont="1" applyFill="1" applyBorder="1">
      <alignment horizontal="right" vertical="center"/>
      <protection locked="0"/>
    </xf>
    <xf numFmtId="3" fontId="41" fillId="47" borderId="25" xfId="20" applyFont="1" applyFill="1" applyBorder="1">
      <alignment horizontal="right" vertical="center"/>
      <protection locked="0"/>
    </xf>
    <xf numFmtId="3" fontId="41" fillId="47" borderId="32" xfId="20" applyFont="1" applyFill="1" applyBorder="1">
      <alignment horizontal="right" vertical="center"/>
      <protection locked="0"/>
    </xf>
    <xf numFmtId="3" fontId="41" fillId="47" borderId="26" xfId="20" applyFont="1" applyFill="1" applyBorder="1">
      <alignment horizontal="right" vertical="center"/>
      <protection locked="0"/>
    </xf>
    <xf numFmtId="3" fontId="41" fillId="47" borderId="21" xfId="20" applyFont="1" applyFill="1" applyBorder="1">
      <alignment horizontal="right" vertical="center"/>
      <protection locked="0"/>
    </xf>
    <xf numFmtId="3" fontId="41" fillId="47" borderId="31" xfId="20" applyFont="1" applyFill="1" applyBorder="1">
      <alignment horizontal="right" vertical="center"/>
      <protection locked="0"/>
    </xf>
    <xf numFmtId="0" fontId="0" fillId="6" borderId="0" xfId="2" applyFont="1" applyBorder="1">
      <alignment horizontal="center" vertical="center"/>
    </xf>
    <xf numFmtId="0" fontId="0" fillId="6" borderId="91" xfId="0" applyFont="1" applyFill="1" applyBorder="1" applyAlignment="1">
      <alignment vertical="center"/>
    </xf>
    <xf numFmtId="3" fontId="0" fillId="6" borderId="107" xfId="30" applyFont="1" applyBorder="1">
      <alignment horizontal="right" vertical="center"/>
    </xf>
    <xf numFmtId="3" fontId="0" fillId="6" borderId="109" xfId="30" applyFont="1" applyBorder="1">
      <alignment horizontal="right" vertical="center"/>
    </xf>
    <xf numFmtId="0" fontId="62" fillId="53" borderId="33" xfId="144" applyFont="1" applyBorder="1">
      <alignment horizontal="center" vertical="center"/>
    </xf>
    <xf numFmtId="3" fontId="0" fillId="6" borderId="22" xfId="30" applyFont="1" applyBorder="1">
      <alignment horizontal="right" vertical="center"/>
    </xf>
    <xf numFmtId="0" fontId="62" fillId="53" borderId="20" xfId="144" applyFont="1" applyBorder="1">
      <alignment horizontal="center" vertical="center"/>
    </xf>
    <xf numFmtId="0" fontId="62" fillId="53" borderId="43" xfId="144" applyFont="1" applyBorder="1">
      <alignment horizontal="center" vertical="center"/>
    </xf>
    <xf numFmtId="0" fontId="62" fillId="53" borderId="22" xfId="144" applyFont="1" applyBorder="1">
      <alignment horizontal="center" vertical="center"/>
    </xf>
    <xf numFmtId="3" fontId="41" fillId="6" borderId="20" xfId="30" applyFont="1" applyBorder="1">
      <alignment horizontal="right" vertical="center"/>
    </xf>
    <xf numFmtId="0" fontId="0" fillId="6" borderId="43"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05"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2" fillId="53" borderId="107" xfId="144" applyFont="1" applyBorder="1">
      <alignment horizontal="center" vertical="center"/>
    </xf>
    <xf numFmtId="0" fontId="62" fillId="53" borderId="109" xfId="144" applyFont="1" applyBorder="1">
      <alignment horizontal="center" vertical="center"/>
    </xf>
    <xf numFmtId="0" fontId="62" fillId="53" borderId="21" xfId="144" applyFont="1" applyBorder="1">
      <alignment horizontal="center" vertical="center"/>
    </xf>
    <xf numFmtId="0" fontId="22" fillId="41" borderId="106" xfId="18" applyFont="1" applyBorder="1" applyAlignment="1" applyProtection="1">
      <alignment horizontal="center" vertical="center" wrapText="1"/>
      <protection locked="0"/>
    </xf>
    <xf numFmtId="0" fontId="0" fillId="6" borderId="106" xfId="0" applyFont="1" applyFill="1" applyBorder="1" applyAlignment="1" applyProtection="1">
      <alignment horizontal="left" vertical="center"/>
    </xf>
    <xf numFmtId="0" fontId="39" fillId="6" borderId="109" xfId="0" applyFont="1" applyBorder="1">
      <alignment vertical="center"/>
    </xf>
    <xf numFmtId="0" fontId="49" fillId="46" borderId="107" xfId="0" applyFont="1" applyFill="1" applyBorder="1">
      <alignment vertical="center"/>
    </xf>
    <xf numFmtId="0" fontId="49" fillId="46" borderId="109" xfId="0" applyFont="1" applyFill="1" applyBorder="1">
      <alignment vertical="center"/>
    </xf>
    <xf numFmtId="0" fontId="49" fillId="46" borderId="105" xfId="0" applyFont="1" applyFill="1" applyBorder="1">
      <alignment vertical="center"/>
    </xf>
    <xf numFmtId="0" fontId="46" fillId="6" borderId="0" xfId="0" applyFont="1" applyFill="1" applyBorder="1" applyAlignment="1">
      <alignment horizontal="center" vertical="center"/>
    </xf>
    <xf numFmtId="0" fontId="55" fillId="6" borderId="0" xfId="0" applyFont="1" applyFill="1" applyBorder="1">
      <alignment vertical="center"/>
    </xf>
    <xf numFmtId="0" fontId="49" fillId="6" borderId="0" xfId="0" applyFont="1" applyFill="1" applyBorder="1">
      <alignment vertical="center"/>
    </xf>
    <xf numFmtId="0" fontId="46" fillId="6" borderId="0" xfId="0" applyFont="1" applyFill="1" applyBorder="1">
      <alignment vertical="center"/>
    </xf>
    <xf numFmtId="0" fontId="39" fillId="6" borderId="0" xfId="0" applyFont="1" applyFill="1" applyBorder="1" applyAlignment="1">
      <alignment horizontal="left" indent="1"/>
    </xf>
    <xf numFmtId="0" fontId="49" fillId="46" borderId="101" xfId="0" applyFont="1" applyFill="1" applyBorder="1">
      <alignment vertical="center"/>
    </xf>
    <xf numFmtId="0" fontId="0" fillId="6" borderId="96" xfId="0" applyBorder="1">
      <alignment vertical="center"/>
    </xf>
    <xf numFmtId="0" fontId="24" fillId="13" borderId="101" xfId="3" applyFont="1" applyBorder="1">
      <alignment horizontal="center" vertical="center"/>
    </xf>
    <xf numFmtId="0" fontId="39" fillId="6" borderId="106" xfId="0" applyFont="1" applyFill="1" applyBorder="1" applyAlignment="1"/>
    <xf numFmtId="173" fontId="24" fillId="6" borderId="101" xfId="35" applyFont="1" applyBorder="1">
      <alignment horizontal="center" vertical="center" wrapText="1"/>
    </xf>
    <xf numFmtId="0" fontId="32" fillId="6" borderId="112" xfId="0" applyFont="1" applyFill="1" applyBorder="1" applyAlignment="1" applyProtection="1">
      <alignment vertical="center"/>
    </xf>
    <xf numFmtId="0" fontId="24" fillId="6" borderId="76"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91" xfId="0" applyFont="1" applyFill="1" applyBorder="1" applyAlignment="1">
      <alignment vertical="center"/>
    </xf>
    <xf numFmtId="0" fontId="24" fillId="13" borderId="112" xfId="3" applyFont="1" applyBorder="1">
      <alignment horizontal="center" vertical="center"/>
    </xf>
    <xf numFmtId="0" fontId="39" fillId="13" borderId="20" xfId="3" applyFont="1" applyBorder="1">
      <alignment horizontal="center" vertical="center"/>
    </xf>
    <xf numFmtId="0" fontId="0" fillId="6" borderId="43" xfId="0" applyFont="1" applyFill="1" applyBorder="1" applyAlignment="1">
      <alignment vertical="center"/>
    </xf>
    <xf numFmtId="0" fontId="0" fillId="6" borderId="119" xfId="0" applyFont="1" applyFill="1" applyBorder="1">
      <alignment vertical="center"/>
    </xf>
    <xf numFmtId="3" fontId="39" fillId="6" borderId="109" xfId="30" applyFont="1" applyBorder="1">
      <alignment horizontal="right" vertical="center"/>
    </xf>
    <xf numFmtId="0" fontId="24" fillId="43" borderId="25" xfId="9" applyFont="1" applyBorder="1">
      <alignment horizontal="left" vertical="center"/>
    </xf>
    <xf numFmtId="3" fontId="39" fillId="43" borderId="20" xfId="6" applyFont="1" applyBorder="1">
      <alignment horizontal="right" vertical="center"/>
    </xf>
    <xf numFmtId="3" fontId="39" fillId="43" borderId="32" xfId="6" applyFont="1" applyBorder="1">
      <alignment horizontal="right" vertical="center"/>
    </xf>
    <xf numFmtId="0" fontId="25" fillId="6" borderId="35" xfId="0" applyFont="1" applyFill="1" applyBorder="1" applyAlignment="1">
      <alignment horizontal="left" indent="1"/>
    </xf>
    <xf numFmtId="3" fontId="0" fillId="43" borderId="20" xfId="6" applyFont="1" applyBorder="1">
      <alignment horizontal="right" vertical="center"/>
    </xf>
    <xf numFmtId="0" fontId="46" fillId="13" borderId="101" xfId="3" applyFont="1" applyBorder="1">
      <alignment horizontal="center" vertical="center"/>
    </xf>
    <xf numFmtId="0" fontId="39" fillId="46" borderId="41" xfId="0" applyFont="1" applyFill="1" applyBorder="1">
      <alignment vertical="center"/>
    </xf>
    <xf numFmtId="0" fontId="22" fillId="6" borderId="109" xfId="0" applyFont="1" applyFill="1" applyBorder="1" applyAlignment="1" applyProtection="1">
      <alignment horizontal="center" vertical="center"/>
    </xf>
    <xf numFmtId="0" fontId="22" fillId="6" borderId="106" xfId="0" applyFont="1" applyFill="1" applyBorder="1" applyAlignment="1" applyProtection="1">
      <alignment horizontal="left" vertical="center"/>
    </xf>
    <xf numFmtId="0" fontId="24" fillId="6" borderId="70" xfId="0" applyFont="1" applyFill="1" applyBorder="1">
      <alignment vertical="center"/>
    </xf>
    <xf numFmtId="0" fontId="39" fillId="6" borderId="43" xfId="0" applyFont="1" applyFill="1" applyBorder="1" applyAlignment="1"/>
    <xf numFmtId="0" fontId="39" fillId="6" borderId="43" xfId="0" applyFont="1" applyFill="1" applyBorder="1" applyAlignment="1">
      <alignment horizontal="left" indent="1"/>
    </xf>
    <xf numFmtId="0" fontId="39" fillId="6" borderId="43" xfId="0" applyFont="1" applyFill="1" applyBorder="1" applyAlignment="1">
      <alignment horizontal="left" indent="2"/>
    </xf>
    <xf numFmtId="3" fontId="0" fillId="41" borderId="36" xfId="11" applyFont="1" applyBorder="1">
      <alignment horizontal="right" vertical="center"/>
      <protection locked="0"/>
    </xf>
    <xf numFmtId="0" fontId="20" fillId="50" borderId="75" xfId="4" applyFont="1" applyFill="1" applyBorder="1" applyAlignment="1"/>
    <xf numFmtId="0" fontId="21" fillId="50" borderId="75" xfId="4" applyFont="1" applyFill="1" applyBorder="1" applyAlignment="1"/>
    <xf numFmtId="0" fontId="22" fillId="50" borderId="75" xfId="0" applyFont="1" applyFill="1" applyBorder="1">
      <alignment vertical="center"/>
    </xf>
    <xf numFmtId="170" fontId="22" fillId="42" borderId="27" xfId="13" applyFont="1" applyBorder="1">
      <alignment vertical="center"/>
      <protection locked="0"/>
    </xf>
    <xf numFmtId="0" fontId="39" fillId="46" borderId="20" xfId="0" applyFont="1" applyFill="1" applyBorder="1" applyAlignment="1">
      <alignment horizontal="center" vertical="center"/>
    </xf>
    <xf numFmtId="0" fontId="39" fillId="46" borderId="32" xfId="0" applyFont="1" applyFill="1" applyBorder="1" applyAlignment="1">
      <alignment horizontal="center" vertical="center"/>
    </xf>
    <xf numFmtId="0" fontId="39" fillId="46" borderId="21" xfId="0" applyFont="1" applyFill="1" applyBorder="1" applyAlignment="1">
      <alignment horizontal="center" vertical="center"/>
    </xf>
    <xf numFmtId="0" fontId="39" fillId="46"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06" xfId="3" applyFont="1" applyBorder="1">
      <alignment horizontal="center" vertical="center"/>
    </xf>
    <xf numFmtId="0" fontId="0" fillId="13" borderId="43" xfId="3" applyFont="1" applyBorder="1">
      <alignment horizontal="center" vertical="center"/>
    </xf>
    <xf numFmtId="0" fontId="24" fillId="6" borderId="114" xfId="5" applyFont="1" applyBorder="1">
      <alignment horizontal="center" wrapText="1"/>
    </xf>
    <xf numFmtId="0" fontId="24" fillId="13" borderId="107" xfId="3" applyFont="1" applyBorder="1">
      <alignment horizontal="center" vertical="center"/>
    </xf>
    <xf numFmtId="0" fontId="22" fillId="13" borderId="34" xfId="3" applyFont="1" applyBorder="1">
      <alignment horizontal="center" vertical="center"/>
    </xf>
    <xf numFmtId="0" fontId="25" fillId="6" borderId="27" xfId="83" applyFont="1" applyFill="1" applyBorder="1" applyAlignment="1">
      <alignment vertical="center" wrapText="1"/>
    </xf>
    <xf numFmtId="0" fontId="25" fillId="6" borderId="32" xfId="83" applyFont="1" applyFill="1" applyBorder="1" applyAlignment="1">
      <alignment horizontal="left" vertical="center" wrapText="1" indent="2"/>
    </xf>
    <xf numFmtId="0" fontId="0" fillId="6" borderId="32"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99" xfId="0" applyFont="1" applyFill="1" applyBorder="1" applyAlignment="1">
      <alignment vertical="center"/>
    </xf>
    <xf numFmtId="0" fontId="24" fillId="6" borderId="32" xfId="0" applyFont="1" applyFill="1" applyBorder="1" applyAlignment="1">
      <alignment horizontal="left" vertical="center"/>
    </xf>
    <xf numFmtId="0" fontId="25" fillId="6" borderId="32" xfId="83" applyFont="1" applyFill="1" applyBorder="1" applyAlignment="1">
      <alignment horizontal="left" vertical="center" wrapText="1" indent="1"/>
    </xf>
    <xf numFmtId="0" fontId="22" fillId="6" borderId="107" xfId="0" applyFont="1" applyFill="1" applyBorder="1" applyAlignment="1">
      <alignment horizontal="center" vertical="center"/>
    </xf>
    <xf numFmtId="0" fontId="62" fillId="53" borderId="0" xfId="144" applyBorder="1">
      <alignment horizontal="center" vertical="center"/>
    </xf>
    <xf numFmtId="0" fontId="0" fillId="6" borderId="107" xfId="0" applyFont="1" applyBorder="1">
      <alignment vertical="center"/>
    </xf>
    <xf numFmtId="3" fontId="22" fillId="14" borderId="106" xfId="20" applyFont="1" applyBorder="1">
      <alignment horizontal="right" vertical="center"/>
      <protection locked="0"/>
    </xf>
    <xf numFmtId="0" fontId="29" fillId="6" borderId="116" xfId="116" applyFill="1" applyBorder="1" applyAlignment="1">
      <alignment vertical="center"/>
    </xf>
    <xf numFmtId="0" fontId="0" fillId="6" borderId="119" xfId="0" applyFill="1" applyBorder="1" applyAlignment="1">
      <alignment vertical="center"/>
    </xf>
    <xf numFmtId="0" fontId="0" fillId="6" borderId="119" xfId="0" applyFill="1" applyBorder="1">
      <alignment vertical="center"/>
    </xf>
    <xf numFmtId="0" fontId="22" fillId="6" borderId="104" xfId="0" applyFont="1" applyFill="1" applyBorder="1" applyAlignment="1">
      <alignment vertical="center"/>
    </xf>
    <xf numFmtId="0" fontId="22" fillId="13" borderId="107" xfId="3" applyFont="1" applyBorder="1" applyAlignment="1" applyProtection="1">
      <alignment vertical="center" wrapText="1"/>
    </xf>
    <xf numFmtId="3" fontId="22" fillId="6" borderId="106" xfId="30" applyFont="1" applyBorder="1">
      <alignment horizontal="right" vertical="center"/>
    </xf>
    <xf numFmtId="0" fontId="22" fillId="14" borderId="20" xfId="26" applyFont="1" applyBorder="1">
      <alignment horizontal="center" vertical="center" wrapText="1"/>
      <protection locked="0"/>
    </xf>
    <xf numFmtId="0" fontId="0" fillId="6" borderId="119" xfId="0" applyBorder="1">
      <alignment vertical="center"/>
    </xf>
    <xf numFmtId="3" fontId="0" fillId="14" borderId="107" xfId="20" applyFont="1" applyBorder="1">
      <alignment horizontal="right" vertical="center"/>
      <protection locked="0"/>
    </xf>
    <xf numFmtId="0" fontId="0" fillId="6" borderId="117" xfId="0" applyFill="1" applyBorder="1" applyAlignment="1">
      <alignment vertical="center"/>
    </xf>
    <xf numFmtId="0" fontId="0" fillId="6" borderId="117" xfId="0" applyFill="1" applyBorder="1">
      <alignment vertical="center"/>
    </xf>
    <xf numFmtId="0" fontId="24" fillId="2" borderId="106"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49" fillId="6" borderId="27" xfId="0" applyFont="1" applyFill="1" applyBorder="1" applyAlignment="1">
      <alignment horizontal="left" indent="8"/>
    </xf>
    <xf numFmtId="0" fontId="62" fillId="53" borderId="37" xfId="144" applyBorder="1">
      <alignment horizontal="center" vertical="center"/>
    </xf>
    <xf numFmtId="10" fontId="39" fillId="6" borderId="107" xfId="33" applyFont="1" applyBorder="1">
      <alignment horizontal="right" vertical="center"/>
    </xf>
    <xf numFmtId="10" fontId="39" fillId="6" borderId="109" xfId="33" applyFont="1" applyBorder="1">
      <alignment horizontal="right" vertical="center"/>
    </xf>
    <xf numFmtId="10" fontId="39" fillId="6" borderId="105" xfId="33" applyFont="1" applyBorder="1">
      <alignment horizontal="right" vertical="center"/>
    </xf>
    <xf numFmtId="10" fontId="39" fillId="6" borderId="25" xfId="33" applyFont="1" applyBorder="1">
      <alignment horizontal="right" vertical="center"/>
    </xf>
    <xf numFmtId="10" fontId="39" fillId="6" borderId="20" xfId="33" applyFont="1" applyBorder="1">
      <alignment horizontal="right" vertical="center"/>
    </xf>
    <xf numFmtId="10" fontId="39" fillId="6" borderId="32" xfId="33" applyFont="1" applyBorder="1">
      <alignment horizontal="right" vertical="center"/>
    </xf>
    <xf numFmtId="3" fontId="39" fillId="6" borderId="107" xfId="30" applyFont="1" applyBorder="1">
      <alignment horizontal="right" vertical="center"/>
    </xf>
    <xf numFmtId="3" fontId="39" fillId="6" borderId="25" xfId="30" applyFont="1" applyBorder="1">
      <alignment horizontal="right" vertical="center"/>
    </xf>
    <xf numFmtId="0" fontId="39" fillId="13" borderId="26" xfId="3" applyFont="1" applyBorder="1">
      <alignment horizontal="center" vertical="center"/>
    </xf>
    <xf numFmtId="0" fontId="49" fillId="13" borderId="107" xfId="3" applyFont="1" applyBorder="1">
      <alignment horizontal="center" vertical="center"/>
    </xf>
    <xf numFmtId="0" fontId="49" fillId="13" borderId="25" xfId="3" applyFont="1" applyBorder="1">
      <alignment horizontal="center" vertical="center"/>
    </xf>
    <xf numFmtId="0" fontId="39" fillId="13" borderId="25" xfId="3" applyFont="1" applyBorder="1">
      <alignment horizontal="center" vertical="center"/>
    </xf>
    <xf numFmtId="3" fontId="39" fillId="6" borderId="105" xfId="30" applyFont="1" applyBorder="1">
      <alignment horizontal="right" vertical="center"/>
    </xf>
    <xf numFmtId="3" fontId="39" fillId="6" borderId="37" xfId="30" applyFont="1" applyBorder="1">
      <alignment horizontal="right" vertical="center"/>
    </xf>
    <xf numFmtId="3" fontId="39" fillId="6" borderId="36" xfId="30" applyFont="1" applyBorder="1">
      <alignment horizontal="right" vertical="center"/>
    </xf>
    <xf numFmtId="0" fontId="39" fillId="6" borderId="38" xfId="0" applyFont="1" applyBorder="1">
      <alignment vertical="center"/>
    </xf>
    <xf numFmtId="3" fontId="39" fillId="6" borderId="22" xfId="30" applyFont="1" applyBorder="1">
      <alignment horizontal="right" vertical="center"/>
    </xf>
    <xf numFmtId="3" fontId="39" fillId="6" borderId="38" xfId="30" applyFont="1" applyBorder="1">
      <alignment horizontal="right" vertical="center"/>
    </xf>
    <xf numFmtId="3" fontId="39"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39" fillId="6" borderId="35" xfId="0" applyFont="1" applyFill="1" applyBorder="1" applyAlignment="1"/>
    <xf numFmtId="0" fontId="49" fillId="13" borderId="37" xfId="3" applyFont="1" applyBorder="1">
      <alignment horizontal="center" vertical="center"/>
    </xf>
    <xf numFmtId="3" fontId="39" fillId="43" borderId="31" xfId="6" applyFont="1" applyBorder="1">
      <alignment horizontal="right" vertical="center"/>
    </xf>
    <xf numFmtId="3" fontId="39" fillId="43" borderId="31" xfId="9" applyNumberFormat="1" applyFont="1" applyBorder="1">
      <alignment horizontal="left" vertical="center"/>
    </xf>
    <xf numFmtId="3" fontId="39" fillId="43" borderId="26" xfId="6" applyFont="1" applyBorder="1">
      <alignment horizontal="right" vertical="center"/>
    </xf>
    <xf numFmtId="0" fontId="24" fillId="43" borderId="28" xfId="9" applyFont="1" applyBorder="1">
      <alignment horizontal="left" vertical="center"/>
    </xf>
    <xf numFmtId="3" fontId="39" fillId="43" borderId="25" xfId="6" applyFont="1" applyBorder="1">
      <alignment horizontal="right" vertical="center"/>
    </xf>
    <xf numFmtId="10" fontId="39" fillId="43" borderId="25" xfId="7" applyFont="1" applyBorder="1">
      <alignment horizontal="right" vertical="center"/>
    </xf>
    <xf numFmtId="10" fontId="39" fillId="43" borderId="20" xfId="7" applyFont="1" applyBorder="1">
      <alignment horizontal="right" vertical="center"/>
    </xf>
    <xf numFmtId="10" fontId="39" fillId="43" borderId="32" xfId="7" applyFont="1" applyBorder="1">
      <alignment horizontal="right" vertical="center"/>
    </xf>
    <xf numFmtId="0" fontId="49" fillId="46" borderId="36" xfId="0" applyFont="1" applyFill="1" applyBorder="1">
      <alignment vertical="center"/>
    </xf>
    <xf numFmtId="0" fontId="49" fillId="46" borderId="38" xfId="0" applyFont="1" applyFill="1" applyBorder="1">
      <alignment vertical="center"/>
    </xf>
    <xf numFmtId="10" fontId="39" fillId="43" borderId="26" xfId="7" applyFont="1" applyBorder="1">
      <alignment horizontal="right" vertical="center"/>
    </xf>
    <xf numFmtId="10" fontId="39" fillId="43" borderId="31" xfId="7" applyFont="1" applyBorder="1">
      <alignment horizontal="right" vertical="center"/>
    </xf>
    <xf numFmtId="0" fontId="49" fillId="46" borderId="37" xfId="0" applyFont="1" applyFill="1" applyBorder="1">
      <alignment vertical="center"/>
    </xf>
    <xf numFmtId="10" fontId="39" fillId="43" borderId="21" xfId="7" applyFont="1" applyBorder="1">
      <alignment horizontal="right" vertical="center"/>
    </xf>
    <xf numFmtId="0" fontId="22" fillId="43" borderId="28" xfId="9" applyFont="1" applyBorder="1" applyProtection="1">
      <alignment horizontal="left" vertical="center"/>
    </xf>
    <xf numFmtId="3" fontId="28" fillId="41" borderId="38" xfId="11" applyFont="1" applyBorder="1" applyProtection="1">
      <alignment horizontal="right" vertical="center"/>
      <protection locked="0"/>
    </xf>
    <xf numFmtId="0" fontId="22" fillId="6" borderId="35" xfId="0" applyFont="1" applyFill="1" applyBorder="1" applyAlignment="1">
      <alignment vertical="center"/>
    </xf>
    <xf numFmtId="3" fontId="39" fillId="41" borderId="35" xfId="11" applyFont="1" applyBorder="1">
      <alignment horizontal="right" vertical="center"/>
      <protection locked="0"/>
    </xf>
    <xf numFmtId="0" fontId="37" fillId="43" borderId="21" xfId="9" applyFont="1" applyBorder="1">
      <alignment horizontal="left" vertical="center"/>
    </xf>
    <xf numFmtId="0" fontId="22" fillId="6" borderId="38"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2" xfId="9" applyFont="1" applyBorder="1" applyProtection="1">
      <alignment horizontal="left" vertical="center"/>
    </xf>
    <xf numFmtId="0" fontId="0" fillId="43" borderId="32" xfId="9" applyFont="1" applyBorder="1" applyProtection="1">
      <alignment horizontal="left" vertical="center"/>
    </xf>
    <xf numFmtId="0" fontId="24" fillId="2" borderId="108" xfId="0" applyFont="1" applyFill="1" applyBorder="1" applyAlignment="1">
      <alignment horizontal="center" wrapText="1"/>
    </xf>
    <xf numFmtId="0" fontId="24" fillId="2" borderId="108" xfId="0" applyFont="1" applyFill="1" applyBorder="1" applyAlignment="1" applyProtection="1">
      <alignment horizontal="center" wrapText="1"/>
    </xf>
    <xf numFmtId="0" fontId="22" fillId="2" borderId="38" xfId="0" applyFont="1" applyFill="1" applyBorder="1" applyAlignment="1" applyProtection="1">
      <alignment vertical="center" wrapText="1"/>
    </xf>
    <xf numFmtId="0" fontId="39" fillId="6" borderId="35" xfId="0" applyFont="1" applyBorder="1" applyAlignment="1">
      <alignment horizontal="left"/>
    </xf>
    <xf numFmtId="3" fontId="0" fillId="6" borderId="36" xfId="30" applyFont="1" applyBorder="1">
      <alignment horizontal="right" vertical="center"/>
    </xf>
    <xf numFmtId="0" fontId="62" fillId="53" borderId="0" xfId="144" applyFont="1" applyBorder="1">
      <alignment horizontal="center" vertical="center"/>
    </xf>
    <xf numFmtId="0" fontId="62" fillId="53" borderId="42" xfId="144" applyFont="1" applyBorder="1">
      <alignment horizontal="center" vertical="center"/>
    </xf>
    <xf numFmtId="0" fontId="62" fillId="53" borderId="38" xfId="144" applyFont="1" applyBorder="1">
      <alignment horizontal="center" vertical="center"/>
    </xf>
    <xf numFmtId="0" fontId="62" fillId="13" borderId="36" xfId="3" applyFont="1" applyBorder="1">
      <alignment horizontal="center" vertical="center"/>
    </xf>
    <xf numFmtId="0" fontId="0" fillId="43" borderId="28" xfId="9" applyFont="1" applyBorder="1">
      <alignment horizontal="left" vertical="center"/>
    </xf>
    <xf numFmtId="0" fontId="0" fillId="6" borderId="106" xfId="0" applyBorder="1">
      <alignment vertical="center"/>
    </xf>
    <xf numFmtId="0" fontId="0" fillId="6" borderId="27" xfId="0" applyBorder="1" applyAlignment="1">
      <alignment horizontal="left" vertical="center" indent="1"/>
    </xf>
    <xf numFmtId="3" fontId="0" fillId="6" borderId="106" xfId="30" applyFont="1" applyBorder="1">
      <alignment horizontal="right" vertical="center"/>
    </xf>
    <xf numFmtId="0" fontId="0" fillId="6" borderId="28" xfId="0" applyBorder="1" applyAlignment="1">
      <alignment horizontal="left" vertical="center" indent="1"/>
    </xf>
    <xf numFmtId="3" fontId="22" fillId="6" borderId="109" xfId="30" applyFont="1" applyBorder="1">
      <alignment horizontal="right" vertical="center"/>
    </xf>
    <xf numFmtId="0" fontId="23" fillId="6" borderId="116" xfId="0" applyFont="1" applyFill="1" applyBorder="1" applyAlignment="1" applyProtection="1">
      <alignment horizontal="left" vertical="center"/>
    </xf>
    <xf numFmtId="0" fontId="20" fillId="6" borderId="118" xfId="0" applyFont="1" applyFill="1" applyBorder="1" applyAlignment="1" applyProtection="1"/>
    <xf numFmtId="0" fontId="39" fillId="46" borderId="37" xfId="0" applyFont="1" applyFill="1" applyBorder="1">
      <alignment vertical="center"/>
    </xf>
    <xf numFmtId="0" fontId="39" fillId="46" borderId="38" xfId="0" applyFont="1" applyFill="1" applyBorder="1">
      <alignment vertical="center"/>
    </xf>
    <xf numFmtId="0" fontId="39" fillId="46" borderId="43" xfId="0" applyFont="1" applyFill="1" applyBorder="1">
      <alignment vertical="center"/>
    </xf>
    <xf numFmtId="3" fontId="22" fillId="13" borderId="105" xfId="3" applyNumberFormat="1" applyFont="1" applyBorder="1">
      <alignment horizontal="center" vertical="center"/>
    </xf>
    <xf numFmtId="0" fontId="24" fillId="6" borderId="106" xfId="0" applyFont="1" applyBorder="1">
      <alignment vertical="center"/>
    </xf>
    <xf numFmtId="3" fontId="39" fillId="43" borderId="28" xfId="6" applyFont="1" applyBorder="1">
      <alignment horizontal="right" vertical="center"/>
    </xf>
    <xf numFmtId="0" fontId="46" fillId="50" borderId="108" xfId="0" applyFont="1" applyFill="1" applyBorder="1" applyAlignment="1">
      <alignment horizontal="center" vertical="center" wrapText="1"/>
    </xf>
    <xf numFmtId="3" fontId="22" fillId="43" borderId="104" xfId="6" applyFont="1" applyBorder="1">
      <alignment horizontal="right" vertical="center"/>
    </xf>
    <xf numFmtId="0" fontId="39" fillId="6" borderId="121" xfId="0" applyFont="1" applyFill="1" applyBorder="1" applyAlignment="1">
      <alignment horizontal="left"/>
    </xf>
    <xf numFmtId="0" fontId="24" fillId="51" borderId="99" xfId="0" applyFont="1" applyFill="1" applyBorder="1" applyAlignment="1" applyProtection="1">
      <alignment horizontal="center" vertical="center" wrapText="1"/>
    </xf>
    <xf numFmtId="0" fontId="22" fillId="41" borderId="32" xfId="18" applyFont="1" applyBorder="1" applyAlignment="1" applyProtection="1">
      <alignment horizontal="center" vertical="center" wrapText="1"/>
      <protection locked="0"/>
    </xf>
    <xf numFmtId="0" fontId="0" fillId="6" borderId="71" xfId="0" applyFont="1" applyFill="1" applyBorder="1">
      <alignment vertical="center"/>
    </xf>
    <xf numFmtId="0" fontId="29" fillId="6" borderId="116" xfId="116" applyFont="1" applyFill="1" applyBorder="1" applyAlignment="1" applyProtection="1">
      <alignment horizontal="left" vertical="center"/>
    </xf>
    <xf numFmtId="0" fontId="0" fillId="6" borderId="96" xfId="0" applyFont="1" applyFill="1" applyBorder="1" applyAlignment="1"/>
    <xf numFmtId="0" fontId="0" fillId="6" borderId="104" xfId="0" applyFont="1" applyFill="1" applyBorder="1" applyAlignment="1">
      <alignment vertical="center"/>
    </xf>
    <xf numFmtId="0" fontId="25" fillId="13" borderId="105" xfId="3" applyFont="1" applyBorder="1" applyAlignment="1">
      <alignment horizontal="center" vertical="center"/>
    </xf>
    <xf numFmtId="0" fontId="0" fillId="6" borderId="106" xfId="0" applyFont="1" applyFill="1" applyBorder="1" applyAlignment="1" applyProtection="1">
      <alignment horizontal="center" vertical="center"/>
    </xf>
    <xf numFmtId="3" fontId="22" fillId="6" borderId="106" xfId="30" applyFont="1" applyBorder="1" applyAlignment="1">
      <alignment horizontal="center" vertical="center"/>
    </xf>
    <xf numFmtId="3" fontId="0" fillId="41" borderId="109" xfId="11" applyFont="1" applyBorder="1" applyAlignment="1" applyProtection="1">
      <alignment horizontal="right" vertical="center"/>
      <protection locked="0"/>
    </xf>
    <xf numFmtId="0" fontId="0" fillId="6" borderId="104" xfId="0" applyFont="1" applyFill="1" applyBorder="1">
      <alignment vertical="center"/>
    </xf>
    <xf numFmtId="0" fontId="0" fillId="6" borderId="106" xfId="0" applyFont="1" applyFill="1" applyBorder="1" applyProtection="1">
      <alignment vertical="center"/>
    </xf>
    <xf numFmtId="0" fontId="24" fillId="6" borderId="104" xfId="0" applyFont="1" applyFill="1" applyBorder="1" applyAlignment="1" applyProtection="1">
      <alignment vertical="center"/>
    </xf>
    <xf numFmtId="0" fontId="24" fillId="6" borderId="106" xfId="0" applyFont="1" applyFill="1" applyBorder="1">
      <alignment vertical="center"/>
    </xf>
    <xf numFmtId="0" fontId="25" fillId="13" borderId="109" xfId="3" applyFont="1" applyBorder="1" applyAlignment="1">
      <alignment horizontal="center" vertical="center"/>
    </xf>
    <xf numFmtId="0" fontId="24" fillId="6" borderId="104" xfId="5" applyFont="1" applyFill="1" applyBorder="1" applyAlignment="1">
      <alignment horizontal="center" wrapText="1"/>
    </xf>
    <xf numFmtId="3" fontId="22" fillId="6" borderId="107" xfId="30" applyFont="1" applyFill="1" applyBorder="1" applyAlignment="1">
      <alignment horizontal="center" vertical="center"/>
    </xf>
    <xf numFmtId="0" fontId="24" fillId="6" borderId="104" xfId="0" applyFont="1" applyBorder="1">
      <alignment vertical="center"/>
    </xf>
    <xf numFmtId="0" fontId="47" fillId="6" borderId="71" xfId="0" applyFont="1" applyFill="1" applyBorder="1" applyAlignment="1">
      <alignment horizontal="center" vertical="center"/>
    </xf>
    <xf numFmtId="0" fontId="0" fillId="6" borderId="117" xfId="0" applyFont="1" applyFill="1" applyBorder="1" applyAlignment="1"/>
    <xf numFmtId="0" fontId="0" fillId="41" borderId="27" xfId="18" applyFont="1" applyBorder="1" applyAlignment="1" applyProtection="1">
      <alignment horizontal="center" vertical="center" wrapText="1"/>
      <protection locked="0"/>
    </xf>
    <xf numFmtId="0" fontId="25" fillId="13" borderId="38" xfId="3" applyFont="1" applyBorder="1" applyAlignment="1">
      <alignment horizontal="center" vertical="center"/>
    </xf>
    <xf numFmtId="0" fontId="25" fillId="13" borderId="0" xfId="3" applyFont="1" applyBorder="1" applyAlignment="1">
      <alignment horizontal="center" vertical="center"/>
    </xf>
    <xf numFmtId="0" fontId="41" fillId="6" borderId="70" xfId="0" applyFont="1" applyFill="1" applyBorder="1">
      <alignment vertical="center"/>
    </xf>
    <xf numFmtId="3" fontId="39" fillId="14" borderId="32" xfId="20" applyFont="1" applyBorder="1">
      <alignment horizontal="right" vertical="center"/>
      <protection locked="0"/>
    </xf>
    <xf numFmtId="3" fontId="39" fillId="14" borderId="20" xfId="20" applyFont="1" applyBorder="1">
      <alignment horizontal="right" vertical="center"/>
      <protection locked="0"/>
    </xf>
    <xf numFmtId="0" fontId="20" fillId="50" borderId="92" xfId="29" applyFont="1" applyFill="1" applyBorder="1" applyAlignment="1">
      <alignment horizontal="left" vertical="center"/>
    </xf>
    <xf numFmtId="0" fontId="62" fillId="53" borderId="99" xfId="144" applyBorder="1">
      <alignment horizontal="center" vertical="center"/>
    </xf>
    <xf numFmtId="0" fontId="0" fillId="6" borderId="20" xfId="0" applyFont="1" applyBorder="1">
      <alignment vertical="center"/>
    </xf>
    <xf numFmtId="0" fontId="36" fillId="6" borderId="103" xfId="0" applyFont="1" applyFill="1" applyBorder="1" applyAlignment="1" applyProtection="1"/>
    <xf numFmtId="0" fontId="0" fillId="6" borderId="113" xfId="0" applyFont="1" applyFill="1" applyBorder="1">
      <alignment vertical="center"/>
    </xf>
    <xf numFmtId="0" fontId="0" fillId="6" borderId="2" xfId="0" applyFill="1" applyBorder="1">
      <alignment vertical="center"/>
    </xf>
    <xf numFmtId="0" fontId="22" fillId="13" borderId="91" xfId="3" applyFont="1" applyBorder="1">
      <alignment horizontal="center" vertical="center"/>
    </xf>
    <xf numFmtId="0" fontId="25" fillId="6" borderId="31" xfId="83" applyFont="1" applyFill="1" applyBorder="1" applyAlignment="1">
      <alignment horizontal="left" vertical="center" wrapText="1" indent="2"/>
    </xf>
    <xf numFmtId="0" fontId="22" fillId="6" borderId="32"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3" xfId="0" applyFont="1" applyFill="1" applyBorder="1" applyAlignment="1">
      <alignment vertical="center"/>
    </xf>
    <xf numFmtId="0" fontId="22" fillId="2" borderId="31" xfId="0" applyFont="1" applyFill="1" applyBorder="1" applyAlignment="1">
      <alignment horizontal="left" vertical="center" indent="1"/>
    </xf>
    <xf numFmtId="0" fontId="22" fillId="2" borderId="32" xfId="0" applyFont="1" applyFill="1" applyBorder="1" applyAlignment="1">
      <alignment horizontal="left" vertical="center" indent="1"/>
    </xf>
    <xf numFmtId="0" fontId="0" fillId="15" borderId="31" xfId="56" applyNumberFormat="1" applyFont="1" applyBorder="1" applyAlignment="1">
      <alignment horizontal="center" vertical="center"/>
    </xf>
    <xf numFmtId="0" fontId="39" fillId="6" borderId="32" xfId="0" applyFont="1" applyBorder="1">
      <alignment vertical="center"/>
    </xf>
    <xf numFmtId="3" fontId="0" fillId="6" borderId="27" xfId="30" applyFont="1" applyBorder="1">
      <alignment horizontal="right" vertical="center"/>
    </xf>
    <xf numFmtId="0" fontId="29" fillId="6" borderId="116" xfId="0" applyFont="1" applyFill="1" applyBorder="1" applyAlignment="1" applyProtection="1">
      <alignment horizontal="left" vertical="center"/>
    </xf>
    <xf numFmtId="3" fontId="49" fillId="41" borderId="20" xfId="11" applyFont="1" applyBorder="1">
      <alignment horizontal="right" vertical="center"/>
      <protection locked="0"/>
    </xf>
    <xf numFmtId="9" fontId="39" fillId="43" borderId="20" xfId="8" applyFont="1" applyBorder="1">
      <alignment horizontal="right" vertical="center"/>
    </xf>
    <xf numFmtId="0" fontId="0" fillId="6" borderId="112" xfId="0" applyFont="1" applyBorder="1">
      <alignment vertical="center"/>
    </xf>
    <xf numFmtId="0" fontId="0" fillId="6" borderId="117" xfId="0" applyFont="1" applyBorder="1">
      <alignment vertical="center"/>
    </xf>
    <xf numFmtId="0" fontId="0" fillId="6" borderId="100" xfId="0" applyFont="1" applyBorder="1">
      <alignment vertical="center"/>
    </xf>
    <xf numFmtId="49" fontId="0" fillId="41" borderId="27" xfId="19" applyFont="1" applyBorder="1" applyAlignment="1" applyProtection="1">
      <alignment horizontal="center" vertical="center"/>
      <protection locked="0"/>
    </xf>
    <xf numFmtId="0" fontId="0" fillId="6" borderId="70" xfId="0" applyFont="1" applyFill="1" applyBorder="1" applyAlignment="1" applyProtection="1">
      <alignment horizontal="left" vertical="center"/>
    </xf>
    <xf numFmtId="0" fontId="0" fillId="13" borderId="45" xfId="3" applyFont="1" applyBorder="1">
      <alignment horizontal="center" vertical="center"/>
    </xf>
    <xf numFmtId="3" fontId="22" fillId="13" borderId="28" xfId="3" applyNumberFormat="1"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0" xfId="0" applyFont="1" applyFill="1" applyBorder="1" applyAlignment="1" applyProtection="1">
      <alignment vertical="center"/>
    </xf>
    <xf numFmtId="0" fontId="39" fillId="6" borderId="0" xfId="0" applyFont="1" applyFill="1" applyBorder="1">
      <alignment vertical="center"/>
    </xf>
    <xf numFmtId="3" fontId="39" fillId="6" borderId="26" xfId="30" applyFont="1" applyBorder="1">
      <alignment horizontal="right" vertical="center"/>
    </xf>
    <xf numFmtId="3" fontId="22" fillId="6" borderId="105" xfId="30" applyFont="1" applyBorder="1">
      <alignment horizontal="right" vertical="center"/>
    </xf>
    <xf numFmtId="3" fontId="22" fillId="14" borderId="109" xfId="20" applyFont="1" applyBorder="1">
      <alignment horizontal="right" vertical="center"/>
      <protection locked="0"/>
    </xf>
    <xf numFmtId="0" fontId="0" fillId="6" borderId="32" xfId="0" applyFont="1" applyFill="1" applyBorder="1" applyAlignment="1" applyProtection="1">
      <alignment horizontal="left" vertical="center" wrapText="1"/>
    </xf>
    <xf numFmtId="0" fontId="0" fillId="6" borderId="124" xfId="0" applyFont="1" applyFill="1" applyBorder="1">
      <alignment vertical="center"/>
    </xf>
    <xf numFmtId="3" fontId="39" fillId="6" borderId="41" xfId="30" applyFont="1" applyBorder="1">
      <alignment horizontal="right" vertical="center"/>
    </xf>
    <xf numFmtId="3" fontId="39" fillId="6" borderId="115" xfId="30" applyFont="1" applyBorder="1">
      <alignment horizontal="right" vertical="center"/>
    </xf>
    <xf numFmtId="3" fontId="0" fillId="43" borderId="36" xfId="6" applyFont="1" applyBorder="1">
      <alignment horizontal="right" vertical="center"/>
    </xf>
    <xf numFmtId="0" fontId="39" fillId="46" borderId="41" xfId="0" applyFont="1" applyFill="1" applyBorder="1" applyAlignment="1">
      <alignment horizontal="center" vertical="center"/>
    </xf>
    <xf numFmtId="3" fontId="39" fillId="6" borderId="21" xfId="30" applyFont="1" applyBorder="1">
      <alignment horizontal="right" vertical="center"/>
    </xf>
    <xf numFmtId="0" fontId="39" fillId="46" borderId="27" xfId="0" applyFont="1" applyFill="1" applyBorder="1">
      <alignment vertical="center"/>
    </xf>
    <xf numFmtId="0" fontId="62" fillId="53" borderId="98" xfId="144" applyBorder="1">
      <alignment horizontal="center" vertical="center"/>
    </xf>
    <xf numFmtId="3" fontId="41" fillId="47" borderId="22" xfId="20" applyFont="1" applyFill="1" applyBorder="1">
      <alignment horizontal="right" vertical="center"/>
      <protection locked="0"/>
    </xf>
    <xf numFmtId="0" fontId="39" fillId="46" borderId="28" xfId="0" applyFont="1" applyFill="1" applyBorder="1">
      <alignment vertical="center"/>
    </xf>
    <xf numFmtId="3" fontId="41" fillId="47" borderId="33" xfId="20" applyFont="1" applyFill="1" applyBorder="1">
      <alignment horizontal="right" vertical="center"/>
      <protection locked="0"/>
    </xf>
    <xf numFmtId="3" fontId="41" fillId="47" borderId="34" xfId="20" applyFont="1" applyFill="1" applyBorder="1">
      <alignment horizontal="right" vertical="center"/>
      <protection locked="0"/>
    </xf>
    <xf numFmtId="3" fontId="22" fillId="6" borderId="107" xfId="30" applyFont="1" applyBorder="1">
      <alignment horizontal="right" vertical="center"/>
    </xf>
    <xf numFmtId="0" fontId="29" fillId="6" borderId="116" xfId="116" applyFill="1" applyBorder="1" applyAlignment="1" applyProtection="1"/>
    <xf numFmtId="0" fontId="22" fillId="6" borderId="117" xfId="0" applyFont="1" applyFill="1" applyBorder="1" applyAlignment="1" applyProtection="1">
      <alignment vertical="center"/>
    </xf>
    <xf numFmtId="0" fontId="22" fillId="6" borderId="124" xfId="0" applyFont="1" applyFill="1" applyBorder="1" applyProtection="1">
      <alignment vertical="center"/>
    </xf>
    <xf numFmtId="0" fontId="22" fillId="13" borderId="48" xfId="3" applyFont="1" applyBorder="1" applyProtection="1">
      <alignment horizontal="center" vertical="center"/>
    </xf>
    <xf numFmtId="2" fontId="22" fillId="6" borderId="126" xfId="32" applyNumberFormat="1" applyFont="1" applyBorder="1">
      <alignment horizontal="right" vertical="center"/>
    </xf>
    <xf numFmtId="2" fontId="22" fillId="2" borderId="50" xfId="0" applyNumberFormat="1" applyFont="1" applyFill="1" applyBorder="1" applyProtection="1">
      <alignment vertical="center"/>
    </xf>
    <xf numFmtId="0" fontId="22" fillId="13" borderId="49" xfId="3" applyFont="1" applyBorder="1" applyProtection="1">
      <alignment horizontal="center" vertical="center"/>
    </xf>
    <xf numFmtId="0" fontId="20" fillId="6" borderId="116" xfId="4" applyFont="1" applyFill="1" applyBorder="1" applyAlignment="1" applyProtection="1"/>
    <xf numFmtId="0" fontId="22" fillId="6" borderId="113" xfId="0" applyFont="1" applyFill="1" applyBorder="1" applyProtection="1">
      <alignment vertical="center"/>
    </xf>
    <xf numFmtId="0" fontId="29" fillId="6" borderId="70" xfId="116" applyFill="1" applyBorder="1" applyAlignment="1" applyProtection="1">
      <alignment horizontal="left"/>
    </xf>
    <xf numFmtId="0" fontId="39" fillId="6" borderId="0" xfId="0" applyFont="1" applyFill="1" applyBorder="1" applyAlignment="1">
      <alignment horizontal="left" indent="2"/>
    </xf>
    <xf numFmtId="3" fontId="0" fillId="41" borderId="38" xfId="11" applyFont="1" applyBorder="1">
      <alignment horizontal="right" vertical="center"/>
      <protection locked="0"/>
    </xf>
    <xf numFmtId="0" fontId="22" fillId="6" borderId="72" xfId="0" applyFont="1" applyFill="1" applyBorder="1">
      <alignment vertical="center"/>
    </xf>
    <xf numFmtId="0" fontId="24" fillId="6" borderId="129" xfId="0" applyFont="1" applyFill="1" applyBorder="1">
      <alignment vertical="center"/>
    </xf>
    <xf numFmtId="0" fontId="25" fillId="6" borderId="128" xfId="0" applyFont="1" applyFill="1" applyBorder="1" applyAlignment="1" applyProtection="1">
      <alignment vertical="center"/>
    </xf>
    <xf numFmtId="0" fontId="0" fillId="6" borderId="128" xfId="0" applyFont="1" applyFill="1" applyBorder="1" applyAlignment="1">
      <alignment vertical="center"/>
    </xf>
    <xf numFmtId="0" fontId="37" fillId="6" borderId="129" xfId="0" applyFont="1" applyBorder="1" applyAlignment="1"/>
    <xf numFmtId="0" fontId="29" fillId="6" borderId="128" xfId="0" applyFont="1" applyFill="1" applyBorder="1" applyAlignment="1" applyProtection="1">
      <alignment horizontal="left" vertical="center"/>
    </xf>
    <xf numFmtId="0" fontId="39" fillId="6" borderId="129" xfId="0" applyFont="1" applyFill="1" applyBorder="1" applyAlignment="1" applyProtection="1">
      <alignment horizontal="left" vertical="center"/>
    </xf>
    <xf numFmtId="3" fontId="39" fillId="41" borderId="129" xfId="11" applyFont="1" applyBorder="1">
      <alignment horizontal="right" vertical="center"/>
      <protection locked="0"/>
    </xf>
    <xf numFmtId="0" fontId="46" fillId="48" borderId="133" xfId="0" applyFont="1" applyFill="1" applyBorder="1" applyAlignment="1">
      <alignment horizontal="center" vertical="center" wrapText="1"/>
    </xf>
    <xf numFmtId="0" fontId="39" fillId="43" borderId="129" xfId="9" applyFont="1" applyBorder="1">
      <alignment horizontal="left" vertical="center"/>
    </xf>
    <xf numFmtId="3" fontId="22" fillId="43" borderId="133" xfId="6" applyFont="1" applyBorder="1">
      <alignment horizontal="right" vertical="center"/>
    </xf>
    <xf numFmtId="0" fontId="0" fillId="6" borderId="124" xfId="0" applyFill="1" applyBorder="1">
      <alignment vertical="center"/>
    </xf>
    <xf numFmtId="0" fontId="22" fillId="13" borderId="32" xfId="0" applyFont="1" applyFill="1" applyBorder="1" applyAlignment="1">
      <alignment vertical="center"/>
    </xf>
    <xf numFmtId="0" fontId="24" fillId="6" borderId="133"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29" xfId="0" applyFont="1" applyFill="1" applyBorder="1">
      <alignment vertical="center"/>
    </xf>
    <xf numFmtId="0" fontId="0" fillId="6" borderId="128"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09" xfId="0" applyFont="1" applyFill="1" applyBorder="1" applyAlignment="1">
      <alignment horizontal="left" vertical="center" wrapText="1"/>
    </xf>
    <xf numFmtId="0" fontId="0" fillId="6" borderId="21" xfId="0" applyFont="1" applyFill="1" applyBorder="1" applyAlignment="1">
      <alignment horizontal="left" vertical="center" wrapText="1"/>
    </xf>
    <xf numFmtId="0" fontId="0" fillId="6" borderId="128" xfId="0" applyFont="1" applyFill="1" applyBorder="1" applyAlignment="1" applyProtection="1">
      <alignment horizontal="left" vertical="center"/>
    </xf>
    <xf numFmtId="0" fontId="0" fillId="6" borderId="129" xfId="0" applyFont="1" applyFill="1" applyBorder="1" applyAlignment="1" applyProtection="1">
      <alignment horizontal="left" vertical="center"/>
    </xf>
    <xf numFmtId="0" fontId="22" fillId="41" borderId="133" xfId="18" applyFont="1" applyBorder="1">
      <alignment horizontal="center" vertical="center" wrapText="1"/>
      <protection locked="0"/>
    </xf>
    <xf numFmtId="0" fontId="24" fillId="6" borderId="104"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102"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98" xfId="0" applyFont="1" applyBorder="1" applyAlignment="1">
      <alignment horizontal="center" vertical="center" wrapText="1"/>
    </xf>
    <xf numFmtId="0" fontId="24" fillId="6" borderId="73" xfId="0" applyFont="1" applyBorder="1" applyAlignment="1">
      <alignment horizontal="center" vertical="center" wrapText="1"/>
    </xf>
    <xf numFmtId="0" fontId="24" fillId="6" borderId="133" xfId="0" applyFont="1" applyBorder="1" applyAlignment="1">
      <alignment horizontal="center" vertical="center" wrapText="1"/>
    </xf>
    <xf numFmtId="0" fontId="24" fillId="6" borderId="101" xfId="0" applyFont="1" applyBorder="1" applyAlignment="1">
      <alignment horizontal="center" wrapText="1"/>
    </xf>
    <xf numFmtId="0" fontId="24" fillId="6" borderId="102" xfId="0"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28" xfId="0" applyBorder="1">
      <alignment vertical="center"/>
    </xf>
    <xf numFmtId="0" fontId="20" fillId="6" borderId="131" xfId="0" applyFont="1" applyFill="1" applyBorder="1" applyAlignment="1" applyProtection="1"/>
    <xf numFmtId="0" fontId="20" fillId="6" borderId="129" xfId="0" applyFont="1" applyFill="1" applyBorder="1" applyAlignment="1"/>
    <xf numFmtId="0" fontId="26" fillId="0" borderId="130" xfId="0" applyFont="1" applyFill="1" applyBorder="1" applyAlignment="1">
      <alignment horizontal="center" vertical="center"/>
    </xf>
    <xf numFmtId="0" fontId="26" fillId="0" borderId="133" xfId="0" applyFont="1" applyFill="1" applyBorder="1" applyAlignment="1">
      <alignment horizontal="center" vertical="center"/>
    </xf>
    <xf numFmtId="0" fontId="24" fillId="6" borderId="130" xfId="0" applyFont="1" applyBorder="1" applyAlignment="1">
      <alignment horizontal="center" vertical="center" wrapText="1"/>
    </xf>
    <xf numFmtId="0" fontId="25" fillId="0" borderId="130" xfId="83" applyFont="1" applyFill="1" applyBorder="1" applyAlignment="1">
      <alignment horizontal="center" vertical="center" wrapText="1"/>
    </xf>
    <xf numFmtId="0" fontId="25" fillId="0" borderId="133" xfId="83" applyFont="1" applyFill="1" applyBorder="1" applyAlignment="1">
      <alignment horizontal="center" vertical="center" wrapText="1"/>
    </xf>
    <xf numFmtId="0" fontId="0" fillId="6" borderId="128" xfId="0" applyFont="1" applyFill="1" applyBorder="1">
      <alignment vertical="center"/>
    </xf>
    <xf numFmtId="0" fontId="25" fillId="6" borderId="129" xfId="0" applyFont="1" applyFill="1" applyBorder="1" applyAlignment="1">
      <alignment horizontal="left" indent="1"/>
    </xf>
    <xf numFmtId="0" fontId="24" fillId="6" borderId="104" xfId="0" applyFont="1" applyFill="1" applyBorder="1" applyAlignment="1" applyProtection="1">
      <alignment vertical="center" wrapText="1"/>
    </xf>
    <xf numFmtId="0" fontId="52" fillId="54" borderId="128" xfId="0" applyFont="1" applyFill="1" applyBorder="1">
      <alignment vertical="center"/>
    </xf>
    <xf numFmtId="0" fontId="0" fillId="54" borderId="128" xfId="0" applyFont="1" applyFill="1" applyBorder="1">
      <alignment vertical="center"/>
    </xf>
    <xf numFmtId="0" fontId="0" fillId="54" borderId="107" xfId="0" applyFont="1" applyFill="1" applyBorder="1" applyAlignment="1" applyProtection="1">
      <alignment horizontal="left" vertical="center"/>
    </xf>
    <xf numFmtId="0" fontId="0" fillId="54" borderId="109" xfId="55" applyFont="1" applyFill="1" applyBorder="1">
      <alignment horizontal="center" vertical="center" wrapText="1"/>
    </xf>
    <xf numFmtId="0" fontId="24" fillId="54" borderId="105" xfId="0" applyFont="1" applyFill="1" applyBorder="1">
      <alignment vertical="center"/>
    </xf>
    <xf numFmtId="0" fontId="0" fillId="54" borderId="20" xfId="55" applyFont="1" applyFill="1" applyBorder="1">
      <alignment horizontal="center" vertical="center" wrapText="1"/>
    </xf>
    <xf numFmtId="0" fontId="24" fillId="54" borderId="32" xfId="0" applyFont="1" applyFill="1" applyBorder="1">
      <alignment vertical="center"/>
    </xf>
    <xf numFmtId="0" fontId="0" fillId="54" borderId="21" xfId="55" applyFont="1" applyFill="1" applyBorder="1">
      <alignment horizontal="center" vertical="center" wrapText="1"/>
    </xf>
    <xf numFmtId="0" fontId="24" fillId="54" borderId="31" xfId="0" applyFont="1" applyFill="1" applyBorder="1">
      <alignment vertical="center"/>
    </xf>
    <xf numFmtId="0" fontId="24" fillId="54" borderId="106" xfId="0" applyFont="1" applyFill="1" applyBorder="1">
      <alignment vertical="center"/>
    </xf>
    <xf numFmtId="0" fontId="24" fillId="54" borderId="27" xfId="0" applyFont="1" applyFill="1" applyBorder="1">
      <alignment vertical="center"/>
    </xf>
    <xf numFmtId="0" fontId="24" fillId="54" borderId="28" xfId="0" applyFont="1" applyFill="1" applyBorder="1">
      <alignment vertical="center"/>
    </xf>
    <xf numFmtId="0" fontId="22" fillId="41" borderId="35" xfId="18" applyFont="1" applyBorder="1" applyAlignment="1" applyProtection="1">
      <alignment horizontal="center" vertical="center" wrapText="1"/>
      <protection locked="0"/>
    </xf>
    <xf numFmtId="3" fontId="53" fillId="54" borderId="20" xfId="1" applyFont="1" applyFill="1" applyBorder="1" applyAlignment="1">
      <alignment horizontal="center" vertical="center"/>
    </xf>
    <xf numFmtId="3" fontId="53" fillId="54" borderId="32" xfId="1" applyFont="1" applyFill="1" applyBorder="1" applyAlignment="1">
      <alignment horizontal="center" vertical="center"/>
    </xf>
    <xf numFmtId="3" fontId="53" fillId="54" borderId="22" xfId="1" applyFont="1" applyFill="1" applyBorder="1" applyAlignment="1">
      <alignment horizontal="center" vertical="center"/>
    </xf>
    <xf numFmtId="3" fontId="53" fillId="54" borderId="33" xfId="1" applyFont="1" applyFill="1" applyBorder="1" applyAlignment="1">
      <alignment horizontal="center" vertical="center"/>
    </xf>
    <xf numFmtId="0" fontId="24" fillId="54" borderId="9" xfId="0" applyFont="1" applyFill="1" applyBorder="1">
      <alignment vertical="center"/>
    </xf>
    <xf numFmtId="0" fontId="24" fillId="54" borderId="75" xfId="0" applyFont="1" applyFill="1" applyBorder="1">
      <alignment vertical="center"/>
    </xf>
    <xf numFmtId="173" fontId="24" fillId="54" borderId="78" xfId="35" applyFont="1" applyFill="1" applyBorder="1">
      <alignment horizontal="center" vertical="center" wrapText="1"/>
    </xf>
    <xf numFmtId="173" fontId="24" fillId="54" borderId="19" xfId="35" applyFont="1" applyFill="1" applyBorder="1">
      <alignment horizontal="center" vertical="center" wrapText="1"/>
    </xf>
    <xf numFmtId="173" fontId="24" fillId="54" borderId="29" xfId="35" applyFont="1" applyFill="1" applyBorder="1">
      <alignment horizontal="center" vertical="center" wrapText="1"/>
    </xf>
    <xf numFmtId="0" fontId="24" fillId="13" borderId="109"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0" fontId="0" fillId="55" borderId="0" xfId="0" applyFont="1" applyFill="1" applyBorder="1">
      <alignment vertical="center"/>
    </xf>
    <xf numFmtId="0" fontId="37" fillId="55" borderId="0" xfId="0" applyFont="1" applyFill="1" applyBorder="1">
      <alignment vertical="center"/>
    </xf>
    <xf numFmtId="0" fontId="0" fillId="55" borderId="0" xfId="0" applyFont="1" applyFill="1" applyBorder="1" applyAlignment="1" applyProtection="1">
      <alignment horizontal="left" vertical="center"/>
    </xf>
    <xf numFmtId="0" fontId="0" fillId="55" borderId="72" xfId="0" applyFont="1" applyFill="1" applyBorder="1" applyAlignment="1" applyProtection="1">
      <alignment horizontal="left" vertical="center"/>
    </xf>
    <xf numFmtId="0" fontId="0" fillId="55" borderId="72" xfId="0" applyFont="1" applyFill="1" applyBorder="1">
      <alignment vertical="center"/>
    </xf>
    <xf numFmtId="0" fontId="37" fillId="55" borderId="72" xfId="0" applyFont="1" applyFill="1" applyBorder="1">
      <alignment vertical="center"/>
    </xf>
    <xf numFmtId="0" fontId="0" fillId="55" borderId="128" xfId="0" applyFont="1" applyFill="1" applyBorder="1">
      <alignment vertical="center"/>
    </xf>
    <xf numFmtId="0" fontId="0" fillId="6" borderId="76" xfId="0" applyFont="1" applyFill="1" applyBorder="1">
      <alignment vertical="center"/>
    </xf>
    <xf numFmtId="9" fontId="0" fillId="6" borderId="91" xfId="0" applyNumberFormat="1" applyFont="1" applyFill="1" applyBorder="1">
      <alignment vertical="center"/>
    </xf>
    <xf numFmtId="0" fontId="0" fillId="43" borderId="27" xfId="9" applyFont="1" applyBorder="1">
      <alignment horizontal="left" vertical="center"/>
    </xf>
    <xf numFmtId="0" fontId="62" fillId="53" borderId="105" xfId="144" applyFont="1" applyBorder="1">
      <alignment horizontal="center" vertical="center"/>
    </xf>
    <xf numFmtId="0" fontId="62" fillId="53" borderId="26" xfId="144" applyFont="1" applyBorder="1">
      <alignment horizontal="center" vertical="center"/>
    </xf>
    <xf numFmtId="0" fontId="62" fillId="53" borderId="31" xfId="144" applyFont="1" applyBorder="1">
      <alignment horizontal="center" vertical="center"/>
    </xf>
    <xf numFmtId="9" fontId="0" fillId="2" borderId="0" xfId="0" applyNumberFormat="1" applyFont="1" applyFill="1" applyBorder="1">
      <alignment vertical="center"/>
    </xf>
    <xf numFmtId="0" fontId="0" fillId="2" borderId="107" xfId="0" applyFont="1" applyFill="1" applyBorder="1">
      <alignment vertical="center"/>
    </xf>
    <xf numFmtId="0" fontId="0" fillId="2" borderId="109" xfId="0" applyFont="1" applyFill="1" applyBorder="1">
      <alignment vertical="center"/>
    </xf>
    <xf numFmtId="0" fontId="0" fillId="2" borderId="105" xfId="0" applyFont="1" applyFill="1" applyBorder="1">
      <alignment vertical="center"/>
    </xf>
    <xf numFmtId="3" fontId="0" fillId="13" borderId="43"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2"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2" xfId="3" applyNumberFormat="1" applyFont="1" applyBorder="1" applyAlignment="1" applyProtection="1">
      <alignment horizontal="center" vertical="center"/>
      <protection locked="0"/>
    </xf>
    <xf numFmtId="3" fontId="0" fillId="13" borderId="35" xfId="3" applyNumberFormat="1" applyFont="1" applyBorder="1" applyAlignment="1" applyProtection="1">
      <alignment horizontal="center" vertical="center"/>
    </xf>
    <xf numFmtId="3" fontId="0" fillId="13" borderId="36"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76" xfId="0" applyFont="1" applyFill="1" applyBorder="1" applyAlignment="1" applyProtection="1">
      <alignment vertical="center"/>
    </xf>
    <xf numFmtId="0" fontId="0" fillId="6" borderId="70" xfId="0" applyFont="1" applyFill="1" applyBorder="1" applyAlignment="1" applyProtection="1">
      <alignment vertical="center"/>
    </xf>
    <xf numFmtId="0" fontId="0" fillId="6" borderId="112" xfId="0" applyFont="1" applyFill="1" applyBorder="1" applyAlignment="1" applyProtection="1">
      <alignment vertical="center"/>
    </xf>
    <xf numFmtId="0" fontId="0" fillId="6" borderId="91" xfId="0" applyFont="1" applyFill="1" applyBorder="1" applyAlignment="1" applyProtection="1">
      <alignment vertical="center"/>
    </xf>
    <xf numFmtId="3" fontId="0" fillId="13" borderId="102" xfId="3" applyNumberFormat="1" applyFont="1" applyBorder="1" applyAlignment="1" applyProtection="1">
      <alignment horizontal="center" vertical="center"/>
    </xf>
    <xf numFmtId="3" fontId="0" fillId="6" borderId="38"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13" borderId="103" xfId="3" applyNumberFormat="1" applyFont="1" applyBorder="1" applyAlignment="1" applyProtection="1">
      <alignment horizontal="center" vertical="center"/>
    </xf>
    <xf numFmtId="3" fontId="0" fillId="43" borderId="107" xfId="6" applyFont="1" applyBorder="1">
      <alignment horizontal="right" vertical="center"/>
    </xf>
    <xf numFmtId="3" fontId="0" fillId="43" borderId="108" xfId="6" applyFont="1" applyBorder="1" applyAlignment="1">
      <alignment horizontal="right" vertical="center"/>
    </xf>
    <xf numFmtId="3" fontId="0" fillId="43" borderId="105" xfId="6" applyFont="1" applyBorder="1" applyAlignment="1">
      <alignment horizontal="right" vertical="center"/>
    </xf>
    <xf numFmtId="3" fontId="0" fillId="6" borderId="0" xfId="6" applyFont="1" applyFill="1" applyBorder="1" applyAlignment="1">
      <alignment horizontal="right" vertical="center"/>
    </xf>
    <xf numFmtId="3" fontId="0" fillId="43" borderId="106" xfId="6" applyFont="1" applyBorder="1">
      <alignment horizontal="right" vertical="center"/>
    </xf>
    <xf numFmtId="3" fontId="0" fillId="13" borderId="0" xfId="3" applyNumberFormat="1" applyFont="1" applyBorder="1">
      <alignment horizontal="center" vertical="center"/>
    </xf>
    <xf numFmtId="3" fontId="0" fillId="41" borderId="98"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3" xfId="0" applyFont="1" applyFill="1" applyBorder="1" applyAlignment="1">
      <alignment horizontal="left" vertical="center"/>
    </xf>
    <xf numFmtId="10" fontId="0" fillId="43" borderId="43" xfId="7" applyFont="1" applyBorder="1">
      <alignment horizontal="right" vertical="center"/>
    </xf>
    <xf numFmtId="10" fontId="0" fillId="43" borderId="109" xfId="7" applyFont="1" applyBorder="1">
      <alignment horizontal="right" vertical="center"/>
    </xf>
    <xf numFmtId="10" fontId="0" fillId="6" borderId="0" xfId="7" applyFont="1" applyFill="1" applyBorder="1">
      <alignment horizontal="right" vertical="center"/>
    </xf>
    <xf numFmtId="10" fontId="0" fillId="43" borderId="33"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2"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06" xfId="3" applyNumberFormat="1" applyFont="1" applyBorder="1">
      <alignment horizontal="center" vertical="center"/>
    </xf>
    <xf numFmtId="3" fontId="0" fillId="13" borderId="108" xfId="3" applyNumberFormat="1" applyFont="1" applyBorder="1">
      <alignment horizontal="center" vertical="center"/>
    </xf>
    <xf numFmtId="10" fontId="0" fillId="13" borderId="27" xfId="3" applyNumberFormat="1" applyFont="1" applyBorder="1">
      <alignment horizontal="center" vertical="center"/>
    </xf>
    <xf numFmtId="3" fontId="0" fillId="13" borderId="42" xfId="3" applyNumberFormat="1" applyFont="1" applyBorder="1">
      <alignment horizontal="center" vertical="center"/>
    </xf>
    <xf numFmtId="10" fontId="0" fillId="13" borderId="28" xfId="3" applyNumberFormat="1" applyFont="1" applyBorder="1">
      <alignment horizontal="center" vertical="center"/>
    </xf>
    <xf numFmtId="3" fontId="0" fillId="13" borderId="99" xfId="3" applyNumberFormat="1" applyFont="1" applyBorder="1">
      <alignment horizontal="center" vertical="center"/>
    </xf>
    <xf numFmtId="0" fontId="52" fillId="55" borderId="128" xfId="0" applyFont="1" applyFill="1" applyBorder="1">
      <alignment vertical="center"/>
    </xf>
    <xf numFmtId="0" fontId="24" fillId="55" borderId="72" xfId="0" applyFont="1" applyFill="1" applyBorder="1" applyAlignment="1" applyProtection="1">
      <alignment horizontal="left" vertical="center"/>
    </xf>
    <xf numFmtId="0" fontId="24" fillId="55" borderId="72" xfId="0" applyFont="1" applyFill="1" applyBorder="1">
      <alignment vertical="center"/>
    </xf>
    <xf numFmtId="0" fontId="24" fillId="55" borderId="72" xfId="0" applyFont="1" applyFill="1" applyBorder="1">
      <alignment vertical="center"/>
    </xf>
    <xf numFmtId="0" fontId="0" fillId="55" borderId="72" xfId="0" applyFont="1" applyFill="1" applyBorder="1">
      <alignment vertical="center"/>
    </xf>
    <xf numFmtId="0" fontId="22" fillId="54" borderId="128" xfId="0" applyFont="1" applyFill="1" applyBorder="1">
      <alignment vertical="center"/>
    </xf>
    <xf numFmtId="0" fontId="0" fillId="6" borderId="32" xfId="0" applyFont="1" applyFill="1" applyBorder="1" applyAlignment="1">
      <alignment vertical="center"/>
    </xf>
    <xf numFmtId="0" fontId="23" fillId="6" borderId="128" xfId="0" applyFont="1" applyFill="1" applyBorder="1" applyAlignment="1">
      <alignment vertical="center"/>
    </xf>
    <xf numFmtId="0" fontId="22" fillId="6" borderId="128" xfId="0" applyFont="1" applyFill="1" applyBorder="1" applyAlignment="1">
      <alignment vertical="center"/>
    </xf>
    <xf numFmtId="3" fontId="0" fillId="43" borderId="32" xfId="6" applyFont="1" applyBorder="1">
      <alignment horizontal="right" vertical="center"/>
    </xf>
    <xf numFmtId="0" fontId="24" fillId="6" borderId="129" xfId="5" applyFont="1" applyFill="1" applyBorder="1" applyAlignment="1">
      <alignment horizontal="center" vertical="center" wrapText="1"/>
    </xf>
    <xf numFmtId="0" fontId="0" fillId="6" borderId="128" xfId="0" applyFont="1" applyFill="1" applyBorder="1" applyAlignment="1">
      <alignment horizontal="center" vertical="center"/>
    </xf>
    <xf numFmtId="0" fontId="56" fillId="6" borderId="128" xfId="0" applyFont="1" applyFill="1" applyBorder="1" applyAlignment="1">
      <alignment vertical="top" wrapText="1"/>
    </xf>
    <xf numFmtId="0" fontId="25" fillId="0" borderId="129" xfId="0" applyFont="1" applyFill="1" applyBorder="1" applyAlignment="1">
      <alignment horizontal="left"/>
    </xf>
    <xf numFmtId="0" fontId="62" fillId="53" borderId="130" xfId="144" applyBorder="1">
      <alignment horizontal="center" vertical="center"/>
    </xf>
    <xf numFmtId="0" fontId="62" fillId="53" borderId="133" xfId="144" applyBorder="1">
      <alignment horizontal="center" vertical="center"/>
    </xf>
    <xf numFmtId="3" fontId="39" fillId="6" borderId="94" xfId="30" applyFont="1" applyBorder="1">
      <alignment horizontal="right" vertical="center"/>
    </xf>
    <xf numFmtId="0" fontId="0" fillId="54" borderId="73" xfId="0" applyFont="1" applyFill="1" applyBorder="1" applyAlignment="1" applyProtection="1">
      <alignment horizontal="left" vertical="center"/>
    </xf>
    <xf numFmtId="0" fontId="24" fillId="54" borderId="98" xfId="55" applyFont="1" applyFill="1" applyBorder="1">
      <alignment horizontal="center" vertical="center" wrapText="1"/>
    </xf>
    <xf numFmtId="0" fontId="24" fillId="54" borderId="99" xfId="0" applyFont="1" applyFill="1" applyBorder="1">
      <alignment vertical="center"/>
    </xf>
    <xf numFmtId="1" fontId="24" fillId="41" borderId="133" xfId="11" applyNumberFormat="1" applyFont="1" applyBorder="1" applyAlignment="1">
      <alignment horizontal="center" vertical="center"/>
      <protection locked="0"/>
    </xf>
    <xf numFmtId="0" fontId="22" fillId="6" borderId="128" xfId="0" applyFont="1" applyFill="1" applyBorder="1" applyAlignment="1" applyProtection="1">
      <alignment horizontal="left" vertical="center"/>
    </xf>
    <xf numFmtId="0" fontId="24" fillId="6" borderId="128" xfId="0" applyFont="1" applyFill="1" applyBorder="1" applyAlignment="1">
      <alignment horizontal="center" wrapText="1"/>
    </xf>
    <xf numFmtId="0" fontId="22" fillId="6" borderId="71" xfId="0" applyFont="1" applyFill="1" applyBorder="1">
      <alignment vertical="center"/>
    </xf>
    <xf numFmtId="3" fontId="22" fillId="13" borderId="123" xfId="3" applyNumberFormat="1" applyFont="1" applyBorder="1">
      <alignment horizontal="center" vertical="center"/>
    </xf>
    <xf numFmtId="3" fontId="0" fillId="14" borderId="123" xfId="20" applyFont="1" applyBorder="1">
      <alignment horizontal="right" vertical="center"/>
      <protection locked="0"/>
    </xf>
    <xf numFmtId="3" fontId="22" fillId="6" borderId="123" xfId="30" applyFont="1" applyBorder="1">
      <alignment horizontal="right" vertical="center"/>
    </xf>
    <xf numFmtId="0" fontId="62" fillId="53" borderId="123" xfId="144" applyBorder="1">
      <alignment horizontal="center" vertical="center"/>
    </xf>
    <xf numFmtId="3" fontId="22" fillId="13" borderId="134" xfId="3" applyNumberFormat="1" applyFont="1" applyBorder="1">
      <alignment horizontal="center" vertical="center"/>
    </xf>
    <xf numFmtId="3" fontId="22" fillId="13" borderId="125" xfId="3" applyNumberFormat="1" applyFont="1" applyBorder="1">
      <alignment horizontal="center" vertical="center"/>
    </xf>
    <xf numFmtId="0" fontId="62" fillId="53" borderId="49" xfId="144" applyBorder="1">
      <alignment horizontal="center" vertical="center"/>
    </xf>
    <xf numFmtId="3" fontId="39" fillId="0" borderId="107" xfId="30" applyFont="1" applyFill="1" applyBorder="1">
      <alignment horizontal="right" vertical="center"/>
    </xf>
    <xf numFmtId="3" fontId="39" fillId="0" borderId="25" xfId="30" applyFont="1" applyFill="1" applyBorder="1">
      <alignment horizontal="right" vertical="center"/>
    </xf>
    <xf numFmtId="3" fontId="39" fillId="0" borderId="37" xfId="30" applyFont="1" applyFill="1" applyBorder="1">
      <alignment horizontal="right" vertical="center"/>
    </xf>
    <xf numFmtId="1" fontId="24" fillId="6" borderId="104" xfId="0" applyNumberFormat="1" applyFont="1" applyFill="1" applyBorder="1" applyAlignment="1">
      <alignment horizontal="center" wrapText="1"/>
    </xf>
    <xf numFmtId="1" fontId="24" fillId="6" borderId="113" xfId="0" applyNumberFormat="1" applyFont="1" applyFill="1" applyBorder="1" applyAlignment="1">
      <alignment horizontal="center" wrapText="1"/>
    </xf>
    <xf numFmtId="0" fontId="24" fillId="6" borderId="71" xfId="0" applyFont="1" applyFill="1" applyBorder="1" applyAlignment="1">
      <alignment horizontal="center" vertical="center" wrapText="1"/>
    </xf>
    <xf numFmtId="3" fontId="22" fillId="41" borderId="105" xfId="11" applyFont="1" applyBorder="1">
      <alignment horizontal="right" vertical="center"/>
      <protection locked="0"/>
    </xf>
    <xf numFmtId="3" fontId="22" fillId="13" borderId="109" xfId="3" applyNumberFormat="1" applyFont="1" applyBorder="1">
      <alignment horizontal="center" vertical="center"/>
    </xf>
    <xf numFmtId="0" fontId="20" fillId="6" borderId="131" xfId="0" applyFont="1" applyFill="1" applyBorder="1" applyAlignment="1"/>
    <xf numFmtId="0" fontId="22" fillId="6" borderId="113" xfId="0" applyFont="1" applyFill="1" applyBorder="1">
      <alignment vertical="center"/>
    </xf>
    <xf numFmtId="3" fontId="22" fillId="41" borderId="109" xfId="11" applyFont="1" applyBorder="1">
      <alignment horizontal="right" vertical="center"/>
      <protection locked="0"/>
    </xf>
    <xf numFmtId="0" fontId="22" fillId="6" borderId="117" xfId="0" applyFont="1" applyFill="1" applyBorder="1" applyAlignment="1">
      <alignment vertical="center"/>
    </xf>
    <xf numFmtId="0" fontId="22" fillId="6" borderId="124" xfId="0" applyFont="1" applyFill="1" applyBorder="1">
      <alignment vertical="center"/>
    </xf>
    <xf numFmtId="0" fontId="22" fillId="6" borderId="119" xfId="0" applyFont="1" applyFill="1" applyBorder="1">
      <alignment vertical="center"/>
    </xf>
    <xf numFmtId="0" fontId="0" fillId="6" borderId="71" xfId="0" applyFont="1" applyBorder="1">
      <alignment vertical="center"/>
    </xf>
    <xf numFmtId="0" fontId="46" fillId="6" borderId="0" xfId="0" applyFont="1" applyBorder="1">
      <alignment vertical="center"/>
    </xf>
    <xf numFmtId="0" fontId="39" fillId="6" borderId="128" xfId="0" applyFont="1" applyBorder="1">
      <alignment vertical="center"/>
    </xf>
    <xf numFmtId="0" fontId="52" fillId="54" borderId="106" xfId="0" applyFont="1" applyFill="1" applyBorder="1">
      <alignment vertical="center"/>
    </xf>
    <xf numFmtId="0" fontId="0" fillId="54" borderId="106" xfId="0" applyFont="1" applyFill="1" applyBorder="1">
      <alignment vertical="center"/>
    </xf>
    <xf numFmtId="0" fontId="0" fillId="54" borderId="106" xfId="0" applyFont="1" applyFill="1" applyBorder="1">
      <alignment vertical="center"/>
    </xf>
    <xf numFmtId="0" fontId="62" fillId="13" borderId="27" xfId="3" applyFont="1" applyBorder="1">
      <alignment horizontal="center" vertical="center"/>
    </xf>
    <xf numFmtId="0" fontId="62" fillId="13" borderId="32" xfId="3" applyFont="1" applyBorder="1">
      <alignment horizontal="center" vertical="center"/>
    </xf>
    <xf numFmtId="0" fontId="22" fillId="6" borderId="128" xfId="0" applyFont="1" applyFill="1" applyBorder="1">
      <alignment vertical="center"/>
    </xf>
    <xf numFmtId="0" fontId="0" fillId="6" borderId="35" xfId="0" applyFont="1" applyFill="1" applyBorder="1" applyAlignment="1" applyProtection="1">
      <alignment horizontal="left" vertical="center" wrapText="1"/>
    </xf>
    <xf numFmtId="0" fontId="20" fillId="6" borderId="129" xfId="4" applyFont="1" applyFill="1" applyBorder="1" applyAlignment="1"/>
    <xf numFmtId="0" fontId="21" fillId="6" borderId="129" xfId="4" applyFont="1" applyFill="1" applyBorder="1" applyAlignment="1"/>
    <xf numFmtId="0" fontId="22" fillId="6" borderId="129" xfId="0" applyFont="1" applyFill="1" applyBorder="1">
      <alignment vertical="center"/>
    </xf>
    <xf numFmtId="0" fontId="29" fillId="6" borderId="116" xfId="116" applyFont="1" applyFill="1" applyBorder="1" applyAlignment="1" applyProtection="1">
      <alignment horizontal="left"/>
    </xf>
    <xf numFmtId="0" fontId="22" fillId="6" borderId="128" xfId="0" applyFont="1" applyFill="1" applyBorder="1" applyAlignment="1" applyProtection="1">
      <alignment horizontal="left"/>
    </xf>
    <xf numFmtId="0" fontId="22" fillId="6" borderId="128" xfId="0" applyFont="1" applyFill="1" applyBorder="1" applyAlignment="1" applyProtection="1"/>
    <xf numFmtId="172" fontId="22" fillId="41" borderId="106" xfId="10" applyFont="1" applyBorder="1" applyAlignment="1" applyProtection="1">
      <alignment vertical="center"/>
      <protection locked="0"/>
    </xf>
    <xf numFmtId="0" fontId="22" fillId="13" borderId="108" xfId="0" applyFont="1" applyFill="1" applyBorder="1" applyAlignment="1">
      <alignment vertical="center"/>
    </xf>
    <xf numFmtId="0" fontId="22" fillId="6" borderId="96" xfId="0" applyFont="1" applyFill="1" applyBorder="1" applyAlignment="1">
      <alignment vertical="top"/>
    </xf>
    <xf numFmtId="0" fontId="22" fillId="41" borderId="91" xfId="18" applyFont="1" applyBorder="1" applyAlignment="1" applyProtection="1">
      <alignment horizontal="center" vertical="center" wrapText="1"/>
      <protection locked="0"/>
    </xf>
    <xf numFmtId="0" fontId="22" fillId="6" borderId="70" xfId="0" applyFont="1" applyFill="1" applyBorder="1" applyAlignment="1" applyProtection="1">
      <alignment horizontal="left" vertical="center" indent="1"/>
    </xf>
    <xf numFmtId="0" fontId="22" fillId="6" borderId="129" xfId="0" applyFont="1" applyFill="1" applyBorder="1" applyAlignment="1" applyProtection="1">
      <alignment horizontal="left" vertical="center"/>
    </xf>
    <xf numFmtId="3" fontId="22" fillId="41" borderId="129" xfId="11" applyFont="1" applyBorder="1" applyAlignment="1">
      <alignment horizontal="right" vertical="center"/>
      <protection locked="0"/>
    </xf>
    <xf numFmtId="0" fontId="24" fillId="6" borderId="70" xfId="0" applyFont="1" applyFill="1" applyBorder="1" applyAlignment="1" applyProtection="1">
      <alignment vertical="center"/>
    </xf>
    <xf numFmtId="0" fontId="22" fillId="6" borderId="119" xfId="0" applyFont="1" applyFill="1" applyBorder="1" applyAlignment="1">
      <alignment vertical="center"/>
    </xf>
    <xf numFmtId="0" fontId="24" fillId="6" borderId="130" xfId="0" applyFont="1" applyFill="1" applyBorder="1" applyAlignment="1" applyProtection="1">
      <alignment horizontal="center" wrapText="1"/>
    </xf>
    <xf numFmtId="0" fontId="24" fillId="6" borderId="124" xfId="0" applyFont="1" applyFill="1" applyBorder="1" applyAlignment="1" applyProtection="1">
      <alignment vertical="center"/>
    </xf>
    <xf numFmtId="0" fontId="24" fillId="6" borderId="129" xfId="0" applyFont="1" applyFill="1" applyBorder="1" applyAlignment="1" applyProtection="1">
      <alignment horizontal="left" vertical="center"/>
    </xf>
    <xf numFmtId="0" fontId="24" fillId="6" borderId="129" xfId="0" applyFont="1" applyFill="1" applyBorder="1" applyAlignment="1" applyProtection="1">
      <alignment horizontal="center" vertical="center"/>
    </xf>
    <xf numFmtId="0" fontId="26" fillId="6" borderId="133" xfId="5" applyFont="1" applyBorder="1" applyAlignment="1">
      <alignment horizontal="center" vertical="center" wrapText="1"/>
    </xf>
    <xf numFmtId="3" fontId="39" fillId="41" borderId="21" xfId="11" applyFont="1" applyBorder="1">
      <alignment horizontal="right" vertical="center"/>
      <protection locked="0"/>
    </xf>
    <xf numFmtId="0" fontId="22" fillId="6" borderId="53" xfId="0" applyFont="1" applyFill="1" applyBorder="1">
      <alignment vertical="center"/>
    </xf>
    <xf numFmtId="0" fontId="39" fillId="6" borderId="72" xfId="0" applyFont="1" applyFill="1" applyBorder="1" applyAlignment="1">
      <alignment horizontal="left" vertical="center" wrapText="1"/>
    </xf>
    <xf numFmtId="3" fontId="39" fillId="6" borderId="72" xfId="30" applyFont="1" applyFill="1" applyBorder="1">
      <alignment horizontal="right" vertical="center"/>
    </xf>
    <xf numFmtId="3" fontId="39" fillId="6" borderId="53" xfId="30" applyFont="1" applyFill="1" applyBorder="1">
      <alignment horizontal="right" vertical="center"/>
    </xf>
    <xf numFmtId="0" fontId="37" fillId="6" borderId="60" xfId="0" applyFont="1" applyFill="1" applyBorder="1" applyAlignment="1">
      <alignment horizontal="left" vertical="center" wrapText="1"/>
    </xf>
    <xf numFmtId="0" fontId="37" fillId="6" borderId="60" xfId="0" applyFont="1" applyFill="1" applyBorder="1" applyAlignment="1">
      <alignment horizontal="center" vertical="center" wrapText="1"/>
    </xf>
    <xf numFmtId="0" fontId="37" fillId="6" borderId="54" xfId="0" applyFont="1" applyFill="1" applyBorder="1" applyAlignment="1">
      <alignment horizontal="center" vertical="center" wrapText="1"/>
    </xf>
    <xf numFmtId="3" fontId="39" fillId="6" borderId="60" xfId="30" applyFont="1" applyFill="1" applyBorder="1">
      <alignment horizontal="right" vertical="center"/>
    </xf>
    <xf numFmtId="3" fontId="39" fillId="6" borderId="54" xfId="30" applyFont="1" applyFill="1" applyBorder="1">
      <alignment horizontal="right" vertical="center"/>
    </xf>
    <xf numFmtId="0" fontId="39" fillId="6" borderId="43" xfId="0" applyFont="1" applyFill="1" applyBorder="1" applyAlignment="1">
      <alignment horizontal="left" vertical="center" wrapText="1"/>
    </xf>
    <xf numFmtId="0" fontId="39" fillId="6" borderId="43" xfId="0" applyFont="1" applyFill="1" applyBorder="1" applyAlignment="1">
      <alignment horizontal="left" vertical="center" wrapText="1" indent="1"/>
    </xf>
    <xf numFmtId="0" fontId="37" fillId="6" borderId="72"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39" fillId="6" borderId="27" xfId="0" applyFont="1" applyFill="1" applyBorder="1" applyAlignment="1">
      <alignment vertical="center" wrapText="1"/>
    </xf>
    <xf numFmtId="0" fontId="39" fillId="6" borderId="35" xfId="0" applyFont="1" applyFill="1" applyBorder="1" applyAlignment="1">
      <alignment horizontal="left" vertical="center" wrapText="1"/>
    </xf>
    <xf numFmtId="0" fontId="37" fillId="6" borderId="28" xfId="0" applyFont="1" applyFill="1" applyBorder="1" applyAlignment="1">
      <alignment horizontal="left" vertical="center" wrapText="1"/>
    </xf>
    <xf numFmtId="0" fontId="39" fillId="6" borderId="85" xfId="0" applyFont="1" applyFill="1" applyBorder="1" applyAlignment="1">
      <alignment horizontal="left" vertical="center" wrapText="1"/>
    </xf>
    <xf numFmtId="3" fontId="39" fillId="6" borderId="28" xfId="30" applyFont="1" applyFill="1" applyBorder="1">
      <alignment horizontal="right" vertical="center"/>
    </xf>
    <xf numFmtId="3" fontId="39" fillId="6" borderId="31" xfId="30" applyFont="1" applyFill="1" applyBorder="1">
      <alignment horizontal="right" vertical="center"/>
    </xf>
    <xf numFmtId="0" fontId="0" fillId="6" borderId="117" xfId="0" applyFont="1" applyFill="1" applyBorder="1" applyAlignment="1">
      <alignment vertical="center"/>
    </xf>
    <xf numFmtId="0" fontId="0" fillId="6" borderId="128" xfId="0" applyFill="1" applyBorder="1">
      <alignment vertical="center"/>
    </xf>
    <xf numFmtId="0" fontId="24" fillId="6" borderId="104" xfId="0" applyFont="1" applyFill="1" applyBorder="1" applyAlignment="1">
      <alignment horizontal="center" vertical="center" wrapText="1"/>
    </xf>
    <xf numFmtId="0" fontId="22" fillId="13" borderId="32" xfId="3" applyFont="1" applyBorder="1">
      <alignment horizontal="center" vertical="center"/>
    </xf>
    <xf numFmtId="0" fontId="22" fillId="13" borderId="28" xfId="3" applyFont="1" applyBorder="1">
      <alignment horizontal="center" vertical="center"/>
    </xf>
    <xf numFmtId="0" fontId="22" fillId="6" borderId="32" xfId="0" applyFont="1" applyFill="1" applyBorder="1" applyAlignment="1">
      <alignment horizontal="left" vertical="top" wrapText="1" indent="5"/>
    </xf>
    <xf numFmtId="0" fontId="62" fillId="53" borderId="27" xfId="144" applyBorder="1">
      <alignment horizontal="center" vertical="center"/>
    </xf>
    <xf numFmtId="0" fontId="22" fillId="2" borderId="38" xfId="0" applyFont="1" applyFill="1" applyBorder="1" applyAlignment="1">
      <alignment horizontal="left" vertical="center" indent="1"/>
    </xf>
    <xf numFmtId="0" fontId="22" fillId="2" borderId="35" xfId="0" applyFont="1" applyFill="1" applyBorder="1" applyAlignment="1">
      <alignment vertical="center"/>
    </xf>
    <xf numFmtId="0" fontId="22" fillId="6" borderId="33" xfId="0" applyFont="1" applyFill="1" applyBorder="1" applyAlignment="1">
      <alignment horizontal="left" vertical="center" indent="1"/>
    </xf>
    <xf numFmtId="3" fontId="62" fillId="14" borderId="22" xfId="20" applyFont="1" applyBorder="1">
      <alignment horizontal="right" vertical="center"/>
      <protection locked="0"/>
    </xf>
    <xf numFmtId="0" fontId="20" fillId="6" borderId="131" xfId="4" applyFont="1" applyFill="1" applyBorder="1" applyAlignment="1"/>
    <xf numFmtId="0" fontId="20" fillId="6" borderId="128" xfId="4" applyFont="1" applyFill="1" applyBorder="1" applyAlignment="1"/>
    <xf numFmtId="0" fontId="22" fillId="2" borderId="133" xfId="0" applyFont="1" applyFill="1" applyBorder="1" applyAlignment="1" applyProtection="1">
      <alignment horizontal="center" vertical="center"/>
    </xf>
    <xf numFmtId="0" fontId="0" fillId="6" borderId="129" xfId="0" applyFill="1" applyBorder="1">
      <alignment vertical="center"/>
    </xf>
    <xf numFmtId="0" fontId="24" fillId="6" borderId="130" xfId="5" applyFont="1" applyFill="1" applyBorder="1" applyAlignment="1">
      <alignment horizontal="center" vertical="center" wrapText="1"/>
    </xf>
    <xf numFmtId="0" fontId="26" fillId="6" borderId="133" xfId="0" applyFont="1" applyFill="1" applyBorder="1" applyAlignment="1" applyProtection="1">
      <alignment horizontal="center" vertical="center" wrapText="1"/>
    </xf>
    <xf numFmtId="0" fontId="24" fillId="6" borderId="133" xfId="5" applyFont="1" applyFill="1" applyBorder="1" applyAlignment="1">
      <alignment horizontal="center" vertical="center" wrapText="1"/>
    </xf>
    <xf numFmtId="0" fontId="22" fillId="13" borderId="94" xfId="3" applyFont="1" applyBorder="1">
      <alignment horizontal="center" vertical="center"/>
    </xf>
    <xf numFmtId="3" fontId="62" fillId="41" borderId="20" xfId="11" applyFont="1" applyBorder="1">
      <alignment horizontal="right" vertical="center"/>
      <protection locked="0"/>
    </xf>
    <xf numFmtId="0" fontId="24" fillId="6" borderId="94" xfId="0" applyFont="1" applyFill="1" applyBorder="1" applyAlignment="1">
      <alignment vertical="center"/>
    </xf>
    <xf numFmtId="0" fontId="22" fillId="6" borderId="129" xfId="0" applyFont="1" applyFill="1" applyBorder="1" applyAlignment="1">
      <alignment vertical="center"/>
    </xf>
    <xf numFmtId="0" fontId="24" fillId="6" borderId="130" xfId="0" applyFont="1" applyFill="1" applyBorder="1" applyAlignment="1">
      <alignment horizontal="center" vertical="center" wrapText="1"/>
    </xf>
    <xf numFmtId="0" fontId="24" fillId="6" borderId="133" xfId="0" applyFont="1" applyFill="1" applyBorder="1" applyAlignment="1">
      <alignment horizontal="center" vertical="center" wrapText="1"/>
    </xf>
    <xf numFmtId="0" fontId="22" fillId="6" borderId="133" xfId="0" applyFont="1" applyFill="1" applyBorder="1" applyAlignment="1">
      <alignment horizontal="center" vertical="center"/>
    </xf>
    <xf numFmtId="0" fontId="22" fillId="6" borderId="129" xfId="0" applyFont="1" applyFill="1" applyBorder="1" applyAlignment="1">
      <alignment horizontal="center" vertical="center"/>
    </xf>
    <xf numFmtId="0" fontId="0" fillId="2" borderId="94" xfId="0" applyFont="1" applyFill="1" applyBorder="1" applyAlignment="1">
      <alignment vertical="center"/>
    </xf>
    <xf numFmtId="0" fontId="0" fillId="6" borderId="133" xfId="0" applyFont="1" applyFill="1" applyBorder="1" applyAlignment="1">
      <alignment vertical="center"/>
    </xf>
    <xf numFmtId="0" fontId="22" fillId="6" borderId="94" xfId="0" applyFont="1" applyFill="1" applyBorder="1" applyAlignment="1">
      <alignment vertical="center"/>
    </xf>
    <xf numFmtId="0" fontId="0" fillId="6" borderId="94" xfId="0" applyFont="1" applyFill="1" applyBorder="1" applyAlignment="1">
      <alignment horizontal="left" vertical="top" wrapText="1"/>
    </xf>
    <xf numFmtId="0" fontId="22" fillId="6" borderId="133" xfId="5" applyFont="1" applyBorder="1">
      <alignment horizontal="center" wrapText="1"/>
    </xf>
    <xf numFmtId="3" fontId="28" fillId="6" borderId="20" xfId="30" applyFont="1" applyBorder="1">
      <alignment horizontal="right" vertical="center"/>
    </xf>
    <xf numFmtId="0" fontId="22" fillId="2" borderId="128" xfId="0" applyFont="1" applyFill="1" applyBorder="1" applyProtection="1">
      <alignment vertical="center"/>
    </xf>
    <xf numFmtId="0" fontId="22" fillId="2" borderId="91" xfId="0" applyFont="1" applyFill="1" applyBorder="1" applyProtection="1">
      <alignment vertical="center"/>
    </xf>
    <xf numFmtId="0" fontId="22" fillId="2" borderId="129" xfId="0" applyFont="1" applyFill="1" applyBorder="1" applyProtection="1">
      <alignment vertical="center"/>
    </xf>
    <xf numFmtId="0" fontId="20" fillId="6" borderId="128" xfId="4" applyFont="1" applyFill="1" applyBorder="1" applyAlignment="1" applyProtection="1"/>
    <xf numFmtId="0" fontId="20" fillId="2" borderId="128" xfId="4" applyFont="1" applyFill="1" applyBorder="1" applyAlignment="1" applyProtection="1"/>
    <xf numFmtId="0" fontId="22" fillId="2" borderId="128" xfId="0" applyFont="1" applyFill="1" applyBorder="1" applyAlignment="1" applyProtection="1">
      <alignment vertical="center"/>
    </xf>
    <xf numFmtId="0" fontId="22" fillId="6" borderId="130" xfId="5" applyFont="1" applyBorder="1">
      <alignment horizontal="center" wrapText="1"/>
    </xf>
    <xf numFmtId="0" fontId="20" fillId="48" borderId="86" xfId="0" applyFont="1" applyFill="1" applyBorder="1" applyAlignment="1"/>
    <xf numFmtId="0" fontId="20" fillId="48" borderId="75" xfId="0" applyFont="1" applyFill="1" applyBorder="1" applyAlignment="1"/>
    <xf numFmtId="0" fontId="20" fillId="48" borderId="75" xfId="0" applyFont="1" applyFill="1" applyBorder="1" applyAlignment="1">
      <alignment horizontal="center"/>
    </xf>
    <xf numFmtId="0" fontId="24" fillId="48" borderId="75" xfId="0" applyFont="1" applyFill="1" applyBorder="1">
      <alignment vertical="center"/>
    </xf>
    <xf numFmtId="0" fontId="22" fillId="48" borderId="75" xfId="0" applyFont="1" applyFill="1" applyBorder="1">
      <alignment vertical="center"/>
    </xf>
    <xf numFmtId="0" fontId="22" fillId="48" borderId="87" xfId="0" applyFont="1" applyFill="1" applyBorder="1">
      <alignment vertical="center"/>
    </xf>
    <xf numFmtId="3" fontId="39" fillId="41" borderId="109" xfId="11" applyFont="1" applyBorder="1">
      <alignment horizontal="right" vertical="center"/>
      <protection locked="0"/>
    </xf>
    <xf numFmtId="0" fontId="29" fillId="6" borderId="96" xfId="116" applyFont="1" applyFill="1" applyBorder="1" applyAlignment="1" applyProtection="1">
      <alignment vertical="center"/>
    </xf>
    <xf numFmtId="0" fontId="24" fillId="6" borderId="133" xfId="0" applyFont="1" applyFill="1" applyBorder="1" applyAlignment="1">
      <alignment vertical="center"/>
    </xf>
    <xf numFmtId="0" fontId="0" fillId="6" borderId="133" xfId="0" applyFont="1" applyFill="1" applyBorder="1" applyAlignment="1">
      <alignment vertical="center" wrapText="1"/>
    </xf>
    <xf numFmtId="0" fontId="0" fillId="6" borderId="130" xfId="0" applyFont="1" applyFill="1" applyBorder="1" applyAlignment="1">
      <alignment horizontal="center" vertical="center" textRotation="90" wrapText="1"/>
    </xf>
    <xf numFmtId="0" fontId="0" fillId="6" borderId="133" xfId="0" applyFont="1" applyFill="1" applyBorder="1" applyAlignment="1">
      <alignment horizontal="center" vertical="center" textRotation="90" wrapText="1"/>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0" fontId="29" fillId="6" borderId="70" xfId="116" applyFont="1" applyFill="1" applyBorder="1" applyAlignment="1">
      <alignment vertical="center"/>
    </xf>
    <xf numFmtId="0" fontId="0" fillId="6" borderId="43" xfId="0" applyFill="1" applyBorder="1" applyAlignment="1">
      <alignment horizontal="left" vertical="center" indent="1"/>
    </xf>
    <xf numFmtId="0" fontId="24" fillId="6" borderId="70" xfId="0" applyFont="1" applyFill="1" applyBorder="1" applyAlignment="1">
      <alignment vertical="center"/>
    </xf>
    <xf numFmtId="0" fontId="29" fillId="6" borderId="116" xfId="116" applyFont="1" applyFill="1" applyBorder="1" applyAlignment="1">
      <alignment vertical="center"/>
    </xf>
    <xf numFmtId="0" fontId="24" fillId="50" borderId="104" xfId="5" applyFont="1" applyFill="1" applyBorder="1" applyAlignment="1">
      <alignment horizontal="center" vertical="center" wrapText="1"/>
    </xf>
    <xf numFmtId="0" fontId="0" fillId="54" borderId="25" xfId="0" applyFont="1" applyFill="1" applyBorder="1" applyAlignment="1" applyProtection="1">
      <alignment horizontal="left" vertical="center"/>
    </xf>
    <xf numFmtId="0" fontId="0" fillId="54" borderId="26" xfId="0" applyFont="1" applyFill="1" applyBorder="1" applyAlignment="1" applyProtection="1">
      <alignment horizontal="left" vertical="center"/>
    </xf>
    <xf numFmtId="0" fontId="25" fillId="6" borderId="71" xfId="0" applyFont="1" applyFill="1" applyBorder="1" applyAlignment="1">
      <alignment horizontal="left" indent="2"/>
    </xf>
    <xf numFmtId="0" fontId="24" fillId="6" borderId="130" xfId="5" applyFont="1" applyBorder="1" applyAlignment="1">
      <alignment horizontal="center" vertical="center" wrapText="1"/>
    </xf>
    <xf numFmtId="3" fontId="39" fillId="43" borderId="130" xfId="6" applyFont="1" applyBorder="1">
      <alignment horizontal="right" vertical="center"/>
    </xf>
    <xf numFmtId="0" fontId="24" fillId="41" borderId="104" xfId="5" applyFont="1" applyFill="1" applyBorder="1" applyAlignment="1">
      <alignment horizontal="center" vertical="center" wrapText="1"/>
    </xf>
    <xf numFmtId="0" fontId="39" fillId="46" borderId="28" xfId="3" applyFont="1" applyFill="1" applyBorder="1">
      <alignment horizontal="center" vertical="center"/>
    </xf>
    <xf numFmtId="0" fontId="24" fillId="49" borderId="129" xfId="0" applyFont="1" applyFill="1" applyBorder="1" applyAlignment="1">
      <alignment vertical="center"/>
    </xf>
    <xf numFmtId="0" fontId="39" fillId="6" borderId="96" xfId="0" applyFont="1" applyFill="1" applyBorder="1">
      <alignment vertical="center"/>
    </xf>
    <xf numFmtId="0" fontId="26" fillId="6" borderId="133" xfId="5" applyFont="1" applyFill="1" applyBorder="1" applyAlignment="1">
      <alignment horizontal="center" vertical="center" wrapText="1"/>
    </xf>
    <xf numFmtId="0" fontId="29" fillId="6" borderId="96" xfId="0" applyFont="1" applyFill="1" applyBorder="1" applyAlignment="1" applyProtection="1">
      <alignment horizontal="left" vertical="center"/>
    </xf>
    <xf numFmtId="0" fontId="29" fillId="6" borderId="129" xfId="0" applyFont="1" applyFill="1" applyBorder="1" applyAlignment="1" applyProtection="1">
      <alignment horizontal="left" vertical="center"/>
    </xf>
    <xf numFmtId="0" fontId="24" fillId="6" borderId="129" xfId="5" applyFont="1" applyBorder="1" applyAlignment="1">
      <alignment horizontal="center" vertical="center" wrapText="1"/>
    </xf>
    <xf numFmtId="0" fontId="24" fillId="49" borderId="130" xfId="5" applyFont="1" applyFill="1" applyBorder="1" applyAlignment="1">
      <alignment horizontal="center" vertical="center" wrapText="1"/>
    </xf>
    <xf numFmtId="0" fontId="26" fillId="6" borderId="130" xfId="5" applyFont="1" applyFill="1" applyBorder="1" applyAlignment="1">
      <alignment horizontal="center" vertical="center" wrapText="1"/>
    </xf>
    <xf numFmtId="0" fontId="39" fillId="6" borderId="106" xfId="0" applyFont="1" applyFill="1" applyBorder="1" applyAlignment="1">
      <alignment horizontal="left"/>
    </xf>
    <xf numFmtId="0" fontId="62" fillId="13" borderId="109" xfId="3" applyFont="1" applyBorder="1">
      <alignment horizontal="center" vertical="center"/>
    </xf>
    <xf numFmtId="0" fontId="39" fillId="46" borderId="130" xfId="3" applyFont="1" applyFill="1" applyBorder="1">
      <alignment horizontal="center" vertical="center"/>
    </xf>
    <xf numFmtId="0" fontId="26" fillId="6" borderId="130" xfId="5" applyFont="1" applyBorder="1" applyAlignment="1">
      <alignment horizontal="center" vertical="center" wrapText="1"/>
    </xf>
    <xf numFmtId="0" fontId="24" fillId="6" borderId="130" xfId="5" applyFont="1" applyBorder="1" applyAlignment="1">
      <alignment horizontal="center" wrapText="1"/>
    </xf>
    <xf numFmtId="0" fontId="0" fillId="6" borderId="71" xfId="0" applyFont="1" applyFill="1" applyBorder="1" applyAlignment="1">
      <alignment vertical="center"/>
    </xf>
    <xf numFmtId="3" fontId="41" fillId="41" borderId="20" xfId="11" applyFont="1" applyBorder="1">
      <alignment horizontal="right" vertical="center"/>
      <protection locked="0"/>
    </xf>
    <xf numFmtId="0" fontId="0" fillId="43" borderId="129" xfId="9" applyFont="1" applyBorder="1">
      <alignment horizontal="left" vertical="center"/>
    </xf>
    <xf numFmtId="3" fontId="39" fillId="43" borderId="133" xfId="6" applyFont="1" applyBorder="1">
      <alignment horizontal="right" vertical="center"/>
    </xf>
    <xf numFmtId="0" fontId="24" fillId="6" borderId="129" xfId="0" applyFont="1" applyFill="1" applyBorder="1" applyAlignment="1">
      <alignment horizontal="center" wrapText="1"/>
    </xf>
    <xf numFmtId="1" fontId="24" fillId="6" borderId="130" xfId="0" applyNumberFormat="1" applyFont="1" applyFill="1" applyBorder="1" applyAlignment="1">
      <alignment horizontal="center" wrapText="1"/>
    </xf>
    <xf numFmtId="1" fontId="24" fillId="6" borderId="133" xfId="0" applyNumberFormat="1" applyFont="1" applyFill="1" applyBorder="1" applyAlignment="1">
      <alignment horizontal="center" wrapText="1"/>
    </xf>
    <xf numFmtId="0" fontId="62" fillId="53" borderId="27" xfId="144" applyBorder="1">
      <alignment horizontal="center" vertical="center"/>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33" xfId="0" applyFont="1" applyFill="1" applyBorder="1" applyAlignment="1" applyProtection="1">
      <alignment horizontal="center" vertical="center" wrapText="1"/>
    </xf>
    <xf numFmtId="0" fontId="24" fillId="6" borderId="130" xfId="0" applyFont="1" applyFill="1" applyBorder="1" applyAlignment="1" applyProtection="1">
      <alignment horizontal="center" vertical="center" wrapText="1"/>
    </xf>
    <xf numFmtId="0" fontId="26" fillId="6" borderId="38" xfId="0" applyFont="1" applyFill="1" applyBorder="1" applyAlignment="1">
      <alignment horizontal="center" vertical="center"/>
    </xf>
    <xf numFmtId="0" fontId="26" fillId="0" borderId="38"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0" fillId="6" borderId="128" xfId="0" applyFont="1" applyFill="1" applyBorder="1" applyAlignment="1"/>
    <xf numFmtId="0" fontId="25" fillId="13" borderId="33" xfId="3" applyFont="1" applyBorder="1" applyAlignment="1">
      <alignment horizontal="center" vertical="center"/>
    </xf>
    <xf numFmtId="0" fontId="0" fillId="6" borderId="35" xfId="0" applyFont="1" applyFill="1" applyBorder="1" applyProtection="1">
      <alignment vertical="center"/>
    </xf>
    <xf numFmtId="0" fontId="0" fillId="6" borderId="129" xfId="0" applyFont="1" applyFill="1" applyBorder="1" applyProtection="1">
      <alignment vertical="center"/>
    </xf>
    <xf numFmtId="3" fontId="0" fillId="41" borderId="32" xfId="11" applyFont="1" applyBorder="1" applyProtection="1">
      <alignment horizontal="right" vertical="center"/>
      <protection locked="0"/>
    </xf>
    <xf numFmtId="0" fontId="25" fillId="13" borderId="133" xfId="3" applyFont="1" applyBorder="1" applyAlignment="1">
      <alignment horizontal="center" vertical="center"/>
    </xf>
    <xf numFmtId="3" fontId="0" fillId="41" borderId="36" xfId="11" applyFont="1" applyBorder="1" applyAlignment="1" applyProtection="1">
      <alignment horizontal="right" vertical="center"/>
      <protection locked="0"/>
    </xf>
    <xf numFmtId="3" fontId="0" fillId="6" borderId="130" xfId="30" applyFont="1" applyFill="1" applyBorder="1" applyAlignment="1" applyProtection="1">
      <alignment horizontal="right" vertical="center"/>
    </xf>
    <xf numFmtId="0" fontId="25" fillId="13" borderId="130" xfId="3" applyFont="1" applyBorder="1" applyAlignment="1">
      <alignment horizontal="center" vertical="center"/>
    </xf>
    <xf numFmtId="0" fontId="25" fillId="13" borderId="31" xfId="3" applyFont="1" applyBorder="1" applyAlignment="1">
      <alignment horizontal="center" vertical="center"/>
    </xf>
    <xf numFmtId="0" fontId="20" fillId="6" borderId="129" xfId="0" applyFont="1" applyFill="1" applyBorder="1" applyAlignment="1">
      <alignment vertical="center"/>
    </xf>
    <xf numFmtId="0" fontId="47" fillId="6" borderId="129" xfId="0" applyFont="1" applyFill="1" applyBorder="1" applyAlignment="1">
      <alignment horizontal="center" vertical="center"/>
    </xf>
    <xf numFmtId="0" fontId="32" fillId="6" borderId="128" xfId="0" applyFont="1" applyFill="1" applyBorder="1" applyAlignment="1">
      <alignment horizontal="center"/>
    </xf>
    <xf numFmtId="0" fontId="32" fillId="6" borderId="128" xfId="0" applyFont="1" applyFill="1" applyBorder="1" applyAlignment="1"/>
    <xf numFmtId="0" fontId="47" fillId="6" borderId="128" xfId="0" applyFont="1" applyFill="1" applyBorder="1" applyAlignment="1">
      <alignment horizontal="center"/>
    </xf>
    <xf numFmtId="0" fontId="24" fillId="6" borderId="133" xfId="0" applyFont="1" applyFill="1" applyBorder="1" applyAlignment="1" applyProtection="1">
      <alignment horizontal="center" vertical="center"/>
    </xf>
    <xf numFmtId="0" fontId="22" fillId="6" borderId="129" xfId="0" applyFont="1" applyBorder="1">
      <alignment vertical="center"/>
    </xf>
    <xf numFmtId="0" fontId="42" fillId="6" borderId="129" xfId="0" applyFont="1" applyFill="1" applyBorder="1" applyProtection="1">
      <alignment vertical="center"/>
    </xf>
    <xf numFmtId="0" fontId="24" fillId="6" borderId="129" xfId="0" applyFont="1" applyFill="1" applyBorder="1" applyAlignment="1" applyProtection="1">
      <alignment vertical="center"/>
    </xf>
    <xf numFmtId="0" fontId="24" fillId="6" borderId="130" xfId="0" applyFont="1" applyFill="1" applyBorder="1" applyAlignment="1" applyProtection="1">
      <alignment horizontal="center" vertical="center"/>
    </xf>
    <xf numFmtId="0" fontId="22" fillId="6" borderId="100" xfId="0" applyFont="1" applyBorder="1">
      <alignment vertical="center"/>
    </xf>
    <xf numFmtId="0" fontId="24" fillId="6" borderId="133"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32"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37" fillId="6" borderId="106" xfId="0" applyFont="1" applyFill="1" applyBorder="1" applyAlignment="1" applyProtection="1">
      <alignment horizontal="left" vertical="center"/>
    </xf>
    <xf numFmtId="0" fontId="24" fillId="6" borderId="135" xfId="0" applyFont="1" applyFill="1" applyBorder="1" applyAlignment="1" applyProtection="1">
      <alignment horizontal="center" vertical="center" wrapText="1"/>
    </xf>
    <xf numFmtId="3" fontId="22" fillId="6" borderId="122" xfId="30" applyFont="1" applyBorder="1">
      <alignment horizontal="right" vertical="center"/>
    </xf>
    <xf numFmtId="0" fontId="25" fillId="13" borderId="21" xfId="3" applyFont="1" applyBorder="1" applyAlignment="1">
      <alignment horizontal="center" vertical="center"/>
    </xf>
    <xf numFmtId="0" fontId="25" fillId="13" borderId="32" xfId="3" applyFont="1" applyBorder="1" applyAlignment="1">
      <alignment horizontal="center" vertical="center"/>
    </xf>
    <xf numFmtId="3" fontId="22" fillId="6" borderId="136" xfId="30" applyFont="1" applyBorder="1">
      <alignment horizontal="right" vertical="center"/>
    </xf>
    <xf numFmtId="3" fontId="0" fillId="41" borderId="136" xfId="11" applyFont="1" applyBorder="1" applyProtection="1">
      <alignment horizontal="right" vertical="center"/>
      <protection locked="0"/>
    </xf>
    <xf numFmtId="3" fontId="0" fillId="41" borderId="88" xfId="11" applyFont="1" applyBorder="1" applyProtection="1">
      <alignment horizontal="right" vertical="center"/>
      <protection locked="0"/>
    </xf>
    <xf numFmtId="0" fontId="22" fillId="2" borderId="41" xfId="0" applyFont="1" applyFill="1" applyBorder="1" applyAlignment="1" applyProtection="1">
      <alignment horizontal="center" vertical="center"/>
    </xf>
    <xf numFmtId="0" fontId="22" fillId="2" borderId="38" xfId="0" applyFont="1" applyFill="1" applyBorder="1" applyAlignment="1" applyProtection="1">
      <alignment horizontal="left" vertical="center"/>
    </xf>
    <xf numFmtId="0" fontId="22" fillId="2" borderId="35" xfId="0" applyFont="1" applyFill="1" applyBorder="1" applyAlignment="1" applyProtection="1">
      <alignment horizontal="left" vertical="center"/>
    </xf>
    <xf numFmtId="0" fontId="22" fillId="2" borderId="35" xfId="0" applyFont="1" applyFill="1" applyBorder="1">
      <alignment vertical="center"/>
    </xf>
    <xf numFmtId="0" fontId="25" fillId="13" borderId="48" xfId="3" applyFont="1" applyBorder="1" applyAlignment="1">
      <alignment horizontal="center" vertical="center"/>
    </xf>
    <xf numFmtId="3" fontId="0" fillId="6" borderId="50" xfId="30" applyFont="1" applyBorder="1">
      <alignment horizontal="right" vertical="center"/>
    </xf>
    <xf numFmtId="0" fontId="22" fillId="41" borderId="33" xfId="18" applyFont="1" applyBorder="1">
      <alignment horizontal="center" vertical="center" wrapText="1"/>
      <protection locked="0"/>
    </xf>
    <xf numFmtId="3" fontId="22" fillId="6" borderId="34" xfId="30" applyFont="1" applyFill="1" applyBorder="1" applyAlignment="1">
      <alignment horizontal="center" vertical="center"/>
    </xf>
    <xf numFmtId="0" fontId="22" fillId="41" borderId="105" xfId="18" applyFont="1" applyBorder="1">
      <alignment horizontal="center" vertical="center" wrapText="1"/>
      <protection locked="0"/>
    </xf>
    <xf numFmtId="0" fontId="0" fillId="6" borderId="105" xfId="0" applyFont="1" applyFill="1" applyBorder="1" applyAlignment="1" applyProtection="1">
      <alignment horizontal="left" vertical="center"/>
    </xf>
    <xf numFmtId="0" fontId="24" fillId="43" borderId="133" xfId="0" applyFont="1" applyFill="1" applyBorder="1" applyAlignment="1" applyProtection="1">
      <alignment horizontal="center" wrapText="1"/>
    </xf>
    <xf numFmtId="0" fontId="20" fillId="6" borderId="131" xfId="4" applyFill="1" applyBorder="1" applyAlignment="1"/>
    <xf numFmtId="0" fontId="20" fillId="6" borderId="129" xfId="0" applyFont="1" applyFill="1" applyBorder="1" applyAlignment="1"/>
    <xf numFmtId="0" fontId="20" fillId="6" borderId="128" xfId="0" applyFont="1" applyFill="1" applyBorder="1" applyAlignment="1"/>
    <xf numFmtId="0" fontId="22" fillId="53" borderId="28" xfId="144" applyFont="1" applyBorder="1" applyAlignment="1">
      <alignment horizontal="center" vertical="center"/>
    </xf>
    <xf numFmtId="0" fontId="0" fillId="41" borderId="106" xfId="18" applyFont="1" applyBorder="1" applyAlignment="1" applyProtection="1">
      <alignment horizontal="center" vertical="center" wrapText="1"/>
      <protection locked="0"/>
    </xf>
    <xf numFmtId="0" fontId="39" fillId="46" borderId="27" xfId="3" applyFont="1" applyFill="1" applyBorder="1">
      <alignment horizontal="center" vertical="center"/>
    </xf>
    <xf numFmtId="0" fontId="39" fillId="6" borderId="106" xfId="0" applyFont="1" applyBorder="1" applyAlignment="1">
      <alignment horizontal="left" indent="1"/>
    </xf>
    <xf numFmtId="0" fontId="25" fillId="6" borderId="106" xfId="0" applyFont="1" applyFill="1" applyBorder="1" applyAlignment="1">
      <alignment horizontal="left"/>
    </xf>
    <xf numFmtId="0" fontId="39" fillId="46" borderId="106" xfId="3" applyFont="1" applyFill="1" applyBorder="1">
      <alignment horizontal="center" vertical="center"/>
    </xf>
    <xf numFmtId="0" fontId="32" fillId="6" borderId="96" xfId="0" applyFont="1" applyFill="1" applyBorder="1" applyAlignment="1"/>
    <xf numFmtId="3" fontId="39" fillId="41" borderId="122" xfId="11" applyFont="1" applyBorder="1">
      <alignment horizontal="right" vertical="center"/>
      <protection locked="0"/>
    </xf>
    <xf numFmtId="0" fontId="39" fillId="6" borderId="71" xfId="0" applyFont="1" applyFill="1" applyBorder="1">
      <alignment vertical="center"/>
    </xf>
    <xf numFmtId="0" fontId="22" fillId="41" borderId="133" xfId="18" applyFont="1" applyBorder="1" applyAlignment="1" applyProtection="1">
      <alignment horizontal="center" vertical="center" wrapText="1"/>
      <protection locked="0"/>
    </xf>
    <xf numFmtId="0" fontId="22" fillId="13" borderId="0" xfId="0" applyFont="1" applyFill="1" applyBorder="1" applyAlignment="1">
      <alignment vertical="center"/>
    </xf>
    <xf numFmtId="0" fontId="39" fillId="6" borderId="0" xfId="0" applyFont="1" applyFill="1" applyBorder="1" applyAlignment="1">
      <alignment horizontal="left" vertical="center" wrapText="1"/>
    </xf>
    <xf numFmtId="0" fontId="39" fillId="6" borderId="0" xfId="0" applyFont="1" applyFill="1" applyBorder="1">
      <alignment vertical="center"/>
    </xf>
    <xf numFmtId="0" fontId="0" fillId="6" borderId="28" xfId="0" applyFont="1" applyFill="1" applyBorder="1" applyAlignment="1" applyProtection="1">
      <alignment vertical="center" wrapText="1"/>
    </xf>
    <xf numFmtId="0" fontId="0" fillId="6" borderId="106" xfId="0" applyFont="1" applyFill="1" applyBorder="1" applyAlignment="1" applyProtection="1">
      <alignment vertical="center" wrapText="1"/>
    </xf>
    <xf numFmtId="0" fontId="0" fillId="6" borderId="27" xfId="0" applyFont="1" applyFill="1" applyBorder="1" applyAlignment="1" applyProtection="1">
      <alignment vertical="center" wrapText="1"/>
    </xf>
    <xf numFmtId="0" fontId="24" fillId="6" borderId="103" xfId="0" applyFont="1" applyBorder="1" applyAlignment="1">
      <alignment vertical="center"/>
    </xf>
    <xf numFmtId="3" fontId="0" fillId="13" borderId="104" xfId="3" applyNumberFormat="1" applyFont="1" applyBorder="1" applyAlignment="1" applyProtection="1">
      <alignment horizontal="center" vertical="center"/>
    </xf>
    <xf numFmtId="173" fontId="24" fillId="6" borderId="130" xfId="35" applyFont="1" applyBorder="1">
      <alignment horizontal="center" vertical="center" wrapText="1"/>
    </xf>
    <xf numFmtId="3" fontId="0" fillId="13" borderId="133" xfId="3" applyNumberFormat="1" applyFont="1" applyBorder="1" applyAlignment="1" applyProtection="1">
      <alignment horizontal="center" vertical="center"/>
    </xf>
    <xf numFmtId="3" fontId="0" fillId="14" borderId="26" xfId="20" applyFont="1" applyBorder="1">
      <alignment horizontal="right" vertical="center"/>
      <protection locked="0"/>
    </xf>
    <xf numFmtId="3" fontId="0" fillId="41" borderId="21" xfId="11" applyFont="1" applyBorder="1" applyAlignment="1" applyProtection="1">
      <alignment horizontal="right" vertical="center"/>
      <protection locked="0"/>
    </xf>
    <xf numFmtId="0" fontId="1" fillId="6" borderId="141" xfId="0" applyFont="1" applyBorder="1">
      <alignment vertical="center"/>
    </xf>
    <xf numFmtId="0" fontId="29" fillId="6" borderId="116" xfId="0" applyFont="1" applyFill="1" applyBorder="1" applyAlignment="1" applyProtection="1">
      <alignment vertical="center"/>
    </xf>
    <xf numFmtId="0" fontId="0" fillId="6" borderId="0" xfId="0" applyFill="1" applyBorder="1" applyAlignment="1">
      <alignment vertical="center"/>
    </xf>
    <xf numFmtId="0" fontId="22" fillId="6" borderId="70" xfId="0" applyFont="1" applyFill="1" applyBorder="1" applyAlignment="1">
      <alignment vertical="center"/>
    </xf>
    <xf numFmtId="0" fontId="22" fillId="6" borderId="145" xfId="0" applyFont="1" applyBorder="1" applyAlignment="1">
      <alignment vertical="center"/>
    </xf>
    <xf numFmtId="0" fontId="24" fillId="6" borderId="106" xfId="0" applyFont="1" applyFill="1" applyBorder="1" applyAlignment="1">
      <alignment vertical="center"/>
    </xf>
    <xf numFmtId="3" fontId="22" fillId="41" borderId="136" xfId="11" applyFont="1" applyBorder="1">
      <alignment horizontal="right" vertical="center"/>
      <protection locked="0"/>
    </xf>
    <xf numFmtId="3" fontId="22" fillId="41" borderId="48" xfId="11" applyFont="1" applyBorder="1">
      <alignment horizontal="right" vertical="center"/>
      <protection locked="0"/>
    </xf>
    <xf numFmtId="3" fontId="22" fillId="41" borderId="88" xfId="11" applyFont="1" applyBorder="1">
      <alignment horizontal="right" vertical="center"/>
      <protection locked="0"/>
    </xf>
    <xf numFmtId="3" fontId="22" fillId="41" borderId="139" xfId="11" applyFont="1" applyBorder="1">
      <alignment horizontal="right" vertical="center"/>
      <protection locked="0"/>
    </xf>
    <xf numFmtId="3" fontId="22" fillId="41" borderId="26" xfId="11" applyFont="1" applyBorder="1">
      <alignment horizontal="right" vertical="center"/>
      <protection locked="0"/>
    </xf>
    <xf numFmtId="3" fontId="22" fillId="41" borderId="50" xfId="11" applyFont="1" applyBorder="1">
      <alignment horizontal="right" vertical="center"/>
      <protection locked="0"/>
    </xf>
    <xf numFmtId="3" fontId="22" fillId="41" borderId="49" xfId="11" applyFont="1" applyBorder="1">
      <alignment horizontal="right" vertical="center"/>
      <protection locked="0"/>
    </xf>
    <xf numFmtId="3" fontId="22" fillId="43" borderId="104" xfId="6" applyFont="1" applyBorder="1" applyAlignment="1">
      <alignment horizontal="right" vertical="center"/>
    </xf>
    <xf numFmtId="3" fontId="22" fillId="43" borderId="130" xfId="6" applyFont="1" applyBorder="1" applyAlignment="1">
      <alignment horizontal="right" vertical="center"/>
    </xf>
    <xf numFmtId="3" fontId="22" fillId="43" borderId="120" xfId="6" applyFont="1" applyBorder="1" applyAlignment="1">
      <alignment horizontal="right" vertical="center"/>
    </xf>
    <xf numFmtId="3" fontId="22" fillId="43" borderId="132" xfId="6" applyFont="1" applyBorder="1" applyAlignment="1">
      <alignment horizontal="right" vertical="center"/>
    </xf>
    <xf numFmtId="3" fontId="22" fillId="43" borderId="150" xfId="6" applyFont="1" applyBorder="1" applyAlignment="1">
      <alignment horizontal="right" vertical="center"/>
    </xf>
    <xf numFmtId="0" fontId="1" fillId="6" borderId="145" xfId="0" applyFont="1" applyBorder="1">
      <alignment vertical="center"/>
    </xf>
    <xf numFmtId="0" fontId="22" fillId="6" borderId="124" xfId="0" applyFont="1" applyFill="1" applyBorder="1" applyAlignment="1">
      <alignment vertical="center"/>
    </xf>
    <xf numFmtId="0" fontId="22" fillId="6" borderId="129" xfId="0" applyFont="1" applyFill="1" applyBorder="1" applyAlignment="1" applyProtection="1">
      <alignment vertical="center"/>
    </xf>
    <xf numFmtId="0" fontId="22" fillId="6" borderId="142" xfId="0" applyFont="1" applyFill="1" applyBorder="1" applyAlignment="1" applyProtection="1">
      <alignment vertical="center"/>
    </xf>
    <xf numFmtId="0" fontId="29" fillId="6" borderId="70" xfId="0" applyFont="1" applyFill="1" applyBorder="1" applyAlignment="1" applyProtection="1">
      <alignment vertical="center"/>
    </xf>
    <xf numFmtId="0" fontId="22" fillId="6" borderId="71" xfId="0" applyFont="1" applyFill="1" applyBorder="1" applyProtection="1">
      <alignment vertical="center"/>
    </xf>
    <xf numFmtId="0" fontId="22" fillId="6" borderId="0" xfId="0" applyFont="1" applyFill="1" applyBorder="1" applyProtection="1">
      <alignment vertical="center"/>
    </xf>
    <xf numFmtId="0" fontId="22" fillId="6" borderId="152" xfId="0" applyFont="1" applyFill="1" applyBorder="1">
      <alignment vertical="center"/>
    </xf>
    <xf numFmtId="0" fontId="22" fillId="6" borderId="153" xfId="0" applyFont="1" applyFill="1" applyBorder="1">
      <alignment vertical="center"/>
    </xf>
    <xf numFmtId="0" fontId="22" fillId="6" borderId="0" xfId="0" applyFont="1" applyFill="1" applyBorder="1">
      <alignment vertical="center"/>
    </xf>
    <xf numFmtId="0" fontId="22" fillId="6" borderId="154" xfId="0" applyFont="1" applyFill="1" applyBorder="1">
      <alignment vertical="center"/>
    </xf>
    <xf numFmtId="0" fontId="24" fillId="6" borderId="0" xfId="0" applyFont="1" applyFill="1" applyBorder="1" applyAlignment="1">
      <alignment horizontal="left" vertical="center"/>
    </xf>
    <xf numFmtId="0" fontId="24" fillId="6" borderId="71" xfId="0" applyFont="1" applyFill="1" applyBorder="1" applyAlignment="1">
      <alignment horizontal="left" vertical="center"/>
    </xf>
    <xf numFmtId="3" fontId="22" fillId="41" borderId="136" xfId="11" applyFont="1" applyBorder="1" applyAlignment="1">
      <alignment horizontal="right" vertical="center"/>
      <protection locked="0"/>
    </xf>
    <xf numFmtId="3" fontId="22" fillId="41" borderId="20" xfId="11" applyFont="1" applyBorder="1" applyAlignment="1">
      <alignment horizontal="right" vertical="center"/>
      <protection locked="0"/>
    </xf>
    <xf numFmtId="3" fontId="22" fillId="41" borderId="48" xfId="11" applyFont="1" applyBorder="1" applyAlignment="1">
      <alignment horizontal="right" vertical="center"/>
      <protection locked="0"/>
    </xf>
    <xf numFmtId="3" fontId="22" fillId="41" borderId="25" xfId="11" applyFont="1" applyBorder="1" applyAlignment="1">
      <alignment horizontal="right" vertical="center"/>
      <protection locked="0"/>
    </xf>
    <xf numFmtId="3" fontId="22" fillId="41" borderId="32" xfId="11" applyFont="1" applyBorder="1" applyAlignment="1">
      <alignment horizontal="right" vertical="center"/>
      <protection locked="0"/>
    </xf>
    <xf numFmtId="3" fontId="22" fillId="41" borderId="50" xfId="11" applyFont="1" applyBorder="1" applyAlignment="1">
      <alignment horizontal="right" vertical="center"/>
      <protection locked="0"/>
    </xf>
    <xf numFmtId="3" fontId="22" fillId="41" borderId="21" xfId="11" applyFont="1" applyBorder="1" applyAlignment="1">
      <alignment horizontal="right" vertical="center"/>
      <protection locked="0"/>
    </xf>
    <xf numFmtId="3" fontId="22" fillId="41" borderId="49" xfId="11" applyFont="1" applyBorder="1" applyAlignment="1">
      <alignment horizontal="right" vertical="center"/>
      <protection locked="0"/>
    </xf>
    <xf numFmtId="3" fontId="22" fillId="41" borderId="31" xfId="11" applyFont="1" applyBorder="1" applyAlignment="1">
      <alignment horizontal="right" vertical="center"/>
      <protection locked="0"/>
    </xf>
    <xf numFmtId="0" fontId="20" fillId="6" borderId="71" xfId="0" applyFont="1" applyFill="1" applyBorder="1" applyAlignment="1" applyProtection="1">
      <alignment vertical="center"/>
    </xf>
    <xf numFmtId="0" fontId="22" fillId="6" borderId="71" xfId="0" applyFont="1" applyFill="1" applyBorder="1" applyAlignment="1">
      <alignment vertical="center"/>
    </xf>
    <xf numFmtId="0" fontId="22" fillId="6" borderId="71" xfId="0" applyFont="1" applyFill="1" applyBorder="1" applyAlignment="1" applyProtection="1">
      <alignment vertical="center"/>
    </xf>
    <xf numFmtId="0" fontId="22" fillId="6" borderId="157" xfId="0" applyFont="1" applyFill="1" applyBorder="1" applyAlignment="1">
      <alignment vertical="center"/>
    </xf>
    <xf numFmtId="0" fontId="22" fillId="6" borderId="158" xfId="0" applyFont="1" applyFill="1" applyBorder="1" applyAlignment="1">
      <alignment vertical="center"/>
    </xf>
    <xf numFmtId="0" fontId="22" fillId="6" borderId="128" xfId="0" applyFont="1" applyFill="1" applyBorder="1" applyProtection="1">
      <alignment vertical="center"/>
    </xf>
    <xf numFmtId="0" fontId="64" fillId="6" borderId="128" xfId="0" applyFont="1" applyFill="1" applyBorder="1" applyAlignment="1" applyProtection="1">
      <alignment horizontal="left" vertical="top"/>
    </xf>
    <xf numFmtId="0" fontId="37" fillId="6" borderId="71" xfId="0" applyFont="1" applyFill="1" applyBorder="1" applyAlignment="1">
      <alignment horizontal="center" vertical="center"/>
    </xf>
    <xf numFmtId="3" fontId="22" fillId="41" borderId="160" xfId="11" applyFont="1" applyBorder="1">
      <alignment horizontal="right" vertical="center"/>
      <protection locked="0"/>
    </xf>
    <xf numFmtId="0" fontId="22" fillId="6" borderId="27" xfId="0" applyFont="1" applyFill="1" applyBorder="1" applyAlignment="1">
      <alignment horizontal="left" vertical="center" wrapText="1" indent="1"/>
    </xf>
    <xf numFmtId="3" fontId="22" fillId="43" borderId="132" xfId="6" applyFont="1" applyBorder="1">
      <alignment horizontal="right" vertical="center"/>
    </xf>
    <xf numFmtId="3" fontId="22" fillId="43" borderId="130" xfId="6" applyFont="1" applyBorder="1">
      <alignment horizontal="right" vertical="center"/>
    </xf>
    <xf numFmtId="3" fontId="22" fillId="43" borderId="120" xfId="6" applyFont="1" applyBorder="1">
      <alignment horizontal="right" vertical="center"/>
    </xf>
    <xf numFmtId="3" fontId="22" fillId="43" borderId="159" xfId="6" applyFont="1" applyBorder="1">
      <alignment horizontal="right" vertical="center"/>
    </xf>
    <xf numFmtId="0" fontId="64" fillId="6" borderId="0" xfId="0" applyFont="1" applyFill="1" applyBorder="1" applyAlignment="1" applyProtection="1">
      <alignment horizontal="left" vertical="top"/>
    </xf>
    <xf numFmtId="0" fontId="1" fillId="6" borderId="141" xfId="0" applyFont="1" applyFill="1" applyBorder="1">
      <alignment vertical="center"/>
    </xf>
    <xf numFmtId="0" fontId="22" fillId="6" borderId="145" xfId="0" applyFont="1" applyFill="1" applyBorder="1" applyAlignment="1">
      <alignment vertical="center"/>
    </xf>
    <xf numFmtId="0" fontId="1" fillId="6" borderId="145" xfId="0" applyFont="1" applyFill="1" applyBorder="1">
      <alignment vertical="center"/>
    </xf>
    <xf numFmtId="0" fontId="1" fillId="6" borderId="155" xfId="0" applyFont="1" applyFill="1" applyBorder="1">
      <alignment vertical="center"/>
    </xf>
    <xf numFmtId="0" fontId="1" fillId="6" borderId="142" xfId="0" applyFont="1" applyFill="1" applyBorder="1">
      <alignment vertical="center"/>
    </xf>
    <xf numFmtId="0" fontId="22" fillId="6" borderId="151" xfId="0" applyFont="1" applyFill="1" applyBorder="1" applyAlignment="1">
      <alignment vertical="center"/>
    </xf>
    <xf numFmtId="0" fontId="24" fillId="6" borderId="132" xfId="0" applyFont="1" applyFill="1" applyBorder="1" applyAlignment="1">
      <alignment horizontal="center" vertical="center" wrapText="1"/>
    </xf>
    <xf numFmtId="0" fontId="24" fillId="43" borderId="129" xfId="9" applyFont="1" applyBorder="1" applyAlignment="1">
      <alignment horizontal="center" vertical="center"/>
    </xf>
    <xf numFmtId="0" fontId="22" fillId="6" borderId="0" xfId="0" applyFont="1" applyFill="1" applyBorder="1" applyAlignment="1" applyProtection="1">
      <alignment vertical="center"/>
    </xf>
    <xf numFmtId="0" fontId="24" fillId="6" borderId="0" xfId="0" applyFont="1" applyFill="1" applyBorder="1" applyAlignment="1">
      <alignment vertical="center"/>
    </xf>
    <xf numFmtId="0" fontId="20" fillId="6" borderId="0" xfId="0" applyFont="1" applyFill="1" applyBorder="1" applyAlignment="1" applyProtection="1"/>
    <xf numFmtId="0" fontId="22" fillId="6" borderId="152" xfId="0" applyFont="1" applyFill="1" applyBorder="1" applyAlignment="1">
      <alignment vertical="center"/>
    </xf>
    <xf numFmtId="0" fontId="0" fillId="6" borderId="96" xfId="0" applyFill="1" applyBorder="1" applyAlignment="1">
      <alignment vertical="center"/>
    </xf>
    <xf numFmtId="0" fontId="22" fillId="6" borderId="162" xfId="0" applyFont="1" applyFill="1" applyBorder="1" applyAlignment="1">
      <alignment vertical="center"/>
    </xf>
    <xf numFmtId="0" fontId="22" fillId="6" borderId="163" xfId="0" applyFont="1" applyFill="1" applyBorder="1" applyAlignment="1">
      <alignment horizontal="left" vertical="center"/>
    </xf>
    <xf numFmtId="0" fontId="1" fillId="6" borderId="162" xfId="0" applyFont="1" applyFill="1" applyBorder="1">
      <alignment vertical="center"/>
    </xf>
    <xf numFmtId="0" fontId="22" fillId="6" borderId="164" xfId="0" applyFont="1" applyFill="1" applyBorder="1" applyAlignment="1">
      <alignment vertical="center"/>
    </xf>
    <xf numFmtId="0" fontId="1" fillId="6" borderId="164" xfId="0" applyFont="1" applyFill="1" applyBorder="1">
      <alignment vertical="center"/>
    </xf>
    <xf numFmtId="0" fontId="22" fillId="6" borderId="70" xfId="0" applyFont="1" applyFill="1" applyBorder="1">
      <alignment vertical="center"/>
    </xf>
    <xf numFmtId="0" fontId="1" fillId="6" borderId="165" xfId="0" applyFont="1" applyFill="1" applyBorder="1">
      <alignment vertical="center"/>
    </xf>
    <xf numFmtId="0" fontId="22" fillId="6" borderId="166" xfId="0" applyFont="1" applyFill="1" applyBorder="1">
      <alignment vertical="center"/>
    </xf>
    <xf numFmtId="0" fontId="22" fillId="6" borderId="167" xfId="0" applyFont="1" applyFill="1" applyBorder="1" applyAlignment="1">
      <alignment horizontal="left" vertical="center"/>
    </xf>
    <xf numFmtId="0" fontId="1" fillId="6" borderId="168" xfId="0" applyFont="1" applyFill="1" applyBorder="1">
      <alignment vertical="center"/>
    </xf>
    <xf numFmtId="0" fontId="24" fillId="6" borderId="27" xfId="0" applyFont="1" applyFill="1" applyBorder="1" applyAlignment="1">
      <alignment vertical="center"/>
    </xf>
    <xf numFmtId="0" fontId="24" fillId="6" borderId="28" xfId="0" applyFont="1" applyFill="1" applyBorder="1" applyAlignment="1">
      <alignment vertical="center"/>
    </xf>
    <xf numFmtId="0" fontId="22" fillId="6" borderId="168" xfId="0" applyFont="1" applyFill="1" applyBorder="1" applyAlignment="1">
      <alignment vertical="center"/>
    </xf>
    <xf numFmtId="0" fontId="0" fillId="6" borderId="130" xfId="0" applyFont="1" applyFill="1" applyBorder="1" applyAlignment="1">
      <alignment horizontal="center" vertical="center" wrapText="1"/>
    </xf>
    <xf numFmtId="0" fontId="0" fillId="6" borderId="120" xfId="0" applyFont="1" applyFill="1" applyBorder="1" applyAlignment="1">
      <alignment horizontal="center" vertical="center" wrapText="1"/>
    </xf>
    <xf numFmtId="0" fontId="0" fillId="6" borderId="159" xfId="0" applyFont="1" applyFill="1" applyBorder="1" applyAlignment="1">
      <alignment horizontal="center" vertical="center" wrapText="1"/>
    </xf>
    <xf numFmtId="3" fontId="22" fillId="41" borderId="26" xfId="11" applyFont="1" applyBorder="1" applyAlignment="1">
      <alignment horizontal="right" vertical="center"/>
      <protection locked="0"/>
    </xf>
    <xf numFmtId="0" fontId="24" fillId="6" borderId="27" xfId="0" applyFont="1" applyFill="1" applyBorder="1" applyAlignment="1">
      <alignment horizontal="left" vertical="center" indent="1"/>
    </xf>
    <xf numFmtId="0" fontId="24" fillId="6" borderId="26" xfId="5" applyFont="1" applyBorder="1">
      <alignment horizontal="center" wrapText="1"/>
    </xf>
    <xf numFmtId="0" fontId="24" fillId="6" borderId="21" xfId="5" applyFont="1" applyBorder="1">
      <alignment horizontal="center" wrapText="1"/>
    </xf>
    <xf numFmtId="0" fontId="24" fillId="6" borderId="161" xfId="5" applyFont="1" applyBorder="1">
      <alignment horizontal="center" wrapText="1"/>
    </xf>
    <xf numFmtId="0" fontId="24" fillId="6" borderId="31" xfId="5" applyFont="1" applyBorder="1">
      <alignment horizontal="center" wrapText="1"/>
    </xf>
    <xf numFmtId="0" fontId="24" fillId="13" borderId="94" xfId="3" applyFont="1" applyBorder="1">
      <alignment horizontal="center" vertical="center"/>
    </xf>
    <xf numFmtId="0" fontId="24" fillId="6" borderId="50" xfId="5" applyFont="1" applyBorder="1">
      <alignment horizontal="center" wrapText="1"/>
    </xf>
    <xf numFmtId="0" fontId="24" fillId="13" borderId="122" xfId="3" applyFont="1" applyBorder="1">
      <alignment horizontal="center" vertical="center"/>
    </xf>
    <xf numFmtId="0" fontId="0" fillId="6" borderId="27" xfId="0" applyFont="1" applyFill="1" applyBorder="1" applyAlignment="1">
      <alignment horizontal="left" vertical="center" indent="2"/>
    </xf>
    <xf numFmtId="0" fontId="0" fillId="6" borderId="28" xfId="0" applyFont="1" applyFill="1" applyBorder="1" applyAlignment="1">
      <alignment horizontal="left" vertical="center" indent="2"/>
    </xf>
    <xf numFmtId="0" fontId="24" fillId="13" borderId="95" xfId="3" applyFont="1" applyBorder="1">
      <alignment horizontal="center" vertical="center"/>
    </xf>
    <xf numFmtId="3" fontId="22" fillId="6" borderId="48" xfId="30" applyFont="1" applyBorder="1">
      <alignment horizontal="right" vertical="center"/>
    </xf>
    <xf numFmtId="3" fontId="22" fillId="6" borderId="95" xfId="30" applyFont="1" applyBorder="1">
      <alignment horizontal="right" vertical="center"/>
    </xf>
    <xf numFmtId="3" fontId="22" fillId="6" borderId="170" xfId="30" applyFont="1" applyBorder="1">
      <alignment horizontal="right" vertical="center"/>
    </xf>
    <xf numFmtId="3" fontId="22" fillId="41" borderId="126" xfId="11" applyFont="1" applyBorder="1">
      <alignment horizontal="right" vertical="center"/>
      <protection locked="0"/>
    </xf>
    <xf numFmtId="3" fontId="22" fillId="6" borderId="126" xfId="30" applyFont="1" applyBorder="1">
      <alignment horizontal="right" vertical="center"/>
    </xf>
    <xf numFmtId="3" fontId="22" fillId="41" borderId="156" xfId="11" applyFont="1" applyBorder="1">
      <alignment horizontal="right" vertical="center"/>
      <protection locked="0"/>
    </xf>
    <xf numFmtId="3" fontId="22" fillId="6" borderId="50" xfId="30" applyFont="1" applyBorder="1">
      <alignment horizontal="right" vertical="center"/>
    </xf>
    <xf numFmtId="0" fontId="24" fillId="6" borderId="85" xfId="0" applyFont="1" applyFill="1" applyBorder="1" applyAlignment="1">
      <alignment vertical="center"/>
    </xf>
    <xf numFmtId="3" fontId="22" fillId="6" borderId="34" xfId="30" applyFont="1" applyBorder="1">
      <alignment horizontal="right" vertical="center"/>
    </xf>
    <xf numFmtId="3" fontId="22" fillId="6" borderId="22" xfId="30" applyFont="1" applyBorder="1">
      <alignment horizontal="right" vertical="center"/>
    </xf>
    <xf numFmtId="3" fontId="22" fillId="6" borderId="52" xfId="30" applyFont="1" applyBorder="1">
      <alignment horizontal="right" vertical="center"/>
    </xf>
    <xf numFmtId="0" fontId="0" fillId="6" borderId="79" xfId="0" applyFont="1" applyFill="1" applyBorder="1" applyAlignment="1">
      <alignment horizontal="center" vertical="center" wrapText="1"/>
    </xf>
    <xf numFmtId="0" fontId="0" fillId="6" borderId="172" xfId="0" applyFont="1" applyFill="1" applyBorder="1" applyAlignment="1">
      <alignment horizontal="center" vertical="center" wrapText="1"/>
    </xf>
    <xf numFmtId="0" fontId="0" fillId="6" borderId="173" xfId="0" applyFont="1" applyFill="1" applyBorder="1" applyAlignment="1">
      <alignment horizontal="center" vertical="center" wrapText="1"/>
    </xf>
    <xf numFmtId="0" fontId="24" fillId="6" borderId="35" xfId="0" applyFont="1" applyFill="1" applyBorder="1" applyAlignment="1">
      <alignment vertical="center"/>
    </xf>
    <xf numFmtId="3" fontId="22" fillId="43" borderId="79" xfId="6" applyFont="1" applyBorder="1" applyAlignment="1">
      <alignment horizontal="right" vertical="center"/>
    </xf>
    <xf numFmtId="3" fontId="22" fillId="43" borderId="83" xfId="6" applyFont="1" applyBorder="1" applyAlignment="1">
      <alignment horizontal="right" vertical="center"/>
    </xf>
    <xf numFmtId="3" fontId="22" fillId="43" borderId="171" xfId="6" applyFont="1" applyBorder="1" applyAlignment="1">
      <alignment horizontal="right" vertical="center"/>
    </xf>
    <xf numFmtId="3" fontId="22" fillId="43" borderId="172" xfId="6" applyFont="1" applyBorder="1" applyAlignment="1">
      <alignment horizontal="right" vertical="center"/>
    </xf>
    <xf numFmtId="0" fontId="37" fillId="6" borderId="104" xfId="5" applyFont="1" applyBorder="1">
      <alignment horizontal="center" wrapText="1"/>
    </xf>
    <xf numFmtId="0" fontId="37" fillId="6" borderId="130" xfId="5" applyFont="1" applyBorder="1">
      <alignment horizontal="center" wrapText="1"/>
    </xf>
    <xf numFmtId="0" fontId="24" fillId="43" borderId="133" xfId="0" applyFont="1" applyFill="1" applyBorder="1" applyAlignment="1" applyProtection="1">
      <alignment horizontal="center" wrapText="1"/>
    </xf>
    <xf numFmtId="0" fontId="25" fillId="13" borderId="32" xfId="3" applyFont="1" applyBorder="1" applyAlignment="1">
      <alignment horizontal="center" vertical="center"/>
    </xf>
    <xf numFmtId="0" fontId="24" fillId="6" borderId="133" xfId="0" applyFont="1" applyFill="1" applyBorder="1" applyAlignment="1" applyProtection="1">
      <alignment horizontal="center" vertical="center" wrapText="1"/>
    </xf>
    <xf numFmtId="0" fontId="24" fillId="6" borderId="104" xfId="0" applyFont="1" applyFill="1" applyBorder="1" applyAlignment="1" applyProtection="1">
      <alignment horizontal="center" vertical="center" wrapText="1"/>
    </xf>
    <xf numFmtId="0" fontId="24" fillId="6" borderId="130" xfId="0" applyFont="1" applyFill="1" applyBorder="1" applyAlignment="1" applyProtection="1">
      <alignment horizontal="center" vertical="center" wrapText="1"/>
    </xf>
    <xf numFmtId="0" fontId="24" fillId="6" borderId="114" xfId="0" applyFont="1" applyFill="1" applyBorder="1" applyAlignment="1" applyProtection="1">
      <alignment horizontal="center" vertical="center" wrapText="1"/>
    </xf>
    <xf numFmtId="0" fontId="25" fillId="13" borderId="133" xfId="3" applyFont="1" applyBorder="1" applyAlignment="1">
      <alignment horizontal="center" vertical="center"/>
    </xf>
    <xf numFmtId="0" fontId="25" fillId="13" borderId="32" xfId="3" applyFont="1" applyBorder="1" applyAlignment="1">
      <alignment horizontal="center" vertical="center"/>
    </xf>
    <xf numFmtId="0" fontId="24" fillId="6" borderId="133" xfId="0" applyFont="1" applyFill="1" applyBorder="1" applyAlignment="1" applyProtection="1">
      <alignment horizontal="center" wrapText="1"/>
    </xf>
    <xf numFmtId="0" fontId="0" fillId="6" borderId="27" xfId="0" applyFont="1" applyFill="1" applyBorder="1" applyAlignment="1" applyProtection="1">
      <alignment horizontal="left" vertical="center" indent="4"/>
    </xf>
    <xf numFmtId="0" fontId="25" fillId="13" borderId="133" xfId="3" applyFont="1" applyBorder="1" applyAlignment="1">
      <alignment horizontal="center" vertical="center"/>
    </xf>
    <xf numFmtId="0" fontId="24" fillId="6" borderId="129" xfId="5" applyFont="1" applyBorder="1">
      <alignment horizontal="center" wrapText="1"/>
    </xf>
    <xf numFmtId="0" fontId="37" fillId="6" borderId="133" xfId="5" applyFont="1" applyBorder="1">
      <alignment horizontal="center" wrapText="1"/>
    </xf>
    <xf numFmtId="3" fontId="22" fillId="13" borderId="136" xfId="3" applyNumberFormat="1" applyFont="1" applyBorder="1">
      <alignment horizontal="center" vertical="center"/>
    </xf>
    <xf numFmtId="0" fontId="37" fillId="6" borderId="135" xfId="5" applyFont="1" applyBorder="1">
      <alignment horizontal="center" wrapText="1"/>
    </xf>
    <xf numFmtId="0" fontId="37" fillId="6" borderId="143" xfId="5" applyFont="1" applyBorder="1">
      <alignment horizontal="center" wrapText="1"/>
    </xf>
    <xf numFmtId="171" fontId="22" fillId="41" borderId="20" xfId="16" applyFont="1">
      <alignment horizontal="right" vertical="center"/>
      <protection locked="0"/>
    </xf>
    <xf numFmtId="0" fontId="22" fillId="48" borderId="129" xfId="0" applyFont="1" applyFill="1" applyBorder="1">
      <alignment vertical="center"/>
    </xf>
    <xf numFmtId="172" fontId="22" fillId="41" borderId="133" xfId="10" applyFont="1" applyBorder="1">
      <alignment vertical="center"/>
      <protection locked="0"/>
    </xf>
    <xf numFmtId="3" fontId="22" fillId="41" borderId="133" xfId="11" applyFont="1" applyBorder="1">
      <alignment horizontal="right" vertical="center"/>
      <protection locked="0"/>
    </xf>
    <xf numFmtId="3" fontId="22" fillId="41" borderId="133" xfId="20" applyFont="1" applyFill="1" applyBorder="1">
      <alignment horizontal="right" vertical="center"/>
      <protection locked="0"/>
    </xf>
    <xf numFmtId="171" fontId="22" fillId="41" borderId="32" xfId="16" applyFont="1" applyBorder="1">
      <alignment horizontal="right" vertical="center"/>
      <protection locked="0"/>
    </xf>
    <xf numFmtId="171" fontId="22" fillId="41" borderId="36" xfId="16" applyFont="1" applyBorder="1">
      <alignment horizontal="right" vertical="center"/>
      <protection locked="0"/>
    </xf>
    <xf numFmtId="171" fontId="22" fillId="41" borderId="38" xfId="16" applyFont="1" applyBorder="1">
      <alignment horizontal="right" vertical="center"/>
      <protection locked="0"/>
    </xf>
    <xf numFmtId="171" fontId="22" fillId="41" borderId="130" xfId="16" applyFont="1" applyBorder="1">
      <alignment horizontal="right" vertical="center"/>
      <protection locked="0"/>
    </xf>
    <xf numFmtId="171" fontId="22" fillId="41" borderId="133" xfId="16" applyFont="1" applyBorder="1">
      <alignment horizontal="right" vertical="center"/>
      <protection locked="0"/>
    </xf>
    <xf numFmtId="170" fontId="22" fillId="42" borderId="109" xfId="13" applyFont="1" applyBorder="1">
      <alignment vertical="center"/>
      <protection locked="0"/>
    </xf>
    <xf numFmtId="170" fontId="22" fillId="42" borderId="94" xfId="13" applyFont="1" applyBorder="1">
      <alignment vertical="center"/>
      <protection locked="0"/>
    </xf>
    <xf numFmtId="170" fontId="22" fillId="42" borderId="20" xfId="13" applyFont="1" applyBorder="1">
      <alignment vertical="center"/>
      <protection locked="0"/>
    </xf>
    <xf numFmtId="170" fontId="22" fillId="42" borderId="32" xfId="13" applyFont="1" applyBorder="1">
      <alignment vertical="center"/>
      <protection locked="0"/>
    </xf>
    <xf numFmtId="170" fontId="22" fillId="42" borderId="36" xfId="13" applyFont="1" applyBorder="1">
      <alignment vertical="center"/>
      <protection locked="0"/>
    </xf>
    <xf numFmtId="170" fontId="22" fillId="42" borderId="38" xfId="13" applyFont="1" applyBorder="1">
      <alignment vertical="center"/>
      <protection locked="0"/>
    </xf>
    <xf numFmtId="3" fontId="22" fillId="13" borderId="129" xfId="3" applyNumberFormat="1" applyFont="1" applyBorder="1">
      <alignment horizontal="center" vertical="center"/>
    </xf>
    <xf numFmtId="170" fontId="22" fillId="42" borderId="130" xfId="13" applyFont="1" applyBorder="1">
      <alignment vertical="center"/>
      <protection locked="0"/>
    </xf>
    <xf numFmtId="170" fontId="22" fillId="42" borderId="133" xfId="13" applyFont="1" applyBorder="1">
      <alignment vertical="center"/>
      <protection locked="0"/>
    </xf>
    <xf numFmtId="3" fontId="39" fillId="6" borderId="114" xfId="30" applyFont="1" applyBorder="1">
      <alignment horizontal="right" vertical="center"/>
    </xf>
    <xf numFmtId="3" fontId="39" fillId="6" borderId="108" xfId="30" applyFont="1" applyBorder="1">
      <alignment horizontal="right" vertical="center"/>
    </xf>
    <xf numFmtId="3" fontId="39" fillId="13" borderId="109" xfId="3" applyNumberFormat="1" applyFont="1" applyBorder="1">
      <alignment horizontal="center" vertical="center"/>
    </xf>
    <xf numFmtId="3" fontId="39" fillId="13" borderId="25" xfId="3" applyNumberFormat="1" applyFont="1" applyBorder="1">
      <alignment horizontal="center" vertical="center"/>
    </xf>
    <xf numFmtId="0" fontId="39" fillId="6" borderId="106" xfId="0" applyFont="1" applyBorder="1" applyAlignment="1">
      <alignment horizontal="left" wrapText="1" indent="1"/>
    </xf>
    <xf numFmtId="0" fontId="39" fillId="6" borderId="27" xfId="0" applyFont="1" applyBorder="1" applyAlignment="1">
      <alignment horizontal="left" wrapText="1" indent="1"/>
    </xf>
    <xf numFmtId="0" fontId="39" fillId="6" borderId="27" xfId="0" applyFont="1" applyBorder="1" applyAlignment="1">
      <alignment horizontal="left" wrapText="1" indent="2"/>
    </xf>
    <xf numFmtId="0" fontId="39" fillId="6" borderId="28" xfId="0" applyFont="1" applyBorder="1" applyAlignment="1">
      <alignment horizontal="left" wrapText="1" indent="2"/>
    </xf>
    <xf numFmtId="0" fontId="39" fillId="6" borderId="91" xfId="0" applyFont="1" applyFill="1" applyBorder="1" applyAlignment="1" applyProtection="1">
      <alignment horizontal="left" vertical="center"/>
    </xf>
    <xf numFmtId="0" fontId="37" fillId="0" borderId="130" xfId="0" applyFont="1" applyFill="1" applyBorder="1" applyAlignment="1" applyProtection="1">
      <alignment horizontal="center" vertical="center" wrapText="1"/>
    </xf>
    <xf numFmtId="3" fontId="22" fillId="41" borderId="25"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3" fontId="22" fillId="41" borderId="31" xfId="11" applyNumberFormat="1" applyFont="1" applyBorder="1" applyAlignment="1" applyProtection="1">
      <alignment horizontal="right" vertical="center"/>
      <protection locked="0"/>
    </xf>
    <xf numFmtId="0" fontId="52" fillId="6" borderId="70" xfId="0" applyFont="1" applyFill="1" applyBorder="1" applyAlignment="1" applyProtection="1">
      <alignment horizontal="center" vertical="center" wrapText="1"/>
    </xf>
    <xf numFmtId="0" fontId="37" fillId="6" borderId="133" xfId="0" applyFont="1" applyFill="1" applyBorder="1" applyAlignment="1" applyProtection="1">
      <alignment horizontal="center" vertical="center" wrapText="1"/>
    </xf>
    <xf numFmtId="0" fontId="37" fillId="6" borderId="70" xfId="0" applyFont="1" applyFill="1" applyBorder="1" applyAlignment="1" applyProtection="1">
      <alignment horizontal="center" vertical="center"/>
    </xf>
    <xf numFmtId="0" fontId="37" fillId="0" borderId="133" xfId="0" applyFont="1" applyFill="1" applyBorder="1" applyAlignment="1" applyProtection="1">
      <alignment horizontal="center" vertical="center" wrapText="1"/>
    </xf>
    <xf numFmtId="3" fontId="22" fillId="41" borderId="109" xfId="11" applyNumberFormat="1" applyFont="1" applyBorder="1" applyAlignment="1" applyProtection="1">
      <alignment horizontal="right" vertical="center"/>
      <protection locked="0"/>
    </xf>
    <xf numFmtId="3" fontId="22" fillId="41" borderId="95" xfId="11" applyNumberFormat="1" applyFont="1" applyBorder="1" applyAlignment="1" applyProtection="1">
      <alignment horizontal="right" vertical="center"/>
      <protection locked="0"/>
    </xf>
    <xf numFmtId="3" fontId="22" fillId="41" borderId="107" xfId="11" applyNumberFormat="1" applyFont="1" applyBorder="1" applyAlignment="1" applyProtection="1">
      <alignment horizontal="right" vertical="center"/>
      <protection locked="0"/>
    </xf>
    <xf numFmtId="3" fontId="22" fillId="41" borderId="122" xfId="11" applyNumberFormat="1" applyFont="1" applyBorder="1" applyAlignment="1" applyProtection="1">
      <alignment horizontal="right" vertical="center"/>
      <protection locked="0"/>
    </xf>
    <xf numFmtId="3" fontId="22" fillId="41" borderId="94" xfId="11" applyNumberFormat="1" applyFont="1" applyBorder="1" applyAlignment="1" applyProtection="1">
      <alignment horizontal="right" vertical="center"/>
      <protection locked="0"/>
    </xf>
    <xf numFmtId="3" fontId="22" fillId="41" borderId="48" xfId="11" applyNumberFormat="1" applyFont="1" applyBorder="1" applyAlignment="1" applyProtection="1">
      <alignment horizontal="right" vertical="center"/>
      <protection locked="0"/>
    </xf>
    <xf numFmtId="3" fontId="22" fillId="41" borderId="136" xfId="11" applyNumberFormat="1" applyFont="1" applyBorder="1" applyAlignment="1" applyProtection="1">
      <alignment horizontal="right" vertical="center"/>
      <protection locked="0"/>
    </xf>
    <xf numFmtId="49" fontId="22" fillId="41" borderId="27" xfId="19" applyFont="1" applyBorder="1">
      <alignment vertical="center"/>
      <protection locked="0"/>
    </xf>
    <xf numFmtId="49" fontId="22" fillId="41" borderId="28" xfId="19" applyFont="1" applyBorder="1">
      <alignment vertical="center"/>
      <protection locked="0"/>
    </xf>
    <xf numFmtId="3" fontId="22" fillId="41" borderId="49" xfId="11" applyNumberFormat="1" applyFont="1" applyBorder="1" applyAlignment="1" applyProtection="1">
      <alignment horizontal="right" vertical="center"/>
      <protection locked="0"/>
    </xf>
    <xf numFmtId="3" fontId="22" fillId="41" borderId="50" xfId="11" applyNumberFormat="1" applyFont="1" applyBorder="1" applyAlignment="1" applyProtection="1">
      <alignment horizontal="right" vertical="center"/>
      <protection locked="0"/>
    </xf>
    <xf numFmtId="3" fontId="22" fillId="41" borderId="26" xfId="11" applyNumberFormat="1" applyFont="1" applyBorder="1" applyAlignment="1" applyProtection="1">
      <alignment horizontal="right" vertical="center"/>
      <protection locked="0"/>
    </xf>
    <xf numFmtId="0" fontId="65" fillId="6" borderId="35" xfId="0" applyFont="1" applyFill="1" applyBorder="1" applyAlignment="1" applyProtection="1">
      <alignment horizontal="left" vertical="center"/>
    </xf>
    <xf numFmtId="0" fontId="0" fillId="6" borderId="70" xfId="0" applyFill="1" applyBorder="1" applyAlignment="1">
      <alignment horizontal="center" vertical="center"/>
    </xf>
    <xf numFmtId="0" fontId="0" fillId="6" borderId="0" xfId="0" applyFill="1" applyBorder="1" applyAlignment="1">
      <alignment horizontal="center" vertical="center"/>
    </xf>
    <xf numFmtId="0" fontId="35" fillId="6" borderId="0" xfId="0" applyFont="1" applyFill="1" applyBorder="1" applyAlignment="1">
      <alignment horizontal="center" vertical="center"/>
    </xf>
    <xf numFmtId="0" fontId="39" fillId="6" borderId="70" xfId="0" applyFont="1" applyFill="1" applyBorder="1" applyAlignment="1">
      <alignment horizontal="center" vertical="center" wrapText="1"/>
    </xf>
    <xf numFmtId="0" fontId="39" fillId="6" borderId="96" xfId="0" applyFont="1" applyFill="1" applyBorder="1" applyAlignment="1">
      <alignment horizontal="center" vertical="center" wrapText="1"/>
    </xf>
    <xf numFmtId="0" fontId="39" fillId="6" borderId="70" xfId="0" applyFont="1" applyFill="1" applyBorder="1" applyAlignment="1">
      <alignment horizontal="center" vertical="center"/>
    </xf>
    <xf numFmtId="3" fontId="22" fillId="41" borderId="42" xfId="11" applyFont="1" applyBorder="1" applyAlignment="1" applyProtection="1">
      <alignment horizontal="right" vertical="center"/>
      <protection locked="0"/>
    </xf>
    <xf numFmtId="3" fontId="22" fillId="41" borderId="107" xfId="11" applyFont="1" applyBorder="1" applyAlignment="1" applyProtection="1">
      <alignment horizontal="right" vertical="center"/>
      <protection locked="0"/>
    </xf>
    <xf numFmtId="3" fontId="22" fillId="41" borderId="109" xfId="11" applyFont="1" applyBorder="1" applyAlignment="1" applyProtection="1">
      <alignment horizontal="right" vertical="center"/>
      <protection locked="0"/>
    </xf>
    <xf numFmtId="3" fontId="22" fillId="41" borderId="108" xfId="11" applyFont="1" applyBorder="1" applyAlignment="1" applyProtection="1">
      <alignment horizontal="right" vertical="center"/>
      <protection locked="0"/>
    </xf>
    <xf numFmtId="3" fontId="22" fillId="41" borderId="32" xfId="11" applyFont="1" applyBorder="1" applyAlignment="1" applyProtection="1">
      <alignment horizontal="right" vertical="center"/>
      <protection locked="0"/>
    </xf>
    <xf numFmtId="3" fontId="22" fillId="41" borderId="174" xfId="11" applyFont="1" applyBorder="1" applyAlignment="1" applyProtection="1">
      <alignment horizontal="right" vertical="center"/>
      <protection locked="0"/>
    </xf>
    <xf numFmtId="3" fontId="22" fillId="41" borderId="20" xfId="11" applyFont="1" applyBorder="1" applyAlignment="1" applyProtection="1">
      <alignment horizontal="right" vertical="center"/>
      <protection locked="0"/>
    </xf>
    <xf numFmtId="3" fontId="22" fillId="41" borderId="21" xfId="11" applyFont="1" applyBorder="1" applyAlignment="1" applyProtection="1">
      <alignment horizontal="right" vertical="center"/>
      <protection locked="0"/>
    </xf>
    <xf numFmtId="3" fontId="22" fillId="41" borderId="31" xfId="11" applyFont="1" applyBorder="1" applyAlignment="1" applyProtection="1">
      <alignment horizontal="right" vertical="center"/>
      <protection locked="0"/>
    </xf>
    <xf numFmtId="0" fontId="22" fillId="6" borderId="70" xfId="0" applyFont="1" applyFill="1" applyBorder="1" applyAlignment="1">
      <alignment horizontal="center" vertical="center"/>
    </xf>
    <xf numFmtId="0" fontId="37" fillId="6" borderId="130" xfId="0" applyFont="1" applyFill="1" applyBorder="1" applyAlignment="1" applyProtection="1">
      <alignment horizontal="center" vertical="center" wrapText="1"/>
    </xf>
    <xf numFmtId="0" fontId="37" fillId="6" borderId="104" xfId="0" applyFont="1" applyFill="1" applyBorder="1" applyAlignment="1" applyProtection="1">
      <alignment horizontal="center" vertical="center" wrapText="1"/>
    </xf>
    <xf numFmtId="3" fontId="22" fillId="41" borderId="95" xfId="11" applyFont="1" applyBorder="1" applyAlignment="1" applyProtection="1">
      <alignment horizontal="right" vertical="center"/>
      <protection locked="0"/>
    </xf>
    <xf numFmtId="3" fontId="22" fillId="41" borderId="122" xfId="11" applyFont="1" applyBorder="1" applyAlignment="1" applyProtection="1">
      <alignment horizontal="right" vertical="center"/>
      <protection locked="0"/>
    </xf>
    <xf numFmtId="0" fontId="22" fillId="6" borderId="32" xfId="0" applyFont="1" applyFill="1" applyBorder="1" applyAlignment="1">
      <alignment horizontal="left" vertical="center" wrapText="1"/>
    </xf>
    <xf numFmtId="3" fontId="22" fillId="41" borderId="48" xfId="11" applyFont="1" applyBorder="1" applyAlignment="1" applyProtection="1">
      <alignment horizontal="right" vertical="center"/>
      <protection locked="0"/>
    </xf>
    <xf numFmtId="3" fontId="22" fillId="41" borderId="136" xfId="11" applyFont="1" applyBorder="1" applyAlignment="1" applyProtection="1">
      <alignment horizontal="right" vertical="center"/>
      <protection locked="0"/>
    </xf>
    <xf numFmtId="0" fontId="22" fillId="6" borderId="32" xfId="0" applyFont="1" applyFill="1" applyBorder="1" applyAlignment="1">
      <alignment horizontal="center" vertical="center" wrapText="1"/>
    </xf>
    <xf numFmtId="0" fontId="22" fillId="6" borderId="26" xfId="0" applyFont="1" applyFill="1" applyBorder="1" applyAlignment="1">
      <alignment horizontal="center" vertical="center"/>
    </xf>
    <xf numFmtId="3" fontId="22" fillId="41" borderId="50" xfId="11" applyFont="1" applyBorder="1" applyAlignment="1" applyProtection="1">
      <alignment horizontal="right" vertical="center"/>
      <protection locked="0"/>
    </xf>
    <xf numFmtId="0" fontId="22" fillId="6" borderId="70" xfId="0" applyFont="1" applyFill="1" applyBorder="1" applyAlignment="1">
      <alignment horizontal="center" vertical="center" wrapText="1"/>
    </xf>
    <xf numFmtId="0" fontId="22" fillId="6" borderId="108" xfId="0" applyFont="1" applyFill="1" applyBorder="1" applyAlignment="1">
      <alignment horizontal="left" vertical="center" wrapText="1"/>
    </xf>
    <xf numFmtId="3" fontId="22" fillId="41" borderId="94" xfId="11" applyFont="1" applyBorder="1" applyAlignment="1" applyProtection="1">
      <alignment horizontal="right" vertical="center"/>
      <protection locked="0"/>
    </xf>
    <xf numFmtId="0" fontId="22" fillId="6" borderId="28" xfId="0" applyFont="1" applyFill="1" applyBorder="1" applyAlignment="1" applyProtection="1">
      <alignment horizontal="left" vertical="center"/>
    </xf>
    <xf numFmtId="3" fontId="22" fillId="41" borderId="49" xfId="11" applyFont="1" applyBorder="1" applyAlignment="1" applyProtection="1">
      <alignment horizontal="right" vertical="center"/>
      <protection locked="0"/>
    </xf>
    <xf numFmtId="0" fontId="35" fillId="6" borderId="128" xfId="0" applyFont="1" applyFill="1" applyBorder="1" applyAlignment="1" applyProtection="1">
      <alignment horizontal="left" vertical="center"/>
    </xf>
    <xf numFmtId="0" fontId="35" fillId="6" borderId="128" xfId="0" applyFont="1" applyFill="1" applyBorder="1" applyAlignment="1" applyProtection="1">
      <alignment vertical="center"/>
    </xf>
    <xf numFmtId="0" fontId="35" fillId="6" borderId="128" xfId="0" applyFont="1" applyFill="1" applyBorder="1" applyAlignment="1">
      <alignment vertical="center"/>
    </xf>
    <xf numFmtId="0" fontId="0" fillId="6" borderId="176" xfId="0" applyFill="1" applyBorder="1">
      <alignment vertical="center"/>
    </xf>
    <xf numFmtId="0" fontId="22" fillId="6" borderId="7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2" fillId="6" borderId="70" xfId="0" applyFont="1" applyFill="1" applyBorder="1" applyAlignment="1" applyProtection="1">
      <alignment horizontal="center" vertical="center"/>
    </xf>
    <xf numFmtId="0" fontId="37" fillId="6" borderId="98" xfId="0" applyFont="1" applyFill="1" applyBorder="1" applyAlignment="1" applyProtection="1">
      <alignment horizontal="center" vertical="center" wrapText="1"/>
    </xf>
    <xf numFmtId="0" fontId="0" fillId="6" borderId="170" xfId="0" applyFont="1" applyFill="1" applyBorder="1" applyAlignment="1" applyProtection="1">
      <alignment horizontal="left" vertical="center"/>
    </xf>
    <xf numFmtId="3" fontId="22" fillId="41" borderId="175" xfId="11" applyFont="1" applyBorder="1" applyAlignment="1" applyProtection="1">
      <alignment horizontal="right" vertical="center"/>
      <protection locked="0"/>
    </xf>
    <xf numFmtId="3" fontId="22" fillId="41" borderId="177" xfId="11" applyFont="1" applyBorder="1" applyAlignment="1" applyProtection="1">
      <alignment horizontal="right" vertical="center"/>
      <protection locked="0"/>
    </xf>
    <xf numFmtId="0" fontId="0" fillId="6" borderId="122" xfId="0" applyFont="1" applyFill="1" applyBorder="1" applyAlignment="1" applyProtection="1">
      <alignment horizontal="left" vertical="center"/>
    </xf>
    <xf numFmtId="0" fontId="22" fillId="6" borderId="126" xfId="0" applyFont="1" applyFill="1" applyBorder="1" applyAlignment="1" applyProtection="1">
      <alignment horizontal="left" vertical="center"/>
    </xf>
    <xf numFmtId="3" fontId="22" fillId="41" borderId="178" xfId="11" applyFont="1" applyBorder="1" applyAlignment="1" applyProtection="1">
      <alignment horizontal="right" vertical="center"/>
      <protection locked="0"/>
    </xf>
    <xf numFmtId="0" fontId="0" fillId="6" borderId="136" xfId="0" applyFont="1" applyFill="1" applyBorder="1" applyAlignment="1" applyProtection="1">
      <alignment horizontal="left" vertical="center"/>
    </xf>
    <xf numFmtId="0" fontId="0" fillId="6" borderId="126" xfId="0" applyFont="1" applyFill="1" applyBorder="1" applyAlignment="1" applyProtection="1">
      <alignment horizontal="left" vertical="center"/>
    </xf>
    <xf numFmtId="0" fontId="39" fillId="6" borderId="126" xfId="0" applyFont="1" applyFill="1" applyBorder="1" applyAlignment="1" applyProtection="1">
      <alignment horizontal="left" vertical="center"/>
    </xf>
    <xf numFmtId="0" fontId="39" fillId="6" borderId="70" xfId="0" applyFont="1" applyFill="1" applyBorder="1" applyAlignment="1" applyProtection="1">
      <alignment horizontal="left" vertical="center"/>
    </xf>
    <xf numFmtId="3" fontId="39" fillId="41" borderId="32" xfId="11" applyFont="1" applyBorder="1" applyAlignment="1" applyProtection="1">
      <alignment horizontal="right" vertical="center"/>
      <protection locked="0"/>
    </xf>
    <xf numFmtId="0" fontId="39" fillId="6" borderId="70" xfId="0" applyFont="1" applyBorder="1">
      <alignment vertical="center"/>
    </xf>
    <xf numFmtId="3" fontId="39" fillId="41" borderId="174" xfId="11" applyFont="1" applyBorder="1" applyAlignment="1" applyProtection="1">
      <alignment horizontal="right" vertical="center"/>
      <protection locked="0"/>
    </xf>
    <xf numFmtId="3" fontId="39" fillId="41" borderId="178" xfId="11" applyFont="1" applyBorder="1" applyAlignment="1" applyProtection="1">
      <alignment horizontal="right" vertical="center"/>
      <protection locked="0"/>
    </xf>
    <xf numFmtId="3" fontId="39" fillId="41" borderId="20" xfId="11" applyFont="1" applyBorder="1" applyAlignment="1" applyProtection="1">
      <alignment horizontal="right" vertical="center"/>
      <protection locked="0"/>
    </xf>
    <xf numFmtId="0" fontId="39" fillId="6" borderId="0" xfId="0" applyFont="1" applyFill="1" applyBorder="1" applyAlignment="1">
      <alignment vertical="center"/>
    </xf>
    <xf numFmtId="0" fontId="0" fillId="6" borderId="70" xfId="0" applyFont="1" applyBorder="1">
      <alignment vertical="center"/>
    </xf>
    <xf numFmtId="3" fontId="39" fillId="41" borderId="38" xfId="11" applyFont="1" applyBorder="1" applyAlignment="1" applyProtection="1">
      <alignment horizontal="right" vertical="center"/>
      <protection locked="0"/>
    </xf>
    <xf numFmtId="0" fontId="22" fillId="6" borderId="136" xfId="0" applyFont="1" applyFill="1" applyBorder="1" applyAlignment="1" applyProtection="1">
      <alignment horizontal="left" vertical="center"/>
    </xf>
    <xf numFmtId="3" fontId="39" fillId="41" borderId="31" xfId="11" applyFont="1" applyBorder="1" applyAlignment="1" applyProtection="1">
      <alignment horizontal="right" vertical="center"/>
      <protection locked="0"/>
    </xf>
    <xf numFmtId="0" fontId="22" fillId="6" borderId="50" xfId="0" applyFont="1" applyFill="1" applyBorder="1" applyAlignment="1" applyProtection="1">
      <alignment horizontal="left" vertical="center"/>
    </xf>
    <xf numFmtId="0" fontId="39" fillId="6" borderId="0" xfId="0" applyFont="1" applyFill="1" applyBorder="1" applyAlignment="1" applyProtection="1">
      <alignment horizontal="left" vertical="center"/>
    </xf>
    <xf numFmtId="0" fontId="37" fillId="0" borderId="104" xfId="0" applyFont="1" applyFill="1" applyBorder="1" applyAlignment="1" applyProtection="1">
      <alignment horizontal="center" vertical="center" wrapText="1"/>
    </xf>
    <xf numFmtId="0" fontId="37" fillId="6" borderId="171" xfId="5" applyFont="1" applyBorder="1">
      <alignment horizontal="center" wrapText="1"/>
    </xf>
    <xf numFmtId="3" fontId="22" fillId="41" borderId="27" xfId="11" applyNumberFormat="1" applyFont="1" applyBorder="1" applyAlignment="1" applyProtection="1">
      <alignment horizontal="right" vertical="center"/>
      <protection locked="0"/>
    </xf>
    <xf numFmtId="3" fontId="22" fillId="41" borderId="28" xfId="11" applyNumberFormat="1" applyFont="1" applyBorder="1" applyAlignment="1" applyProtection="1">
      <alignment horizontal="right" vertical="center"/>
      <protection locked="0"/>
    </xf>
    <xf numFmtId="0" fontId="37" fillId="6" borderId="172" xfId="5" applyFont="1" applyBorder="1">
      <alignment horizontal="center" wrapText="1"/>
    </xf>
    <xf numFmtId="0" fontId="37" fillId="6" borderId="115" xfId="5" applyFont="1" applyBorder="1">
      <alignment horizontal="center" wrapText="1"/>
    </xf>
    <xf numFmtId="0" fontId="37" fillId="6" borderId="114" xfId="5" applyFont="1" applyBorder="1">
      <alignment horizontal="center" wrapText="1"/>
    </xf>
    <xf numFmtId="3" fontId="22" fillId="41" borderId="128"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0" fontId="37" fillId="0" borderId="171" xfId="0" applyFont="1" applyFill="1" applyBorder="1" applyAlignment="1" applyProtection="1">
      <alignment horizontal="center" vertical="center" wrapText="1"/>
    </xf>
    <xf numFmtId="0" fontId="37" fillId="0" borderId="172" xfId="0" applyFont="1" applyFill="1" applyBorder="1" applyAlignment="1" applyProtection="1">
      <alignment horizontal="center" vertical="center" wrapText="1"/>
    </xf>
    <xf numFmtId="0" fontId="24" fillId="6" borderId="104" xfId="0" applyFont="1" applyFill="1" applyBorder="1" applyAlignment="1" applyProtection="1">
      <alignment horizontal="center" vertical="center"/>
    </xf>
    <xf numFmtId="3" fontId="22" fillId="6" borderId="171" xfId="30" applyFont="1" applyBorder="1">
      <alignment horizontal="right" vertical="center"/>
    </xf>
    <xf numFmtId="3" fontId="0" fillId="41" borderId="25" xfId="11" applyFont="1" applyBorder="1" applyProtection="1">
      <alignment horizontal="right" vertical="center"/>
      <protection locked="0"/>
    </xf>
    <xf numFmtId="3" fontId="0" fillId="41" borderId="37" xfId="11" applyFont="1" applyBorder="1" applyProtection="1">
      <alignment horizontal="right" vertical="center"/>
      <protection locked="0"/>
    </xf>
    <xf numFmtId="3" fontId="22" fillId="6" borderId="104" xfId="30" applyFont="1" applyBorder="1">
      <alignment horizontal="right" vertical="center"/>
    </xf>
    <xf numFmtId="0" fontId="26" fillId="6" borderId="139" xfId="0" applyFont="1" applyFill="1" applyBorder="1" applyAlignment="1">
      <alignment horizontal="center" vertical="center"/>
    </xf>
    <xf numFmtId="0" fontId="25" fillId="13" borderId="172" xfId="3" applyFont="1" applyBorder="1" applyAlignment="1">
      <alignment horizontal="center" vertical="center"/>
    </xf>
    <xf numFmtId="3" fontId="0" fillId="41" borderId="26" xfId="11" applyFont="1" applyBorder="1" applyProtection="1">
      <alignment horizontal="right" vertical="center"/>
      <protection locked="0"/>
    </xf>
    <xf numFmtId="0" fontId="25" fillId="13" borderId="95" xfId="3" applyFont="1" applyBorder="1" applyAlignment="1">
      <alignment horizontal="center" vertical="center"/>
    </xf>
    <xf numFmtId="0" fontId="26" fillId="6" borderId="49" xfId="0" applyFont="1" applyFill="1" applyBorder="1" applyAlignment="1">
      <alignment horizontal="center" vertical="center"/>
    </xf>
    <xf numFmtId="0" fontId="25" fillId="13" borderId="37" xfId="3" applyFont="1" applyBorder="1" applyAlignment="1">
      <alignment horizontal="center" vertical="center"/>
    </xf>
    <xf numFmtId="3" fontId="0" fillId="6" borderId="26" xfId="30" applyFont="1" applyBorder="1">
      <alignment horizontal="right" vertical="center"/>
    </xf>
    <xf numFmtId="0" fontId="24" fillId="6" borderId="106" xfId="0" applyFont="1" applyBorder="1" applyAlignment="1">
      <alignment horizontal="left" vertical="center"/>
    </xf>
    <xf numFmtId="0" fontId="24" fillId="6" borderId="27" xfId="0" applyFont="1" applyBorder="1" applyAlignment="1">
      <alignment horizontal="left" vertical="center"/>
    </xf>
    <xf numFmtId="0" fontId="0" fillId="6" borderId="27" xfId="0" applyFont="1" applyBorder="1" applyAlignment="1">
      <alignment horizontal="left" vertical="center"/>
    </xf>
    <xf numFmtId="0" fontId="24" fillId="6" borderId="28" xfId="0" applyFont="1" applyBorder="1" applyAlignment="1">
      <alignment horizontal="left" vertical="center"/>
    </xf>
    <xf numFmtId="0" fontId="24" fillId="6" borderId="128" xfId="0" applyFont="1" applyFill="1" applyBorder="1" applyProtection="1">
      <alignment vertical="center"/>
    </xf>
    <xf numFmtId="0" fontId="24" fillId="6" borderId="91" xfId="0" applyFont="1" applyFill="1" applyBorder="1" applyProtection="1">
      <alignment vertical="center"/>
    </xf>
    <xf numFmtId="3" fontId="22" fillId="13" borderId="88" xfId="3" applyNumberFormat="1" applyFont="1" applyBorder="1">
      <alignment horizontal="center" vertical="center"/>
    </xf>
    <xf numFmtId="3" fontId="39" fillId="13" borderId="36" xfId="3" applyNumberFormat="1" applyFont="1" applyBorder="1">
      <alignment horizontal="center" vertical="center"/>
    </xf>
    <xf numFmtId="3" fontId="22" fillId="13" borderId="50" xfId="3" applyNumberFormat="1" applyFont="1" applyBorder="1">
      <alignment horizontal="center" vertical="center"/>
    </xf>
    <xf numFmtId="3" fontId="39" fillId="13" borderId="21" xfId="3" applyNumberFormat="1" applyFont="1" applyBorder="1">
      <alignment horizontal="center" vertical="center"/>
    </xf>
    <xf numFmtId="0" fontId="35" fillId="6" borderId="0" xfId="0" applyFont="1" applyFill="1" applyBorder="1" applyAlignment="1">
      <alignment vertical="center"/>
    </xf>
    <xf numFmtId="0" fontId="65" fillId="6" borderId="27" xfId="0" applyFont="1" applyFill="1" applyBorder="1" applyAlignment="1" applyProtection="1">
      <alignment horizontal="left" vertical="center"/>
    </xf>
    <xf numFmtId="0" fontId="0" fillId="41" borderId="129" xfId="18" applyFont="1" applyBorder="1">
      <alignment horizontal="center" vertical="center" wrapText="1"/>
      <protection locked="0"/>
    </xf>
    <xf numFmtId="0" fontId="22" fillId="6" borderId="117" xfId="0" applyFont="1" applyFill="1" applyBorder="1">
      <alignment vertical="center"/>
    </xf>
    <xf numFmtId="0" fontId="39" fillId="6" borderId="96" xfId="0" applyFont="1" applyBorder="1">
      <alignment vertical="center"/>
    </xf>
    <xf numFmtId="0" fontId="0" fillId="6" borderId="96" xfId="0" applyFill="1" applyBorder="1" applyAlignment="1">
      <alignment horizontal="center" vertical="center"/>
    </xf>
    <xf numFmtId="0" fontId="0" fillId="6" borderId="96" xfId="0" applyFill="1" applyBorder="1" applyAlignment="1">
      <alignment horizontal="center" vertical="center" wrapText="1"/>
    </xf>
    <xf numFmtId="0" fontId="35" fillId="6" borderId="117" xfId="0" applyFont="1" applyFill="1" applyBorder="1" applyAlignment="1">
      <alignment vertical="center"/>
    </xf>
    <xf numFmtId="0" fontId="22" fillId="6" borderId="96" xfId="0" applyFont="1" applyFill="1" applyBorder="1" applyAlignment="1">
      <alignment horizontal="center" vertical="center" wrapText="1"/>
    </xf>
    <xf numFmtId="0" fontId="22" fillId="6" borderId="96" xfId="0" applyFont="1" applyFill="1" applyBorder="1" applyAlignment="1">
      <alignment horizontal="center" vertical="center"/>
    </xf>
    <xf numFmtId="0" fontId="39" fillId="6" borderId="96" xfId="0" applyFont="1" applyFill="1" applyBorder="1" applyAlignment="1">
      <alignment vertical="center"/>
    </xf>
    <xf numFmtId="3" fontId="22" fillId="41" borderId="20" xfId="11" applyFont="1">
      <alignment horizontal="right" vertical="center"/>
      <protection locked="0"/>
    </xf>
    <xf numFmtId="0" fontId="20" fillId="6" borderId="131" xfId="4" applyFont="1" applyFill="1" applyBorder="1" applyAlignment="1" applyProtection="1">
      <alignment vertical="center"/>
    </xf>
    <xf numFmtId="0" fontId="22" fillId="6" borderId="113" xfId="0" applyFont="1" applyFill="1" applyBorder="1" applyAlignment="1">
      <alignment vertical="center"/>
    </xf>
    <xf numFmtId="0" fontId="22" fillId="54" borderId="109" xfId="55" applyFont="1" applyFill="1" applyBorder="1" applyAlignment="1">
      <alignment horizontal="center" vertical="center" wrapText="1"/>
    </xf>
    <xf numFmtId="0" fontId="22" fillId="54" borderId="20" xfId="55" applyFont="1" applyFill="1" applyBorder="1" applyAlignment="1">
      <alignment horizontal="center" vertical="center" wrapText="1"/>
    </xf>
    <xf numFmtId="0" fontId="22" fillId="54" borderId="21" xfId="55" applyFont="1" applyFill="1" applyBorder="1" applyAlignment="1">
      <alignment horizontal="center" vertical="center" wrapText="1"/>
    </xf>
    <xf numFmtId="0" fontId="22" fillId="54" borderId="106" xfId="0" applyFont="1" applyFill="1" applyBorder="1" applyAlignment="1" applyProtection="1">
      <alignment horizontal="left" vertical="center"/>
    </xf>
    <xf numFmtId="0" fontId="22" fillId="54" borderId="27" xfId="0" applyFont="1" applyFill="1" applyBorder="1" applyAlignment="1" applyProtection="1">
      <alignment horizontal="left" vertical="center"/>
    </xf>
    <xf numFmtId="0" fontId="22" fillId="13" borderId="22" xfId="3" applyFont="1" applyBorder="1">
      <alignment horizontal="center" vertical="center"/>
    </xf>
    <xf numFmtId="0" fontId="39" fillId="6" borderId="129" xfId="5" applyFont="1" applyBorder="1">
      <alignment horizontal="center" wrapText="1"/>
    </xf>
    <xf numFmtId="0" fontId="39" fillId="6" borderId="124" xfId="0" applyFont="1" applyFill="1" applyBorder="1">
      <alignment vertical="center"/>
    </xf>
    <xf numFmtId="0" fontId="39" fillId="6" borderId="91" xfId="0" applyFont="1" applyFill="1" applyBorder="1">
      <alignment vertical="center"/>
    </xf>
    <xf numFmtId="0" fontId="39" fillId="6" borderId="106" xfId="0" applyFont="1" applyFill="1" applyBorder="1">
      <alignment vertical="center"/>
    </xf>
    <xf numFmtId="0" fontId="39" fillId="6" borderId="28" xfId="0" applyFont="1" applyFill="1" applyBorder="1">
      <alignment vertical="center"/>
    </xf>
    <xf numFmtId="0" fontId="39" fillId="13" borderId="28" xfId="3" applyFont="1" applyBorder="1">
      <alignment horizontal="center" vertical="center"/>
    </xf>
    <xf numFmtId="0" fontId="39" fillId="6" borderId="129" xfId="0" applyFont="1" applyFill="1" applyBorder="1" applyAlignment="1">
      <alignment vertical="center"/>
    </xf>
    <xf numFmtId="0" fontId="62" fillId="53" borderId="109" xfId="144" applyFont="1" applyBorder="1" applyAlignment="1">
      <alignment horizontal="center" vertical="center"/>
    </xf>
    <xf numFmtId="0" fontId="39" fillId="6" borderId="43" xfId="0" applyFont="1" applyBorder="1">
      <alignment vertical="center"/>
    </xf>
    <xf numFmtId="0" fontId="62" fillId="53" borderId="20" xfId="144" applyFont="1" applyBorder="1" applyAlignment="1">
      <alignment horizontal="center" vertical="center"/>
    </xf>
    <xf numFmtId="0" fontId="39" fillId="13" borderId="32" xfId="3" applyFont="1" applyBorder="1">
      <alignment horizontal="center" vertical="center"/>
    </xf>
    <xf numFmtId="0" fontId="39" fillId="6" borderId="27" xfId="0" applyFont="1" applyBorder="1">
      <alignment vertical="center"/>
    </xf>
    <xf numFmtId="0" fontId="39" fillId="13" borderId="21" xfId="3" applyFont="1" applyBorder="1">
      <alignment horizontal="center" vertical="center"/>
    </xf>
    <xf numFmtId="0" fontId="62" fillId="53" borderId="21" xfId="144" applyFont="1" applyBorder="1" applyAlignment="1">
      <alignment horizontal="center" vertical="center"/>
    </xf>
    <xf numFmtId="0" fontId="62" fillId="53" borderId="31" xfId="144" applyFont="1" applyBorder="1" applyAlignment="1">
      <alignment horizontal="center" vertical="center"/>
    </xf>
    <xf numFmtId="0" fontId="39" fillId="6" borderId="35" xfId="0" applyFont="1" applyFill="1" applyBorder="1">
      <alignment vertical="center"/>
    </xf>
    <xf numFmtId="0" fontId="29" fillId="6" borderId="70" xfId="116" applyFont="1" applyFill="1" applyBorder="1" applyAlignment="1">
      <alignment vertical="top"/>
    </xf>
    <xf numFmtId="0" fontId="37" fillId="6" borderId="0" xfId="0" applyFont="1" applyFill="1" applyBorder="1" applyAlignment="1">
      <alignment vertical="top"/>
    </xf>
    <xf numFmtId="0" fontId="39" fillId="6" borderId="0" xfId="0" applyFont="1" applyFill="1" applyBorder="1" applyAlignment="1">
      <alignment vertical="top"/>
    </xf>
    <xf numFmtId="3" fontId="39" fillId="14" borderId="133" xfId="20" applyFont="1" applyBorder="1">
      <alignment horizontal="right" vertical="center"/>
      <protection locked="0"/>
    </xf>
    <xf numFmtId="0" fontId="37" fillId="6" borderId="0" xfId="0" applyFont="1" applyFill="1" applyBorder="1" applyAlignment="1">
      <alignment vertical="center"/>
    </xf>
    <xf numFmtId="0" fontId="62" fillId="53" borderId="32" xfId="144" applyFont="1" applyBorder="1" applyAlignment="1">
      <alignment horizontal="center" vertical="center"/>
    </xf>
    <xf numFmtId="0" fontId="39" fillId="6" borderId="128" xfId="0" applyFont="1" applyFill="1" applyBorder="1" applyAlignment="1">
      <alignment vertical="center"/>
    </xf>
    <xf numFmtId="3" fontId="39" fillId="14" borderId="106" xfId="20" applyFont="1" applyBorder="1">
      <alignment horizontal="right" vertical="center"/>
      <protection locked="0"/>
    </xf>
    <xf numFmtId="3" fontId="39" fillId="14" borderId="27" xfId="20" applyFont="1" applyBorder="1">
      <alignment horizontal="right" vertical="center"/>
      <protection locked="0"/>
    </xf>
    <xf numFmtId="0" fontId="39" fillId="6" borderId="27" xfId="0" applyFont="1" applyFill="1" applyBorder="1" applyAlignment="1">
      <alignment horizontal="left" vertical="center"/>
    </xf>
    <xf numFmtId="3" fontId="39" fillId="14" borderId="28" xfId="20" applyFont="1" applyBorder="1">
      <alignment horizontal="right" vertical="center"/>
      <protection locked="0"/>
    </xf>
    <xf numFmtId="3" fontId="39" fillId="14" borderId="31" xfId="20" applyFont="1" applyBorder="1">
      <alignment horizontal="right" vertical="center"/>
      <protection locked="0"/>
    </xf>
    <xf numFmtId="0" fontId="37" fillId="6" borderId="129" xfId="0" applyFont="1" applyFill="1" applyBorder="1" applyAlignment="1">
      <alignment vertical="center"/>
    </xf>
    <xf numFmtId="0" fontId="25" fillId="13" borderId="104" xfId="3" applyFont="1" applyBorder="1" applyAlignment="1">
      <alignment horizontal="center" vertical="center"/>
    </xf>
    <xf numFmtId="0" fontId="22" fillId="6" borderId="106" xfId="0" applyFont="1" applyBorder="1" applyAlignment="1">
      <alignment horizontal="center" vertical="center"/>
    </xf>
    <xf numFmtId="0" fontId="24" fillId="6" borderId="35" xfId="0" applyFont="1" applyBorder="1" applyAlignment="1">
      <alignment horizontal="left" vertical="center"/>
    </xf>
    <xf numFmtId="0" fontId="24" fillId="6" borderId="0" xfId="0" applyFont="1" applyFill="1" applyBorder="1" applyAlignment="1" applyProtection="1">
      <alignment horizontal="center" vertical="center" wrapText="1"/>
    </xf>
    <xf numFmtId="0" fontId="0" fillId="13" borderId="128" xfId="3" applyFont="1" applyBorder="1">
      <alignment horizontal="center" vertical="center"/>
    </xf>
    <xf numFmtId="0" fontId="0" fillId="41" borderId="25" xfId="18" applyFont="1" applyBorder="1">
      <alignment horizontal="center" vertical="center" wrapText="1"/>
      <protection locked="0"/>
    </xf>
    <xf numFmtId="0" fontId="0" fillId="6" borderId="38" xfId="0" applyFont="1" applyBorder="1" applyAlignment="1">
      <alignment horizontal="center" vertical="center"/>
    </xf>
    <xf numFmtId="0" fontId="0" fillId="6" borderId="49" xfId="0" applyFont="1" applyBorder="1" applyAlignment="1">
      <alignment horizontal="center" vertical="center"/>
    </xf>
    <xf numFmtId="0" fontId="39" fillId="0" borderId="113" xfId="0" applyFont="1" applyFill="1" applyBorder="1" applyAlignment="1">
      <alignment horizontal="center"/>
    </xf>
    <xf numFmtId="0" fontId="39" fillId="0" borderId="104" xfId="0" applyFont="1" applyFill="1" applyBorder="1" applyAlignment="1">
      <alignment horizontal="center"/>
    </xf>
    <xf numFmtId="0" fontId="39" fillId="0" borderId="130" xfId="0" applyFont="1" applyFill="1" applyBorder="1" applyAlignment="1">
      <alignment horizontal="center"/>
    </xf>
    <xf numFmtId="0" fontId="39" fillId="0" borderId="133" xfId="0" applyFont="1" applyFill="1" applyBorder="1" applyAlignment="1">
      <alignment horizontal="center"/>
    </xf>
    <xf numFmtId="0" fontId="39" fillId="0" borderId="180" xfId="0" applyFont="1" applyFill="1" applyBorder="1" applyAlignment="1">
      <alignment horizontal="center"/>
    </xf>
    <xf numFmtId="0" fontId="39" fillId="0" borderId="34" xfId="0" applyFont="1" applyFill="1" applyBorder="1" applyAlignment="1">
      <alignment horizontal="center"/>
    </xf>
    <xf numFmtId="0" fontId="39" fillId="0" borderId="22" xfId="0" applyFont="1" applyFill="1" applyBorder="1" applyAlignment="1">
      <alignment horizontal="center"/>
    </xf>
    <xf numFmtId="0" fontId="39" fillId="0" borderId="33" xfId="0" applyFont="1" applyFill="1" applyBorder="1" applyAlignment="1">
      <alignment horizontal="center"/>
    </xf>
    <xf numFmtId="0" fontId="39" fillId="0" borderId="123" xfId="0" applyFont="1" applyFill="1" applyBorder="1" applyAlignment="1">
      <alignment horizontal="center"/>
    </xf>
    <xf numFmtId="0" fontId="39" fillId="0" borderId="25" xfId="0" applyFont="1" applyFill="1" applyBorder="1" applyAlignment="1">
      <alignment horizontal="center"/>
    </xf>
    <xf numFmtId="0" fontId="39" fillId="0" borderId="20" xfId="0" applyFont="1" applyFill="1" applyBorder="1" applyAlignment="1">
      <alignment horizontal="center"/>
    </xf>
    <xf numFmtId="0" fontId="39" fillId="0" borderId="32" xfId="0" applyFont="1" applyFill="1" applyBorder="1" applyAlignment="1">
      <alignment horizontal="center"/>
    </xf>
    <xf numFmtId="0" fontId="39" fillId="0" borderId="125" xfId="0" applyFont="1" applyFill="1" applyBorder="1" applyAlignment="1">
      <alignment horizontal="center"/>
    </xf>
    <xf numFmtId="0" fontId="39" fillId="0" borderId="26" xfId="0" applyFont="1" applyFill="1" applyBorder="1" applyAlignment="1">
      <alignment horizontal="center"/>
    </xf>
    <xf numFmtId="0" fontId="39" fillId="0" borderId="21" xfId="0" applyFont="1" applyFill="1" applyBorder="1" applyAlignment="1">
      <alignment horizontal="center"/>
    </xf>
    <xf numFmtId="0" fontId="39" fillId="0" borderId="31" xfId="0" applyFont="1" applyFill="1" applyBorder="1" applyAlignment="1">
      <alignment horizontal="center"/>
    </xf>
    <xf numFmtId="49" fontId="0" fillId="41" borderId="37" xfId="19" applyFont="1" applyBorder="1" applyAlignment="1">
      <alignment horizontal="center" vertical="center"/>
      <protection locked="0"/>
    </xf>
    <xf numFmtId="0" fontId="22" fillId="6" borderId="27" xfId="0" applyFont="1" applyBorder="1" applyAlignment="1">
      <alignment horizontal="center" vertical="center"/>
    </xf>
    <xf numFmtId="0" fontId="22" fillId="6" borderId="52" xfId="0" applyFont="1" applyBorder="1" applyAlignment="1">
      <alignment horizontal="center" vertical="center"/>
    </xf>
    <xf numFmtId="0" fontId="0" fillId="6" borderId="35" xfId="0" applyFont="1" applyFill="1" applyBorder="1" applyAlignment="1" applyProtection="1">
      <alignment horizontal="left" vertical="center" indent="2"/>
    </xf>
    <xf numFmtId="0" fontId="0" fillId="6" borderId="28" xfId="0" applyFont="1" applyFill="1" applyBorder="1" applyAlignment="1" applyProtection="1">
      <alignment horizontal="left" vertical="center" indent="2"/>
    </xf>
    <xf numFmtId="0" fontId="0" fillId="43" borderId="106" xfId="9" applyFont="1" applyBorder="1" applyAlignment="1">
      <alignment vertical="center"/>
    </xf>
    <xf numFmtId="0" fontId="22" fillId="43" borderId="106" xfId="9" applyFont="1" applyBorder="1" applyAlignment="1">
      <alignment vertical="center"/>
    </xf>
    <xf numFmtId="3" fontId="22" fillId="43" borderId="106" xfId="9" applyNumberFormat="1" applyFont="1" applyBorder="1" applyAlignment="1">
      <alignment vertical="center"/>
    </xf>
    <xf numFmtId="0" fontId="0" fillId="6" borderId="25" xfId="0" applyFill="1" applyBorder="1">
      <alignment vertical="center"/>
    </xf>
    <xf numFmtId="0" fontId="0" fillId="6" borderId="20"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34" xfId="0" applyFill="1" applyBorder="1">
      <alignment vertical="center"/>
    </xf>
    <xf numFmtId="0" fontId="0" fillId="6" borderId="22" xfId="0" applyFill="1" applyBorder="1">
      <alignment vertical="center"/>
    </xf>
    <xf numFmtId="0" fontId="24" fillId="6" borderId="130" xfId="5" applyBorder="1">
      <alignment horizontal="center" wrapText="1"/>
    </xf>
    <xf numFmtId="0" fontId="24" fillId="6" borderId="133" xfId="5" applyBorder="1">
      <alignment horizontal="center" wrapText="1"/>
    </xf>
    <xf numFmtId="0" fontId="0" fillId="6" borderId="33" xfId="0" applyFill="1" applyBorder="1">
      <alignment vertical="center"/>
    </xf>
    <xf numFmtId="0" fontId="0" fillId="6" borderId="32" xfId="0" applyFill="1" applyBorder="1">
      <alignment vertical="center"/>
    </xf>
    <xf numFmtId="0" fontId="0" fillId="6" borderId="31" xfId="0" applyFill="1" applyBorder="1">
      <alignment vertical="center"/>
    </xf>
    <xf numFmtId="0" fontId="22" fillId="13" borderId="106" xfId="3" applyFont="1" applyBorder="1">
      <alignment horizontal="center" vertical="center"/>
    </xf>
    <xf numFmtId="0" fontId="24" fillId="6" borderId="129" xfId="5" applyFont="1" applyBorder="1">
      <alignment horizontal="center" wrapText="1"/>
    </xf>
    <xf numFmtId="0" fontId="24" fillId="6" borderId="0" xfId="0" applyFont="1" applyFill="1" applyBorder="1" applyAlignment="1" applyProtection="1">
      <alignment horizontal="center" vertical="center" wrapText="1"/>
    </xf>
    <xf numFmtId="0" fontId="37" fillId="6" borderId="130" xfId="0" applyFont="1" applyFill="1" applyBorder="1" applyAlignment="1" applyProtection="1">
      <alignment horizontal="center" vertical="center" wrapText="1"/>
    </xf>
    <xf numFmtId="0" fontId="37" fillId="6" borderId="133" xfId="5" applyFont="1" applyBorder="1">
      <alignment horizontal="center" wrapText="1"/>
    </xf>
    <xf numFmtId="0" fontId="37" fillId="6" borderId="135" xfId="5" applyFont="1" applyBorder="1">
      <alignment horizontal="center" wrapText="1"/>
    </xf>
    <xf numFmtId="0" fontId="37" fillId="6" borderId="143" xfId="5" applyFont="1" applyBorder="1">
      <alignment horizontal="center" wrapText="1"/>
    </xf>
    <xf numFmtId="0" fontId="22" fillId="6" borderId="20" xfId="0" applyFont="1" applyFill="1" applyBorder="1" applyAlignment="1" applyProtection="1">
      <alignment horizontal="center" vertical="top"/>
    </xf>
    <xf numFmtId="0" fontId="24" fillId="6" borderId="91" xfId="0" applyFont="1" applyFill="1" applyBorder="1" applyAlignment="1" applyProtection="1">
      <alignment horizontal="center" vertical="center"/>
    </xf>
    <xf numFmtId="0" fontId="39" fillId="6" borderId="91" xfId="0" applyFont="1" applyFill="1" applyBorder="1" applyAlignment="1">
      <alignment vertical="center"/>
    </xf>
    <xf numFmtId="0" fontId="22" fillId="6" borderId="91" xfId="0" applyFont="1" applyBorder="1">
      <alignment vertical="center"/>
    </xf>
    <xf numFmtId="0" fontId="37" fillId="6" borderId="0" xfId="5" applyFont="1" applyBorder="1" applyAlignment="1">
      <alignment horizontal="center" wrapText="1"/>
    </xf>
    <xf numFmtId="0" fontId="37" fillId="6" borderId="0" xfId="5" applyFont="1" applyBorder="1">
      <alignment horizontal="center" wrapText="1"/>
    </xf>
    <xf numFmtId="0" fontId="37" fillId="6" borderId="0" xfId="0" applyFont="1" applyFill="1" applyBorder="1" applyAlignment="1" applyProtection="1">
      <alignment horizontal="center" vertical="center" wrapText="1"/>
    </xf>
    <xf numFmtId="0" fontId="37" fillId="54" borderId="128" xfId="0" applyFont="1" applyFill="1" applyBorder="1">
      <alignment vertical="center"/>
    </xf>
    <xf numFmtId="0" fontId="0" fillId="54" borderId="106" xfId="0" applyFont="1" applyFill="1" applyBorder="1" applyAlignment="1" applyProtection="1">
      <alignment horizontal="left" vertical="center"/>
    </xf>
    <xf numFmtId="3" fontId="0" fillId="54" borderId="106" xfId="30" applyFont="1" applyFill="1" applyBorder="1">
      <alignment horizontal="right" vertical="center"/>
    </xf>
    <xf numFmtId="0" fontId="0" fillId="54" borderId="28" xfId="0" applyFill="1" applyBorder="1">
      <alignment vertical="center"/>
    </xf>
    <xf numFmtId="0" fontId="0" fillId="54" borderId="28" xfId="0" applyFill="1" applyBorder="1" applyAlignment="1">
      <alignment horizontal="center" vertical="center"/>
    </xf>
    <xf numFmtId="3" fontId="39" fillId="6" borderId="45" xfId="30" applyFont="1" applyBorder="1">
      <alignment horizontal="right" vertical="center"/>
    </xf>
    <xf numFmtId="0" fontId="39" fillId="46" borderId="0" xfId="0" applyFont="1" applyFill="1" applyBorder="1">
      <alignment vertical="center"/>
    </xf>
    <xf numFmtId="3" fontId="0" fillId="6" borderId="42" xfId="30" applyFont="1" applyBorder="1">
      <alignment horizontal="right" vertical="center"/>
    </xf>
    <xf numFmtId="3" fontId="0" fillId="6" borderId="25" xfId="30" applyFont="1" applyBorder="1">
      <alignment horizontal="right" vertical="center"/>
    </xf>
    <xf numFmtId="0" fontId="20" fillId="6" borderId="113" xfId="4" applyFont="1" applyFill="1" applyBorder="1" applyAlignment="1"/>
    <xf numFmtId="0" fontId="23" fillId="6" borderId="70" xfId="0" applyFont="1" applyFill="1" applyBorder="1" applyAlignment="1" applyProtection="1"/>
    <xf numFmtId="1" fontId="22" fillId="4" borderId="130" xfId="37" applyFont="1" applyBorder="1" applyAlignment="1">
      <alignment horizontal="center" vertical="center"/>
    </xf>
    <xf numFmtId="0" fontId="30" fillId="6" borderId="96" xfId="0" applyFont="1" applyFill="1" applyBorder="1" applyAlignment="1" applyProtection="1">
      <alignment horizontal="center" vertical="center"/>
    </xf>
    <xf numFmtId="0" fontId="23" fillId="6" borderId="116" xfId="0" applyFont="1" applyFill="1" applyBorder="1" applyAlignment="1" applyProtection="1">
      <alignment vertical="center"/>
    </xf>
    <xf numFmtId="0" fontId="23" fillId="6" borderId="128" xfId="0" applyFont="1" applyFill="1" applyBorder="1" applyAlignment="1" applyProtection="1"/>
    <xf numFmtId="0" fontId="22" fillId="6" borderId="117" xfId="0" applyFont="1" applyFill="1" applyBorder="1" applyAlignment="1" applyProtection="1"/>
    <xf numFmtId="0" fontId="23" fillId="6" borderId="128" xfId="0" applyFont="1" applyFill="1" applyBorder="1" applyAlignment="1" applyProtection="1">
      <alignment horizontal="left" vertical="center"/>
    </xf>
    <xf numFmtId="0" fontId="20" fillId="6" borderId="128" xfId="0" applyFont="1" applyFill="1" applyBorder="1" applyAlignment="1">
      <alignment vertical="center"/>
    </xf>
    <xf numFmtId="3" fontId="22" fillId="6" borderId="128" xfId="30" applyFont="1" applyFill="1" applyBorder="1" applyAlignment="1">
      <alignment horizontal="right" vertical="center"/>
    </xf>
    <xf numFmtId="0" fontId="23" fillId="6" borderId="124" xfId="0" applyFont="1" applyFill="1" applyBorder="1" applyAlignment="1" applyProtection="1">
      <alignment vertical="center"/>
    </xf>
    <xf numFmtId="0" fontId="23" fillId="6" borderId="129" xfId="0" applyFont="1" applyFill="1" applyBorder="1" applyAlignment="1" applyProtection="1"/>
    <xf numFmtId="0" fontId="22" fillId="6" borderId="129" xfId="0" applyFont="1" applyFill="1" applyBorder="1" applyAlignment="1" applyProtection="1"/>
    <xf numFmtId="0" fontId="22" fillId="6" borderId="119" xfId="0" applyFont="1" applyFill="1" applyBorder="1" applyAlignment="1" applyProtection="1">
      <alignment vertical="center"/>
    </xf>
    <xf numFmtId="0" fontId="22" fillId="6" borderId="96" xfId="0" applyFont="1" applyFill="1" applyBorder="1" applyAlignment="1" applyProtection="1"/>
    <xf numFmtId="0" fontId="23" fillId="6" borderId="129" xfId="0" applyFont="1" applyFill="1" applyBorder="1" applyAlignment="1" applyProtection="1">
      <alignment horizontal="left" vertical="center"/>
    </xf>
    <xf numFmtId="0" fontId="22" fillId="6" borderId="130" xfId="0" applyFont="1" applyFill="1" applyBorder="1" applyAlignment="1" applyProtection="1">
      <alignment horizontal="center" vertical="center"/>
    </xf>
    <xf numFmtId="0" fontId="24" fillId="6" borderId="128" xfId="0" applyFont="1" applyFill="1" applyBorder="1" applyAlignment="1" applyProtection="1">
      <alignment vertical="center"/>
    </xf>
    <xf numFmtId="0" fontId="22" fillId="6" borderId="106" xfId="0" applyFont="1" applyFill="1" applyBorder="1" applyAlignment="1" applyProtection="1">
      <alignment horizontal="center" vertical="center"/>
    </xf>
    <xf numFmtId="0" fontId="24" fillId="6" borderId="114" xfId="0" applyFont="1" applyFill="1" applyBorder="1" applyAlignment="1" applyProtection="1">
      <alignment vertical="center"/>
    </xf>
    <xf numFmtId="0" fontId="22" fillId="6" borderId="105" xfId="0" applyFont="1" applyFill="1" applyBorder="1" applyAlignment="1" applyProtection="1">
      <alignment horizontal="left" vertical="center"/>
    </xf>
    <xf numFmtId="0" fontId="22" fillId="6" borderId="105" xfId="0" applyFont="1" applyFill="1" applyBorder="1" applyAlignment="1" applyProtection="1">
      <alignment horizontal="center" vertical="center"/>
    </xf>
    <xf numFmtId="0" fontId="22" fillId="6" borderId="106" xfId="0" applyFont="1" applyBorder="1">
      <alignment vertical="center"/>
    </xf>
    <xf numFmtId="0" fontId="22" fillId="6" borderId="99" xfId="0" applyFont="1" applyFill="1" applyBorder="1" applyAlignment="1" applyProtection="1">
      <alignment horizontal="center" vertical="center"/>
    </xf>
    <xf numFmtId="0" fontId="0" fillId="6" borderId="99" xfId="0" applyFont="1" applyFill="1" applyBorder="1" applyAlignment="1" applyProtection="1">
      <alignment horizontal="left" vertical="center"/>
    </xf>
    <xf numFmtId="0" fontId="22" fillId="2" borderId="106" xfId="0" applyFont="1" applyFill="1" applyBorder="1">
      <alignment vertical="center"/>
    </xf>
    <xf numFmtId="0" fontId="22" fillId="2" borderId="96" xfId="0" applyFont="1" applyFill="1" applyBorder="1" applyAlignment="1" applyProtection="1">
      <alignment vertical="center"/>
    </xf>
    <xf numFmtId="0" fontId="22" fillId="6" borderId="115" xfId="0" applyFont="1" applyFill="1" applyBorder="1" applyAlignment="1" applyProtection="1">
      <alignment horizontal="center" vertical="center"/>
    </xf>
    <xf numFmtId="0" fontId="22" fillId="6" borderId="73" xfId="0" applyFont="1" applyFill="1" applyBorder="1" applyProtection="1">
      <alignment vertical="center"/>
    </xf>
    <xf numFmtId="0" fontId="22" fillId="6" borderId="91" xfId="0" applyFont="1" applyFill="1" applyBorder="1" applyProtection="1">
      <alignment vertical="center"/>
    </xf>
    <xf numFmtId="0" fontId="0" fillId="2" borderId="32" xfId="0" applyFont="1" applyFill="1" applyBorder="1">
      <alignment vertical="center"/>
    </xf>
    <xf numFmtId="0" fontId="0" fillId="2" borderId="31" xfId="0" applyFont="1" applyFill="1" applyBorder="1">
      <alignment vertical="center"/>
    </xf>
    <xf numFmtId="0" fontId="0" fillId="2" borderId="105" xfId="0" applyFill="1" applyBorder="1">
      <alignment vertical="center"/>
    </xf>
    <xf numFmtId="0" fontId="0" fillId="2" borderId="32" xfId="0" applyFill="1" applyBorder="1">
      <alignment vertical="center"/>
    </xf>
    <xf numFmtId="0" fontId="0" fillId="2" borderId="31" xfId="0" applyFill="1" applyBorder="1">
      <alignment vertical="center"/>
    </xf>
    <xf numFmtId="0" fontId="24" fillId="0" borderId="104" xfId="5" applyFill="1" applyBorder="1">
      <alignment horizontal="center" wrapText="1"/>
    </xf>
    <xf numFmtId="0" fontId="22" fillId="54" borderId="105" xfId="55" applyFont="1" applyFill="1" applyBorder="1" applyAlignment="1">
      <alignment horizontal="center" vertical="center" wrapText="1"/>
    </xf>
    <xf numFmtId="3" fontId="39" fillId="13" borderId="105" xfId="3" applyNumberFormat="1" applyFont="1" applyBorder="1">
      <alignment horizontal="center" vertical="center"/>
    </xf>
    <xf numFmtId="3" fontId="39" fillId="14" borderId="105" xfId="20" applyFont="1" applyBorder="1">
      <alignment horizontal="right" vertical="center"/>
      <protection locked="0"/>
    </xf>
    <xf numFmtId="0" fontId="39" fillId="13" borderId="105" xfId="3" applyFont="1" applyBorder="1">
      <alignment horizontal="center" vertical="center"/>
    </xf>
    <xf numFmtId="3" fontId="39" fillId="41" borderId="105" xfId="11" applyFont="1" applyBorder="1">
      <alignment horizontal="right" vertical="center"/>
      <protection locked="0"/>
    </xf>
    <xf numFmtId="0" fontId="0" fillId="0" borderId="107" xfId="0" applyFont="1" applyFill="1" applyBorder="1" applyAlignment="1">
      <alignment vertical="top" wrapText="1"/>
    </xf>
    <xf numFmtId="0" fontId="0" fillId="0" borderId="25" xfId="0" applyFont="1" applyFill="1" applyBorder="1" applyAlignment="1">
      <alignment vertical="top" wrapText="1"/>
    </xf>
    <xf numFmtId="0" fontId="39" fillId="0" borderId="26" xfId="0" applyFont="1" applyFill="1" applyBorder="1" applyAlignment="1">
      <alignment vertical="top" wrapText="1"/>
    </xf>
    <xf numFmtId="172" fontId="24" fillId="6" borderId="133" xfId="5" applyNumberFormat="1" applyBorder="1">
      <alignment horizontal="center" wrapText="1"/>
    </xf>
    <xf numFmtId="0" fontId="22" fillId="13" borderId="104" xfId="3" applyFont="1" applyBorder="1">
      <alignment horizontal="center" vertical="center"/>
    </xf>
    <xf numFmtId="0" fontId="22" fillId="13" borderId="130" xfId="3" applyFont="1" applyBorder="1">
      <alignment horizontal="center" vertical="center"/>
    </xf>
    <xf numFmtId="0" fontId="24" fillId="6" borderId="104" xfId="0" applyFont="1" applyBorder="1" applyAlignment="1">
      <alignment horizontal="center" vertical="center" wrapText="1"/>
    </xf>
    <xf numFmtId="0" fontId="24" fillId="6" borderId="133" xfId="0" applyFont="1" applyBorder="1" applyAlignment="1">
      <alignment horizontal="center" vertical="center" wrapText="1"/>
    </xf>
    <xf numFmtId="0" fontId="24" fillId="6" borderId="130" xfId="0" applyFont="1" applyBorder="1" applyAlignment="1">
      <alignment horizontal="center" vertical="center" wrapText="1"/>
    </xf>
    <xf numFmtId="0" fontId="24" fillId="6" borderId="133" xfId="5" applyFont="1" applyFill="1" applyBorder="1" applyAlignment="1">
      <alignment horizontal="center" vertical="center" wrapText="1"/>
    </xf>
    <xf numFmtId="0" fontId="24" fillId="6" borderId="129" xfId="5" applyFont="1" applyFill="1" applyBorder="1" applyAlignment="1">
      <alignment horizontal="center" vertical="center" wrapText="1"/>
    </xf>
    <xf numFmtId="0" fontId="62" fillId="53" borderId="27" xfId="144" applyBorder="1">
      <alignment horizontal="center" vertical="center"/>
    </xf>
    <xf numFmtId="3" fontId="0" fillId="41" borderId="32" xfId="11" applyFont="1" applyBorder="1" applyAlignment="1" applyProtection="1">
      <alignment horizontal="right" vertical="center"/>
      <protection locked="0"/>
    </xf>
    <xf numFmtId="0" fontId="24" fillId="6" borderId="133" xfId="0" applyFont="1" applyFill="1" applyBorder="1" applyAlignment="1" applyProtection="1">
      <alignment horizontal="center" vertical="center" wrapText="1"/>
    </xf>
    <xf numFmtId="0" fontId="25" fillId="13" borderId="32" xfId="3" applyFont="1" applyBorder="1" applyAlignment="1">
      <alignment horizontal="center" vertical="center"/>
    </xf>
    <xf numFmtId="0" fontId="25" fillId="13" borderId="133" xfId="3" applyFont="1" applyBorder="1" applyAlignment="1">
      <alignment horizontal="center" vertical="center"/>
    </xf>
    <xf numFmtId="0" fontId="24" fillId="43" borderId="133" xfId="0" applyFont="1" applyFill="1" applyBorder="1" applyAlignment="1" applyProtection="1">
      <alignment horizontal="center" wrapText="1"/>
    </xf>
    <xf numFmtId="0" fontId="25" fillId="13" borderId="105"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0" fillId="6" borderId="43" xfId="0" applyFill="1" applyBorder="1" applyAlignment="1">
      <alignment horizontal="left" vertical="center" indent="2"/>
    </xf>
    <xf numFmtId="3" fontId="0" fillId="41" borderId="20" xfId="11" applyFont="1" applyFill="1" applyBorder="1">
      <alignment horizontal="right" vertical="center"/>
      <protection locked="0"/>
    </xf>
    <xf numFmtId="0" fontId="23" fillId="6" borderId="133" xfId="0" applyFont="1" applyFill="1" applyBorder="1" applyAlignment="1">
      <alignment vertical="center"/>
    </xf>
    <xf numFmtId="0" fontId="23" fillId="6" borderId="129" xfId="0" applyFont="1" applyFill="1" applyBorder="1" applyAlignment="1">
      <alignment vertical="center"/>
    </xf>
    <xf numFmtId="0" fontId="24" fillId="6" borderId="130" xfId="0" applyFont="1" applyFill="1" applyBorder="1" applyAlignment="1" applyProtection="1">
      <alignment horizontal="center" vertical="center" wrapText="1"/>
    </xf>
    <xf numFmtId="0" fontId="25" fillId="13" borderId="27" xfId="3" applyFont="1" applyBorder="1" applyAlignment="1">
      <alignment horizontal="center" vertical="center"/>
    </xf>
    <xf numFmtId="0" fontId="24" fillId="6" borderId="133" xfId="0" applyFont="1" applyFill="1" applyBorder="1" applyAlignment="1">
      <alignment horizontal="center" vertical="center" wrapText="1"/>
    </xf>
    <xf numFmtId="0" fontId="24" fillId="6" borderId="129" xfId="0" applyFont="1" applyFill="1" applyBorder="1" applyAlignment="1">
      <alignment horizontal="center" vertical="center" wrapText="1"/>
    </xf>
    <xf numFmtId="0" fontId="24" fillId="6" borderId="104" xfId="0" applyFont="1" applyFill="1" applyBorder="1" applyAlignment="1">
      <alignment horizontal="center" vertical="center" wrapText="1"/>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0" fontId="37" fillId="6" borderId="77" xfId="0" applyFont="1" applyFill="1" applyBorder="1" applyAlignment="1">
      <alignment horizontal="center" vertical="center" wrapText="1"/>
    </xf>
    <xf numFmtId="3" fontId="0" fillId="6" borderId="136" xfId="30" applyFont="1" applyBorder="1">
      <alignment horizontal="right" vertical="center"/>
    </xf>
    <xf numFmtId="0" fontId="25" fillId="13" borderId="43" xfId="3" applyFont="1" applyBorder="1" applyAlignment="1">
      <alignment horizontal="center" vertical="center"/>
    </xf>
    <xf numFmtId="3" fontId="22" fillId="6" borderId="137" xfId="30" applyFont="1" applyBorder="1">
      <alignment horizontal="right" vertical="center"/>
    </xf>
    <xf numFmtId="3" fontId="0" fillId="6" borderId="21" xfId="30" applyFont="1" applyBorder="1">
      <alignment horizontal="right" vertical="center"/>
    </xf>
    <xf numFmtId="0" fontId="18" fillId="6" borderId="28" xfId="83" applyFill="1" applyBorder="1" applyAlignment="1">
      <alignment vertical="center"/>
    </xf>
    <xf numFmtId="0" fontId="0" fillId="6" borderId="91" xfId="0" applyFont="1" applyFill="1" applyBorder="1" applyAlignment="1" applyProtection="1">
      <alignment horizontal="left" vertical="center"/>
    </xf>
    <xf numFmtId="3" fontId="22" fillId="6" borderId="129" xfId="30" applyFont="1" applyBorder="1">
      <alignment horizontal="right" vertical="center"/>
    </xf>
    <xf numFmtId="3" fontId="22" fillId="6" borderId="130" xfId="30" applyFont="1" applyBorder="1">
      <alignment horizontal="right" vertical="center"/>
    </xf>
    <xf numFmtId="3" fontId="28" fillId="41" borderId="32" xfId="11" applyFont="1" applyBorder="1" applyAlignment="1" applyProtection="1">
      <alignment horizontal="right" vertical="center"/>
      <protection locked="0"/>
    </xf>
    <xf numFmtId="3" fontId="28" fillId="41" borderId="31" xfId="11" applyFont="1" applyBorder="1" applyAlignment="1" applyProtection="1">
      <alignment horizontal="right" vertical="center"/>
      <protection locked="0"/>
    </xf>
    <xf numFmtId="49" fontId="0" fillId="41" borderId="20" xfId="19" applyFont="1" applyBorder="1">
      <alignment vertical="center"/>
      <protection locked="0"/>
    </xf>
    <xf numFmtId="0" fontId="0" fillId="2" borderId="27" xfId="0" applyFont="1" applyFill="1" applyBorder="1" applyAlignment="1">
      <alignment horizontal="left" vertical="center" wrapText="1"/>
    </xf>
    <xf numFmtId="0" fontId="0" fillId="2" borderId="28" xfId="0" applyFont="1" applyFill="1" applyBorder="1" applyAlignment="1">
      <alignment horizontal="left" vertical="center" wrapText="1"/>
    </xf>
    <xf numFmtId="3" fontId="28" fillId="14" borderId="25" xfId="20" applyFont="1" applyBorder="1">
      <alignment horizontal="right" vertical="center"/>
      <protection locked="0"/>
    </xf>
    <xf numFmtId="0" fontId="62" fillId="13" borderId="21" xfId="3" applyFont="1" applyBorder="1">
      <alignment horizontal="center" vertical="center"/>
    </xf>
    <xf numFmtId="3" fontId="28" fillId="6" borderId="21" xfId="30" applyFont="1" applyBorder="1">
      <alignment horizontal="right" vertical="center"/>
    </xf>
    <xf numFmtId="3" fontId="28" fillId="14" borderId="21" xfId="20" applyFont="1" applyBorder="1">
      <alignment horizontal="right" vertical="center"/>
      <protection locked="0"/>
    </xf>
    <xf numFmtId="3" fontId="28" fillId="14" borderId="26" xfId="20" applyFont="1" applyBorder="1">
      <alignment horizontal="right" vertical="center"/>
      <protection locked="0"/>
    </xf>
    <xf numFmtId="0" fontId="0" fillId="6" borderId="27" xfId="0" applyFont="1" applyFill="1" applyBorder="1" applyAlignment="1">
      <alignment horizontal="center" vertical="center"/>
    </xf>
    <xf numFmtId="0" fontId="0" fillId="6" borderId="105" xfId="0" applyFont="1" applyFill="1" applyBorder="1" applyAlignment="1">
      <alignment vertical="center"/>
    </xf>
    <xf numFmtId="0" fontId="37" fillId="13" borderId="77" xfId="3" applyFont="1" applyBorder="1">
      <alignment horizontal="center" vertical="center"/>
    </xf>
    <xf numFmtId="3" fontId="39" fillId="41" borderId="107" xfId="11" applyFont="1" applyBorder="1" applyAlignment="1">
      <alignment horizontal="center" vertical="center"/>
      <protection locked="0"/>
    </xf>
    <xf numFmtId="3" fontId="39" fillId="41" borderId="25" xfId="11" applyFont="1" applyBorder="1" applyAlignment="1">
      <alignment horizontal="center" vertical="center"/>
      <protection locked="0"/>
    </xf>
    <xf numFmtId="170" fontId="39" fillId="42" borderId="25" xfId="13" applyFont="1" applyBorder="1" applyAlignment="1">
      <alignment horizontal="center" vertical="center"/>
      <protection locked="0"/>
    </xf>
    <xf numFmtId="0" fontId="39" fillId="13" borderId="31" xfId="3" applyFont="1" applyBorder="1">
      <alignment horizontal="center" vertical="center"/>
    </xf>
    <xf numFmtId="0" fontId="39" fillId="13" borderId="99" xfId="3" applyFont="1" applyBorder="1">
      <alignment horizontal="center" vertical="center"/>
    </xf>
    <xf numFmtId="0" fontId="39" fillId="13" borderId="106" xfId="3" applyFont="1" applyBorder="1">
      <alignment horizontal="center" vertical="center"/>
    </xf>
    <xf numFmtId="0" fontId="62" fillId="53" borderId="27" xfId="144" applyFont="1" applyBorder="1" applyAlignment="1">
      <alignment horizontal="center" vertical="center"/>
    </xf>
    <xf numFmtId="0" fontId="24" fillId="6" borderId="133" xfId="5" applyFont="1" applyFill="1" applyBorder="1" applyAlignment="1">
      <alignment horizontal="center" vertical="center" wrapText="1"/>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0" fillId="2" borderId="106" xfId="0" applyFill="1" applyBorder="1">
      <alignment vertical="center"/>
    </xf>
    <xf numFmtId="0" fontId="0" fillId="2" borderId="27" xfId="0" applyFill="1" applyBorder="1">
      <alignment vertical="center"/>
    </xf>
    <xf numFmtId="0" fontId="0" fillId="2" borderId="28" xfId="0" applyFill="1" applyBorder="1">
      <alignment vertical="center"/>
    </xf>
    <xf numFmtId="0" fontId="39" fillId="13" borderId="27" xfId="3" applyFont="1" applyBorder="1">
      <alignment horizontal="center" vertical="center"/>
    </xf>
    <xf numFmtId="0" fontId="0" fillId="2" borderId="32" xfId="0" applyFont="1" applyFill="1" applyBorder="1" applyAlignment="1" applyProtection="1">
      <alignment horizontal="left" vertical="center" wrapText="1"/>
    </xf>
    <xf numFmtId="0" fontId="0" fillId="6" borderId="31" xfId="0" applyFont="1" applyFill="1" applyBorder="1" applyAlignment="1">
      <alignment vertical="center"/>
    </xf>
    <xf numFmtId="0" fontId="0" fillId="6" borderId="107" xfId="0" applyFont="1" applyFill="1" applyBorder="1" applyProtection="1">
      <alignment vertical="center"/>
    </xf>
    <xf numFmtId="0" fontId="0" fillId="6" borderId="25" xfId="0" applyFont="1" applyFill="1" applyBorder="1" applyProtection="1">
      <alignment vertical="center"/>
    </xf>
    <xf numFmtId="0" fontId="0" fillId="6" borderId="26" xfId="0" applyFont="1" applyFill="1" applyBorder="1" applyProtection="1">
      <alignment vertical="center"/>
    </xf>
    <xf numFmtId="0" fontId="0" fillId="6" borderId="32" xfId="0" applyFont="1" applyFill="1" applyBorder="1" applyAlignment="1">
      <alignment horizontal="left" vertical="center"/>
    </xf>
    <xf numFmtId="0" fontId="24" fillId="6" borderId="42" xfId="0" applyFont="1" applyFill="1" applyBorder="1" applyAlignment="1">
      <alignment vertical="center"/>
    </xf>
    <xf numFmtId="0" fontId="0" fillId="6" borderId="105" xfId="0" applyFont="1" applyFill="1" applyBorder="1" applyAlignment="1">
      <alignment horizontal="left" vertical="center"/>
    </xf>
    <xf numFmtId="0" fontId="0" fillId="6" borderId="31" xfId="0" applyFont="1" applyFill="1" applyBorder="1" applyAlignment="1">
      <alignment horizontal="left" vertical="center"/>
    </xf>
    <xf numFmtId="0" fontId="0" fillId="6" borderId="32" xfId="0" quotePrefix="1" applyFont="1" applyFill="1" applyBorder="1" applyAlignment="1">
      <alignment vertical="center"/>
    </xf>
    <xf numFmtId="0" fontId="42" fillId="6" borderId="70" xfId="0" applyFont="1" applyFill="1" applyBorder="1" applyAlignment="1" applyProtection="1">
      <alignment horizontal="left" vertical="center"/>
    </xf>
    <xf numFmtId="0" fontId="22" fillId="14" borderId="20" xfId="26" applyFont="1">
      <alignment horizontal="center" vertical="center" wrapText="1"/>
      <protection locked="0"/>
    </xf>
    <xf numFmtId="0" fontId="22" fillId="14" borderId="21" xfId="26" applyFont="1" applyBorder="1">
      <alignment horizontal="center" vertical="center" wrapText="1"/>
      <protection locked="0"/>
    </xf>
    <xf numFmtId="0" fontId="39" fillId="6" borderId="106" xfId="0" applyFont="1" applyBorder="1" applyAlignment="1">
      <alignment horizontal="left" wrapText="1"/>
    </xf>
    <xf numFmtId="0" fontId="24" fillId="6" borderId="0" xfId="0" applyFont="1" applyFill="1" applyBorder="1" applyAlignment="1" applyProtection="1">
      <alignment horizontal="left" vertical="center"/>
    </xf>
    <xf numFmtId="3" fontId="0" fillId="6" borderId="106" xfId="30" applyFont="1" applyFill="1" applyBorder="1" applyAlignment="1" applyProtection="1">
      <alignment horizontal="right" vertical="center"/>
    </xf>
    <xf numFmtId="0" fontId="32" fillId="6" borderId="128" xfId="0" applyFont="1" applyFill="1" applyBorder="1" applyAlignment="1" applyProtection="1">
      <alignment horizontal="left" vertical="center"/>
    </xf>
    <xf numFmtId="0" fontId="32" fillId="6" borderId="128" xfId="0" applyFont="1" applyFill="1" applyBorder="1" applyAlignment="1" applyProtection="1">
      <alignment vertical="center"/>
    </xf>
    <xf numFmtId="0" fontId="32" fillId="6" borderId="128" xfId="0" applyFont="1" applyFill="1" applyBorder="1" applyAlignment="1">
      <alignment vertical="center"/>
    </xf>
    <xf numFmtId="0" fontId="0" fillId="6" borderId="106" xfId="0" applyFont="1" applyFill="1" applyBorder="1" applyAlignment="1" applyProtection="1">
      <alignment vertical="center"/>
    </xf>
    <xf numFmtId="0" fontId="0" fillId="6" borderId="28" xfId="0" applyFont="1" applyFill="1" applyBorder="1" applyAlignment="1" applyProtection="1">
      <alignment vertical="center"/>
    </xf>
    <xf numFmtId="0" fontId="0" fillId="6" borderId="27" xfId="0" applyFont="1" applyFill="1" applyBorder="1" applyAlignment="1" applyProtection="1">
      <alignment vertical="center"/>
    </xf>
    <xf numFmtId="3" fontId="0" fillId="14" borderId="27" xfId="20" applyFont="1" applyBorder="1">
      <alignment horizontal="right" vertical="center"/>
      <protection locked="0"/>
    </xf>
    <xf numFmtId="3" fontId="41" fillId="47" borderId="109" xfId="20" applyFont="1" applyFill="1" applyBorder="1">
      <alignment horizontal="right" vertical="center"/>
      <protection locked="0"/>
    </xf>
    <xf numFmtId="3" fontId="39" fillId="13" borderId="31" xfId="3" applyNumberFormat="1" applyFont="1" applyBorder="1">
      <alignment horizontal="center" vertical="center"/>
    </xf>
    <xf numFmtId="0" fontId="39" fillId="6" borderId="28" xfId="0" applyFont="1" applyBorder="1" applyAlignment="1">
      <alignment horizontal="left" wrapText="1"/>
    </xf>
    <xf numFmtId="2" fontId="0" fillId="0" borderId="107" xfId="0" applyNumberFormat="1" applyFont="1" applyFill="1" applyBorder="1" applyAlignment="1" applyProtection="1">
      <alignment horizontal="left" vertical="center" wrapText="1"/>
    </xf>
    <xf numFmtId="2" fontId="0" fillId="0" borderId="26" xfId="0" applyNumberFormat="1" applyFont="1" applyFill="1" applyBorder="1" applyAlignment="1" applyProtection="1">
      <alignment horizontal="left" vertical="center" wrapText="1"/>
    </xf>
    <xf numFmtId="3" fontId="39" fillId="13" borderId="107" xfId="3" applyNumberFormat="1" applyFont="1" applyBorder="1">
      <alignment horizontal="center" vertical="center"/>
    </xf>
    <xf numFmtId="0" fontId="39" fillId="13" borderId="109" xfId="3" applyFont="1" applyBorder="1">
      <alignment horizontal="center" vertical="center"/>
    </xf>
    <xf numFmtId="10" fontId="39" fillId="13" borderId="109" xfId="3" applyNumberFormat="1" applyFont="1" applyBorder="1">
      <alignment horizontal="center" vertical="center"/>
    </xf>
    <xf numFmtId="0" fontId="39" fillId="13" borderId="107" xfId="3" applyFont="1" applyBorder="1">
      <alignment horizontal="center" vertical="center"/>
    </xf>
    <xf numFmtId="0" fontId="62" fillId="13" borderId="105" xfId="3" applyFont="1" applyBorder="1">
      <alignment horizontal="center" vertical="center"/>
    </xf>
    <xf numFmtId="3" fontId="39" fillId="13" borderId="26" xfId="3" applyNumberFormat="1" applyFont="1" applyBorder="1">
      <alignment horizontal="center" vertical="center"/>
    </xf>
    <xf numFmtId="10" fontId="39" fillId="13" borderId="21" xfId="3" applyNumberFormat="1" applyFont="1" applyBorder="1">
      <alignment horizontal="center" vertical="center"/>
    </xf>
    <xf numFmtId="0" fontId="62" fillId="13" borderId="31" xfId="3" applyFont="1" applyBorder="1">
      <alignment horizontal="center" vertical="center"/>
    </xf>
    <xf numFmtId="0" fontId="24" fillId="6" borderId="124" xfId="0" applyFont="1" applyFill="1" applyBorder="1" applyAlignment="1" applyProtection="1">
      <alignment horizontal="left" vertical="center"/>
    </xf>
    <xf numFmtId="0" fontId="29" fillId="6" borderId="70" xfId="116" applyFill="1" applyBorder="1" applyAlignment="1" applyProtection="1">
      <alignment horizontal="left" vertical="center"/>
    </xf>
    <xf numFmtId="0" fontId="24" fillId="6" borderId="113" xfId="0" applyFont="1" applyFill="1" applyBorder="1">
      <alignment vertical="center"/>
    </xf>
    <xf numFmtId="0" fontId="20" fillId="6" borderId="131" xfId="4" applyFill="1" applyBorder="1" applyAlignment="1" applyProtection="1"/>
    <xf numFmtId="0" fontId="20" fillId="6" borderId="129" xfId="0" applyFont="1" applyFill="1" applyBorder="1" applyAlignment="1" applyProtection="1"/>
    <xf numFmtId="0" fontId="22" fillId="6" borderId="129" xfId="0" applyFont="1" applyFill="1" applyBorder="1" applyProtection="1">
      <alignment vertical="center"/>
    </xf>
    <xf numFmtId="0" fontId="1" fillId="6" borderId="129" xfId="0" applyFont="1" applyFill="1" applyBorder="1">
      <alignment vertical="center"/>
    </xf>
    <xf numFmtId="0" fontId="1" fillId="6" borderId="113" xfId="0" applyFont="1" applyFill="1" applyBorder="1">
      <alignment vertical="center"/>
    </xf>
    <xf numFmtId="0" fontId="0" fillId="6" borderId="43" xfId="0" applyFont="1" applyFill="1" applyBorder="1" applyAlignment="1" applyProtection="1">
      <alignment vertical="center"/>
    </xf>
    <xf numFmtId="0" fontId="29" fillId="6" borderId="70" xfId="116" applyFont="1" applyFill="1" applyBorder="1" applyAlignment="1" applyProtection="1">
      <alignment horizontal="left" vertical="center"/>
    </xf>
    <xf numFmtId="0" fontId="22" fillId="54" borderId="28" xfId="0" applyFont="1" applyFill="1" applyBorder="1" applyAlignment="1" applyProtection="1">
      <alignment horizontal="left" vertical="center"/>
    </xf>
    <xf numFmtId="0" fontId="22" fillId="54" borderId="107" xfId="55" applyFont="1" applyFill="1" applyBorder="1" applyAlignment="1">
      <alignment horizontal="center" vertical="center" wrapText="1"/>
    </xf>
    <xf numFmtId="0" fontId="22" fillId="54" borderId="26" xfId="55" applyFont="1" applyFill="1" applyBorder="1" applyAlignment="1">
      <alignment horizontal="center" vertical="center" wrapText="1"/>
    </xf>
    <xf numFmtId="0" fontId="24" fillId="6" borderId="130" xfId="0" applyFont="1" applyFill="1" applyBorder="1" applyAlignment="1">
      <alignment horizontal="center" vertical="center" wrapText="1"/>
    </xf>
    <xf numFmtId="0" fontId="0" fillId="6" borderId="119" xfId="0" applyFont="1" applyFill="1" applyBorder="1" applyProtection="1">
      <alignment vertical="center"/>
    </xf>
    <xf numFmtId="0" fontId="24" fillId="6" borderId="133" xfId="0" applyFont="1" applyFill="1" applyBorder="1" applyAlignment="1" applyProtection="1">
      <alignment horizontal="center" wrapText="1"/>
    </xf>
    <xf numFmtId="0" fontId="22" fillId="13" borderId="91" xfId="0" applyFont="1" applyFill="1" applyBorder="1" applyAlignment="1">
      <alignment vertical="center"/>
    </xf>
    <xf numFmtId="0" fontId="22" fillId="6" borderId="76" xfId="0" applyFont="1" applyFill="1" applyBorder="1" applyAlignment="1" applyProtection="1">
      <alignment horizontal="left" vertical="center"/>
    </xf>
    <xf numFmtId="0" fontId="22" fillId="50" borderId="113" xfId="0" applyFont="1" applyFill="1" applyBorder="1">
      <alignment vertical="center"/>
    </xf>
    <xf numFmtId="3" fontId="39" fillId="41" borderId="115" xfId="11" applyFont="1" applyBorder="1">
      <alignment horizontal="right" vertical="center"/>
      <protection locked="0"/>
    </xf>
    <xf numFmtId="0" fontId="24" fillId="6" borderId="133" xfId="5" applyFont="1" applyBorder="1" applyAlignment="1">
      <alignment horizontal="center" vertical="center" wrapText="1"/>
    </xf>
    <xf numFmtId="0" fontId="24" fillId="6" borderId="104" xfId="5" applyFont="1" applyBorder="1" applyAlignment="1">
      <alignment horizontal="center" vertical="center" wrapText="1"/>
    </xf>
    <xf numFmtId="3" fontId="22" fillId="43" borderId="129" xfId="6" applyFont="1" applyBorder="1" applyAlignment="1">
      <alignment horizontal="right" vertical="center"/>
    </xf>
    <xf numFmtId="0" fontId="24" fillId="13" borderId="105" xfId="3" applyFont="1" applyBorder="1">
      <alignment horizontal="center" vertical="center"/>
    </xf>
    <xf numFmtId="3" fontId="22" fillId="13" borderId="22" xfId="3" applyNumberFormat="1" applyFont="1" applyBorder="1">
      <alignment horizontal="center" vertical="center"/>
    </xf>
    <xf numFmtId="3" fontId="22" fillId="13" borderId="33" xfId="3" applyNumberFormat="1" applyFont="1" applyBorder="1">
      <alignment horizontal="center" vertical="center"/>
    </xf>
    <xf numFmtId="169" fontId="22" fillId="6" borderId="20" xfId="31" applyFont="1" applyBorder="1">
      <alignment horizontal="right" vertical="center"/>
    </xf>
    <xf numFmtId="169" fontId="22" fillId="6" borderId="32" xfId="31" applyFont="1" applyBorder="1">
      <alignment horizontal="right" vertical="center"/>
    </xf>
    <xf numFmtId="0" fontId="0" fillId="6" borderId="32" xfId="0" applyFont="1" applyFill="1" applyBorder="1" applyAlignment="1">
      <alignment horizontal="left" vertical="center" wrapText="1"/>
    </xf>
    <xf numFmtId="0" fontId="22" fillId="6" borderId="45" xfId="0" applyFont="1" applyFill="1" applyBorder="1" applyAlignment="1">
      <alignment horizontal="center" vertical="center"/>
    </xf>
    <xf numFmtId="0" fontId="22" fillId="6" borderId="26" xfId="0" applyFont="1" applyFill="1" applyBorder="1" applyAlignment="1" applyProtection="1">
      <alignment horizontal="left" vertical="center" indent="1"/>
    </xf>
    <xf numFmtId="0" fontId="0" fillId="6" borderId="107" xfId="0" applyFont="1" applyFill="1" applyBorder="1" applyAlignment="1">
      <alignment horizontal="center" vertical="center" wrapText="1"/>
    </xf>
    <xf numFmtId="0" fontId="24" fillId="6" borderId="104" xfId="5" applyFont="1" applyBorder="1">
      <alignment horizontal="center" wrapText="1"/>
    </xf>
    <xf numFmtId="0" fontId="0" fillId="6" borderId="24" xfId="0" applyFont="1" applyFill="1" applyBorder="1" applyAlignment="1" applyProtection="1">
      <alignment horizontal="center" vertical="center"/>
    </xf>
    <xf numFmtId="0" fontId="0" fillId="2" borderId="37" xfId="0" applyFont="1" applyFill="1" applyBorder="1" applyAlignment="1">
      <alignment horizontal="center" vertical="center"/>
    </xf>
    <xf numFmtId="0" fontId="0" fillId="2" borderId="24" xfId="0" applyFont="1" applyFill="1" applyBorder="1" applyAlignment="1">
      <alignment horizontal="center" vertical="center" wrapText="1"/>
    </xf>
    <xf numFmtId="0" fontId="0" fillId="2" borderId="25" xfId="0" applyFont="1" applyFill="1" applyBorder="1" applyAlignment="1">
      <alignment horizontal="center" vertical="center"/>
    </xf>
    <xf numFmtId="0" fontId="0" fillId="2" borderId="24" xfId="0" applyFont="1" applyFill="1" applyBorder="1" applyAlignment="1" applyProtection="1">
      <alignment horizontal="center" vertical="center"/>
    </xf>
    <xf numFmtId="0" fontId="0" fillId="2" borderId="32" xfId="0" applyFont="1" applyFill="1" applyBorder="1" applyAlignment="1" applyProtection="1">
      <alignment vertical="center" wrapText="1"/>
    </xf>
    <xf numFmtId="0" fontId="0" fillId="2" borderId="94" xfId="0" applyFont="1" applyFill="1" applyBorder="1" applyAlignment="1" applyProtection="1">
      <alignment horizontal="left" vertical="center" wrapText="1"/>
    </xf>
    <xf numFmtId="3" fontId="22" fillId="13" borderId="33" xfId="3" applyNumberFormat="1" applyFont="1" applyBorder="1" applyProtection="1">
      <alignment horizontal="center" vertical="center"/>
    </xf>
    <xf numFmtId="3" fontId="22" fillId="13" borderId="32" xfId="3" applyNumberFormat="1" applyFont="1" applyBorder="1" applyAlignment="1" applyProtection="1">
      <alignment horizontal="center" vertical="center"/>
    </xf>
    <xf numFmtId="3" fontId="22" fillId="13" borderId="105" xfId="3" applyNumberFormat="1" applyFont="1" applyBorder="1" applyProtection="1">
      <alignment horizontal="center" vertical="center"/>
    </xf>
    <xf numFmtId="0" fontId="22" fillId="41" borderId="28" xfId="18" applyFont="1" applyBorder="1" applyAlignment="1" applyProtection="1">
      <alignment horizontal="center" vertical="center" wrapText="1"/>
      <protection locked="0"/>
    </xf>
    <xf numFmtId="0" fontId="24" fillId="6" borderId="133" xfId="0" applyFont="1" applyFill="1" applyBorder="1" applyAlignment="1" applyProtection="1">
      <alignment horizontal="center" vertical="center" wrapText="1"/>
    </xf>
    <xf numFmtId="0" fontId="24" fillId="6" borderId="129" xfId="0" applyFont="1" applyFill="1" applyBorder="1" applyAlignment="1" applyProtection="1">
      <alignment horizontal="center" vertical="center" wrapText="1"/>
    </xf>
    <xf numFmtId="0" fontId="25" fillId="6" borderId="27" xfId="0" applyFont="1" applyFill="1" applyBorder="1" applyAlignment="1" applyProtection="1">
      <alignment horizontal="left" vertical="center" wrapText="1" indent="2"/>
    </xf>
    <xf numFmtId="0" fontId="24" fillId="6" borderId="133" xfId="0" applyFont="1" applyFill="1" applyBorder="1" applyAlignment="1" applyProtection="1">
      <alignment horizontal="center" wrapText="1"/>
    </xf>
    <xf numFmtId="0" fontId="24" fillId="6" borderId="104" xfId="0" applyFont="1" applyFill="1" applyBorder="1" applyAlignment="1" applyProtection="1">
      <alignment horizontal="center" wrapText="1"/>
    </xf>
    <xf numFmtId="0" fontId="24" fillId="6" borderId="129" xfId="5" applyFont="1" applyBorder="1">
      <alignment horizontal="center" wrapText="1"/>
    </xf>
    <xf numFmtId="0" fontId="24" fillId="6" borderId="104" xfId="5" applyFont="1" applyBorder="1">
      <alignment horizontal="center" wrapText="1"/>
    </xf>
    <xf numFmtId="0" fontId="24" fillId="6" borderId="133" xfId="5" applyFont="1" applyBorder="1">
      <alignment horizontal="center" wrapText="1"/>
    </xf>
    <xf numFmtId="3" fontId="22" fillId="13" borderId="32" xfId="3" applyNumberFormat="1" applyFont="1" applyBorder="1">
      <alignment horizontal="center" vertical="center"/>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2" fillId="6" borderId="129" xfId="0" applyFont="1" applyFill="1" applyBorder="1" applyAlignment="1" applyProtection="1">
      <alignment horizontal="center" vertical="center"/>
    </xf>
    <xf numFmtId="3" fontId="39" fillId="14" borderId="109" xfId="20" applyFont="1" applyBorder="1">
      <alignment horizontal="right" vertical="center"/>
      <protection locked="0"/>
    </xf>
    <xf numFmtId="0" fontId="20" fillId="6" borderId="179" xfId="29" applyFont="1" applyFill="1" applyBorder="1" applyAlignment="1">
      <alignment horizontal="left" vertical="center"/>
    </xf>
    <xf numFmtId="0" fontId="22" fillId="13" borderId="105" xfId="0" applyFont="1" applyFill="1" applyBorder="1" applyAlignment="1">
      <alignment vertical="center"/>
    </xf>
    <xf numFmtId="3" fontId="22" fillId="6" borderId="105" xfId="30" applyFont="1" applyFill="1" applyBorder="1" applyAlignment="1">
      <alignment horizontal="right" vertical="center"/>
    </xf>
    <xf numFmtId="0" fontId="26" fillId="6" borderId="181" xfId="0" applyFont="1" applyFill="1" applyBorder="1" applyAlignment="1">
      <alignment horizontal="center" vertical="center" wrapText="1"/>
    </xf>
    <xf numFmtId="0" fontId="0" fillId="41" borderId="25" xfId="18" applyFont="1" applyBorder="1" applyAlignment="1" applyProtection="1">
      <alignment horizontal="center" vertical="center" wrapText="1"/>
      <protection locked="0"/>
    </xf>
    <xf numFmtId="0" fontId="22" fillId="41" borderId="25" xfId="18" applyFont="1" applyBorder="1" applyAlignment="1" applyProtection="1">
      <alignment horizontal="center" vertical="center" wrapText="1"/>
      <protection locked="0"/>
    </xf>
    <xf numFmtId="0" fontId="39" fillId="46" borderId="43" xfId="3" applyFont="1" applyFill="1" applyBorder="1">
      <alignment horizontal="center" vertical="center"/>
    </xf>
    <xf numFmtId="3" fontId="39" fillId="14" borderId="41" xfId="20" applyFont="1" applyBorder="1">
      <alignment horizontal="right" vertical="center"/>
      <protection locked="0"/>
    </xf>
    <xf numFmtId="0" fontId="39" fillId="46" borderId="41" xfId="3" applyFont="1" applyFill="1" applyBorder="1">
      <alignment horizontal="center" vertical="center"/>
    </xf>
    <xf numFmtId="0" fontId="39" fillId="46" borderId="42" xfId="3" applyFont="1" applyFill="1" applyBorder="1">
      <alignment horizontal="center" vertical="center"/>
    </xf>
    <xf numFmtId="0" fontId="24" fillId="6" borderId="130" xfId="0" applyFont="1" applyBorder="1" applyAlignment="1">
      <alignment horizontal="center" vertical="center"/>
    </xf>
    <xf numFmtId="0" fontId="29" fillId="6" borderId="70" xfId="116" applyFont="1" applyFill="1" applyBorder="1" applyAlignment="1" applyProtection="1">
      <alignment horizontal="left" vertical="center"/>
    </xf>
    <xf numFmtId="0" fontId="22" fillId="6" borderId="128" xfId="0" applyFont="1" applyFill="1" applyBorder="1" applyAlignment="1" applyProtection="1">
      <alignment vertical="center"/>
    </xf>
    <xf numFmtId="173" fontId="22" fillId="6" borderId="105" xfId="35" applyFont="1" applyBorder="1">
      <alignment horizontal="center" vertical="center" wrapText="1"/>
    </xf>
    <xf numFmtId="3" fontId="39" fillId="6" borderId="0" xfId="30" applyFont="1" applyFill="1" applyBorder="1">
      <alignment horizontal="right" vertical="center"/>
    </xf>
    <xf numFmtId="3" fontId="39" fillId="6" borderId="45" xfId="30" applyFont="1" applyFill="1" applyBorder="1">
      <alignment horizontal="right" vertical="center"/>
    </xf>
    <xf numFmtId="3" fontId="22" fillId="6" borderId="42" xfId="11" applyFont="1" applyFill="1" applyBorder="1">
      <alignment horizontal="right" vertical="center"/>
      <protection locked="0"/>
    </xf>
    <xf numFmtId="3" fontId="22" fillId="6" borderId="0" xfId="11" applyFont="1" applyFill="1" applyBorder="1">
      <alignment horizontal="right" vertical="center"/>
      <protection locked="0"/>
    </xf>
    <xf numFmtId="3" fontId="22" fillId="6" borderId="45" xfId="11" applyFont="1" applyFill="1" applyBorder="1">
      <alignment horizontal="right" vertical="center"/>
      <protection locked="0"/>
    </xf>
    <xf numFmtId="3" fontId="22" fillId="6" borderId="42" xfId="30" applyFont="1" applyFill="1" applyBorder="1">
      <alignment horizontal="right" vertical="center"/>
    </xf>
    <xf numFmtId="3" fontId="22" fillId="6" borderId="0" xfId="30" applyFont="1" applyFill="1" applyBorder="1">
      <alignment horizontal="right" vertical="center"/>
    </xf>
    <xf numFmtId="3" fontId="22" fillId="6" borderId="45" xfId="30" applyFont="1" applyFill="1" applyBorder="1">
      <alignment horizontal="right" vertical="center"/>
    </xf>
    <xf numFmtId="0" fontId="24" fillId="6" borderId="133" xfId="0" applyFont="1" applyFill="1" applyBorder="1" applyAlignment="1" applyProtection="1">
      <alignment horizontal="center" vertical="center" wrapText="1"/>
    </xf>
    <xf numFmtId="0" fontId="24" fillId="6" borderId="130" xfId="0" applyFont="1" applyFill="1" applyBorder="1" applyAlignment="1" applyProtection="1">
      <alignment horizontal="center" vertical="center" wrapText="1"/>
    </xf>
    <xf numFmtId="0" fontId="25" fillId="13" borderId="32" xfId="3" applyFont="1" applyBorder="1" applyAlignment="1">
      <alignment horizontal="center" vertical="center"/>
    </xf>
    <xf numFmtId="0" fontId="25" fillId="13" borderId="133" xfId="3" applyFont="1" applyBorder="1" applyAlignment="1">
      <alignment horizontal="center" vertical="center"/>
    </xf>
    <xf numFmtId="0" fontId="25" fillId="13" borderId="105"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6" borderId="104" xfId="0" applyFont="1" applyFill="1" applyBorder="1" applyAlignment="1" applyProtection="1">
      <alignment horizontal="center" vertical="center"/>
    </xf>
    <xf numFmtId="0" fontId="24" fillId="6" borderId="135" xfId="0" applyFont="1" applyFill="1" applyBorder="1" applyAlignment="1" applyProtection="1">
      <alignment horizontal="center" vertical="center" wrapText="1"/>
    </xf>
    <xf numFmtId="0" fontId="24" fillId="6" borderId="0" xfId="0" applyFont="1" applyFill="1" applyBorder="1" applyAlignment="1">
      <alignment horizontal="left" vertical="center" wrapText="1"/>
    </xf>
    <xf numFmtId="3" fontId="22" fillId="13" borderId="34" xfId="3" applyNumberFormat="1" applyFont="1" applyBorder="1">
      <alignment horizontal="center" vertical="center"/>
    </xf>
    <xf numFmtId="3" fontId="22" fillId="13" borderId="180" xfId="3" applyNumberFormat="1" applyFont="1" applyBorder="1">
      <alignment horizontal="center" vertical="center"/>
    </xf>
    <xf numFmtId="0" fontId="22" fillId="41" borderId="130" xfId="18" applyFont="1" applyBorder="1" applyAlignment="1" applyProtection="1">
      <alignment horizontal="center" vertical="center" wrapText="1"/>
      <protection locked="0"/>
    </xf>
    <xf numFmtId="0" fontId="22" fillId="41" borderId="104" xfId="18" applyFont="1" applyBorder="1" applyAlignment="1" applyProtection="1">
      <alignment horizontal="center" vertical="center" wrapText="1"/>
      <protection locked="0"/>
    </xf>
    <xf numFmtId="0" fontId="22" fillId="41" borderId="172" xfId="18" applyFont="1" applyBorder="1" applyAlignment="1" applyProtection="1">
      <alignment horizontal="center" vertical="center" wrapText="1"/>
      <protection locked="0"/>
    </xf>
    <xf numFmtId="0" fontId="24" fillId="54" borderId="114" xfId="0" applyFont="1" applyFill="1" applyBorder="1" applyAlignment="1" applyProtection="1">
      <alignment horizontal="center" vertical="center" wrapText="1"/>
    </xf>
    <xf numFmtId="0" fontId="24" fillId="54" borderId="115" xfId="0" applyFont="1" applyFill="1" applyBorder="1" applyAlignment="1" applyProtection="1">
      <alignment horizontal="center" vertical="center" wrapText="1"/>
    </xf>
    <xf numFmtId="0" fontId="24" fillId="54" borderId="108" xfId="0" applyFont="1" applyFill="1" applyBorder="1" applyAlignment="1" applyProtection="1">
      <alignment horizontal="center" vertical="center" wrapText="1"/>
    </xf>
    <xf numFmtId="0" fontId="22" fillId="6" borderId="28" xfId="0" applyFont="1" applyFill="1" applyBorder="1" applyAlignment="1" applyProtection="1">
      <alignment horizontal="left" vertical="center"/>
    </xf>
    <xf numFmtId="0" fontId="24" fillId="54" borderId="128" xfId="0" applyFont="1" applyFill="1" applyBorder="1" applyAlignment="1" applyProtection="1">
      <alignment vertical="center"/>
    </xf>
    <xf numFmtId="0" fontId="22" fillId="54" borderId="43" xfId="0" applyFont="1" applyFill="1" applyBorder="1" applyAlignment="1" applyProtection="1">
      <alignment horizontal="left" vertical="center"/>
    </xf>
    <xf numFmtId="0" fontId="24" fillId="54" borderId="171" xfId="0" applyFont="1" applyFill="1" applyBorder="1" applyAlignment="1" applyProtection="1">
      <alignment horizontal="center" vertical="center" wrapText="1"/>
    </xf>
    <xf numFmtId="0" fontId="22" fillId="54" borderId="135" xfId="55" applyFont="1" applyFill="1" applyBorder="1" applyAlignment="1">
      <alignment horizontal="center" vertical="center" wrapText="1"/>
    </xf>
    <xf numFmtId="0" fontId="22" fillId="54" borderId="138" xfId="55" applyFont="1" applyFill="1" applyBorder="1" applyAlignment="1">
      <alignment horizontal="center" vertical="center" wrapText="1"/>
    </xf>
    <xf numFmtId="0" fontId="22" fillId="54" borderId="146" xfId="55" applyFont="1" applyFill="1" applyBorder="1" applyAlignment="1">
      <alignment horizontal="center" vertical="center" wrapText="1"/>
    </xf>
    <xf numFmtId="0" fontId="22" fillId="54" borderId="108" xfId="55" applyFont="1" applyFill="1" applyBorder="1" applyAlignment="1">
      <alignment horizontal="center" vertical="center" wrapText="1"/>
    </xf>
    <xf numFmtId="0" fontId="22" fillId="54" borderId="42" xfId="55" applyFont="1" applyFill="1" applyBorder="1" applyAlignment="1">
      <alignment horizontal="center" vertical="center" wrapText="1"/>
    </xf>
    <xf numFmtId="0" fontId="22" fillId="54" borderId="99" xfId="55" applyFont="1" applyFill="1" applyBorder="1" applyAlignment="1">
      <alignment horizontal="center" vertical="center" wrapText="1"/>
    </xf>
    <xf numFmtId="0" fontId="24" fillId="13" borderId="128" xfId="0" applyFont="1" applyFill="1" applyBorder="1">
      <alignment vertical="center"/>
    </xf>
    <xf numFmtId="0" fontId="22" fillId="13" borderId="128" xfId="0" applyFont="1" applyFill="1" applyBorder="1">
      <alignment vertical="center"/>
    </xf>
    <xf numFmtId="0" fontId="24" fillId="13" borderId="114" xfId="0" applyFont="1" applyFill="1" applyBorder="1" applyAlignment="1" applyProtection="1">
      <alignment horizontal="center" vertical="center" wrapText="1"/>
    </xf>
    <xf numFmtId="0" fontId="24" fillId="13" borderId="115" xfId="0" applyFont="1" applyFill="1" applyBorder="1" applyAlignment="1" applyProtection="1">
      <alignment horizontal="center" vertical="center" wrapText="1"/>
    </xf>
    <xf numFmtId="0" fontId="24" fillId="13" borderId="108" xfId="0" applyFont="1" applyFill="1" applyBorder="1" applyAlignment="1" applyProtection="1">
      <alignment horizontal="center" vertical="center" wrapText="1"/>
    </xf>
    <xf numFmtId="0" fontId="22" fillId="13" borderId="133" xfId="3" applyFont="1" applyFill="1" applyBorder="1">
      <alignment horizontal="center" vertical="center"/>
    </xf>
    <xf numFmtId="0" fontId="22" fillId="13" borderId="107" xfId="55" applyFont="1" applyFill="1" applyBorder="1" applyAlignment="1">
      <alignment horizontal="center" vertical="center" wrapText="1"/>
    </xf>
    <xf numFmtId="0" fontId="22" fillId="13" borderId="109" xfId="55" applyFont="1" applyFill="1" applyBorder="1" applyAlignment="1">
      <alignment horizontal="center" vertical="center" wrapText="1"/>
    </xf>
    <xf numFmtId="0" fontId="22" fillId="13" borderId="105" xfId="55" applyFont="1" applyFill="1" applyBorder="1" applyAlignment="1">
      <alignment horizontal="center" vertical="center" wrapText="1"/>
    </xf>
    <xf numFmtId="0" fontId="22" fillId="13" borderId="33" xfId="3" applyFont="1" applyFill="1" applyBorder="1">
      <alignment horizontal="center" vertical="center"/>
    </xf>
    <xf numFmtId="0" fontId="22" fillId="13" borderId="25" xfId="3" applyFont="1" applyFill="1" applyBorder="1">
      <alignment horizontal="center" vertical="center"/>
    </xf>
    <xf numFmtId="0" fontId="22" fillId="13" borderId="20" xfId="55" applyFont="1" applyFill="1" applyBorder="1" applyAlignment="1">
      <alignment horizontal="center" vertical="center" wrapText="1"/>
    </xf>
    <xf numFmtId="0" fontId="22" fillId="13" borderId="32" xfId="3" applyFont="1" applyFill="1" applyBorder="1">
      <alignment horizontal="center" vertical="center"/>
    </xf>
    <xf numFmtId="0" fontId="22" fillId="13" borderId="26" xfId="55" applyFont="1" applyFill="1" applyBorder="1" applyAlignment="1">
      <alignment horizontal="center" vertical="center" wrapText="1"/>
    </xf>
    <xf numFmtId="0" fontId="22" fillId="13" borderId="21" xfId="55" applyFont="1" applyFill="1" applyBorder="1" applyAlignment="1">
      <alignment horizontal="center" vertical="center" wrapText="1"/>
    </xf>
    <xf numFmtId="0" fontId="22" fillId="13" borderId="31" xfId="3" applyFont="1" applyFill="1" applyBorder="1">
      <alignment horizontal="center" vertical="center"/>
    </xf>
    <xf numFmtId="0" fontId="22" fillId="13" borderId="106" xfId="0" applyFont="1" applyFill="1" applyBorder="1" applyAlignment="1" applyProtection="1">
      <alignment horizontal="left" vertical="center"/>
    </xf>
    <xf numFmtId="0" fontId="22" fillId="13" borderId="105" xfId="0" applyFont="1" applyFill="1" applyBorder="1" applyAlignment="1" applyProtection="1">
      <alignment vertical="center"/>
    </xf>
    <xf numFmtId="0" fontId="22" fillId="13" borderId="27" xfId="0" applyFont="1" applyFill="1" applyBorder="1" applyAlignment="1" applyProtection="1">
      <alignment horizontal="left" vertical="center"/>
    </xf>
    <xf numFmtId="0" fontId="22" fillId="13" borderId="32" xfId="0" applyFont="1" applyFill="1" applyBorder="1" applyAlignment="1" applyProtection="1">
      <alignment vertical="center"/>
    </xf>
    <xf numFmtId="0" fontId="22" fillId="13" borderId="32" xfId="55" applyFont="1" applyFill="1" applyBorder="1" applyAlignment="1">
      <alignment horizontal="center" vertical="center" wrapText="1"/>
    </xf>
    <xf numFmtId="0" fontId="22" fillId="13" borderId="26" xfId="3" applyFont="1" applyFill="1" applyBorder="1">
      <alignment horizontal="center" vertical="center"/>
    </xf>
    <xf numFmtId="0" fontId="22" fillId="13" borderId="31" xfId="0" applyFont="1" applyFill="1" applyBorder="1" applyAlignment="1" applyProtection="1">
      <alignment vertical="center"/>
    </xf>
    <xf numFmtId="0" fontId="22" fillId="13" borderId="31" xfId="55" applyFont="1" applyFill="1" applyBorder="1" applyAlignment="1">
      <alignment horizontal="center" vertical="center" wrapText="1"/>
    </xf>
    <xf numFmtId="0" fontId="24" fillId="6" borderId="114" xfId="0" applyFont="1" applyFill="1" applyBorder="1" applyProtection="1">
      <alignment vertical="center"/>
    </xf>
    <xf numFmtId="0" fontId="24" fillId="6" borderId="45" xfId="0" applyFont="1" applyFill="1" applyBorder="1" applyProtection="1">
      <alignment vertical="center"/>
    </xf>
    <xf numFmtId="0" fontId="24" fillId="6" borderId="73" xfId="0" applyFont="1" applyFill="1" applyBorder="1" applyProtection="1">
      <alignment vertical="center"/>
    </xf>
    <xf numFmtId="0" fontId="25" fillId="13" borderId="32" xfId="3" applyFont="1" applyBorder="1" applyAlignment="1">
      <alignment horizontal="center" vertical="center"/>
    </xf>
    <xf numFmtId="0" fontId="25" fillId="13" borderId="27" xfId="3" applyFont="1" applyBorder="1" applyAlignment="1">
      <alignment horizontal="center" vertical="center"/>
    </xf>
    <xf numFmtId="0" fontId="0" fillId="6" borderId="32" xfId="0" applyFont="1" applyFill="1" applyBorder="1" applyAlignment="1" applyProtection="1">
      <alignment horizontal="left" vertical="center"/>
    </xf>
    <xf numFmtId="0" fontId="24" fillId="6" borderId="130" xfId="0" applyFont="1" applyFill="1" applyBorder="1" applyAlignment="1" applyProtection="1">
      <alignment horizontal="center" vertical="center"/>
    </xf>
    <xf numFmtId="0" fontId="22" fillId="6" borderId="129" xfId="0" applyFont="1" applyFill="1" applyBorder="1" applyAlignment="1" applyProtection="1">
      <alignment horizontal="center" vertical="center"/>
    </xf>
    <xf numFmtId="0" fontId="25" fillId="13" borderId="35" xfId="3" applyFont="1" applyBorder="1" applyAlignment="1">
      <alignment horizontal="center" vertical="center"/>
    </xf>
    <xf numFmtId="0" fontId="22" fillId="13" borderId="106" xfId="0" applyFont="1" applyFill="1" applyBorder="1">
      <alignment vertical="center"/>
    </xf>
    <xf numFmtId="0" fontId="22" fillId="13" borderId="27" xfId="0" applyFont="1" applyFill="1" applyBorder="1">
      <alignment vertical="center"/>
    </xf>
    <xf numFmtId="0" fontId="22" fillId="13" borderId="28" xfId="0" applyFont="1" applyFill="1" applyBorder="1">
      <alignment vertical="center"/>
    </xf>
    <xf numFmtId="0" fontId="22" fillId="13" borderId="105" xfId="0" applyFont="1" applyFill="1" applyBorder="1">
      <alignment vertical="center"/>
    </xf>
    <xf numFmtId="0" fontId="22" fillId="13" borderId="32" xfId="0" applyFont="1" applyFill="1" applyBorder="1">
      <alignment vertical="center"/>
    </xf>
    <xf numFmtId="0" fontId="0" fillId="6" borderId="32" xfId="0" applyFont="1" applyFill="1" applyBorder="1" applyAlignment="1" applyProtection="1">
      <alignment horizontal="left" vertical="center" indent="1"/>
    </xf>
    <xf numFmtId="0" fontId="22" fillId="13" borderId="31" xfId="0" applyFont="1" applyFill="1" applyBorder="1">
      <alignment vertical="center"/>
    </xf>
    <xf numFmtId="3" fontId="0" fillId="54" borderId="136" xfId="0" applyNumberFormat="1" applyFont="1" applyFill="1" applyBorder="1" applyAlignment="1" applyProtection="1">
      <alignment horizontal="center" vertical="center"/>
    </xf>
    <xf numFmtId="0" fontId="0" fillId="6" borderId="0" xfId="0" applyFont="1" applyFill="1" applyBorder="1" applyAlignment="1" applyProtection="1">
      <alignment horizontal="left" vertical="center" indent="1"/>
    </xf>
    <xf numFmtId="0" fontId="0" fillId="13" borderId="98" xfId="3" applyFont="1" applyBorder="1">
      <alignment horizontal="center" vertical="center"/>
    </xf>
    <xf numFmtId="0" fontId="25" fillId="13" borderId="109" xfId="3" applyFont="1" applyBorder="1" applyAlignment="1">
      <alignment vertical="center"/>
    </xf>
    <xf numFmtId="0" fontId="25" fillId="13" borderId="105" xfId="3" applyFont="1" applyBorder="1" applyAlignment="1">
      <alignment vertical="center"/>
    </xf>
    <xf numFmtId="0" fontId="25" fillId="13" borderId="32" xfId="3" applyFont="1" applyBorder="1" applyAlignment="1">
      <alignment vertical="center"/>
    </xf>
    <xf numFmtId="0" fontId="25" fillId="13" borderId="106" xfId="3" applyFont="1" applyBorder="1" applyAlignment="1">
      <alignment vertical="center"/>
    </xf>
    <xf numFmtId="0" fontId="25" fillId="13" borderId="27" xfId="3" applyFont="1" applyBorder="1" applyAlignment="1">
      <alignment vertical="center"/>
    </xf>
    <xf numFmtId="3" fontId="0" fillId="6" borderId="20" xfId="30" applyFont="1" applyFill="1" applyBorder="1" applyProtection="1">
      <alignment horizontal="right" vertical="center"/>
    </xf>
    <xf numFmtId="3" fontId="0" fillId="54" borderId="51" xfId="0" applyNumberFormat="1" applyFont="1" applyFill="1" applyBorder="1" applyAlignment="1" applyProtection="1">
      <alignment horizontal="center" vertical="center"/>
    </xf>
    <xf numFmtId="0" fontId="22" fillId="41" borderId="20" xfId="18" applyFont="1" applyBorder="1" applyAlignment="1" applyProtection="1">
      <alignment horizontal="center" vertical="center" wrapText="1"/>
      <protection locked="0"/>
    </xf>
    <xf numFmtId="0" fontId="24" fillId="54" borderId="124" xfId="0" applyFont="1" applyFill="1" applyBorder="1" applyAlignment="1">
      <alignment horizontal="center" vertical="center" wrapText="1"/>
    </xf>
    <xf numFmtId="0" fontId="24" fillId="54" borderId="91" xfId="0" applyFont="1" applyFill="1" applyBorder="1" applyAlignment="1">
      <alignment horizontal="center" vertical="center" wrapText="1"/>
    </xf>
    <xf numFmtId="0" fontId="24" fillId="54" borderId="131" xfId="0" applyFont="1" applyFill="1" applyBorder="1" applyAlignment="1">
      <alignment horizontal="left" vertical="center"/>
    </xf>
    <xf numFmtId="0" fontId="24" fillId="54" borderId="129" xfId="0" applyFont="1" applyFill="1" applyBorder="1" applyAlignment="1">
      <alignment horizontal="left" vertical="center"/>
    </xf>
    <xf numFmtId="0" fontId="0" fillId="13" borderId="129" xfId="0" applyFont="1" applyFill="1" applyBorder="1" applyAlignment="1"/>
    <xf numFmtId="0" fontId="67" fillId="53" borderId="105" xfId="144" applyFont="1" applyBorder="1">
      <alignment horizontal="center" vertical="center"/>
    </xf>
    <xf numFmtId="0" fontId="67" fillId="53" borderId="32" xfId="144" applyFont="1" applyBorder="1">
      <alignment horizontal="center" vertical="center"/>
    </xf>
    <xf numFmtId="0" fontId="67" fillId="53" borderId="31" xfId="144" applyFont="1" applyBorder="1">
      <alignment horizontal="center" vertical="center"/>
    </xf>
    <xf numFmtId="0" fontId="29" fillId="6" borderId="70" xfId="116" applyFont="1" applyFill="1" applyBorder="1" applyAlignment="1" applyProtection="1">
      <alignment horizontal="left" vertical="center"/>
    </xf>
    <xf numFmtId="3" fontId="39" fillId="6" borderId="106" xfId="30" applyFont="1" applyBorder="1">
      <alignment horizontal="right" vertical="center"/>
    </xf>
    <xf numFmtId="3" fontId="39" fillId="6" borderId="35" xfId="30" applyFont="1" applyBorder="1">
      <alignment horizontal="right" vertical="center"/>
    </xf>
    <xf numFmtId="3" fontId="39" fillId="43" borderId="22" xfId="6" applyFont="1" applyBorder="1">
      <alignment horizontal="right" vertical="center"/>
    </xf>
    <xf numFmtId="0" fontId="22" fillId="6" borderId="43" xfId="0" applyFont="1" applyFill="1" applyBorder="1" applyAlignment="1">
      <alignment vertical="center"/>
    </xf>
    <xf numFmtId="0" fontId="22" fillId="13" borderId="25" xfId="0" applyFont="1" applyFill="1" applyBorder="1" applyAlignment="1" applyProtection="1">
      <alignment horizontal="left" vertical="center"/>
    </xf>
    <xf numFmtId="0" fontId="22" fillId="13" borderId="32" xfId="55" applyFont="1" applyFill="1" applyBorder="1">
      <alignment horizontal="center" vertical="center" wrapText="1"/>
    </xf>
    <xf numFmtId="0" fontId="22" fillId="13" borderId="25" xfId="0" applyFont="1" applyFill="1" applyBorder="1" applyAlignment="1" applyProtection="1">
      <alignment horizontal="left" vertical="center" indent="1"/>
    </xf>
    <xf numFmtId="0" fontId="37" fillId="6" borderId="104" xfId="0" applyFont="1" applyBorder="1" applyAlignment="1">
      <alignment vertical="center" wrapText="1"/>
    </xf>
    <xf numFmtId="0" fontId="37" fillId="6" borderId="130" xfId="0" applyFont="1" applyBorder="1" applyAlignment="1">
      <alignment vertical="center" wrapText="1"/>
    </xf>
    <xf numFmtId="0" fontId="37" fillId="6" borderId="133" xfId="0" applyFont="1" applyBorder="1" applyAlignment="1">
      <alignment vertical="center" wrapText="1"/>
    </xf>
    <xf numFmtId="0" fontId="37" fillId="6" borderId="104" xfId="0" applyFont="1" applyBorder="1" applyAlignment="1">
      <alignment vertical="center"/>
    </xf>
    <xf numFmtId="0" fontId="37" fillId="6" borderId="114" xfId="0" applyFont="1" applyBorder="1" applyAlignment="1">
      <alignment vertical="center"/>
    </xf>
    <xf numFmtId="0" fontId="37" fillId="6" borderId="115" xfId="0" applyFont="1" applyBorder="1" applyAlignment="1">
      <alignment vertical="center"/>
    </xf>
    <xf numFmtId="0" fontId="24" fillId="6" borderId="133" xfId="0" applyFont="1" applyBorder="1" applyAlignment="1">
      <alignment vertical="center" wrapText="1"/>
    </xf>
    <xf numFmtId="0" fontId="37" fillId="6" borderId="130" xfId="0" applyFont="1" applyFill="1" applyBorder="1" applyAlignment="1" applyProtection="1">
      <alignment horizontal="center" vertical="center" wrapText="1"/>
    </xf>
    <xf numFmtId="0" fontId="37" fillId="6" borderId="133" xfId="0" applyFont="1" applyFill="1" applyBorder="1" applyAlignment="1" applyProtection="1">
      <alignment horizontal="center" vertical="center" wrapText="1"/>
    </xf>
    <xf numFmtId="3" fontId="22" fillId="14" borderId="26" xfId="20" applyFont="1" applyBorder="1">
      <alignment horizontal="right" vertical="center"/>
      <protection locked="0"/>
    </xf>
    <xf numFmtId="0" fontId="39" fillId="6" borderId="91" xfId="0" applyFont="1" applyFill="1" applyBorder="1" applyAlignment="1">
      <alignment horizontal="left" vertical="center" wrapText="1"/>
    </xf>
    <xf numFmtId="0" fontId="22" fillId="6" borderId="28" xfId="0" applyFont="1" applyFill="1" applyBorder="1" applyAlignment="1" applyProtection="1">
      <alignment horizontal="left" vertical="center"/>
    </xf>
    <xf numFmtId="49" fontId="39" fillId="41" borderId="20" xfId="19" applyFont="1" applyBorder="1">
      <alignment vertical="center"/>
      <protection locked="0"/>
    </xf>
    <xf numFmtId="0" fontId="29" fillId="6" borderId="70" xfId="116" applyFill="1" applyBorder="1" applyAlignment="1"/>
    <xf numFmtId="0" fontId="0" fillId="6" borderId="96" xfId="0" applyFill="1" applyBorder="1" applyAlignment="1"/>
    <xf numFmtId="0" fontId="22" fillId="6" borderId="70" xfId="0" applyFont="1" applyFill="1" applyBorder="1" applyAlignment="1"/>
    <xf numFmtId="0" fontId="22" fillId="6" borderId="96" xfId="0" applyFont="1" applyFill="1" applyBorder="1" applyAlignment="1"/>
    <xf numFmtId="3" fontId="39" fillId="13" borderId="129" xfId="3" applyNumberFormat="1" applyFont="1" applyBorder="1">
      <alignment horizontal="center" vertical="center"/>
    </xf>
    <xf numFmtId="3" fontId="39" fillId="13" borderId="131" xfId="3" applyNumberFormat="1" applyFont="1" applyBorder="1">
      <alignment horizontal="center" vertical="center"/>
    </xf>
    <xf numFmtId="3" fontId="39" fillId="13" borderId="133" xfId="3" applyNumberFormat="1" applyFont="1" applyBorder="1">
      <alignment horizontal="center" vertical="center"/>
    </xf>
    <xf numFmtId="3" fontId="39" fillId="13" borderId="172" xfId="3" applyNumberFormat="1" applyFont="1" applyBorder="1">
      <alignment horizontal="center" vertical="center"/>
    </xf>
    <xf numFmtId="3" fontId="39" fillId="43" borderId="130" xfId="6" applyFont="1" applyBorder="1" applyProtection="1">
      <alignment horizontal="right" vertical="center"/>
    </xf>
    <xf numFmtId="3" fontId="39" fillId="43" borderId="171" xfId="6" applyFont="1" applyBorder="1" applyProtection="1">
      <alignment horizontal="right" vertical="center"/>
    </xf>
    <xf numFmtId="3" fontId="39" fillId="43" borderId="172" xfId="6" applyFont="1" applyBorder="1" applyProtection="1">
      <alignment horizontal="right" vertical="center"/>
    </xf>
    <xf numFmtId="3" fontId="39" fillId="41" borderId="95" xfId="11" applyFont="1" applyBorder="1">
      <alignment horizontal="right" vertical="center"/>
      <protection locked="0"/>
    </xf>
    <xf numFmtId="3" fontId="39" fillId="41" borderId="136" xfId="11" applyFont="1" applyBorder="1">
      <alignment horizontal="right" vertical="center"/>
      <protection locked="0"/>
    </xf>
    <xf numFmtId="3" fontId="39" fillId="41" borderId="48" xfId="11" applyFont="1" applyBorder="1">
      <alignment horizontal="right" vertical="center"/>
      <protection locked="0"/>
    </xf>
    <xf numFmtId="3" fontId="39" fillId="13" borderId="171" xfId="3" applyNumberFormat="1" applyFont="1" applyBorder="1">
      <alignment horizontal="center" vertical="center"/>
    </xf>
    <xf numFmtId="3" fontId="39" fillId="13" borderId="130" xfId="3" applyNumberFormat="1" applyFont="1" applyBorder="1">
      <alignment horizontal="center" vertical="center"/>
    </xf>
    <xf numFmtId="49" fontId="39" fillId="41" borderId="109" xfId="19" applyFont="1" applyBorder="1">
      <alignment vertical="center"/>
      <protection locked="0"/>
    </xf>
    <xf numFmtId="0" fontId="39" fillId="41" borderId="136" xfId="18" applyFont="1" applyBorder="1">
      <alignment horizontal="center" vertical="center" wrapText="1"/>
      <protection locked="0"/>
    </xf>
    <xf numFmtId="174" fontId="39" fillId="41" borderId="20" xfId="17" applyFont="1" applyBorder="1">
      <alignment horizontal="right" vertical="center"/>
      <protection locked="0"/>
    </xf>
    <xf numFmtId="174" fontId="39" fillId="41" borderId="48" xfId="17" applyFont="1" applyBorder="1">
      <alignment horizontal="right" vertical="center"/>
      <protection locked="0"/>
    </xf>
    <xf numFmtId="49" fontId="39" fillId="41" borderId="32" xfId="19" applyFont="1" applyBorder="1">
      <alignment vertical="center"/>
      <protection locked="0"/>
    </xf>
    <xf numFmtId="0" fontId="39" fillId="41" borderId="122" xfId="18" applyFont="1" applyBorder="1">
      <alignment horizontal="center" vertical="center" wrapText="1"/>
      <protection locked="0"/>
    </xf>
    <xf numFmtId="0" fontId="22" fillId="6" borderId="28" xfId="0" applyFont="1" applyFill="1" applyBorder="1" applyAlignment="1" applyProtection="1">
      <alignment horizontal="left" vertical="center"/>
    </xf>
    <xf numFmtId="0" fontId="22" fillId="6" borderId="0" xfId="5" applyFont="1" applyBorder="1">
      <alignment horizontal="center" wrapText="1"/>
    </xf>
    <xf numFmtId="0" fontId="22" fillId="41" borderId="105" xfId="18" applyFont="1" applyBorder="1" applyAlignment="1" applyProtection="1">
      <alignment horizontal="center" vertical="center" wrapText="1"/>
      <protection locked="0"/>
    </xf>
    <xf numFmtId="0" fontId="39" fillId="41" borderId="122" xfId="18" applyFont="1" applyBorder="1" applyAlignment="1">
      <alignment horizontal="left" vertical="center" wrapText="1"/>
      <protection locked="0"/>
    </xf>
    <xf numFmtId="0" fontId="39" fillId="41" borderId="107" xfId="18" applyFont="1" applyBorder="1">
      <alignment horizontal="center" vertical="center" wrapText="1"/>
      <protection locked="0"/>
    </xf>
    <xf numFmtId="0" fontId="39" fillId="41" borderId="109" xfId="18" applyFont="1" applyBorder="1">
      <alignment horizontal="center" vertical="center" wrapText="1"/>
      <protection locked="0"/>
    </xf>
    <xf numFmtId="49" fontId="39" fillId="41" borderId="105" xfId="19" applyFont="1" applyBorder="1">
      <alignment vertical="center"/>
      <protection locked="0"/>
    </xf>
    <xf numFmtId="3" fontId="39" fillId="41" borderId="170" xfId="11" applyFont="1" applyBorder="1">
      <alignment horizontal="right" vertical="center"/>
      <protection locked="0"/>
    </xf>
    <xf numFmtId="174" fontId="39" fillId="41" borderId="109" xfId="17" applyFont="1" applyBorder="1">
      <alignment horizontal="right" vertical="center"/>
      <protection locked="0"/>
    </xf>
    <xf numFmtId="174" fontId="39" fillId="41" borderId="95" xfId="17" applyFont="1" applyBorder="1">
      <alignment horizontal="right" vertical="center"/>
      <protection locked="0"/>
    </xf>
    <xf numFmtId="0" fontId="39" fillId="41" borderId="25" xfId="18" applyFont="1" applyBorder="1">
      <alignment horizontal="center" vertical="center" wrapText="1"/>
      <protection locked="0"/>
    </xf>
    <xf numFmtId="0" fontId="39" fillId="41" borderId="20" xfId="18" applyFont="1" applyBorder="1">
      <alignment horizontal="center" vertical="center" wrapText="1"/>
      <protection locked="0"/>
    </xf>
    <xf numFmtId="0" fontId="39" fillId="41" borderId="136" xfId="18" applyFont="1" applyBorder="1" applyAlignment="1">
      <alignment horizontal="left" vertical="center" wrapText="1"/>
      <protection locked="0"/>
    </xf>
    <xf numFmtId="3" fontId="39" fillId="41" borderId="126" xfId="11" applyFont="1" applyBorder="1">
      <alignment horizontal="right" vertical="center"/>
      <protection locked="0"/>
    </xf>
    <xf numFmtId="3" fontId="39" fillId="41" borderId="50" xfId="11" applyFont="1" applyBorder="1">
      <alignment horizontal="right" vertical="center"/>
      <protection locked="0"/>
    </xf>
    <xf numFmtId="0" fontId="0" fillId="54" borderId="31" xfId="0" applyFont="1" applyFill="1" applyBorder="1" applyAlignment="1" applyProtection="1">
      <alignment horizontal="center" vertical="center"/>
    </xf>
    <xf numFmtId="0" fontId="24" fillId="6" borderId="128" xfId="0" applyFont="1" applyFill="1" applyBorder="1" applyAlignment="1" applyProtection="1">
      <alignment horizontal="center" vertical="center" wrapText="1"/>
    </xf>
    <xf numFmtId="0" fontId="24" fillId="6" borderId="133" xfId="0" applyFont="1" applyFill="1" applyBorder="1" applyAlignment="1" applyProtection="1">
      <alignment horizontal="center" vertical="center" wrapText="1"/>
    </xf>
    <xf numFmtId="0" fontId="24" fillId="6" borderId="104" xfId="0" applyFont="1" applyFill="1" applyBorder="1" applyAlignment="1" applyProtection="1">
      <alignment horizontal="center" vertical="center" wrapText="1"/>
    </xf>
    <xf numFmtId="0" fontId="37" fillId="6" borderId="133" xfId="0" applyFont="1" applyBorder="1" applyAlignment="1">
      <alignment horizontal="center" vertical="center" wrapText="1"/>
    </xf>
    <xf numFmtId="0" fontId="37" fillId="6" borderId="129" xfId="0" applyFont="1" applyBorder="1" applyAlignment="1">
      <alignment horizontal="center" vertical="center" wrapText="1"/>
    </xf>
    <xf numFmtId="0" fontId="24" fillId="6" borderId="130"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4" fillId="54" borderId="133" xfId="0" applyFont="1" applyFill="1" applyBorder="1" applyAlignment="1" applyProtection="1">
      <alignment horizontal="center" vertical="center" wrapText="1"/>
    </xf>
    <xf numFmtId="0" fontId="22" fillId="6" borderId="28" xfId="0" applyFont="1" applyFill="1" applyBorder="1" applyAlignment="1" applyProtection="1">
      <alignment horizontal="left" vertical="center"/>
    </xf>
    <xf numFmtId="0" fontId="24" fillId="6" borderId="171" xfId="0" applyFont="1" applyFill="1" applyBorder="1" applyAlignment="1" applyProtection="1">
      <alignment horizontal="center" vertical="center" wrapText="1"/>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24" fillId="6" borderId="0" xfId="0" applyFont="1" applyFill="1" applyBorder="1" applyAlignment="1" applyProtection="1">
      <alignment horizontal="center" vertical="center"/>
    </xf>
    <xf numFmtId="0" fontId="0" fillId="48" borderId="128" xfId="0" applyFont="1" applyFill="1" applyBorder="1">
      <alignment vertical="center"/>
    </xf>
    <xf numFmtId="0" fontId="0" fillId="48" borderId="117" xfId="0" applyFont="1" applyFill="1" applyBorder="1">
      <alignment vertical="center"/>
    </xf>
    <xf numFmtId="0" fontId="0" fillId="48" borderId="0" xfId="0" applyFont="1" applyFill="1" applyBorder="1">
      <alignment vertical="center"/>
    </xf>
    <xf numFmtId="0" fontId="0" fillId="48" borderId="96" xfId="0" applyFont="1" applyFill="1" applyBorder="1">
      <alignment vertical="center"/>
    </xf>
    <xf numFmtId="0" fontId="0" fillId="48" borderId="119" xfId="0" applyFont="1" applyFill="1" applyBorder="1">
      <alignment vertical="center"/>
    </xf>
    <xf numFmtId="0" fontId="0" fillId="48" borderId="91" xfId="0" applyFont="1" applyFill="1" applyBorder="1">
      <alignment vertical="center"/>
    </xf>
    <xf numFmtId="0" fontId="39" fillId="6" borderId="96" xfId="0" applyFont="1" applyFill="1" applyBorder="1" applyAlignment="1">
      <alignment vertical="top"/>
    </xf>
    <xf numFmtId="0" fontId="22" fillId="6" borderId="119" xfId="0" applyFont="1" applyBorder="1">
      <alignment vertical="center"/>
    </xf>
    <xf numFmtId="3" fontId="39" fillId="6" borderId="136" xfId="30" applyFont="1" applyBorder="1">
      <alignment horizontal="right" vertical="center"/>
    </xf>
    <xf numFmtId="3" fontId="39" fillId="6" borderId="135" xfId="30" applyFont="1" applyBorder="1">
      <alignment horizontal="right" vertical="center"/>
    </xf>
    <xf numFmtId="0" fontId="22" fillId="48" borderId="128" xfId="0" applyFont="1" applyFill="1" applyBorder="1" applyAlignment="1">
      <alignment vertical="center"/>
    </xf>
    <xf numFmtId="0" fontId="22" fillId="48" borderId="117" xfId="0" applyFont="1" applyFill="1" applyBorder="1" applyAlignment="1">
      <alignment vertical="center"/>
    </xf>
    <xf numFmtId="0" fontId="22" fillId="48" borderId="96" xfId="0" applyFont="1" applyFill="1" applyBorder="1">
      <alignment vertical="center"/>
    </xf>
    <xf numFmtId="0" fontId="39" fillId="48" borderId="96" xfId="0" applyFont="1" applyFill="1" applyBorder="1">
      <alignment vertical="center"/>
    </xf>
    <xf numFmtId="0" fontId="39" fillId="48" borderId="0" xfId="0" applyFont="1" applyFill="1" applyBorder="1">
      <alignment vertical="center"/>
    </xf>
    <xf numFmtId="0" fontId="39" fillId="48" borderId="91" xfId="0" applyFont="1" applyFill="1" applyBorder="1">
      <alignment vertical="center"/>
    </xf>
    <xf numFmtId="0" fontId="39" fillId="48" borderId="119" xfId="0" applyFont="1" applyFill="1" applyBorder="1">
      <alignment vertical="center"/>
    </xf>
    <xf numFmtId="3" fontId="39" fillId="13" borderId="136" xfId="3" applyNumberFormat="1" applyFont="1" applyBorder="1">
      <alignment horizontal="center" vertical="center"/>
    </xf>
    <xf numFmtId="0" fontId="62" fillId="53" borderId="136" xfId="144" applyFont="1" applyBorder="1">
      <alignment horizontal="center" vertical="center"/>
    </xf>
    <xf numFmtId="3" fontId="39" fillId="43" borderId="136" xfId="6" applyFont="1" applyBorder="1">
      <alignment horizontal="right" vertical="center"/>
    </xf>
    <xf numFmtId="3" fontId="39" fillId="13" borderId="50" xfId="3" applyNumberFormat="1" applyFont="1" applyBorder="1">
      <alignment horizontal="center" vertical="center"/>
    </xf>
    <xf numFmtId="3" fontId="39" fillId="6" borderId="137" xfId="30" applyFont="1" applyBorder="1">
      <alignment horizontal="right" vertical="center"/>
    </xf>
    <xf numFmtId="3" fontId="39" fillId="6" borderId="33" xfId="30" applyFont="1" applyBorder="1">
      <alignment horizontal="right" vertical="center"/>
    </xf>
    <xf numFmtId="0" fontId="39" fillId="46" borderId="88" xfId="0" applyFont="1" applyFill="1" applyBorder="1">
      <alignment vertical="center"/>
    </xf>
    <xf numFmtId="3" fontId="39" fillId="13" borderId="122" xfId="3" applyNumberFormat="1" applyFont="1" applyBorder="1">
      <alignment horizontal="center" vertical="center"/>
    </xf>
    <xf numFmtId="0" fontId="41" fillId="48" borderId="96" xfId="0" applyFont="1" applyFill="1" applyBorder="1">
      <alignment vertical="center"/>
    </xf>
    <xf numFmtId="0" fontId="63" fillId="48" borderId="96" xfId="0" applyFont="1" applyFill="1" applyBorder="1">
      <alignment vertical="center"/>
    </xf>
    <xf numFmtId="0" fontId="24" fillId="6" borderId="171" xfId="0" applyFont="1" applyBorder="1" applyAlignment="1">
      <alignment horizontal="center" vertical="center"/>
    </xf>
    <xf numFmtId="0" fontId="0" fillId="48" borderId="96" xfId="0" applyFont="1" applyFill="1" applyBorder="1" applyAlignment="1">
      <alignment vertical="center"/>
    </xf>
    <xf numFmtId="0" fontId="39" fillId="48" borderId="96" xfId="0" applyFont="1" applyFill="1" applyBorder="1" applyAlignment="1">
      <alignment vertical="center"/>
    </xf>
    <xf numFmtId="0" fontId="0" fillId="48" borderId="0" xfId="0" applyFont="1" applyFill="1" applyBorder="1" applyAlignment="1">
      <alignment vertical="center"/>
    </xf>
    <xf numFmtId="3" fontId="41" fillId="13" borderId="20" xfId="3" applyNumberFormat="1" applyFont="1" applyBorder="1">
      <alignment horizontal="center" vertical="center"/>
    </xf>
    <xf numFmtId="3" fontId="0" fillId="6" borderId="122" xfId="30" applyFont="1" applyBorder="1">
      <alignment horizontal="right" vertical="center"/>
    </xf>
    <xf numFmtId="3" fontId="41" fillId="13" borderId="136" xfId="3" applyNumberFormat="1" applyFont="1" applyBorder="1">
      <alignment horizontal="center" vertical="center"/>
    </xf>
    <xf numFmtId="3" fontId="41" fillId="13" borderId="32" xfId="3" applyNumberFormat="1" applyFont="1" applyBorder="1">
      <alignment horizontal="center" vertical="center"/>
    </xf>
    <xf numFmtId="0" fontId="62" fillId="53" borderId="136" xfId="144" applyBorder="1">
      <alignment horizontal="center" vertical="center"/>
    </xf>
    <xf numFmtId="0" fontId="39" fillId="0" borderId="32" xfId="0" applyFont="1" applyFill="1" applyBorder="1" applyAlignment="1">
      <alignment horizontal="left" indent="1"/>
    </xf>
    <xf numFmtId="3" fontId="0" fillId="43" borderId="136" xfId="6" applyFont="1" applyBorder="1">
      <alignment horizontal="right" vertical="center"/>
    </xf>
    <xf numFmtId="0" fontId="39" fillId="46" borderId="136" xfId="0" applyFont="1" applyFill="1" applyBorder="1">
      <alignment vertical="center"/>
    </xf>
    <xf numFmtId="0" fontId="39" fillId="46" borderId="50" xfId="0" applyFont="1" applyFill="1" applyBorder="1">
      <alignment vertical="center"/>
    </xf>
    <xf numFmtId="0" fontId="24" fillId="6" borderId="104" xfId="0" applyFont="1" applyBorder="1" applyAlignment="1">
      <alignment horizontal="center" vertical="center" wrapText="1"/>
    </xf>
    <xf numFmtId="0" fontId="24" fillId="6" borderId="104" xfId="0" applyFont="1" applyFill="1" applyBorder="1" applyAlignment="1" applyProtection="1">
      <alignment horizontal="center" vertical="center" wrapText="1"/>
    </xf>
    <xf numFmtId="0" fontId="24" fillId="6" borderId="171" xfId="0" applyFont="1" applyBorder="1" applyAlignment="1">
      <alignment horizontal="center" vertical="center" wrapText="1"/>
    </xf>
    <xf numFmtId="0" fontId="24" fillId="6" borderId="130" xfId="0" applyFont="1" applyBorder="1" applyAlignment="1">
      <alignment horizontal="center" vertical="center"/>
    </xf>
    <xf numFmtId="0" fontId="24" fillId="6" borderId="130" xfId="0" applyFont="1" applyBorder="1" applyAlignment="1">
      <alignment horizontal="center" vertical="center" wrapText="1"/>
    </xf>
    <xf numFmtId="0" fontId="24" fillId="6" borderId="115" xfId="0" applyFont="1" applyBorder="1" applyAlignment="1">
      <alignment horizontal="center" vertical="center" wrapText="1"/>
    </xf>
    <xf numFmtId="0" fontId="24" fillId="6" borderId="130" xfId="0" applyFont="1" applyFill="1" applyBorder="1" applyAlignment="1" applyProtection="1">
      <alignment horizontal="center" vertical="center" wrapText="1"/>
    </xf>
    <xf numFmtId="0" fontId="0" fillId="54" borderId="25" xfId="0" applyFont="1" applyFill="1" applyBorder="1" applyAlignment="1" applyProtection="1">
      <alignment horizontal="left" vertical="center"/>
    </xf>
    <xf numFmtId="0" fontId="0" fillId="54" borderId="28" xfId="0" applyFont="1" applyFill="1" applyBorder="1" applyAlignment="1" applyProtection="1">
      <alignment horizontal="left" vertical="center"/>
    </xf>
    <xf numFmtId="0" fontId="24" fillId="6" borderId="27" xfId="0" applyFont="1" applyFill="1" applyBorder="1" applyAlignment="1" applyProtection="1">
      <alignment horizontal="left" vertical="center" wrapText="1"/>
    </xf>
    <xf numFmtId="3" fontId="0" fillId="6" borderId="20" xfId="30" applyFont="1" applyBorder="1">
      <alignment horizontal="right" vertical="center"/>
    </xf>
    <xf numFmtId="0" fontId="0" fillId="48" borderId="0" xfId="0" applyFill="1" applyBorder="1">
      <alignment vertical="center"/>
    </xf>
    <xf numFmtId="0" fontId="24" fillId="54" borderId="91" xfId="0" applyFont="1" applyFill="1" applyBorder="1">
      <alignment vertical="center"/>
    </xf>
    <xf numFmtId="0" fontId="56" fillId="6" borderId="91" xfId="0" applyFont="1" applyFill="1" applyBorder="1" applyAlignment="1">
      <alignment vertical="top" wrapText="1"/>
    </xf>
    <xf numFmtId="0" fontId="0" fillId="6" borderId="91" xfId="0" applyFont="1" applyFill="1" applyBorder="1" applyAlignment="1"/>
    <xf numFmtId="0" fontId="54" fillId="6" borderId="91" xfId="0" applyFont="1" applyFill="1" applyBorder="1">
      <alignment vertical="center"/>
    </xf>
    <xf numFmtId="0" fontId="54" fillId="48" borderId="91" xfId="0" applyFont="1" applyFill="1" applyBorder="1">
      <alignment vertical="center"/>
    </xf>
    <xf numFmtId="0" fontId="24" fillId="54" borderId="91" xfId="0" applyFont="1" applyFill="1" applyBorder="1" applyAlignment="1" applyProtection="1">
      <alignment horizontal="left" vertical="center"/>
    </xf>
    <xf numFmtId="0" fontId="0" fillId="54" borderId="91" xfId="0" applyFont="1" applyFill="1" applyBorder="1">
      <alignment vertical="center"/>
    </xf>
    <xf numFmtId="0" fontId="0" fillId="6" borderId="119" xfId="0" applyFont="1" applyBorder="1">
      <alignment vertical="center"/>
    </xf>
    <xf numFmtId="3" fontId="22" fillId="14" borderId="50" xfId="20" applyFont="1" applyBorder="1">
      <alignment horizontal="right" vertical="center"/>
      <protection locked="0"/>
    </xf>
    <xf numFmtId="3" fontId="22" fillId="14" borderId="49" xfId="20" applyFont="1" applyBorder="1">
      <alignment horizontal="right" vertical="center"/>
      <protection locked="0"/>
    </xf>
    <xf numFmtId="3" fontId="22" fillId="0" borderId="0" xfId="11" applyNumberFormat="1" applyFont="1" applyFill="1" applyBorder="1" applyAlignment="1" applyProtection="1">
      <alignment horizontal="right" vertical="center"/>
      <protection locked="0"/>
    </xf>
    <xf numFmtId="0" fontId="0" fillId="6" borderId="32" xfId="0" applyFont="1" applyFill="1" applyBorder="1" applyAlignment="1">
      <alignment horizontal="left" vertical="center" wrapText="1"/>
    </xf>
    <xf numFmtId="0" fontId="62" fillId="53" borderId="27" xfId="144" applyBorder="1" applyAlignment="1">
      <alignment horizontal="center" vertical="center"/>
    </xf>
    <xf numFmtId="0" fontId="24" fillId="6" borderId="108" xfId="0" applyFont="1" applyFill="1" applyBorder="1" applyAlignment="1">
      <alignment horizontal="center" vertical="center"/>
    </xf>
    <xf numFmtId="0" fontId="24" fillId="6" borderId="114" xfId="0" applyFont="1" applyFill="1" applyBorder="1" applyAlignment="1">
      <alignment horizontal="center" vertical="center"/>
    </xf>
    <xf numFmtId="0" fontId="24" fillId="6" borderId="133" xfId="0" applyFont="1" applyFill="1" applyBorder="1" applyAlignment="1">
      <alignment horizontal="center" vertical="center" wrapText="1"/>
    </xf>
    <xf numFmtId="0" fontId="24" fillId="6" borderId="129" xfId="0" applyFont="1" applyFill="1" applyBorder="1" applyAlignment="1">
      <alignment horizontal="center" vertical="center" wrapText="1"/>
    </xf>
    <xf numFmtId="0" fontId="24" fillId="6" borderId="104" xfId="0" applyFont="1" applyFill="1" applyBorder="1" applyAlignment="1">
      <alignment horizontal="center" vertical="center" wrapText="1"/>
    </xf>
    <xf numFmtId="0" fontId="24" fillId="6" borderId="130" xfId="5" applyFont="1" applyBorder="1">
      <alignment horizontal="center" wrapText="1"/>
    </xf>
    <xf numFmtId="0" fontId="29" fillId="6" borderId="70" xfId="116" applyFont="1" applyFill="1" applyBorder="1" applyAlignment="1" applyProtection="1">
      <alignment horizontal="left" vertical="center"/>
    </xf>
    <xf numFmtId="0" fontId="24" fillId="6" borderId="0" xfId="0" applyFont="1" applyFill="1" applyBorder="1" applyAlignment="1">
      <alignment horizontal="center" vertical="center" wrapText="1"/>
    </xf>
    <xf numFmtId="0" fontId="0" fillId="6" borderId="20" xfId="0" applyFont="1" applyFill="1" applyBorder="1" applyAlignment="1">
      <alignment horizontal="left" vertical="center" wrapText="1"/>
    </xf>
    <xf numFmtId="0" fontId="62" fillId="53" borderId="27" xfId="144" applyBorder="1">
      <alignment horizontal="center" vertical="center"/>
    </xf>
    <xf numFmtId="0" fontId="24" fillId="6" borderId="104" xfId="5" applyFont="1" applyBorder="1">
      <alignment horizontal="center" wrapText="1"/>
    </xf>
    <xf numFmtId="0" fontId="25" fillId="13" borderId="32" xfId="3" applyFont="1" applyBorder="1" applyAlignment="1">
      <alignment horizontal="center" vertical="center"/>
    </xf>
    <xf numFmtId="0" fontId="26" fillId="6" borderId="48" xfId="0" applyFont="1" applyFill="1" applyBorder="1" applyAlignment="1">
      <alignment horizontal="center" vertical="center"/>
    </xf>
    <xf numFmtId="49" fontId="22" fillId="14" borderId="20" xfId="27" applyNumberFormat="1" applyFont="1">
      <alignment horizontal="center" vertical="center" wrapText="1"/>
      <protection locked="0"/>
    </xf>
    <xf numFmtId="49" fontId="22" fillId="14" borderId="21" xfId="27" applyNumberFormat="1" applyFont="1" applyBorder="1">
      <alignment horizontal="center" vertical="center" wrapText="1"/>
      <protection locked="0"/>
    </xf>
    <xf numFmtId="0" fontId="22" fillId="6" borderId="70" xfId="0" applyFont="1" applyBorder="1">
      <alignment vertical="center"/>
    </xf>
    <xf numFmtId="0" fontId="23" fillId="6" borderId="70" xfId="0" applyFont="1" applyBorder="1">
      <alignment vertical="center"/>
    </xf>
    <xf numFmtId="0" fontId="22" fillId="6" borderId="0" xfId="0" applyFont="1" applyAlignment="1"/>
    <xf numFmtId="0" fontId="22" fillId="6" borderId="0" xfId="0" applyFont="1">
      <alignment vertical="center"/>
    </xf>
    <xf numFmtId="0" fontId="23" fillId="6" borderId="70" xfId="0" applyFont="1" applyBorder="1" applyAlignment="1">
      <alignment horizontal="left" vertical="center"/>
    </xf>
    <xf numFmtId="0" fontId="23" fillId="6" borderId="0" xfId="0" applyFont="1" applyAlignment="1">
      <alignment horizontal="left" vertical="center"/>
    </xf>
    <xf numFmtId="0" fontId="20" fillId="6" borderId="0" xfId="0" applyFont="1">
      <alignment vertical="center"/>
    </xf>
    <xf numFmtId="3" fontId="22" fillId="6" borderId="0" xfId="147" applyFont="1" applyBorder="1">
      <alignment horizontal="right" vertical="center"/>
    </xf>
    <xf numFmtId="0" fontId="24" fillId="6" borderId="0" xfId="5" applyBorder="1" applyAlignment="1">
      <alignment horizontal="center" vertical="center" wrapText="1"/>
    </xf>
    <xf numFmtId="0" fontId="22" fillId="2" borderId="27" xfId="0" applyFont="1" applyFill="1" applyBorder="1" applyAlignment="1">
      <alignment vertical="center" wrapText="1"/>
    </xf>
    <xf numFmtId="0" fontId="22" fillId="6" borderId="27" xfId="0" applyFont="1" applyBorder="1">
      <alignment vertical="center"/>
    </xf>
    <xf numFmtId="3" fontId="28" fillId="13" borderId="20" xfId="3" applyNumberFormat="1" applyFont="1" applyBorder="1">
      <alignment horizontal="center" vertical="center"/>
    </xf>
    <xf numFmtId="0" fontId="0" fillId="2" borderId="27" xfId="0" applyFill="1" applyBorder="1" applyAlignment="1">
      <alignment horizontal="left" vertical="center" indent="1"/>
    </xf>
    <xf numFmtId="0" fontId="22" fillId="13" borderId="27" xfId="3" applyFont="1" applyBorder="1" applyAlignment="1">
      <alignment vertical="center"/>
    </xf>
    <xf numFmtId="0" fontId="22" fillId="6" borderId="106" xfId="0" applyFont="1" applyBorder="1" applyAlignment="1">
      <alignment vertical="center" wrapText="1"/>
    </xf>
    <xf numFmtId="0" fontId="22" fillId="6" borderId="27" xfId="0" applyFont="1" applyBorder="1" applyAlignment="1">
      <alignment vertical="center" wrapText="1"/>
    </xf>
    <xf numFmtId="0" fontId="22" fillId="2" borderId="27" xfId="0" applyFont="1" applyFill="1" applyBorder="1" applyAlignment="1">
      <alignment horizontal="left" vertical="center" indent="1"/>
    </xf>
    <xf numFmtId="0" fontId="22" fillId="2" borderId="28" xfId="0" applyFont="1" applyFill="1" applyBorder="1">
      <alignment vertical="center"/>
    </xf>
    <xf numFmtId="0" fontId="22" fillId="6" borderId="28" xfId="0" applyFont="1" applyBorder="1" applyAlignment="1">
      <alignment vertical="center" wrapText="1"/>
    </xf>
    <xf numFmtId="0" fontId="22" fillId="2" borderId="27" xfId="0" applyFont="1" applyFill="1" applyBorder="1" applyAlignment="1">
      <alignment horizontal="left" vertical="center" wrapText="1" indent="2"/>
    </xf>
    <xf numFmtId="0" fontId="22" fillId="2" borderId="27" xfId="0" applyFont="1" applyFill="1" applyBorder="1" applyAlignment="1">
      <alignment horizontal="left" vertical="center" wrapText="1" indent="1"/>
    </xf>
    <xf numFmtId="0" fontId="22" fillId="2" borderId="27" xfId="0" applyFont="1" applyFill="1" applyBorder="1" applyAlignment="1">
      <alignment horizontal="left" vertical="center" wrapText="1"/>
    </xf>
    <xf numFmtId="2" fontId="22" fillId="15" borderId="106" xfId="49" applyNumberFormat="1" applyFont="1" applyBorder="1">
      <alignment vertical="center"/>
    </xf>
    <xf numFmtId="2" fontId="22" fillId="13" borderId="27" xfId="3" applyNumberFormat="1" applyFont="1" applyBorder="1">
      <alignment horizontal="center" vertical="center"/>
    </xf>
    <xf numFmtId="2" fontId="22" fillId="2" borderId="106" xfId="0" applyNumberFormat="1" applyFont="1" applyFill="1" applyBorder="1" applyProtection="1">
      <alignment vertical="center"/>
    </xf>
    <xf numFmtId="2" fontId="22" fillId="2" borderId="27" xfId="0" applyNumberFormat="1" applyFont="1" applyFill="1" applyBorder="1" applyProtection="1">
      <alignment vertical="center"/>
    </xf>
    <xf numFmtId="3" fontId="0" fillId="6" borderId="20" xfId="30" applyFont="1" applyBorder="1">
      <alignment horizontal="right" vertical="center"/>
    </xf>
    <xf numFmtId="0" fontId="24" fillId="2" borderId="105" xfId="0" applyFont="1" applyFill="1" applyBorder="1">
      <alignment vertical="center"/>
    </xf>
    <xf numFmtId="0" fontId="22" fillId="2" borderId="107" xfId="0" applyFont="1" applyFill="1" applyBorder="1">
      <alignment vertical="center"/>
    </xf>
    <xf numFmtId="0" fontId="24" fillId="2" borderId="32" xfId="0" applyFont="1" applyFill="1" applyBorder="1">
      <alignment vertical="center"/>
    </xf>
    <xf numFmtId="0" fontId="24" fillId="2" borderId="27" xfId="0" applyFont="1" applyFill="1" applyBorder="1">
      <alignment vertical="center"/>
    </xf>
    <xf numFmtId="0" fontId="24" fillId="2" borderId="25" xfId="0" applyFont="1" applyFill="1" applyBorder="1">
      <alignment vertical="center"/>
    </xf>
    <xf numFmtId="0" fontId="22" fillId="2" borderId="25" xfId="0" applyFont="1" applyFill="1" applyBorder="1" applyAlignment="1">
      <alignment horizontal="left" vertical="center"/>
    </xf>
    <xf numFmtId="0" fontId="22" fillId="2" borderId="26" xfId="0" applyFont="1" applyFill="1" applyBorder="1">
      <alignment vertical="center"/>
    </xf>
    <xf numFmtId="3" fontId="0" fillId="13" borderId="20" xfId="3" applyNumberFormat="1" applyFont="1" applyBorder="1">
      <alignment horizontal="center" vertical="center"/>
    </xf>
    <xf numFmtId="3" fontId="0" fillId="13" borderId="32" xfId="3" applyNumberFormat="1" applyFont="1" applyBorder="1">
      <alignment horizontal="center" vertical="center"/>
    </xf>
    <xf numFmtId="0" fontId="0" fillId="0" borderId="25" xfId="0" applyFill="1" applyBorder="1" applyAlignment="1">
      <alignment horizontal="center" vertical="center" wrapText="1"/>
    </xf>
    <xf numFmtId="0" fontId="0" fillId="0" borderId="26" xfId="0" applyFill="1" applyBorder="1" applyAlignment="1">
      <alignment horizontal="center" vertical="center" wrapText="1"/>
    </xf>
    <xf numFmtId="0" fontId="24" fillId="13" borderId="21" xfId="3" applyFont="1" applyBorder="1">
      <alignment horizontal="center" vertical="center"/>
    </xf>
    <xf numFmtId="0" fontId="22" fillId="6" borderId="28" xfId="0" applyFont="1" applyFill="1" applyBorder="1" applyAlignment="1" applyProtection="1">
      <alignment horizontal="left" vertical="center"/>
    </xf>
    <xf numFmtId="0" fontId="0" fillId="6" borderId="27" xfId="0" applyFont="1" applyFill="1" applyBorder="1" applyAlignment="1">
      <alignment horizontal="left" vertical="center" wrapText="1"/>
    </xf>
    <xf numFmtId="0" fontId="0" fillId="6" borderId="106" xfId="0" applyFont="1" applyFill="1" applyBorder="1" applyAlignment="1">
      <alignment horizontal="left" vertical="center" wrapText="1"/>
    </xf>
    <xf numFmtId="0" fontId="62" fillId="53" borderId="27" xfId="144" applyBorder="1">
      <alignment horizontal="center" vertical="center"/>
    </xf>
    <xf numFmtId="3" fontId="22" fillId="13" borderId="20" xfId="3" applyNumberFormat="1" applyFont="1" applyBorder="1">
      <alignment horizontal="center" vertical="center"/>
    </xf>
    <xf numFmtId="0" fontId="47" fillId="6" borderId="27" xfId="0" applyFont="1" applyFill="1" applyBorder="1" applyAlignment="1">
      <alignment horizontal="center" vertical="center"/>
    </xf>
    <xf numFmtId="0" fontId="47" fillId="6" borderId="28" xfId="0" applyFont="1" applyFill="1" applyBorder="1" applyAlignment="1">
      <alignment horizontal="center" vertical="center"/>
    </xf>
    <xf numFmtId="3" fontId="22" fillId="41" borderId="28" xfId="11" applyFont="1" applyBorder="1">
      <alignment horizontal="right" vertical="center"/>
      <protection locked="0"/>
    </xf>
    <xf numFmtId="0" fontId="0" fillId="6" borderId="38" xfId="0" applyFont="1" applyFill="1" applyBorder="1" applyAlignment="1">
      <alignment vertical="center"/>
    </xf>
    <xf numFmtId="0" fontId="29" fillId="6" borderId="70" xfId="116" applyFont="1" applyFill="1" applyBorder="1" applyAlignment="1" applyProtection="1">
      <alignment horizontal="left" vertical="center"/>
    </xf>
    <xf numFmtId="0" fontId="68" fillId="2" borderId="106" xfId="0" applyFont="1" applyFill="1" applyBorder="1">
      <alignment vertical="center"/>
    </xf>
    <xf numFmtId="0" fontId="68" fillId="2" borderId="27" xfId="0" applyFont="1" applyFill="1" applyBorder="1">
      <alignment vertical="center"/>
    </xf>
    <xf numFmtId="0" fontId="68" fillId="2" borderId="28" xfId="0" applyFont="1" applyFill="1" applyBorder="1">
      <alignment vertical="center"/>
    </xf>
    <xf numFmtId="0" fontId="0" fillId="6" borderId="27" xfId="0" applyFont="1" applyFill="1" applyBorder="1" applyAlignment="1">
      <alignment horizontal="left" vertical="center" wrapText="1" indent="1"/>
    </xf>
    <xf numFmtId="0" fontId="24" fillId="6" borderId="106" xfId="0" applyFont="1" applyFill="1" applyBorder="1" applyAlignment="1">
      <alignment horizontal="left" vertical="center"/>
    </xf>
    <xf numFmtId="0" fontId="24" fillId="6" borderId="130" xfId="5" applyFont="1" applyBorder="1">
      <alignment horizontal="center" wrapText="1"/>
    </xf>
    <xf numFmtId="0" fontId="0" fillId="6" borderId="27" xfId="0" applyFont="1" applyFill="1" applyBorder="1" applyAlignment="1">
      <alignment horizontal="left" vertical="center" wrapText="1" indent="1"/>
    </xf>
    <xf numFmtId="0" fontId="24" fillId="6" borderId="79" xfId="0" applyFont="1" applyFill="1" applyBorder="1" applyAlignment="1">
      <alignment horizontal="center" vertical="center" wrapText="1"/>
    </xf>
    <xf numFmtId="0" fontId="24" fillId="6" borderId="120" xfId="5" applyFont="1" applyBorder="1">
      <alignment horizontal="center" wrapText="1"/>
    </xf>
    <xf numFmtId="0" fontId="24" fillId="6" borderId="132" xfId="5" applyFont="1" applyBorder="1">
      <alignment horizontal="center" wrapText="1"/>
    </xf>
    <xf numFmtId="3" fontId="22" fillId="13" borderId="32" xfId="3" applyNumberFormat="1" applyFont="1" applyBorder="1">
      <alignment horizontal="center" vertical="center"/>
    </xf>
    <xf numFmtId="3" fontId="22" fillId="13" borderId="98" xfId="3" applyNumberFormat="1" applyFont="1" applyBorder="1">
      <alignment horizontal="center" vertical="center"/>
    </xf>
    <xf numFmtId="0" fontId="24" fillId="50" borderId="129" xfId="5" applyFont="1" applyFill="1" applyBorder="1" applyAlignment="1">
      <alignment horizontal="center" vertical="center" wrapText="1"/>
    </xf>
    <xf numFmtId="49" fontId="39" fillId="41" borderId="107" xfId="19" applyFont="1" applyBorder="1">
      <alignment vertical="center"/>
      <protection locked="0"/>
    </xf>
    <xf numFmtId="49" fontId="39" fillId="41" borderId="25" xfId="19" applyFont="1" applyBorder="1">
      <alignment vertical="center"/>
      <protection locked="0"/>
    </xf>
    <xf numFmtId="3" fontId="39" fillId="13" borderId="104" xfId="3" applyNumberFormat="1" applyFont="1" applyBorder="1">
      <alignment horizontal="center" vertical="center"/>
    </xf>
    <xf numFmtId="3" fontId="39" fillId="43" borderId="129" xfId="6" applyFont="1" applyBorder="1" applyProtection="1">
      <alignment horizontal="right" vertical="center"/>
    </xf>
    <xf numFmtId="0" fontId="37" fillId="6" borderId="171" xfId="5" applyFont="1" applyBorder="1" applyAlignment="1">
      <alignment horizontal="center" vertical="center" wrapText="1"/>
    </xf>
    <xf numFmtId="0" fontId="37" fillId="6" borderId="130" xfId="5" applyFont="1" applyBorder="1" applyAlignment="1">
      <alignment horizontal="center" vertical="center" wrapText="1"/>
    </xf>
    <xf numFmtId="3" fontId="39" fillId="43" borderId="133" xfId="6" applyFont="1" applyBorder="1" applyProtection="1">
      <alignment horizontal="right" vertical="center"/>
    </xf>
    <xf numFmtId="0" fontId="37" fillId="6" borderId="172" xfId="5" applyFont="1" applyBorder="1" applyAlignment="1">
      <alignment horizontal="center" vertical="center" wrapText="1"/>
    </xf>
    <xf numFmtId="0" fontId="24" fillId="50" borderId="131" xfId="5" applyFont="1" applyFill="1" applyBorder="1" applyAlignment="1">
      <alignment horizontal="center" vertical="center" wrapText="1"/>
    </xf>
    <xf numFmtId="3" fontId="39" fillId="13" borderId="106" xfId="3" applyNumberFormat="1" applyFont="1" applyBorder="1">
      <alignment horizontal="center" vertical="center"/>
    </xf>
    <xf numFmtId="3" fontId="39" fillId="13" borderId="27" xfId="3" applyNumberFormat="1" applyFont="1" applyBorder="1">
      <alignment horizontal="center" vertical="center"/>
    </xf>
    <xf numFmtId="3" fontId="39" fillId="41" borderId="127" xfId="11" applyFont="1" applyBorder="1">
      <alignment horizontal="right" vertical="center"/>
      <protection locked="0"/>
    </xf>
    <xf numFmtId="3" fontId="39" fillId="41" borderId="123" xfId="11" applyFont="1" applyBorder="1">
      <alignment horizontal="right" vertical="center"/>
      <protection locked="0"/>
    </xf>
    <xf numFmtId="0" fontId="39" fillId="41" borderId="26" xfId="18" applyFont="1" applyBorder="1">
      <alignment horizontal="center" vertical="center" wrapText="1"/>
      <protection locked="0"/>
    </xf>
    <xf numFmtId="49" fontId="39" fillId="41" borderId="21" xfId="19" applyFont="1" applyBorder="1">
      <alignment vertical="center"/>
      <protection locked="0"/>
    </xf>
    <xf numFmtId="49" fontId="39" fillId="41" borderId="26" xfId="19" applyFont="1" applyBorder="1">
      <alignment vertical="center"/>
      <protection locked="0"/>
    </xf>
    <xf numFmtId="0" fontId="39" fillId="41" borderId="50" xfId="18" applyFont="1" applyBorder="1" applyAlignment="1">
      <alignment horizontal="left" vertical="center" wrapText="1"/>
      <protection locked="0"/>
    </xf>
    <xf numFmtId="0" fontId="39" fillId="41" borderId="21" xfId="18" applyFont="1" applyBorder="1">
      <alignment horizontal="center" vertical="center" wrapText="1"/>
      <protection locked="0"/>
    </xf>
    <xf numFmtId="3" fontId="39" fillId="41" borderId="49" xfId="11" applyFont="1" applyBorder="1">
      <alignment horizontal="right" vertical="center"/>
      <protection locked="0"/>
    </xf>
    <xf numFmtId="49" fontId="39" fillId="41" borderId="31" xfId="19" applyFont="1" applyBorder="1">
      <alignment vertical="center"/>
      <protection locked="0"/>
    </xf>
    <xf numFmtId="3" fontId="39" fillId="41" borderId="156" xfId="11" applyFont="1" applyBorder="1">
      <alignment horizontal="right" vertical="center"/>
      <protection locked="0"/>
    </xf>
    <xf numFmtId="3" fontId="39" fillId="6" borderId="98" xfId="30" applyFont="1" applyBorder="1">
      <alignment horizontal="right" vertical="center"/>
    </xf>
    <xf numFmtId="3" fontId="39" fillId="13" borderId="28" xfId="3" applyNumberFormat="1" applyFont="1" applyBorder="1">
      <alignment horizontal="center" vertical="center"/>
    </xf>
    <xf numFmtId="0" fontId="39" fillId="41" borderId="50" xfId="18" applyFont="1" applyBorder="1">
      <alignment horizontal="center" vertical="center" wrapText="1"/>
      <protection locked="0"/>
    </xf>
    <xf numFmtId="174" fontId="39" fillId="41" borderId="21" xfId="17" applyFont="1" applyBorder="1">
      <alignment horizontal="right" vertical="center"/>
      <protection locked="0"/>
    </xf>
    <xf numFmtId="174" fontId="39" fillId="41" borderId="49" xfId="17" applyFont="1" applyBorder="1">
      <alignment horizontal="right" vertical="center"/>
      <protection locked="0"/>
    </xf>
    <xf numFmtId="3" fontId="39" fillId="41" borderId="125" xfId="11" applyFont="1" applyBorder="1">
      <alignment horizontal="right" vertical="center"/>
      <protection locked="0"/>
    </xf>
    <xf numFmtId="0" fontId="39" fillId="43" borderId="104" xfId="9" applyFont="1" applyBorder="1" applyProtection="1">
      <alignment horizontal="left" vertical="center"/>
      <protection locked="0"/>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4" fillId="6" borderId="104" xfId="0" applyFont="1" applyFill="1" applyBorder="1" applyAlignment="1">
      <alignment horizontal="center"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6" borderId="128" xfId="0" applyFont="1" applyFill="1" applyBorder="1">
      <alignment vertical="center"/>
    </xf>
    <xf numFmtId="0" fontId="28" fillId="2" borderId="25" xfId="0" applyFont="1" applyFill="1" applyBorder="1" applyAlignment="1" applyProtection="1">
      <alignment horizontal="center" vertical="center" wrapText="1"/>
    </xf>
    <xf numFmtId="0" fontId="22" fillId="2" borderId="91" xfId="0" applyFont="1" applyFill="1" applyBorder="1" applyAlignment="1" applyProtection="1">
      <alignment vertical="center"/>
    </xf>
    <xf numFmtId="0" fontId="28" fillId="13" borderId="32" xfId="3" applyFont="1" applyBorder="1">
      <alignment horizontal="center" vertical="center"/>
    </xf>
    <xf numFmtId="0" fontId="22" fillId="6" borderId="98" xfId="5" applyFont="1" applyBorder="1">
      <alignment horizontal="center" wrapText="1"/>
    </xf>
    <xf numFmtId="2" fontId="22" fillId="13" borderId="33" xfId="3" applyNumberFormat="1" applyFont="1" applyBorder="1" applyProtection="1">
      <alignment horizontal="center" vertical="center"/>
    </xf>
    <xf numFmtId="2" fontId="22" fillId="6" borderId="27" xfId="32" applyNumberFormat="1" applyFont="1" applyBorder="1">
      <alignment horizontal="right" vertical="center"/>
    </xf>
    <xf numFmtId="2" fontId="22" fillId="2" borderId="32" xfId="0" applyNumberFormat="1" applyFont="1" applyFill="1" applyBorder="1" applyProtection="1">
      <alignment vertical="center"/>
    </xf>
    <xf numFmtId="2" fontId="22" fillId="2" borderId="31" xfId="0" applyNumberFormat="1" applyFont="1" applyFill="1" applyBorder="1" applyProtection="1">
      <alignment vertical="center"/>
    </xf>
    <xf numFmtId="0" fontId="22" fillId="13" borderId="136" xfId="3" applyFont="1" applyBorder="1" applyProtection="1">
      <alignment horizontal="center" vertical="center"/>
    </xf>
    <xf numFmtId="2" fontId="22" fillId="13" borderId="32" xfId="3" applyNumberFormat="1" applyFont="1" applyBorder="1">
      <alignment horizontal="center" vertical="center"/>
    </xf>
    <xf numFmtId="2" fontId="22" fillId="6" borderId="136" xfId="32" applyNumberFormat="1" applyFont="1" applyBorder="1">
      <alignment horizontal="right" vertical="center"/>
    </xf>
    <xf numFmtId="0" fontId="0" fillId="0" borderId="27" xfId="0" applyFill="1" applyBorder="1" applyAlignment="1">
      <alignment horizontal="left" vertical="center" wrapText="1" indent="1"/>
    </xf>
    <xf numFmtId="0" fontId="22" fillId="13" borderId="131" xfId="3" applyFont="1" applyBorder="1">
      <alignment horizontal="center" vertical="center"/>
    </xf>
    <xf numFmtId="0" fontId="22" fillId="13" borderId="113" xfId="3" applyFont="1" applyBorder="1">
      <alignment horizontal="center" vertical="center"/>
    </xf>
    <xf numFmtId="0" fontId="22" fillId="13" borderId="170" xfId="3" applyFont="1" applyBorder="1">
      <alignment horizontal="center" vertical="center"/>
    </xf>
    <xf numFmtId="0" fontId="22" fillId="13" borderId="127" xfId="3" applyFont="1" applyBorder="1">
      <alignment horizontal="center" vertical="center"/>
    </xf>
    <xf numFmtId="0" fontId="22" fillId="13" borderId="126" xfId="3" applyFont="1" applyBorder="1">
      <alignment horizontal="center" vertical="center"/>
    </xf>
    <xf numFmtId="0" fontId="22" fillId="13" borderId="123" xfId="3" applyFont="1" applyBorder="1">
      <alignment horizontal="center" vertical="center"/>
    </xf>
    <xf numFmtId="0" fontId="22" fillId="13" borderId="156" xfId="3" applyFont="1" applyBorder="1">
      <alignment horizontal="center" vertical="center"/>
    </xf>
    <xf numFmtId="0" fontId="22" fillId="13" borderId="125" xfId="3" applyFont="1" applyBorder="1">
      <alignment horizontal="center" vertical="center"/>
    </xf>
    <xf numFmtId="0" fontId="22" fillId="13" borderId="183" xfId="3" applyFont="1" applyBorder="1">
      <alignment horizontal="center" vertical="center"/>
    </xf>
    <xf numFmtId="0" fontId="22" fillId="13" borderId="180" xfId="3" applyFont="1" applyBorder="1">
      <alignment horizontal="center" vertical="center"/>
    </xf>
    <xf numFmtId="0" fontId="22" fillId="13" borderId="122" xfId="3" applyFont="1" applyBorder="1">
      <alignment horizontal="center" vertical="center"/>
    </xf>
    <xf numFmtId="0" fontId="0" fillId="43" borderId="129" xfId="9" applyFont="1" applyBorder="1" applyAlignment="1">
      <alignment vertical="center"/>
    </xf>
    <xf numFmtId="0" fontId="22" fillId="13" borderId="136" xfId="3" applyFont="1" applyBorder="1">
      <alignment horizontal="center" vertical="center"/>
    </xf>
    <xf numFmtId="0" fontId="22" fillId="6" borderId="171" xfId="5" applyFont="1" applyBorder="1">
      <alignment horizontal="center" wrapText="1"/>
    </xf>
    <xf numFmtId="0" fontId="22" fillId="6" borderId="172" xfId="5" applyFont="1" applyBorder="1">
      <alignment horizontal="center" wrapText="1"/>
    </xf>
    <xf numFmtId="0" fontId="0" fillId="13" borderId="50" xfId="3" applyFont="1" applyBorder="1">
      <alignment horizontal="center" vertical="center"/>
    </xf>
    <xf numFmtId="0" fontId="62" fillId="53" borderId="48" xfId="144" applyBorder="1">
      <alignment horizontal="center" vertical="center"/>
    </xf>
    <xf numFmtId="3" fontId="28" fillId="14" borderId="48" xfId="20" applyFont="1" applyBorder="1">
      <alignment horizontal="right" vertical="center"/>
      <protection locked="0"/>
    </xf>
    <xf numFmtId="3" fontId="22" fillId="43" borderId="147" xfId="6" applyFont="1" applyBorder="1">
      <alignment horizontal="right" vertical="center"/>
    </xf>
    <xf numFmtId="0" fontId="22" fillId="13" borderId="124" xfId="3" applyFont="1" applyBorder="1">
      <alignment horizontal="center" vertical="center"/>
    </xf>
    <xf numFmtId="0" fontId="22" fillId="13" borderId="119" xfId="3" applyFont="1" applyBorder="1">
      <alignment horizontal="center" vertical="center"/>
    </xf>
    <xf numFmtId="0" fontId="22" fillId="13" borderId="146" xfId="3" applyFont="1" applyBorder="1">
      <alignment horizontal="center" vertical="center"/>
    </xf>
    <xf numFmtId="0" fontId="22" fillId="13" borderId="98" xfId="3" applyFont="1" applyBorder="1">
      <alignment horizontal="center" vertical="center"/>
    </xf>
    <xf numFmtId="0" fontId="0" fillId="13" borderId="49" xfId="3" applyFont="1" applyBorder="1">
      <alignment horizontal="center" vertical="center"/>
    </xf>
    <xf numFmtId="0" fontId="37" fillId="6" borderId="91" xfId="0" applyFont="1" applyFill="1" applyBorder="1" applyAlignment="1">
      <alignment horizontal="center" vertical="center"/>
    </xf>
    <xf numFmtId="0" fontId="22" fillId="6" borderId="106" xfId="0" applyFont="1" applyFill="1" applyBorder="1" applyAlignment="1">
      <alignment horizontal="left" vertical="center" indent="1"/>
    </xf>
    <xf numFmtId="3" fontId="28" fillId="13" borderId="48" xfId="3" applyNumberFormat="1" applyFont="1" applyBorder="1">
      <alignment horizontal="center" vertical="center"/>
    </xf>
    <xf numFmtId="3" fontId="22" fillId="13" borderId="48" xfId="3" applyNumberFormat="1" applyFont="1" applyBorder="1">
      <alignment horizontal="center" vertical="center"/>
    </xf>
    <xf numFmtId="2" fontId="22" fillId="13" borderId="136" xfId="3" applyNumberFormat="1" applyFont="1" applyBorder="1">
      <alignment horizontal="center" vertical="center"/>
    </xf>
    <xf numFmtId="2" fontId="22" fillId="13" borderId="20" xfId="3" applyNumberFormat="1" applyFont="1" applyBorder="1">
      <alignment horizontal="center" vertical="center"/>
    </xf>
    <xf numFmtId="0" fontId="22" fillId="2" borderId="43" xfId="0" applyFont="1" applyFill="1" applyBorder="1" applyAlignment="1" applyProtection="1">
      <alignment horizontal="left" vertical="center" wrapText="1" indent="1"/>
    </xf>
    <xf numFmtId="0" fontId="25" fillId="2" borderId="35" xfId="83" applyFont="1" applyFill="1" applyBorder="1" applyAlignment="1" applyProtection="1">
      <alignment horizontal="left" vertical="center" wrapText="1" indent="1"/>
    </xf>
    <xf numFmtId="0" fontId="24" fillId="13" borderId="98" xfId="3" applyFont="1" applyBorder="1">
      <alignment horizontal="center" vertical="center"/>
    </xf>
    <xf numFmtId="0" fontId="22" fillId="6" borderId="147" xfId="148" applyFont="1" applyBorder="1">
      <alignment horizontal="center" wrapText="1"/>
    </xf>
    <xf numFmtId="0" fontId="28" fillId="13" borderId="25" xfId="3" applyFont="1" applyBorder="1">
      <alignment horizontal="center" vertical="center"/>
    </xf>
    <xf numFmtId="0" fontId="28" fillId="13" borderId="33" xfId="3" applyFont="1" applyBorder="1">
      <alignment horizontal="center" vertical="center"/>
    </xf>
    <xf numFmtId="3" fontId="28" fillId="6" borderId="48" xfId="30" applyFont="1" applyBorder="1">
      <alignment horizontal="right" vertical="center"/>
    </xf>
    <xf numFmtId="0" fontId="0" fillId="2" borderId="27" xfId="0" applyFill="1" applyBorder="1" applyAlignment="1">
      <alignment horizontal="left" vertical="center" wrapText="1" indent="1"/>
    </xf>
    <xf numFmtId="0" fontId="28" fillId="2" borderId="34" xfId="0" applyFont="1" applyFill="1" applyBorder="1" applyAlignment="1" applyProtection="1">
      <alignment horizontal="center" vertical="center" wrapText="1"/>
    </xf>
    <xf numFmtId="0" fontId="0" fillId="2" borderId="27" xfId="0" applyFill="1" applyBorder="1" applyAlignment="1">
      <alignment horizontal="left" vertical="center" wrapText="1" indent="2"/>
    </xf>
    <xf numFmtId="0" fontId="0" fillId="13" borderId="27" xfId="3" applyFont="1" applyBorder="1">
      <alignment horizontal="center" vertical="center"/>
    </xf>
    <xf numFmtId="0" fontId="0" fillId="2" borderId="27" xfId="0" applyFill="1" applyBorder="1" applyAlignment="1">
      <alignment horizontal="left" vertical="center" wrapText="1"/>
    </xf>
    <xf numFmtId="0" fontId="0" fillId="2" borderId="106" xfId="0" applyFill="1" applyBorder="1" applyAlignment="1">
      <alignment horizontal="left" vertical="center"/>
    </xf>
    <xf numFmtId="3" fontId="22" fillId="13" borderId="136" xfId="3" applyNumberFormat="1" applyFont="1" applyBorder="1">
      <alignment horizontal="center"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24" fillId="6" borderId="129" xfId="5" applyFont="1" applyBorder="1">
      <alignment horizontal="center" wrapText="1"/>
    </xf>
    <xf numFmtId="0" fontId="22" fillId="6" borderId="104" xfId="148" applyFont="1" applyBorder="1">
      <alignment horizontal="center" wrapText="1"/>
    </xf>
    <xf numFmtId="0" fontId="22" fillId="6" borderId="130" xfId="148" applyFont="1" applyBorder="1">
      <alignment horizontal="center" wrapText="1"/>
    </xf>
    <xf numFmtId="0" fontId="22" fillId="6" borderId="133" xfId="148" applyFont="1" applyBorder="1">
      <alignment horizontal="center" wrapText="1"/>
    </xf>
    <xf numFmtId="0" fontId="28" fillId="13" borderId="20" xfId="3" applyFont="1" applyBorder="1">
      <alignment horizontal="center" vertical="center"/>
    </xf>
    <xf numFmtId="0" fontId="0" fillId="6" borderId="70" xfId="0" applyBorder="1">
      <alignment vertical="center"/>
    </xf>
    <xf numFmtId="0" fontId="18" fillId="2" borderId="27" xfId="83" applyFill="1" applyBorder="1" applyAlignment="1">
      <alignment horizontal="left" vertical="center" wrapText="1" indent="2"/>
    </xf>
    <xf numFmtId="0" fontId="22" fillId="6" borderId="28" xfId="0" applyFont="1" applyFill="1" applyBorder="1" applyAlignment="1" applyProtection="1">
      <alignment horizontal="center" vertical="center"/>
    </xf>
    <xf numFmtId="0" fontId="22" fillId="6" borderId="28" xfId="0" applyFont="1" applyFill="1" applyBorder="1" applyAlignment="1" applyProtection="1">
      <alignment horizontal="left" vertical="center"/>
    </xf>
    <xf numFmtId="0" fontId="24" fillId="6" borderId="113" xfId="5" applyFont="1" applyBorder="1">
      <alignment horizontal="center" wrapText="1"/>
    </xf>
    <xf numFmtId="3" fontId="22" fillId="13" borderId="136" xfId="3" applyNumberFormat="1" applyFont="1" applyBorder="1">
      <alignment horizontal="center" vertical="center"/>
    </xf>
    <xf numFmtId="3" fontId="22" fillId="13" borderId="20" xfId="3" applyNumberFormat="1" applyFont="1" applyBorder="1">
      <alignment horizontal="center" vertical="center"/>
    </xf>
    <xf numFmtId="0" fontId="22" fillId="2" borderId="27" xfId="0" applyFont="1" applyFill="1" applyBorder="1" applyAlignment="1">
      <alignment horizontal="left" vertical="center" wrapText="1" indent="2"/>
    </xf>
    <xf numFmtId="0" fontId="24" fillId="6" borderId="129" xfId="5" applyBorder="1" applyAlignment="1">
      <alignment horizontal="center" vertical="center" wrapText="1"/>
    </xf>
    <xf numFmtId="0" fontId="22" fillId="2" borderId="27" xfId="0" applyFont="1" applyFill="1" applyBorder="1" applyAlignment="1">
      <alignment horizontal="left" vertical="center" wrapText="1"/>
    </xf>
    <xf numFmtId="0" fontId="22" fillId="2" borderId="27" xfId="0" applyFont="1" applyFill="1" applyBorder="1" applyAlignment="1">
      <alignment horizontal="left" vertical="center" wrapText="1" indent="1"/>
    </xf>
    <xf numFmtId="0" fontId="22" fillId="6" borderId="106" xfId="0" applyFont="1" applyBorder="1" applyAlignment="1">
      <alignment horizontal="center" vertical="center"/>
    </xf>
    <xf numFmtId="0" fontId="0" fillId="2" borderId="27" xfId="0" applyFill="1" applyBorder="1" applyAlignment="1">
      <alignment vertical="center" wrapText="1"/>
    </xf>
    <xf numFmtId="3" fontId="28" fillId="13" borderId="44" xfId="3" applyNumberFormat="1" applyFont="1" applyBorder="1">
      <alignment horizontal="center" vertical="center"/>
    </xf>
    <xf numFmtId="2" fontId="22" fillId="13" borderId="25" xfId="3" applyNumberFormat="1" applyFont="1" applyBorder="1">
      <alignment horizontal="center" vertical="center"/>
    </xf>
    <xf numFmtId="0" fontId="0" fillId="6" borderId="27" xfId="0" applyBorder="1" applyAlignment="1">
      <alignment horizontal="left" vertical="center" wrapText="1"/>
    </xf>
    <xf numFmtId="0" fontId="22" fillId="13" borderId="133" xfId="3" applyFont="1" applyBorder="1">
      <alignment horizontal="center" vertical="center"/>
    </xf>
    <xf numFmtId="0" fontId="22" fillId="13" borderId="185" xfId="3" applyFont="1" applyBorder="1">
      <alignment horizontal="center" vertical="center"/>
    </xf>
    <xf numFmtId="0" fontId="22" fillId="13" borderId="134" xfId="3" applyFont="1" applyBorder="1">
      <alignment horizontal="center" vertical="center"/>
    </xf>
    <xf numFmtId="0" fontId="0" fillId="2" borderId="43" xfId="0" applyFill="1" applyBorder="1">
      <alignment vertical="center"/>
    </xf>
    <xf numFmtId="0" fontId="0" fillId="2" borderId="128" xfId="0" applyFill="1" applyBorder="1">
      <alignment vertical="center"/>
    </xf>
    <xf numFmtId="0" fontId="0" fillId="6" borderId="117" xfId="0" applyBorder="1">
      <alignment vertical="center"/>
    </xf>
    <xf numFmtId="0" fontId="22" fillId="13" borderId="137" xfId="3" applyFont="1" applyBorder="1" applyProtection="1">
      <alignment horizontal="center" vertical="center"/>
    </xf>
    <xf numFmtId="2" fontId="22" fillId="2" borderId="136" xfId="0" applyNumberFormat="1" applyFont="1" applyFill="1" applyBorder="1" applyProtection="1">
      <alignment vertical="center"/>
    </xf>
    <xf numFmtId="0" fontId="22" fillId="6" borderId="119" xfId="0" applyFont="1" applyFill="1" applyBorder="1" applyProtection="1">
      <alignment vertical="center"/>
    </xf>
    <xf numFmtId="3" fontId="28" fillId="13" borderId="21" xfId="3" applyNumberFormat="1" applyFont="1" applyBorder="1">
      <alignment horizontal="center" vertical="center"/>
    </xf>
    <xf numFmtId="0" fontId="22" fillId="6" borderId="48" xfId="0" applyFont="1" applyBorder="1">
      <alignment vertical="center"/>
    </xf>
    <xf numFmtId="0" fontId="0" fillId="13" borderId="104" xfId="3" applyFont="1" applyBorder="1">
      <alignment horizontal="center" vertical="center"/>
    </xf>
    <xf numFmtId="3" fontId="28" fillId="13" borderId="184" xfId="3" applyNumberFormat="1" applyFont="1" applyBorder="1">
      <alignment horizontal="center" vertical="center"/>
    </xf>
    <xf numFmtId="2" fontId="22" fillId="13" borderId="88" xfId="3" applyNumberFormat="1" applyFont="1" applyBorder="1">
      <alignment horizontal="center" vertical="center"/>
    </xf>
    <xf numFmtId="2" fontId="22" fillId="13" borderId="37" xfId="3" applyNumberFormat="1" applyFont="1" applyBorder="1">
      <alignment horizontal="center" vertical="center"/>
    </xf>
    <xf numFmtId="2" fontId="22" fillId="13" borderId="38" xfId="3" applyNumberFormat="1" applyFont="1" applyBorder="1">
      <alignment horizontal="center" vertical="center"/>
    </xf>
    <xf numFmtId="2" fontId="22" fillId="13" borderId="171" xfId="3" applyNumberFormat="1" applyFont="1" applyBorder="1">
      <alignment horizontal="center" vertical="center"/>
    </xf>
    <xf numFmtId="2" fontId="22" fillId="13" borderId="104" xfId="3" applyNumberFormat="1" applyFont="1" applyBorder="1">
      <alignment horizontal="center" vertical="center"/>
    </xf>
    <xf numFmtId="2" fontId="22" fillId="13" borderId="133" xfId="3" applyNumberFormat="1" applyFont="1" applyBorder="1">
      <alignment horizontal="center" vertical="center"/>
    </xf>
    <xf numFmtId="0" fontId="0" fillId="2" borderId="106" xfId="0" applyFill="1" applyBorder="1" applyAlignment="1">
      <alignment vertical="center" wrapText="1"/>
    </xf>
    <xf numFmtId="0" fontId="22" fillId="13" borderId="70" xfId="3" applyFont="1" applyBorder="1">
      <alignment horizontal="center" vertical="center"/>
    </xf>
    <xf numFmtId="0" fontId="22" fillId="13" borderId="96" xfId="3" applyFont="1" applyBorder="1">
      <alignment horizontal="center" vertical="center"/>
    </xf>
    <xf numFmtId="0" fontId="23" fillId="2" borderId="129" xfId="0" applyFont="1" applyFill="1" applyBorder="1" applyAlignment="1">
      <alignment horizontal="left" vertical="center"/>
    </xf>
    <xf numFmtId="3" fontId="22" fillId="43" borderId="172" xfId="6" applyFont="1" applyBorder="1">
      <alignment horizontal="right" vertical="center"/>
    </xf>
    <xf numFmtId="0" fontId="0" fillId="2" borderId="107" xfId="0" applyFill="1" applyBorder="1">
      <alignment vertical="center"/>
    </xf>
    <xf numFmtId="0" fontId="0" fillId="2" borderId="95" xfId="0" applyFill="1" applyBorder="1">
      <alignment vertical="center"/>
    </xf>
    <xf numFmtId="3" fontId="28" fillId="13" borderId="49" xfId="3" applyNumberFormat="1" applyFont="1" applyBorder="1">
      <alignment horizontal="center" vertical="center"/>
    </xf>
    <xf numFmtId="1" fontId="0" fillId="4" borderId="133" xfId="37" applyFont="1" applyBorder="1" applyAlignment="1">
      <alignment horizontal="center" vertical="center"/>
    </xf>
    <xf numFmtId="1" fontId="0" fillId="15" borderId="129" xfId="48" applyFont="1" applyBorder="1" applyAlignment="1">
      <alignment horizontal="center" vertical="center"/>
    </xf>
    <xf numFmtId="0" fontId="22" fillId="15" borderId="27" xfId="55" applyFont="1" applyBorder="1">
      <alignment horizontal="center" vertical="center" wrapText="1"/>
    </xf>
    <xf numFmtId="174" fontId="22" fillId="15" borderId="27" xfId="0" applyNumberFormat="1" applyFont="1" applyFill="1" applyBorder="1" applyAlignment="1">
      <alignment horizontal="center" vertical="center"/>
    </xf>
    <xf numFmtId="0" fontId="20" fillId="6" borderId="0" xfId="0" applyFont="1" applyBorder="1">
      <alignment vertical="center"/>
    </xf>
    <xf numFmtId="0" fontId="22" fillId="2" borderId="27" xfId="0" applyFont="1" applyFill="1" applyBorder="1" applyAlignment="1">
      <alignment horizontal="left" vertical="center" indent="2"/>
    </xf>
    <xf numFmtId="0" fontId="0" fillId="2" borderId="27" xfId="0" applyFill="1" applyBorder="1" applyAlignment="1">
      <alignment horizontal="left" vertical="center"/>
    </xf>
    <xf numFmtId="0" fontId="22" fillId="6" borderId="27" xfId="0" applyFont="1" applyBorder="1" applyAlignment="1">
      <alignment horizontal="left" vertical="center" indent="1"/>
    </xf>
    <xf numFmtId="3" fontId="28" fillId="6" borderId="49" xfId="30" applyFont="1" applyBorder="1">
      <alignment horizontal="right" vertical="center"/>
    </xf>
    <xf numFmtId="0" fontId="0" fillId="13" borderId="171" xfId="3" applyFont="1" applyBorder="1">
      <alignment horizontal="center" vertical="center"/>
    </xf>
    <xf numFmtId="0" fontId="0" fillId="13" borderId="130" xfId="3" applyFont="1" applyBorder="1">
      <alignment horizontal="center" vertical="center"/>
    </xf>
    <xf numFmtId="0" fontId="0" fillId="13" borderId="133" xfId="3" applyFont="1" applyBorder="1">
      <alignment horizontal="center" vertical="center"/>
    </xf>
    <xf numFmtId="2" fontId="22" fillId="13" borderId="34" xfId="3" applyNumberFormat="1" applyFont="1" applyBorder="1">
      <alignment horizontal="center" vertical="center"/>
    </xf>
    <xf numFmtId="2" fontId="22" fillId="13" borderId="33" xfId="3" applyNumberFormat="1" applyFont="1" applyBorder="1">
      <alignment horizontal="center" vertical="center"/>
    </xf>
    <xf numFmtId="0" fontId="28" fillId="2" borderId="27" xfId="0" applyFont="1" applyFill="1" applyBorder="1" applyAlignment="1" applyProtection="1">
      <alignment horizontal="center" vertical="center" wrapText="1"/>
    </xf>
    <xf numFmtId="0" fontId="28" fillId="2" borderId="35" xfId="0" applyFont="1" applyFill="1" applyBorder="1" applyAlignment="1" applyProtection="1">
      <alignment horizontal="center" vertical="center" wrapText="1"/>
    </xf>
    <xf numFmtId="0" fontId="22" fillId="13" borderId="35" xfId="3" applyFont="1" applyBorder="1" applyProtection="1">
      <alignment horizontal="center" vertical="center"/>
    </xf>
    <xf numFmtId="3" fontId="22" fillId="6" borderId="127" xfId="30" applyFont="1" applyBorder="1">
      <alignment horizontal="right" vertical="center"/>
    </xf>
    <xf numFmtId="0" fontId="22" fillId="13" borderId="88" xfId="3" applyFont="1" applyBorder="1" applyProtection="1">
      <alignment horizontal="center" vertical="center"/>
    </xf>
    <xf numFmtId="0" fontId="24" fillId="6" borderId="172" xfId="5" applyFont="1" applyBorder="1">
      <alignment horizontal="center" wrapText="1"/>
    </xf>
    <xf numFmtId="0" fontId="24" fillId="6" borderId="131" xfId="5" applyFont="1" applyBorder="1">
      <alignment horizontal="center" wrapText="1"/>
    </xf>
    <xf numFmtId="2" fontId="22" fillId="13" borderId="130" xfId="3" applyNumberFormat="1" applyFont="1" applyBorder="1">
      <alignment horizontal="center" vertical="center"/>
    </xf>
    <xf numFmtId="0" fontId="22" fillId="6" borderId="172" xfId="148" applyFont="1" applyBorder="1">
      <alignment horizontal="center" wrapText="1"/>
    </xf>
    <xf numFmtId="0" fontId="22" fillId="13" borderId="52" xfId="3" applyFont="1" applyBorder="1" applyProtection="1">
      <alignment horizontal="center" vertical="center"/>
    </xf>
    <xf numFmtId="3" fontId="22" fillId="13" borderId="52" xfId="3" applyNumberFormat="1" applyFont="1" applyBorder="1">
      <alignment horizontal="center" vertical="center"/>
    </xf>
    <xf numFmtId="9" fontId="28" fillId="43" borderId="130" xfId="8" applyFont="1" applyBorder="1" applyProtection="1">
      <alignment horizontal="right" vertical="center"/>
    </xf>
    <xf numFmtId="3" fontId="28" fillId="41" borderId="48" xfId="11" applyFont="1" applyBorder="1" applyProtection="1">
      <alignment horizontal="right" vertical="center"/>
      <protection locked="0"/>
    </xf>
    <xf numFmtId="0" fontId="22" fillId="14" borderId="31" xfId="26" applyFont="1" applyBorder="1">
      <alignment horizontal="center" vertical="center" wrapText="1"/>
      <protection locked="0"/>
    </xf>
    <xf numFmtId="0" fontId="24" fillId="43" borderId="133" xfId="0" applyFont="1" applyFill="1" applyBorder="1" applyAlignment="1" applyProtection="1">
      <alignment horizontal="center" wrapText="1"/>
    </xf>
    <xf numFmtId="0" fontId="0" fillId="57" borderId="70" xfId="0" applyFill="1" applyBorder="1">
      <alignment vertical="center"/>
    </xf>
    <xf numFmtId="0" fontId="29" fillId="6" borderId="70" xfId="116" applyFont="1" applyFill="1" applyBorder="1" applyAlignment="1" applyProtection="1">
      <alignment horizontal="left" vertical="center"/>
    </xf>
    <xf numFmtId="0" fontId="37" fillId="6" borderId="98" xfId="0" applyFont="1" applyFill="1" applyBorder="1" applyAlignment="1">
      <alignment horizontal="center" vertical="center" wrapText="1"/>
    </xf>
    <xf numFmtId="0" fontId="37" fillId="6" borderId="41" xfId="0" applyFont="1" applyFill="1" applyBorder="1" applyAlignment="1">
      <alignment horizontal="center" vertical="center" wrapText="1"/>
    </xf>
    <xf numFmtId="9" fontId="39" fillId="43" borderId="133" xfId="8" applyFont="1" applyBorder="1">
      <alignment horizontal="right" vertical="center"/>
    </xf>
    <xf numFmtId="0" fontId="37" fillId="6" borderId="130" xfId="5" applyFont="1" applyFill="1" applyBorder="1" applyAlignment="1">
      <alignment horizontal="center" vertical="center" wrapText="1"/>
    </xf>
    <xf numFmtId="0" fontId="37" fillId="6" borderId="171" xfId="5" applyFont="1" applyFill="1" applyBorder="1" applyAlignment="1">
      <alignment horizontal="center" vertical="center" wrapText="1"/>
    </xf>
    <xf numFmtId="0" fontId="24" fillId="6" borderId="41" xfId="5" applyFont="1" applyFill="1" applyBorder="1" applyAlignment="1">
      <alignment horizontal="center" vertical="center" wrapText="1"/>
    </xf>
    <xf numFmtId="0" fontId="24" fillId="6" borderId="42" xfId="5" applyFont="1" applyFill="1" applyBorder="1" applyAlignment="1">
      <alignment horizontal="center" vertical="center" wrapText="1"/>
    </xf>
    <xf numFmtId="0" fontId="0" fillId="6" borderId="38" xfId="0" applyFill="1" applyBorder="1">
      <alignment vertical="center"/>
    </xf>
    <xf numFmtId="0" fontId="0" fillId="6" borderId="42" xfId="0" applyFill="1" applyBorder="1">
      <alignment vertical="center"/>
    </xf>
    <xf numFmtId="0" fontId="0" fillId="6" borderId="108" xfId="0" applyFill="1" applyBorder="1">
      <alignment vertical="center"/>
    </xf>
    <xf numFmtId="3" fontId="39" fillId="43" borderId="113" xfId="6" applyFont="1" applyBorder="1" applyProtection="1">
      <alignment horizontal="right" vertical="center"/>
    </xf>
    <xf numFmtId="0" fontId="23" fillId="0" borderId="70" xfId="0" applyFont="1" applyFill="1" applyBorder="1" applyAlignment="1" applyProtection="1">
      <alignment horizontal="left" vertical="center"/>
    </xf>
    <xf numFmtId="0" fontId="22" fillId="0" borderId="70" xfId="0" applyFont="1" applyFill="1" applyBorder="1" applyProtection="1">
      <alignment vertical="center"/>
    </xf>
    <xf numFmtId="0" fontId="22" fillId="13" borderId="73" xfId="3" applyFont="1" applyBorder="1">
      <alignment horizontal="center" vertical="center"/>
    </xf>
    <xf numFmtId="0" fontId="62" fillId="13" borderId="98" xfId="3" applyFont="1" applyBorder="1">
      <alignment horizontal="center" vertical="center"/>
    </xf>
    <xf numFmtId="0" fontId="22" fillId="13" borderId="171" xfId="3" applyFont="1" applyBorder="1" applyProtection="1">
      <alignment horizontal="center" vertical="center"/>
    </xf>
    <xf numFmtId="0" fontId="22" fillId="13" borderId="130" xfId="3" applyFont="1" applyBorder="1" applyProtection="1">
      <alignment horizontal="center" vertical="center"/>
    </xf>
    <xf numFmtId="0" fontId="22" fillId="13" borderId="133" xfId="3" applyFont="1" applyBorder="1" applyProtection="1">
      <alignment horizontal="center" vertical="center"/>
    </xf>
    <xf numFmtId="3" fontId="28" fillId="13" borderId="139" xfId="3" applyNumberFormat="1" applyFont="1" applyBorder="1">
      <alignment horizontal="center" vertical="center"/>
    </xf>
    <xf numFmtId="3" fontId="22" fillId="13" borderId="139" xfId="3" applyNumberFormat="1" applyFont="1" applyBorder="1">
      <alignment horizontal="center" vertical="center"/>
    </xf>
    <xf numFmtId="0" fontId="0" fillId="43" borderId="130" xfId="9" applyFont="1" applyBorder="1">
      <alignment horizontal="left" vertical="center"/>
    </xf>
    <xf numFmtId="3" fontId="28" fillId="43" borderId="130" xfId="6" applyFont="1" applyBorder="1">
      <alignment horizontal="right" vertical="center"/>
    </xf>
    <xf numFmtId="0" fontId="69" fillId="6" borderId="0" xfId="0" applyFont="1" applyFill="1" applyBorder="1" applyAlignment="1" applyProtection="1">
      <alignment vertical="center"/>
    </xf>
    <xf numFmtId="3" fontId="22" fillId="6" borderId="0" xfId="3" applyNumberFormat="1" applyFont="1" applyFill="1" applyBorder="1">
      <alignment horizontal="center" vertical="center"/>
    </xf>
    <xf numFmtId="0" fontId="22" fillId="6" borderId="128" xfId="0" applyFont="1" applyBorder="1">
      <alignment vertical="center"/>
    </xf>
    <xf numFmtId="0" fontId="24" fillId="6" borderId="0" xfId="0" applyFont="1" applyAlignment="1">
      <alignment horizontal="center" wrapText="1"/>
    </xf>
    <xf numFmtId="0" fontId="22" fillId="50" borderId="129" xfId="0" applyFont="1" applyFill="1" applyBorder="1">
      <alignment vertical="center"/>
    </xf>
    <xf numFmtId="0" fontId="22" fillId="6" borderId="0" xfId="0" applyFont="1" applyAlignment="1">
      <alignment horizontal="left" vertical="center"/>
    </xf>
    <xf numFmtId="3" fontId="22" fillId="6" borderId="91" xfId="147" applyFont="1" applyBorder="1">
      <alignment horizontal="right" vertical="center"/>
    </xf>
    <xf numFmtId="0" fontId="70" fillId="58" borderId="0" xfId="0" applyFont="1" applyFill="1" applyAlignment="1">
      <alignment horizontal="center" vertical="center" wrapText="1"/>
    </xf>
    <xf numFmtId="0" fontId="0" fillId="6" borderId="32" xfId="0" applyFont="1" applyFill="1" applyBorder="1" applyAlignment="1">
      <alignment horizontal="left" vertical="center" wrapText="1"/>
    </xf>
    <xf numFmtId="0" fontId="0" fillId="6" borderId="27" xfId="0" applyFont="1" applyFill="1" applyBorder="1" applyAlignment="1">
      <alignment horizontal="left" vertical="center" wrapText="1"/>
    </xf>
    <xf numFmtId="0" fontId="62" fillId="53" borderId="32" xfId="144" applyBorder="1" applyAlignment="1">
      <alignment horizontal="center" vertical="center"/>
    </xf>
    <xf numFmtId="0" fontId="62" fillId="53" borderId="27" xfId="144" applyBorder="1" applyAlignment="1">
      <alignment horizontal="center" vertical="center"/>
    </xf>
    <xf numFmtId="0" fontId="62" fillId="53" borderId="31" xfId="144" applyBorder="1" applyAlignment="1">
      <alignment horizontal="center" vertical="center"/>
    </xf>
    <xf numFmtId="0" fontId="62" fillId="53" borderId="28" xfId="144" applyBorder="1" applyAlignment="1">
      <alignment horizontal="center" vertical="center"/>
    </xf>
    <xf numFmtId="0" fontId="24" fillId="6" borderId="108" xfId="0" applyFont="1" applyFill="1" applyBorder="1" applyAlignment="1">
      <alignment horizontal="center" vertical="center"/>
    </xf>
    <xf numFmtId="0" fontId="24" fillId="6" borderId="99" xfId="0" applyFont="1" applyFill="1" applyBorder="1" applyAlignment="1">
      <alignment horizontal="center" vertical="center"/>
    </xf>
    <xf numFmtId="0" fontId="24" fillId="6" borderId="114" xfId="0" applyFont="1" applyFill="1" applyBorder="1" applyAlignment="1">
      <alignment horizontal="center" vertical="center"/>
    </xf>
    <xf numFmtId="0" fontId="24" fillId="6" borderId="73" xfId="0" applyFont="1" applyFill="1" applyBorder="1" applyAlignment="1">
      <alignment horizontal="center" vertical="center"/>
    </xf>
    <xf numFmtId="0" fontId="24" fillId="6" borderId="133" xfId="0" applyFont="1" applyFill="1" applyBorder="1" applyAlignment="1">
      <alignment horizontal="center" vertical="center" wrapText="1"/>
    </xf>
    <xf numFmtId="0" fontId="24" fillId="6" borderId="129" xfId="0" applyFont="1" applyFill="1" applyBorder="1" applyAlignment="1">
      <alignment horizontal="center" vertical="center" wrapText="1"/>
    </xf>
    <xf numFmtId="0" fontId="0" fillId="6" borderId="99" xfId="0" applyFont="1" applyBorder="1" applyAlignment="1" applyProtection="1">
      <alignment horizontal="center" vertical="center" wrapText="1"/>
    </xf>
    <xf numFmtId="0" fontId="0" fillId="6" borderId="91" xfId="0" applyFont="1" applyBorder="1" applyAlignment="1" applyProtection="1">
      <alignment horizontal="center" vertical="center" wrapText="1"/>
    </xf>
    <xf numFmtId="0" fontId="62" fillId="53" borderId="105" xfId="144" applyBorder="1" applyAlignment="1">
      <alignment horizontal="center" vertical="center"/>
    </xf>
    <xf numFmtId="0" fontId="62" fillId="53" borderId="106" xfId="144" applyBorder="1" applyAlignment="1">
      <alignment horizontal="center" vertical="center"/>
    </xf>
    <xf numFmtId="0" fontId="62" fillId="53" borderId="25" xfId="144" applyBorder="1" applyAlignment="1">
      <alignment horizontal="center" vertical="center"/>
    </xf>
    <xf numFmtId="0" fontId="24" fillId="6" borderId="104" xfId="0" applyFont="1" applyFill="1" applyBorder="1" applyAlignment="1">
      <alignment horizontal="center" vertical="center" wrapText="1"/>
    </xf>
    <xf numFmtId="0" fontId="0" fillId="6" borderId="73" xfId="0" applyFont="1" applyBorder="1" applyAlignment="1" applyProtection="1">
      <alignment horizontal="center" vertical="center" wrapText="1"/>
    </xf>
    <xf numFmtId="0" fontId="62" fillId="53" borderId="107" xfId="144" applyBorder="1" applyAlignment="1">
      <alignment horizontal="center" vertical="center"/>
    </xf>
    <xf numFmtId="0" fontId="62" fillId="53" borderId="26" xfId="144" applyBorder="1" applyAlignment="1">
      <alignment horizontal="center" vertical="center"/>
    </xf>
    <xf numFmtId="0" fontId="22" fillId="41" borderId="28" xfId="18" applyFont="1" applyBorder="1" applyAlignment="1" applyProtection="1">
      <alignment horizontal="center" vertical="center" wrapText="1"/>
      <protection locked="0"/>
    </xf>
    <xf numFmtId="0" fontId="29" fillId="6" borderId="70"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9" fillId="6" borderId="70" xfId="116" applyFont="1" applyFill="1" applyBorder="1" applyAlignment="1" applyProtection="1">
      <alignment horizontal="left" vertical="top" wrapText="1"/>
    </xf>
    <xf numFmtId="0" fontId="29" fillId="6" borderId="0" xfId="116" applyFont="1" applyFill="1" applyBorder="1" applyAlignment="1" applyProtection="1">
      <alignment horizontal="left" vertical="top" wrapText="1"/>
    </xf>
    <xf numFmtId="0" fontId="46" fillId="6" borderId="104" xfId="0" applyFont="1" applyBorder="1" applyAlignment="1">
      <alignment horizontal="center" vertical="center" wrapText="1"/>
    </xf>
    <xf numFmtId="0" fontId="46" fillId="6" borderId="101" xfId="0" applyFont="1" applyBorder="1" applyAlignment="1">
      <alignment horizontal="center" vertical="center" wrapText="1"/>
    </xf>
    <xf numFmtId="0" fontId="46" fillId="6" borderId="102" xfId="0" applyFont="1" applyBorder="1" applyAlignment="1">
      <alignment horizontal="center" vertical="center" wrapText="1"/>
    </xf>
    <xf numFmtId="0" fontId="46" fillId="48" borderId="108" xfId="0" applyFont="1" applyFill="1" applyBorder="1" applyAlignment="1">
      <alignment horizontal="center" vertical="center"/>
    </xf>
    <xf numFmtId="0" fontId="46" fillId="48" borderId="56" xfId="0" applyFont="1" applyFill="1" applyBorder="1" applyAlignment="1">
      <alignment horizontal="center" vertical="center"/>
    </xf>
    <xf numFmtId="0" fontId="46" fillId="48" borderId="114" xfId="0" applyFont="1" applyFill="1" applyBorder="1" applyAlignment="1">
      <alignment horizontal="center" vertical="center"/>
    </xf>
    <xf numFmtId="0" fontId="46" fillId="48" borderId="99" xfId="0" applyFont="1" applyFill="1" applyBorder="1" applyAlignment="1">
      <alignment horizontal="center" vertical="center"/>
    </xf>
    <xf numFmtId="0" fontId="46" fillId="48" borderId="91" xfId="0" applyFont="1" applyFill="1" applyBorder="1" applyAlignment="1">
      <alignment horizontal="center" vertical="center"/>
    </xf>
    <xf numFmtId="0" fontId="46" fillId="48" borderId="73" xfId="0" applyFont="1" applyFill="1" applyBorder="1" applyAlignment="1">
      <alignment horizontal="center" vertical="center"/>
    </xf>
    <xf numFmtId="0" fontId="46" fillId="48" borderId="102" xfId="0" applyFont="1" applyFill="1" applyBorder="1" applyAlignment="1">
      <alignment horizontal="center" vertical="center"/>
    </xf>
    <xf numFmtId="0" fontId="46" fillId="48" borderId="103" xfId="0" applyFont="1" applyFill="1" applyBorder="1" applyAlignment="1">
      <alignment horizontal="center" vertical="center"/>
    </xf>
    <xf numFmtId="0" fontId="46" fillId="48" borderId="104" xfId="0" applyFont="1" applyFill="1" applyBorder="1" applyAlignment="1">
      <alignment horizontal="center" vertical="center"/>
    </xf>
    <xf numFmtId="0" fontId="46" fillId="6" borderId="102" xfId="0" applyFont="1" applyBorder="1" applyAlignment="1">
      <alignment horizontal="center" wrapText="1"/>
    </xf>
    <xf numFmtId="0" fontId="46" fillId="6" borderId="104" xfId="0" applyFont="1" applyBorder="1" applyAlignment="1">
      <alignment horizontal="center" wrapText="1"/>
    </xf>
    <xf numFmtId="0" fontId="46" fillId="52" borderId="101" xfId="0" applyFont="1" applyFill="1" applyBorder="1" applyAlignment="1">
      <alignment horizontal="center" vertical="center"/>
    </xf>
    <xf numFmtId="0" fontId="46" fillId="52" borderId="102" xfId="0" applyFont="1" applyFill="1" applyBorder="1" applyAlignment="1">
      <alignment horizontal="center" vertical="center"/>
    </xf>
    <xf numFmtId="0" fontId="46" fillId="41" borderId="101" xfId="0" applyFont="1" applyFill="1" applyBorder="1" applyAlignment="1">
      <alignment horizontal="center" vertical="center"/>
    </xf>
    <xf numFmtId="0" fontId="46" fillId="41" borderId="102" xfId="0" applyFont="1" applyFill="1" applyBorder="1" applyAlignment="1">
      <alignment horizontal="center" vertical="center"/>
    </xf>
    <xf numFmtId="0" fontId="46" fillId="6" borderId="129" xfId="5" applyFont="1" applyBorder="1" applyAlignment="1">
      <alignment horizontal="center" vertical="center" wrapText="1"/>
    </xf>
    <xf numFmtId="0" fontId="46" fillId="6" borderId="104" xfId="5" applyFont="1" applyBorder="1" applyAlignment="1">
      <alignment horizontal="center" vertical="center" wrapText="1"/>
    </xf>
    <xf numFmtId="0" fontId="46" fillId="2" borderId="104" xfId="0" applyFont="1" applyFill="1" applyBorder="1" applyAlignment="1">
      <alignment horizontal="center" vertical="center"/>
    </xf>
    <xf numFmtId="0" fontId="46" fillId="2" borderId="101" xfId="0" applyFont="1" applyFill="1" applyBorder="1" applyAlignment="1">
      <alignment horizontal="center" vertical="center"/>
    </xf>
    <xf numFmtId="0" fontId="46" fillId="2" borderId="101" xfId="0" applyFont="1" applyFill="1" applyBorder="1" applyAlignment="1">
      <alignment horizontal="center" vertical="center" wrapText="1"/>
    </xf>
    <xf numFmtId="0" fontId="46" fillId="2" borderId="102" xfId="0" applyFont="1" applyFill="1" applyBorder="1" applyAlignment="1">
      <alignment horizontal="center" vertical="center" wrapText="1"/>
    </xf>
    <xf numFmtId="0" fontId="46" fillId="50" borderId="115" xfId="0" applyFont="1" applyFill="1" applyBorder="1" applyAlignment="1">
      <alignment horizontal="center" vertical="center"/>
    </xf>
    <xf numFmtId="0" fontId="46" fillId="50" borderId="108" xfId="0" applyFont="1" applyFill="1" applyBorder="1" applyAlignment="1">
      <alignment horizontal="center" vertical="center"/>
    </xf>
    <xf numFmtId="0" fontId="46" fillId="50" borderId="98" xfId="0" applyFont="1" applyFill="1" applyBorder="1" applyAlignment="1">
      <alignment horizontal="center" vertical="center"/>
    </xf>
    <xf numFmtId="0" fontId="46" fillId="50" borderId="99" xfId="0" applyFont="1" applyFill="1" applyBorder="1" applyAlignment="1">
      <alignment horizontal="center" vertical="center"/>
    </xf>
    <xf numFmtId="0" fontId="23" fillId="6" borderId="128"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72" xfId="0" applyFont="1" applyFill="1" applyBorder="1" applyAlignment="1">
      <alignment horizontal="center" vertical="center"/>
    </xf>
    <xf numFmtId="0" fontId="46" fillId="49" borderId="104" xfId="0" applyFont="1" applyFill="1" applyBorder="1" applyAlignment="1">
      <alignment horizontal="center" vertical="center"/>
    </xf>
    <xf numFmtId="0" fontId="46" fillId="49" borderId="130" xfId="0" applyFont="1" applyFill="1" applyBorder="1" applyAlignment="1">
      <alignment horizontal="center" vertical="center"/>
    </xf>
    <xf numFmtId="0" fontId="46" fillId="50" borderId="128" xfId="0" applyFont="1" applyFill="1" applyBorder="1" applyAlignment="1">
      <alignment horizontal="center" vertical="center"/>
    </xf>
    <xf numFmtId="0" fontId="46" fillId="50" borderId="72" xfId="0" applyFont="1" applyFill="1" applyBorder="1" applyAlignment="1">
      <alignment horizontal="center" vertical="center"/>
    </xf>
    <xf numFmtId="0" fontId="46" fillId="52" borderId="103" xfId="0" applyFont="1" applyFill="1" applyBorder="1" applyAlignment="1">
      <alignment horizontal="center" vertical="center"/>
    </xf>
    <xf numFmtId="0" fontId="46" fillId="52" borderId="104" xfId="0" applyFont="1" applyFill="1" applyBorder="1" applyAlignment="1">
      <alignment horizontal="center" vertical="center"/>
    </xf>
    <xf numFmtId="0" fontId="46" fillId="6" borderId="130" xfId="0" applyFont="1" applyBorder="1" applyAlignment="1">
      <alignment horizontal="center" wrapText="1"/>
    </xf>
    <xf numFmtId="0" fontId="46" fillId="6" borderId="101" xfId="0" applyFont="1" applyBorder="1" applyAlignment="1">
      <alignment horizontal="center" wrapText="1"/>
    </xf>
    <xf numFmtId="0" fontId="23" fillId="6" borderId="112" xfId="0" applyFont="1" applyFill="1" applyBorder="1" applyAlignment="1">
      <alignment horizontal="center" vertical="center"/>
    </xf>
    <xf numFmtId="0" fontId="23" fillId="6" borderId="91" xfId="0" applyFont="1" applyFill="1" applyBorder="1" applyAlignment="1">
      <alignment horizontal="center" vertical="center"/>
    </xf>
    <xf numFmtId="0" fontId="46" fillId="6" borderId="104" xfId="5" applyFont="1" applyBorder="1">
      <alignment horizontal="center" wrapText="1"/>
    </xf>
    <xf numFmtId="0" fontId="46" fillId="6" borderId="101" xfId="5" applyFont="1" applyBorder="1">
      <alignment horizontal="center" wrapText="1"/>
    </xf>
    <xf numFmtId="0" fontId="46" fillId="50" borderId="112" xfId="0" applyFont="1" applyFill="1" applyBorder="1" applyAlignment="1">
      <alignment horizontal="center" vertical="center"/>
    </xf>
    <xf numFmtId="0" fontId="46" fillId="50" borderId="91" xfId="0" applyFont="1" applyFill="1" applyBorder="1" applyAlignment="1">
      <alignment horizontal="center" vertical="center"/>
    </xf>
    <xf numFmtId="0" fontId="46" fillId="49" borderId="114" xfId="0" applyFont="1" applyFill="1" applyBorder="1" applyAlignment="1">
      <alignment horizontal="center" vertical="center" wrapText="1"/>
    </xf>
    <xf numFmtId="0" fontId="46" fillId="49" borderId="115" xfId="0" applyFont="1" applyFill="1" applyBorder="1" applyAlignment="1">
      <alignment horizontal="center" vertical="center" wrapText="1"/>
    </xf>
    <xf numFmtId="0" fontId="46" fillId="49" borderId="73" xfId="0" applyFont="1" applyFill="1" applyBorder="1" applyAlignment="1">
      <alignment horizontal="center" vertical="center" wrapText="1"/>
    </xf>
    <xf numFmtId="0" fontId="46" fillId="49" borderId="98" xfId="0" applyFont="1" applyFill="1" applyBorder="1" applyAlignment="1">
      <alignment horizontal="center" vertical="center" wrapText="1"/>
    </xf>
    <xf numFmtId="0" fontId="46" fillId="48" borderId="101" xfId="0" applyFont="1" applyFill="1" applyBorder="1" applyAlignment="1">
      <alignment horizontal="center" vertical="center"/>
    </xf>
    <xf numFmtId="0" fontId="46" fillId="48" borderId="115" xfId="0" applyFont="1" applyFill="1" applyBorder="1" applyAlignment="1">
      <alignment horizontal="center" vertical="center"/>
    </xf>
    <xf numFmtId="0" fontId="46" fillId="48" borderId="98" xfId="0" applyFont="1" applyFill="1" applyBorder="1" applyAlignment="1">
      <alignment horizontal="center" vertical="center"/>
    </xf>
    <xf numFmtId="0" fontId="46" fillId="41" borderId="104" xfId="0" applyFont="1" applyFill="1" applyBorder="1" applyAlignment="1">
      <alignment horizontal="center" vertical="center"/>
    </xf>
    <xf numFmtId="0" fontId="24" fillId="6" borderId="104"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102" xfId="0" applyFont="1" applyBorder="1" applyAlignment="1">
      <alignment horizontal="center" vertical="center" wrapText="1"/>
    </xf>
    <xf numFmtId="0" fontId="24" fillId="6" borderId="128" xfId="5" applyFont="1" applyBorder="1" applyAlignment="1">
      <alignment horizontal="center" vertical="center" wrapText="1"/>
    </xf>
    <xf numFmtId="0" fontId="24" fillId="6" borderId="91" xfId="5" applyFont="1" applyBorder="1" applyAlignment="1">
      <alignment horizontal="center" vertical="center" wrapText="1"/>
    </xf>
    <xf numFmtId="0" fontId="24" fillId="6" borderId="129" xfId="5" applyFont="1" applyBorder="1" applyAlignment="1">
      <alignment horizontal="center" vertical="center" wrapText="1"/>
    </xf>
    <xf numFmtId="0" fontId="24" fillId="6" borderId="128" xfId="0" applyFont="1" applyFill="1" applyBorder="1" applyAlignment="1" applyProtection="1">
      <alignment horizontal="center" vertical="center" wrapText="1"/>
    </xf>
    <xf numFmtId="0" fontId="24" fillId="6" borderId="91" xfId="0" applyFont="1" applyFill="1" applyBorder="1" applyAlignment="1" applyProtection="1">
      <alignment horizontal="center" vertical="center" wrapText="1"/>
    </xf>
    <xf numFmtId="0" fontId="24" fillId="6" borderId="106" xfId="0" applyFont="1" applyFill="1" applyBorder="1" applyAlignment="1">
      <alignment horizontal="left" vertical="center"/>
    </xf>
    <xf numFmtId="0" fontId="24" fillId="6" borderId="35" xfId="0" applyFont="1" applyFill="1" applyBorder="1" applyAlignment="1">
      <alignment horizontal="left" vertical="center"/>
    </xf>
    <xf numFmtId="0" fontId="24" fillId="6" borderId="106"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133" xfId="0" applyFont="1" applyFill="1" applyBorder="1" applyAlignment="1" applyProtection="1">
      <alignment horizontal="center" vertical="center"/>
    </xf>
    <xf numFmtId="0" fontId="0" fillId="6" borderId="129" xfId="0" applyFont="1" applyFill="1" applyBorder="1" applyAlignment="1" applyProtection="1">
      <alignment horizontal="center" vertical="center"/>
    </xf>
    <xf numFmtId="0" fontId="0" fillId="6" borderId="32"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2" borderId="32" xfId="0" applyFill="1" applyBorder="1" applyAlignment="1">
      <alignment horizontal="left" vertical="center" wrapText="1" indent="1"/>
    </xf>
    <xf numFmtId="0" fontId="0" fillId="2" borderId="27" xfId="0" applyFill="1" applyBorder="1" applyAlignment="1">
      <alignment horizontal="left" vertical="center" wrapText="1" indent="1"/>
    </xf>
    <xf numFmtId="0" fontId="0" fillId="2" borderId="25" xfId="0" applyFill="1" applyBorder="1" applyAlignment="1">
      <alignment horizontal="left" vertical="center" wrapText="1" indent="1"/>
    </xf>
    <xf numFmtId="0" fontId="22" fillId="43" borderId="129" xfId="9" applyFont="1" applyBorder="1" applyProtection="1">
      <alignment horizontal="left" vertical="center"/>
    </xf>
    <xf numFmtId="0" fontId="22" fillId="43" borderId="104" xfId="9" applyFont="1" applyBorder="1" applyProtection="1">
      <alignment horizontal="left" vertical="center"/>
    </xf>
    <xf numFmtId="0" fontId="24" fillId="2" borderId="131"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24" fillId="6" borderId="130" xfId="5" applyFont="1" applyBorder="1" applyAlignment="1">
      <alignment horizontal="center" wrapText="1"/>
    </xf>
    <xf numFmtId="0" fontId="24" fillId="6" borderId="172" xfId="5" applyFont="1" applyBorder="1" applyAlignment="1">
      <alignment horizontal="center" wrapText="1"/>
    </xf>
    <xf numFmtId="0" fontId="28" fillId="2" borderId="37" xfId="0" applyFont="1" applyFill="1" applyBorder="1" applyAlignment="1" applyProtection="1">
      <alignment horizontal="center" vertical="center" wrapText="1"/>
    </xf>
    <xf numFmtId="0" fontId="28" fillId="2" borderId="45"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4" fillId="2" borderId="114" xfId="5" applyFont="1" applyFill="1" applyBorder="1" applyAlignment="1" applyProtection="1">
      <alignment horizontal="center" vertical="center" wrapText="1"/>
    </xf>
    <xf numFmtId="0" fontId="24" fillId="2" borderId="73" xfId="5" applyFont="1" applyFill="1" applyBorder="1" applyAlignment="1" applyProtection="1">
      <alignment horizontal="center" vertical="center" wrapText="1"/>
    </xf>
    <xf numFmtId="0" fontId="0" fillId="2" borderId="128" xfId="0" applyFill="1" applyBorder="1" applyAlignment="1">
      <alignment horizontal="center" vertical="center"/>
    </xf>
    <xf numFmtId="0" fontId="0" fillId="2" borderId="91" xfId="0" applyFill="1" applyBorder="1" applyAlignment="1">
      <alignment horizontal="center" vertical="center"/>
    </xf>
    <xf numFmtId="0" fontId="24" fillId="2" borderId="129" xfId="0" applyFont="1" applyFill="1" applyBorder="1" applyAlignment="1">
      <alignment horizontal="center" vertical="center"/>
    </xf>
    <xf numFmtId="0" fontId="24" fillId="2" borderId="113" xfId="0" applyFont="1" applyFill="1" applyBorder="1" applyAlignment="1">
      <alignment horizontal="center" vertical="center"/>
    </xf>
    <xf numFmtId="0" fontId="24" fillId="6" borderId="133" xfId="148" applyBorder="1" applyAlignment="1">
      <alignment horizontal="center" wrapText="1"/>
    </xf>
    <xf numFmtId="0" fontId="24" fillId="6" borderId="129" xfId="148" applyBorder="1" applyAlignment="1">
      <alignment horizontal="center" wrapText="1"/>
    </xf>
    <xf numFmtId="0" fontId="24" fillId="6" borderId="113" xfId="148" applyBorder="1" applyAlignment="1">
      <alignment horizontal="center" wrapText="1"/>
    </xf>
    <xf numFmtId="0" fontId="26" fillId="49" borderId="131" xfId="0" applyFont="1" applyFill="1" applyBorder="1" applyAlignment="1">
      <alignment horizontal="center" vertical="center" wrapText="1"/>
    </xf>
    <xf numFmtId="0" fontId="26" fillId="49" borderId="129" xfId="0" applyFont="1" applyFill="1" applyBorder="1" applyAlignment="1">
      <alignment horizontal="center" vertical="center" wrapText="1"/>
    </xf>
    <xf numFmtId="0" fontId="24" fillId="6" borderId="171" xfId="0" applyFont="1" applyBorder="1" applyAlignment="1">
      <alignment horizontal="center" vertical="center" wrapText="1"/>
    </xf>
    <xf numFmtId="0" fontId="24" fillId="6" borderId="130" xfId="0" applyFont="1" applyBorder="1" applyAlignment="1">
      <alignment horizontal="center" vertical="center" wrapText="1"/>
    </xf>
    <xf numFmtId="0" fontId="24" fillId="6" borderId="133" xfId="0" applyFont="1" applyBorder="1" applyAlignment="1">
      <alignment horizontal="center" vertical="center" wrapText="1"/>
    </xf>
    <xf numFmtId="0" fontId="57" fillId="6" borderId="108" xfId="0" applyFont="1" applyBorder="1" applyAlignment="1">
      <alignment horizontal="center" vertical="center" wrapText="1"/>
    </xf>
    <xf numFmtId="0" fontId="57" fillId="6" borderId="114" xfId="0" applyFont="1" applyBorder="1" applyAlignment="1">
      <alignment horizontal="center" vertical="center" wrapText="1"/>
    </xf>
    <xf numFmtId="0" fontId="57" fillId="6" borderId="99" xfId="0" applyFont="1" applyBorder="1" applyAlignment="1">
      <alignment horizontal="center" vertical="center" wrapText="1"/>
    </xf>
    <xf numFmtId="0" fontId="57" fillId="6" borderId="73" xfId="0" applyFont="1" applyBorder="1" applyAlignment="1">
      <alignment horizontal="center" vertical="center" wrapText="1"/>
    </xf>
    <xf numFmtId="0" fontId="37" fillId="41" borderId="133" xfId="0" applyFont="1" applyFill="1" applyBorder="1" applyAlignment="1">
      <alignment horizontal="center" vertical="center" wrapText="1"/>
    </xf>
    <xf numFmtId="0" fontId="37" fillId="41" borderId="104" xfId="0" applyFont="1" applyFill="1" applyBorder="1" applyAlignment="1">
      <alignment horizontal="center" vertical="center" wrapText="1"/>
    </xf>
    <xf numFmtId="0" fontId="24" fillId="6" borderId="129" xfId="0" applyFont="1" applyBorder="1" applyAlignment="1">
      <alignment horizontal="center" vertical="center" wrapText="1"/>
    </xf>
    <xf numFmtId="0" fontId="24" fillId="6" borderId="108" xfId="0" applyFont="1" applyBorder="1" applyAlignment="1">
      <alignment horizontal="center" vertical="center" wrapText="1"/>
    </xf>
    <xf numFmtId="0" fontId="24" fillId="6" borderId="99" xfId="0" applyFont="1" applyBorder="1" applyAlignment="1">
      <alignment horizontal="center" vertical="center" wrapText="1"/>
    </xf>
    <xf numFmtId="0" fontId="24" fillId="6" borderId="133" xfId="0" applyFont="1" applyFill="1" applyBorder="1" applyAlignment="1" applyProtection="1">
      <alignment horizontal="center" vertical="center" wrapText="1"/>
    </xf>
    <xf numFmtId="0" fontId="24" fillId="6" borderId="104" xfId="0" applyFont="1" applyFill="1" applyBorder="1" applyAlignment="1" applyProtection="1">
      <alignment horizontal="center" vertical="center" wrapText="1"/>
    </xf>
    <xf numFmtId="0" fontId="37" fillId="50" borderId="133" xfId="0" applyFont="1" applyFill="1" applyBorder="1" applyAlignment="1">
      <alignment horizontal="center" vertical="center" wrapText="1"/>
    </xf>
    <xf numFmtId="0" fontId="37" fillId="50" borderId="129" xfId="0" applyFont="1" applyFill="1" applyBorder="1" applyAlignment="1">
      <alignment horizontal="center" vertical="center" wrapText="1"/>
    </xf>
    <xf numFmtId="0" fontId="24" fillId="48" borderId="133" xfId="0" applyFont="1" applyFill="1" applyBorder="1" applyAlignment="1">
      <alignment horizontal="center" vertical="center" wrapText="1"/>
    </xf>
    <xf numFmtId="0" fontId="24" fillId="48" borderId="129" xfId="0" applyFont="1" applyFill="1" applyBorder="1" applyAlignment="1">
      <alignment horizontal="center" vertical="center" wrapText="1"/>
    </xf>
    <xf numFmtId="0" fontId="24" fillId="48" borderId="104" xfId="0" applyFont="1" applyFill="1" applyBorder="1" applyAlignment="1">
      <alignment horizontal="center" vertical="center" wrapText="1"/>
    </xf>
    <xf numFmtId="0" fontId="24" fillId="6" borderId="115" xfId="0" applyFont="1" applyBorder="1" applyAlignment="1">
      <alignment horizontal="center" vertical="center" wrapText="1"/>
    </xf>
    <xf numFmtId="0" fontId="24" fillId="6" borderId="98" xfId="0" applyFont="1" applyBorder="1" applyAlignment="1">
      <alignment horizontal="center" vertical="center" wrapText="1"/>
    </xf>
    <xf numFmtId="0" fontId="37" fillId="6" borderId="133" xfId="0" applyFont="1" applyBorder="1" applyAlignment="1">
      <alignment horizontal="center" vertical="center" wrapText="1"/>
    </xf>
    <xf numFmtId="0" fontId="37" fillId="6" borderId="129" xfId="0" applyFont="1" applyBorder="1" applyAlignment="1">
      <alignment horizontal="center" vertical="center" wrapText="1"/>
    </xf>
    <xf numFmtId="0" fontId="37" fillId="6" borderId="104" xfId="0" applyFont="1" applyBorder="1" applyAlignment="1">
      <alignment horizontal="center" vertical="center" wrapText="1"/>
    </xf>
    <xf numFmtId="0" fontId="24" fillId="6" borderId="41" xfId="0" applyFont="1" applyBorder="1" applyAlignment="1">
      <alignment horizontal="center" vertical="center" wrapText="1"/>
    </xf>
    <xf numFmtId="0" fontId="25" fillId="0" borderId="115" xfId="83" applyFont="1" applyFill="1" applyBorder="1" applyAlignment="1">
      <alignment horizontal="center" vertical="center" wrapText="1"/>
    </xf>
    <xf numFmtId="0" fontId="25" fillId="0" borderId="41" xfId="83" applyFont="1" applyFill="1" applyBorder="1" applyAlignment="1">
      <alignment horizontal="center" vertical="center" wrapText="1"/>
    </xf>
    <xf numFmtId="0" fontId="25" fillId="0" borderId="98" xfId="83" applyFont="1" applyFill="1" applyBorder="1" applyAlignment="1">
      <alignment horizontal="center" vertical="center" wrapText="1"/>
    </xf>
    <xf numFmtId="0" fontId="37" fillId="6" borderId="115" xfId="0" applyFont="1" applyBorder="1" applyAlignment="1">
      <alignment horizontal="center" vertical="center" wrapText="1"/>
    </xf>
    <xf numFmtId="0" fontId="37" fillId="6" borderId="98" xfId="0" applyFont="1" applyBorder="1" applyAlignment="1">
      <alignment horizontal="center" vertical="center" wrapText="1"/>
    </xf>
    <xf numFmtId="0" fontId="37" fillId="6" borderId="0" xfId="0" applyFont="1" applyBorder="1" applyAlignment="1">
      <alignment horizontal="center" vertical="center" wrapText="1"/>
    </xf>
    <xf numFmtId="0" fontId="37" fillId="6" borderId="45" xfId="0" applyFont="1" applyBorder="1" applyAlignment="1">
      <alignment horizontal="center" vertical="center" wrapText="1"/>
    </xf>
    <xf numFmtId="0" fontId="24" fillId="49" borderId="133" xfId="0" applyFont="1" applyFill="1" applyBorder="1" applyAlignment="1">
      <alignment horizontal="center" vertical="center" wrapText="1"/>
    </xf>
    <xf numFmtId="0" fontId="24" fillId="49" borderId="129" xfId="0" applyFont="1" applyFill="1" applyBorder="1" applyAlignment="1">
      <alignment horizontal="center" vertical="center" wrapText="1"/>
    </xf>
    <xf numFmtId="0" fontId="24" fillId="49" borderId="104" xfId="0" applyFont="1" applyFill="1" applyBorder="1" applyAlignment="1">
      <alignment horizontal="center" vertical="center" wrapText="1"/>
    </xf>
    <xf numFmtId="0" fontId="37" fillId="6" borderId="133" xfId="0" applyFont="1" applyFill="1" applyBorder="1" applyAlignment="1">
      <alignment horizontal="center" vertical="center"/>
    </xf>
    <xf numFmtId="0" fontId="37" fillId="6" borderId="104" xfId="0" applyFont="1" applyFill="1" applyBorder="1" applyAlignment="1">
      <alignment horizontal="center" vertical="center"/>
    </xf>
    <xf numFmtId="0" fontId="24" fillId="6" borderId="115" xfId="0" applyFont="1" applyFill="1" applyBorder="1" applyAlignment="1" applyProtection="1">
      <alignment horizontal="center" vertical="center" wrapText="1"/>
    </xf>
    <xf numFmtId="0" fontId="24" fillId="6" borderId="98" xfId="0" applyFont="1" applyFill="1" applyBorder="1" applyAlignment="1" applyProtection="1">
      <alignment horizontal="center" vertical="center" wrapText="1"/>
    </xf>
    <xf numFmtId="0" fontId="24" fillId="6" borderId="91" xfId="0" applyFont="1" applyBorder="1" applyAlignment="1">
      <alignment horizontal="center" vertical="center" wrapText="1"/>
    </xf>
    <xf numFmtId="0" fontId="24" fillId="6" borderId="73" xfId="0" applyFont="1" applyBorder="1" applyAlignment="1">
      <alignment horizontal="center" vertical="center" wrapText="1"/>
    </xf>
    <xf numFmtId="0" fontId="24" fillId="6" borderId="41" xfId="0" applyFont="1" applyFill="1" applyBorder="1" applyAlignment="1" applyProtection="1">
      <alignment horizontal="center" vertical="center" wrapText="1"/>
    </xf>
    <xf numFmtId="0" fontId="52" fillId="49" borderId="104" xfId="0" applyFont="1" applyFill="1" applyBorder="1" applyAlignment="1">
      <alignment horizontal="center"/>
    </xf>
    <xf numFmtId="0" fontId="52" fillId="49" borderId="130" xfId="0" applyFont="1" applyFill="1" applyBorder="1" applyAlignment="1">
      <alignment horizontal="center"/>
    </xf>
    <xf numFmtId="0" fontId="52" fillId="49" borderId="133" xfId="0" applyFont="1" applyFill="1" applyBorder="1" applyAlignment="1">
      <alignment horizontal="center"/>
    </xf>
    <xf numFmtId="0" fontId="24" fillId="6" borderId="108" xfId="0" applyFont="1" applyFill="1" applyBorder="1" applyAlignment="1" applyProtection="1">
      <alignment horizontal="center" vertical="center" wrapText="1"/>
    </xf>
    <xf numFmtId="0" fontId="24" fillId="6" borderId="42" xfId="0" applyFont="1" applyFill="1" applyBorder="1" applyAlignment="1" applyProtection="1">
      <alignment horizontal="center" vertical="center" wrapText="1"/>
    </xf>
    <xf numFmtId="0" fontId="24" fillId="6" borderId="99" xfId="0" applyFont="1" applyFill="1" applyBorder="1" applyAlignment="1" applyProtection="1">
      <alignment horizontal="center" vertical="center" wrapText="1"/>
    </xf>
    <xf numFmtId="0" fontId="24" fillId="6" borderId="129" xfId="0" applyFont="1" applyFill="1" applyBorder="1" applyAlignment="1" applyProtection="1">
      <alignment horizontal="center" vertical="center" wrapText="1"/>
    </xf>
    <xf numFmtId="0" fontId="37" fillId="6" borderId="129" xfId="0" applyFont="1" applyBorder="1" applyAlignment="1">
      <alignment horizontal="center" vertical="center"/>
    </xf>
    <xf numFmtId="0" fontId="37" fillId="6" borderId="104" xfId="0" applyFont="1" applyBorder="1" applyAlignment="1">
      <alignment horizontal="center" vertical="center"/>
    </xf>
    <xf numFmtId="0" fontId="24" fillId="6" borderId="114" xfId="0" applyFont="1" applyBorder="1" applyAlignment="1">
      <alignment horizontal="center" vertical="center" wrapText="1"/>
    </xf>
    <xf numFmtId="0" fontId="52" fillId="41" borderId="133" xfId="0" applyFont="1" applyFill="1" applyBorder="1" applyAlignment="1">
      <alignment horizontal="center" vertical="center" wrapText="1"/>
    </xf>
    <xf numFmtId="0" fontId="52" fillId="41" borderId="129" xfId="0" applyFont="1" applyFill="1" applyBorder="1" applyAlignment="1">
      <alignment horizontal="center" vertical="center" wrapText="1"/>
    </xf>
    <xf numFmtId="0" fontId="52" fillId="41" borderId="104" xfId="0" applyFont="1" applyFill="1" applyBorder="1" applyAlignment="1">
      <alignment horizontal="center" vertical="center" wrapText="1"/>
    </xf>
    <xf numFmtId="0" fontId="52" fillId="50" borderId="133" xfId="0" applyFont="1" applyFill="1" applyBorder="1" applyAlignment="1">
      <alignment horizontal="center" vertical="center" wrapText="1"/>
    </xf>
    <xf numFmtId="0" fontId="52" fillId="50" borderId="129" xfId="0" applyFont="1" applyFill="1" applyBorder="1" applyAlignment="1">
      <alignment horizontal="center" vertical="center" wrapText="1"/>
    </xf>
    <xf numFmtId="0" fontId="26" fillId="0" borderId="108" xfId="0" applyFont="1" applyFill="1" applyBorder="1" applyAlignment="1">
      <alignment horizontal="center" vertical="center"/>
    </xf>
    <xf numFmtId="0" fontId="26" fillId="0" borderId="128" xfId="0" applyFont="1" applyFill="1" applyBorder="1" applyAlignment="1">
      <alignment horizontal="center" vertical="center"/>
    </xf>
    <xf numFmtId="0" fontId="26" fillId="0" borderId="99" xfId="0" applyFont="1" applyFill="1" applyBorder="1" applyAlignment="1">
      <alignment horizontal="center" vertical="center"/>
    </xf>
    <xf numFmtId="0" fontId="26" fillId="0" borderId="91" xfId="0" applyFont="1" applyFill="1" applyBorder="1" applyAlignment="1">
      <alignment horizontal="center" vertical="center"/>
    </xf>
    <xf numFmtId="0" fontId="24" fillId="6" borderId="114" xfId="0" applyFont="1" applyFill="1" applyBorder="1" applyAlignment="1" applyProtection="1">
      <alignment horizontal="center" vertical="center" wrapText="1"/>
    </xf>
    <xf numFmtId="0" fontId="24" fillId="6" borderId="73" xfId="0" applyFont="1" applyFill="1" applyBorder="1" applyAlignment="1" applyProtection="1">
      <alignment horizontal="center" vertical="center" wrapText="1"/>
    </xf>
    <xf numFmtId="0" fontId="24" fillId="6" borderId="128" xfId="0" applyFont="1" applyBorder="1" applyAlignment="1">
      <alignment horizontal="center" vertical="center" wrapText="1"/>
    </xf>
    <xf numFmtId="0" fontId="24" fillId="6" borderId="130" xfId="0" applyFont="1" applyFill="1" applyBorder="1" applyAlignment="1" applyProtection="1">
      <alignment horizontal="center" vertical="center" wrapText="1"/>
    </xf>
    <xf numFmtId="0" fontId="37" fillId="48" borderId="133" xfId="0" applyFont="1" applyFill="1" applyBorder="1" applyAlignment="1">
      <alignment horizontal="center" vertical="center" wrapText="1"/>
    </xf>
    <xf numFmtId="0" fontId="37" fillId="48" borderId="129" xfId="0" applyFont="1" applyFill="1" applyBorder="1" applyAlignment="1">
      <alignment horizontal="center" vertical="center" wrapText="1"/>
    </xf>
    <xf numFmtId="0" fontId="37" fillId="48" borderId="104" xfId="0" applyFont="1" applyFill="1" applyBorder="1" applyAlignment="1">
      <alignment horizontal="center" vertical="center" wrapText="1"/>
    </xf>
    <xf numFmtId="0" fontId="24" fillId="6" borderId="133" xfId="0" applyFont="1" applyBorder="1" applyAlignment="1">
      <alignment horizontal="center" vertical="center"/>
    </xf>
    <xf numFmtId="0" fontId="24" fillId="6" borderId="129" xfId="0" applyFont="1" applyBorder="1" applyAlignment="1">
      <alignment horizontal="center" vertical="center"/>
    </xf>
    <xf numFmtId="0" fontId="24" fillId="6" borderId="104" xfId="0" applyFont="1" applyBorder="1" applyAlignment="1">
      <alignment horizontal="center" vertical="center"/>
    </xf>
    <xf numFmtId="0" fontId="24" fillId="6" borderId="45" xfId="0" applyFont="1" applyBorder="1" applyAlignment="1">
      <alignment horizontal="center" vertical="center" wrapText="1"/>
    </xf>
    <xf numFmtId="0" fontId="24" fillId="0" borderId="115" xfId="0" applyFont="1" applyFill="1" applyBorder="1" applyAlignment="1" applyProtection="1">
      <alignment horizontal="center" vertical="center" wrapText="1"/>
    </xf>
    <xf numFmtId="0" fontId="24" fillId="0" borderId="41" xfId="0" applyFont="1" applyFill="1" applyBorder="1" applyAlignment="1" applyProtection="1">
      <alignment horizontal="center" vertical="center" wrapText="1"/>
    </xf>
    <xf numFmtId="0" fontId="37" fillId="6" borderId="133" xfId="0" applyFont="1" applyBorder="1" applyAlignment="1">
      <alignment horizontal="center" vertical="center"/>
    </xf>
    <xf numFmtId="0" fontId="24" fillId="0" borderId="98" xfId="0" applyFont="1" applyFill="1" applyBorder="1" applyAlignment="1" applyProtection="1">
      <alignment horizontal="center" vertical="center" wrapText="1"/>
    </xf>
    <xf numFmtId="0" fontId="24" fillId="6" borderId="130" xfId="0" applyFont="1" applyBorder="1" applyAlignment="1">
      <alignment horizontal="center" wrapText="1"/>
    </xf>
    <xf numFmtId="0" fontId="24" fillId="6" borderId="133" xfId="0" applyFont="1" applyBorder="1" applyAlignment="1">
      <alignment horizontal="center" wrapText="1"/>
    </xf>
    <xf numFmtId="0" fontId="37" fillId="6" borderId="115" xfId="0" applyFont="1" applyBorder="1" applyAlignment="1">
      <alignment horizontal="center" wrapText="1"/>
    </xf>
    <xf numFmtId="0" fontId="37" fillId="6" borderId="98" xfId="0" applyFont="1" applyBorder="1" applyAlignment="1">
      <alignment horizontal="center" wrapText="1"/>
    </xf>
    <xf numFmtId="0" fontId="24" fillId="6" borderId="129" xfId="0" applyFont="1" applyBorder="1" applyAlignment="1">
      <alignment horizontal="center" wrapText="1"/>
    </xf>
    <xf numFmtId="0" fontId="37" fillId="49" borderId="171" xfId="0" applyFont="1" applyFill="1" applyBorder="1" applyAlignment="1">
      <alignment horizontal="center" vertical="center" wrapText="1"/>
    </xf>
    <xf numFmtId="0" fontId="37" fillId="49" borderId="130" xfId="0" applyFont="1" applyFill="1" applyBorder="1" applyAlignment="1">
      <alignment horizontal="center" vertical="center" wrapText="1"/>
    </xf>
    <xf numFmtId="0" fontId="37" fillId="49" borderId="133" xfId="0" applyFont="1" applyFill="1" applyBorder="1" applyAlignment="1">
      <alignment horizontal="center" vertical="center" wrapText="1"/>
    </xf>
    <xf numFmtId="0" fontId="52" fillId="49" borderId="129" xfId="0" applyFont="1" applyFill="1" applyBorder="1" applyAlignment="1">
      <alignment horizontal="center"/>
    </xf>
    <xf numFmtId="0" fontId="24" fillId="6" borderId="130" xfId="0" applyFont="1" applyBorder="1" applyAlignment="1">
      <alignment horizontal="center" vertical="center"/>
    </xf>
    <xf numFmtId="0" fontId="52" fillId="49" borderId="133" xfId="0" applyFont="1" applyFill="1" applyBorder="1" applyAlignment="1">
      <alignment horizontal="center" vertical="center" wrapText="1"/>
    </xf>
    <xf numFmtId="0" fontId="52" fillId="49" borderId="129" xfId="0" applyFont="1" applyFill="1" applyBorder="1" applyAlignment="1">
      <alignment horizontal="center" vertical="center" wrapText="1"/>
    </xf>
    <xf numFmtId="0" fontId="52" fillId="49" borderId="104" xfId="0" applyFont="1" applyFill="1" applyBorder="1" applyAlignment="1">
      <alignment horizontal="center" vertical="center" wrapText="1"/>
    </xf>
    <xf numFmtId="0" fontId="52" fillId="6" borderId="128"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52" fillId="6" borderId="91" xfId="0" applyFont="1" applyFill="1" applyBorder="1" applyAlignment="1">
      <alignment horizontal="center" vertical="center" wrapText="1"/>
    </xf>
    <xf numFmtId="0" fontId="37" fillId="49" borderId="129" xfId="0" applyFont="1" applyFill="1" applyBorder="1" applyAlignment="1">
      <alignment horizontal="center" vertical="center" wrapText="1"/>
    </xf>
    <xf numFmtId="0" fontId="25" fillId="6" borderId="28" xfId="0" applyFont="1" applyFill="1" applyBorder="1" applyAlignment="1">
      <alignment horizontal="left"/>
    </xf>
    <xf numFmtId="0" fontId="25" fillId="6" borderId="26" xfId="0" applyFont="1" applyFill="1" applyBorder="1" applyAlignment="1">
      <alignment horizontal="left"/>
    </xf>
    <xf numFmtId="0" fontId="24" fillId="41" borderId="129" xfId="5" applyFont="1" applyFill="1" applyBorder="1" applyAlignment="1">
      <alignment horizontal="center" vertical="center" wrapText="1"/>
    </xf>
    <xf numFmtId="0" fontId="24" fillId="41" borderId="133" xfId="5" applyFont="1" applyFill="1" applyBorder="1" applyAlignment="1">
      <alignment horizontal="center" vertical="center" wrapText="1"/>
    </xf>
    <xf numFmtId="0" fontId="0" fillId="6" borderId="128" xfId="0" applyFont="1" applyBorder="1" applyAlignment="1">
      <alignment horizontal="center"/>
    </xf>
    <xf numFmtId="0" fontId="0" fillId="6" borderId="71" xfId="0" applyFont="1" applyBorder="1" applyAlignment="1">
      <alignment horizontal="center"/>
    </xf>
    <xf numFmtId="0" fontId="25" fillId="6" borderId="27" xfId="0" applyFont="1" applyFill="1" applyBorder="1" applyAlignment="1">
      <alignment horizontal="left"/>
    </xf>
    <xf numFmtId="0" fontId="25" fillId="6" borderId="25" xfId="0" applyFont="1" applyFill="1" applyBorder="1" applyAlignment="1">
      <alignment horizontal="left"/>
    </xf>
    <xf numFmtId="0" fontId="24" fillId="6" borderId="133" xfId="5" applyFont="1" applyBorder="1" applyAlignment="1">
      <alignment horizontal="center" wrapText="1"/>
    </xf>
    <xf numFmtId="0" fontId="24" fillId="6" borderId="104" xfId="5" applyFont="1" applyBorder="1" applyAlignment="1">
      <alignment horizontal="center" wrapText="1"/>
    </xf>
    <xf numFmtId="0" fontId="24" fillId="49" borderId="129" xfId="0" applyFont="1" applyFill="1" applyBorder="1" applyAlignment="1">
      <alignment horizontal="center" vertical="center"/>
    </xf>
    <xf numFmtId="0" fontId="24" fillId="50" borderId="129" xfId="5" applyFont="1" applyFill="1" applyBorder="1" applyAlignment="1">
      <alignment horizontal="center" vertical="center" wrapText="1"/>
    </xf>
    <xf numFmtId="0" fontId="24" fillId="50" borderId="104" xfId="5" applyFont="1" applyFill="1" applyBorder="1" applyAlignment="1">
      <alignment horizontal="center" vertical="center" wrapText="1"/>
    </xf>
    <xf numFmtId="0" fontId="24" fillId="49" borderId="129" xfId="5" applyFont="1" applyFill="1" applyBorder="1" applyAlignment="1">
      <alignment horizontal="center" wrapText="1"/>
    </xf>
    <xf numFmtId="0" fontId="24" fillId="49" borderId="104" xfId="5" applyFont="1" applyFill="1" applyBorder="1" applyAlignment="1">
      <alignment horizontal="center" wrapText="1"/>
    </xf>
    <xf numFmtId="0" fontId="24" fillId="48" borderId="133" xfId="5" applyFont="1" applyFill="1" applyBorder="1" applyAlignment="1">
      <alignment horizontal="center" wrapText="1"/>
    </xf>
    <xf numFmtId="0" fontId="24" fillId="48" borderId="129" xfId="5" applyFont="1" applyFill="1" applyBorder="1" applyAlignment="1">
      <alignment horizontal="center" wrapText="1"/>
    </xf>
    <xf numFmtId="0" fontId="24" fillId="48" borderId="104" xfId="5" applyFont="1" applyFill="1" applyBorder="1" applyAlignment="1">
      <alignment horizontal="center" wrapText="1"/>
    </xf>
    <xf numFmtId="0" fontId="24" fillId="6" borderId="130" xfId="5" applyFont="1" applyBorder="1" applyAlignment="1">
      <alignment horizontal="center" vertical="center" wrapText="1"/>
    </xf>
    <xf numFmtId="0" fontId="24" fillId="6" borderId="133" xfId="5" applyFont="1" applyBorder="1" applyAlignment="1">
      <alignment horizontal="center" vertical="center" wrapText="1"/>
    </xf>
    <xf numFmtId="0" fontId="24" fillId="6" borderId="104" xfId="5" applyFont="1" applyBorder="1" applyAlignment="1">
      <alignment horizontal="center" vertical="center" wrapText="1"/>
    </xf>
    <xf numFmtId="0" fontId="24" fillId="6" borderId="130" xfId="5" applyFont="1" applyBorder="1">
      <alignment horizontal="center" wrapText="1"/>
    </xf>
    <xf numFmtId="0" fontId="0" fillId="54" borderId="32" xfId="55" applyFont="1" applyFill="1" applyBorder="1" applyAlignment="1">
      <alignment horizontal="center" vertical="center" wrapText="1"/>
    </xf>
    <xf numFmtId="0" fontId="0" fillId="54" borderId="27" xfId="55" applyFont="1" applyFill="1" applyBorder="1" applyAlignment="1">
      <alignment horizontal="center" vertical="center" wrapText="1"/>
    </xf>
    <xf numFmtId="0" fontId="0" fillId="54" borderId="27" xfId="0" applyFont="1" applyFill="1" applyBorder="1" applyAlignment="1" applyProtection="1">
      <alignment horizontal="left" vertical="center"/>
    </xf>
    <xf numFmtId="0" fontId="0" fillId="54" borderId="25" xfId="0" applyFont="1" applyFill="1" applyBorder="1" applyAlignment="1" applyProtection="1">
      <alignment horizontal="left" vertical="center"/>
    </xf>
    <xf numFmtId="0" fontId="0" fillId="54" borderId="28" xfId="0" applyFont="1" applyFill="1" applyBorder="1" applyAlignment="1" applyProtection="1">
      <alignment horizontal="left" vertical="center"/>
    </xf>
    <xf numFmtId="0" fontId="0" fillId="54" borderId="26" xfId="0" applyFont="1" applyFill="1" applyBorder="1" applyAlignment="1" applyProtection="1">
      <alignment horizontal="left" vertical="center"/>
    </xf>
    <xf numFmtId="0" fontId="0" fillId="54" borderId="31" xfId="55" applyFont="1" applyFill="1" applyBorder="1" applyAlignment="1">
      <alignment horizontal="center" vertical="center" wrapText="1"/>
    </xf>
    <xf numFmtId="0" fontId="0" fillId="54" borderId="28" xfId="55" applyFont="1" applyFill="1" applyBorder="1" applyAlignment="1">
      <alignment horizontal="center" vertical="center" wrapText="1"/>
    </xf>
    <xf numFmtId="0" fontId="24" fillId="49" borderId="129" xfId="5" applyFont="1" applyFill="1" applyBorder="1" applyAlignment="1">
      <alignment horizontal="center" vertical="center" wrapText="1"/>
    </xf>
    <xf numFmtId="0" fontId="24" fillId="49" borderId="104" xfId="5" applyFont="1" applyFill="1" applyBorder="1" applyAlignment="1">
      <alignment horizontal="center" vertical="center" wrapText="1"/>
    </xf>
    <xf numFmtId="0" fontId="24" fillId="48" borderId="130" xfId="5" applyFont="1" applyFill="1" applyBorder="1" applyAlignment="1">
      <alignment horizontal="center" vertical="center" wrapText="1"/>
    </xf>
    <xf numFmtId="0" fontId="24" fillId="48" borderId="133" xfId="5" applyFont="1" applyFill="1" applyBorder="1" applyAlignment="1">
      <alignment horizontal="center" vertical="center" wrapText="1"/>
    </xf>
    <xf numFmtId="0" fontId="24" fillId="48" borderId="129" xfId="5" applyFont="1" applyFill="1" applyBorder="1" applyAlignment="1">
      <alignment horizontal="center" vertical="center" wrapText="1"/>
    </xf>
    <xf numFmtId="0" fontId="24" fillId="48" borderId="104" xfId="5" applyFont="1" applyFill="1" applyBorder="1" applyAlignment="1">
      <alignment horizontal="center" vertical="center" wrapText="1"/>
    </xf>
    <xf numFmtId="0" fontId="37" fillId="48" borderId="131" xfId="0" applyFont="1" applyFill="1" applyBorder="1" applyAlignment="1">
      <alignment horizontal="center" vertical="center" wrapText="1"/>
    </xf>
    <xf numFmtId="0" fontId="24" fillId="6" borderId="133" xfId="5" applyBorder="1" applyAlignment="1">
      <alignment horizontal="center" wrapText="1"/>
    </xf>
    <xf numFmtId="0" fontId="24" fillId="6" borderId="129" xfId="5" applyBorder="1" applyAlignment="1">
      <alignment horizontal="center" wrapText="1"/>
    </xf>
    <xf numFmtId="3" fontId="39" fillId="47" borderId="105" xfId="20" applyFont="1" applyFill="1" applyBorder="1" applyAlignment="1">
      <alignment horizontal="center" vertical="center"/>
      <protection locked="0"/>
    </xf>
    <xf numFmtId="3" fontId="39" fillId="47" borderId="106" xfId="20" applyFont="1" applyFill="1" applyBorder="1" applyAlignment="1">
      <alignment horizontal="center" vertical="center"/>
      <protection locked="0"/>
    </xf>
    <xf numFmtId="0" fontId="22" fillId="41" borderId="31" xfId="18" applyFont="1" applyBorder="1" applyAlignment="1">
      <alignment horizontal="center" vertical="top" wrapText="1"/>
      <protection locked="0"/>
    </xf>
    <xf numFmtId="0" fontId="22" fillId="41" borderId="28" xfId="18" applyFont="1" applyBorder="1" applyAlignment="1">
      <alignment horizontal="center" vertical="top" wrapText="1"/>
      <protection locked="0"/>
    </xf>
    <xf numFmtId="0" fontId="22" fillId="41" borderId="26" xfId="18" applyFont="1" applyBorder="1" applyAlignment="1">
      <alignment horizontal="center" vertical="top" wrapText="1"/>
      <protection locked="0"/>
    </xf>
    <xf numFmtId="49" fontId="22" fillId="47" borderId="32" xfId="19" applyFont="1" applyFill="1" applyBorder="1" applyAlignment="1">
      <alignment horizontal="center" vertical="center"/>
      <protection locked="0"/>
    </xf>
    <xf numFmtId="49" fontId="22" fillId="47" borderId="27" xfId="19" applyFont="1" applyFill="1" applyBorder="1" applyAlignment="1">
      <alignment horizontal="center" vertical="center"/>
      <protection locked="0"/>
    </xf>
    <xf numFmtId="49" fontId="22" fillId="47" borderId="31" xfId="19" applyFont="1" applyFill="1" applyBorder="1" applyAlignment="1">
      <alignment horizontal="center" vertical="center"/>
      <protection locked="0"/>
    </xf>
    <xf numFmtId="49" fontId="22" fillId="47" borderId="28" xfId="19" applyFont="1" applyFill="1" applyBorder="1" applyAlignment="1">
      <alignment horizontal="center" vertical="center"/>
      <protection locked="0"/>
    </xf>
    <xf numFmtId="0" fontId="24" fillId="6" borderId="104" xfId="5" applyBorder="1" applyAlignment="1">
      <alignment horizontal="center" wrapText="1"/>
    </xf>
    <xf numFmtId="0" fontId="22" fillId="41" borderId="105" xfId="18" applyFont="1" applyBorder="1" applyAlignment="1">
      <alignment horizontal="center" vertical="top" wrapText="1"/>
      <protection locked="0"/>
    </xf>
    <xf numFmtId="0" fontId="22" fillId="41" borderId="106" xfId="18" applyFont="1" applyBorder="1" applyAlignment="1">
      <alignment horizontal="center" vertical="top" wrapText="1"/>
      <protection locked="0"/>
    </xf>
    <xf numFmtId="0" fontId="22" fillId="41" borderId="107" xfId="18" applyFont="1" applyBorder="1" applyAlignment="1">
      <alignment horizontal="center" vertical="top" wrapText="1"/>
      <protection locked="0"/>
    </xf>
    <xf numFmtId="0" fontId="22" fillId="41" borderId="32" xfId="18" applyFont="1" applyBorder="1" applyAlignment="1">
      <alignment horizontal="center" vertical="top" wrapText="1"/>
      <protection locked="0"/>
    </xf>
    <xf numFmtId="0" fontId="22" fillId="41" borderId="27" xfId="18" applyFont="1" applyBorder="1" applyAlignment="1">
      <alignment horizontal="center" vertical="top" wrapText="1"/>
      <protection locked="0"/>
    </xf>
    <xf numFmtId="0" fontId="22" fillId="41" borderId="25" xfId="18" applyFont="1" applyBorder="1" applyAlignment="1">
      <alignment horizontal="center" vertical="top" wrapText="1"/>
      <protection locked="0"/>
    </xf>
    <xf numFmtId="0" fontId="39" fillId="6" borderId="28" xfId="0" applyFont="1" applyFill="1" applyBorder="1" applyAlignment="1">
      <alignment horizontal="left" vertical="center" wrapText="1" indent="1"/>
    </xf>
    <xf numFmtId="3" fontId="39" fillId="41" borderId="128" xfId="11" applyFont="1" applyBorder="1" applyAlignment="1">
      <alignment horizontal="right" vertical="center"/>
      <protection locked="0"/>
    </xf>
    <xf numFmtId="3" fontId="39" fillId="41" borderId="114" xfId="11" applyFont="1" applyBorder="1" applyAlignment="1">
      <alignment horizontal="right" vertical="center"/>
      <protection locked="0"/>
    </xf>
    <xf numFmtId="0" fontId="62" fillId="53" borderId="91" xfId="144" applyFont="1" applyBorder="1" applyAlignment="1">
      <alignment horizontal="center" vertical="center"/>
    </xf>
    <xf numFmtId="0" fontId="62" fillId="53" borderId="73" xfId="144" applyFont="1" applyBorder="1" applyAlignment="1">
      <alignment horizontal="center" vertical="center"/>
    </xf>
    <xf numFmtId="0" fontId="26" fillId="6" borderId="108" xfId="5" applyFont="1" applyBorder="1" applyAlignment="1">
      <alignment horizontal="center" vertical="center" wrapText="1"/>
    </xf>
    <xf numFmtId="0" fontId="26" fillId="6" borderId="99" xfId="5" applyFont="1" applyBorder="1" applyAlignment="1">
      <alignment horizontal="center" vertical="center" wrapText="1"/>
    </xf>
    <xf numFmtId="0" fontId="39" fillId="41" borderId="28" xfId="18" applyFont="1" applyBorder="1" applyAlignment="1">
      <alignment horizontal="center" vertical="center" wrapText="1"/>
      <protection locked="0"/>
    </xf>
    <xf numFmtId="0" fontId="39" fillId="41" borderId="27" xfId="18" applyFont="1" applyBorder="1" applyAlignment="1">
      <alignment horizontal="center" vertical="center" wrapText="1"/>
      <protection locked="0"/>
    </xf>
    <xf numFmtId="0" fontId="24" fillId="6" borderId="129" xfId="5" applyFont="1" applyBorder="1" applyAlignment="1">
      <alignment horizontal="center" wrapText="1"/>
    </xf>
    <xf numFmtId="49" fontId="39" fillId="47" borderId="32" xfId="19" applyFont="1" applyFill="1" applyBorder="1" applyAlignment="1">
      <alignment horizontal="left" vertical="top"/>
      <protection locked="0"/>
    </xf>
    <xf numFmtId="49" fontId="39" fillId="47" borderId="27" xfId="19" applyFont="1" applyFill="1" applyBorder="1" applyAlignment="1">
      <alignment horizontal="left" vertical="top"/>
      <protection locked="0"/>
    </xf>
    <xf numFmtId="49" fontId="39" fillId="47" borderId="31" xfId="19" applyFont="1" applyFill="1" applyBorder="1" applyAlignment="1">
      <alignment horizontal="left" vertical="top"/>
      <protection locked="0"/>
    </xf>
    <xf numFmtId="49" fontId="39" fillId="47" borderId="28" xfId="19" applyFont="1" applyFill="1" applyBorder="1" applyAlignment="1">
      <alignment horizontal="left" vertical="top"/>
      <protection locked="0"/>
    </xf>
    <xf numFmtId="0" fontId="37" fillId="6" borderId="129" xfId="0" applyFont="1" applyBorder="1" applyAlignment="1">
      <alignment horizontal="center" wrapText="1"/>
    </xf>
    <xf numFmtId="0" fontId="25" fillId="6" borderId="0" xfId="0" applyFont="1" applyFill="1" applyBorder="1" applyAlignment="1" applyProtection="1">
      <alignment horizontal="left" vertical="center" wrapText="1"/>
    </xf>
    <xf numFmtId="0" fontId="39" fillId="6" borderId="27" xfId="0" applyFont="1" applyBorder="1" applyAlignment="1">
      <alignment horizontal="left" wrapText="1"/>
    </xf>
    <xf numFmtId="0" fontId="39" fillId="6" borderId="106" xfId="0" applyFont="1" applyBorder="1" applyAlignment="1">
      <alignment horizontal="left" wrapText="1"/>
    </xf>
    <xf numFmtId="0" fontId="39" fillId="6" borderId="128" xfId="0" applyFont="1" applyFill="1" applyBorder="1" applyAlignment="1">
      <alignment horizontal="center" vertical="center"/>
    </xf>
    <xf numFmtId="0" fontId="39" fillId="6" borderId="91" xfId="0" applyFont="1" applyFill="1" applyBorder="1" applyAlignment="1">
      <alignment horizontal="center" vertical="center"/>
    </xf>
    <xf numFmtId="0" fontId="24" fillId="54" borderId="129" xfId="0" applyFont="1" applyFill="1" applyBorder="1" applyAlignment="1" applyProtection="1">
      <alignment horizontal="center" vertical="center"/>
    </xf>
    <xf numFmtId="0" fontId="24" fillId="13" borderId="129" xfId="0" applyFont="1" applyFill="1" applyBorder="1" applyAlignment="1" applyProtection="1">
      <alignment horizontal="center" vertical="center"/>
    </xf>
    <xf numFmtId="0" fontId="24" fillId="13" borderId="133" xfId="0" applyFont="1" applyFill="1" applyBorder="1" applyAlignment="1" applyProtection="1">
      <alignment horizontal="center" vertical="center" wrapText="1"/>
    </xf>
    <xf numFmtId="0" fontId="24" fillId="13" borderId="91" xfId="0" applyFont="1" applyFill="1" applyBorder="1" applyAlignment="1" applyProtection="1">
      <alignment horizontal="center" vertical="center" wrapText="1"/>
    </xf>
    <xf numFmtId="0" fontId="24" fillId="54" borderId="133" xfId="0" applyFont="1" applyFill="1" applyBorder="1" applyAlignment="1" applyProtection="1">
      <alignment horizontal="center" vertical="center" wrapText="1"/>
    </xf>
    <xf numFmtId="0" fontId="24" fillId="54" borderId="129" xfId="0" applyFont="1" applyFill="1" applyBorder="1" applyAlignment="1" applyProtection="1">
      <alignment horizontal="center" vertical="center" wrapText="1"/>
    </xf>
    <xf numFmtId="0" fontId="59" fillId="49" borderId="129" xfId="0" applyFont="1" applyFill="1" applyBorder="1" applyAlignment="1">
      <alignment horizontal="center" vertical="center" wrapText="1"/>
    </xf>
    <xf numFmtId="0" fontId="59" fillId="49" borderId="104" xfId="0" applyFont="1" applyFill="1" applyBorder="1" applyAlignment="1">
      <alignment horizontal="center" vertical="center" wrapText="1"/>
    </xf>
    <xf numFmtId="0" fontId="22" fillId="54" borderId="105" xfId="0" applyFont="1" applyFill="1" applyBorder="1" applyAlignment="1" applyProtection="1">
      <alignment horizontal="left" vertical="center"/>
    </xf>
    <xf numFmtId="0" fontId="22" fillId="54" borderId="107" xfId="0" applyFont="1" applyFill="1" applyBorder="1" applyAlignment="1" applyProtection="1">
      <alignment horizontal="left" vertical="center"/>
    </xf>
    <xf numFmtId="0" fontId="22" fillId="54" borderId="32" xfId="0" applyFont="1" applyFill="1" applyBorder="1" applyAlignment="1" applyProtection="1">
      <alignment horizontal="left" vertical="center"/>
    </xf>
    <xf numFmtId="0" fontId="22" fillId="54" borderId="25" xfId="0" applyFont="1" applyFill="1" applyBorder="1" applyAlignment="1" applyProtection="1">
      <alignment horizontal="left" vertical="center"/>
    </xf>
    <xf numFmtId="0" fontId="22" fillId="54" borderId="31" xfId="0" applyFont="1" applyFill="1" applyBorder="1" applyAlignment="1" applyProtection="1">
      <alignment horizontal="left" vertical="center"/>
    </xf>
    <xf numFmtId="0" fontId="22" fillId="54" borderId="26" xfId="0" applyFont="1" applyFill="1" applyBorder="1" applyAlignment="1" applyProtection="1">
      <alignment horizontal="left" vertical="center"/>
    </xf>
    <xf numFmtId="0" fontId="26" fillId="6" borderId="21" xfId="0" applyFont="1" applyFill="1" applyBorder="1" applyAlignment="1">
      <alignment horizontal="center" vertical="center"/>
    </xf>
    <xf numFmtId="0" fontId="26" fillId="6" borderId="31" xfId="0" applyFont="1" applyFill="1" applyBorder="1" applyAlignment="1">
      <alignment horizontal="center" vertical="center"/>
    </xf>
    <xf numFmtId="0" fontId="24" fillId="6" borderId="130" xfId="0" applyFont="1" applyFill="1" applyBorder="1" applyAlignment="1" applyProtection="1">
      <alignment horizontal="center" vertical="center"/>
    </xf>
    <xf numFmtId="0" fontId="24" fillId="6" borderId="133" xfId="0" applyFont="1" applyFill="1" applyBorder="1" applyAlignment="1" applyProtection="1">
      <alignment horizontal="center" vertical="center"/>
    </xf>
    <xf numFmtId="3" fontId="53" fillId="54" borderId="88" xfId="1" applyFont="1" applyFill="1" applyBorder="1" applyAlignment="1">
      <alignment horizontal="center" vertical="center"/>
    </xf>
    <xf numFmtId="3" fontId="53" fillId="54" borderId="138" xfId="1" applyFont="1" applyFill="1" applyBorder="1" applyAlignment="1">
      <alignment horizontal="center" vertical="center"/>
    </xf>
    <xf numFmtId="3" fontId="53" fillId="54" borderId="146" xfId="1" applyFont="1" applyFill="1" applyBorder="1" applyAlignment="1">
      <alignment horizontal="center" vertical="center"/>
    </xf>
    <xf numFmtId="3" fontId="53" fillId="54" borderId="42" xfId="1" applyFont="1" applyFill="1" applyBorder="1" applyAlignment="1">
      <alignment horizontal="center" vertical="center" wrapText="1"/>
    </xf>
    <xf numFmtId="3" fontId="53" fillId="54" borderId="0" xfId="1" applyFont="1" applyFill="1" applyBorder="1" applyAlignment="1">
      <alignment horizontal="center" vertical="center" wrapText="1"/>
    </xf>
    <xf numFmtId="3" fontId="53" fillId="54" borderId="38" xfId="1" applyFont="1" applyFill="1" applyBorder="1" applyAlignment="1">
      <alignment horizontal="center" vertical="center" wrapText="1"/>
    </xf>
    <xf numFmtId="3" fontId="53" fillId="54" borderId="35" xfId="1" applyFont="1" applyFill="1" applyBorder="1" applyAlignment="1">
      <alignment horizontal="center" vertical="center" wrapText="1"/>
    </xf>
    <xf numFmtId="3" fontId="53" fillId="54" borderId="99" xfId="1" applyFont="1" applyFill="1" applyBorder="1" applyAlignment="1">
      <alignment horizontal="center" vertical="center" wrapText="1"/>
    </xf>
    <xf numFmtId="3" fontId="53" fillId="54" borderId="91" xfId="1" applyFont="1" applyFill="1" applyBorder="1" applyAlignment="1">
      <alignment horizontal="center" vertical="center" wrapText="1"/>
    </xf>
    <xf numFmtId="0" fontId="24" fillId="45" borderId="131" xfId="0" applyFont="1" applyFill="1" applyBorder="1" applyAlignment="1" applyProtection="1">
      <alignment horizontal="center" vertical="top"/>
    </xf>
    <xf numFmtId="0" fontId="24" fillId="45" borderId="129" xfId="0" applyFont="1" applyFill="1" applyBorder="1" applyAlignment="1" applyProtection="1">
      <alignment horizontal="center" vertical="top"/>
    </xf>
    <xf numFmtId="0" fontId="24" fillId="45" borderId="113" xfId="0" applyFont="1" applyFill="1" applyBorder="1" applyAlignment="1" applyProtection="1">
      <alignment horizontal="center" vertical="top"/>
    </xf>
    <xf numFmtId="0" fontId="26" fillId="0" borderId="32" xfId="0" applyFont="1" applyFill="1" applyBorder="1" applyAlignment="1">
      <alignment horizontal="center" vertical="center"/>
    </xf>
    <xf numFmtId="0" fontId="26" fillId="0" borderId="27" xfId="0" applyFont="1" applyFill="1" applyBorder="1" applyAlignment="1">
      <alignment horizontal="center" vertical="center"/>
    </xf>
    <xf numFmtId="0" fontId="25" fillId="13" borderId="32" xfId="3" applyFont="1" applyBorder="1" applyAlignment="1">
      <alignment horizontal="center" vertical="center"/>
    </xf>
    <xf numFmtId="0" fontId="25" fillId="13" borderId="27" xfId="3" applyFont="1" applyBorder="1" applyAlignment="1">
      <alignment horizontal="center" vertical="center"/>
    </xf>
    <xf numFmtId="0" fontId="26" fillId="0" borderId="94" xfId="0" applyFont="1" applyFill="1" applyBorder="1" applyAlignment="1">
      <alignment horizontal="center" vertical="center"/>
    </xf>
    <xf numFmtId="0" fontId="26" fillId="0" borderId="106" xfId="0" applyFont="1" applyFill="1" applyBorder="1" applyAlignment="1">
      <alignment horizontal="center" vertical="center"/>
    </xf>
    <xf numFmtId="0" fontId="22" fillId="41" borderId="32" xfId="18" applyFont="1" applyBorder="1" applyAlignment="1">
      <alignment horizontal="center" vertical="center" wrapText="1"/>
      <protection locked="0"/>
    </xf>
    <xf numFmtId="0" fontId="22" fillId="41" borderId="25" xfId="18" applyFont="1" applyBorder="1" applyAlignment="1">
      <alignment horizontal="center" vertical="center" wrapText="1"/>
      <protection locked="0"/>
    </xf>
    <xf numFmtId="0" fontId="26" fillId="0" borderId="31" xfId="0" applyFont="1" applyFill="1" applyBorder="1" applyAlignment="1">
      <alignment horizontal="center" vertical="center"/>
    </xf>
    <xf numFmtId="0" fontId="26" fillId="0" borderId="28" xfId="0" applyFont="1" applyFill="1" applyBorder="1" applyAlignment="1">
      <alignment horizontal="center" vertical="center"/>
    </xf>
    <xf numFmtId="0" fontId="25" fillId="13" borderId="133" xfId="3" applyFont="1" applyBorder="1" applyAlignment="1">
      <alignment horizontal="center" vertical="center"/>
    </xf>
    <xf numFmtId="0" fontId="25" fillId="13" borderId="129" xfId="3" applyFont="1" applyBorder="1" applyAlignment="1">
      <alignment horizontal="center" vertical="center"/>
    </xf>
    <xf numFmtId="0" fontId="22" fillId="41" borderId="31" xfId="18" applyFont="1" applyBorder="1" applyAlignment="1">
      <alignment horizontal="center" vertical="center" wrapText="1"/>
      <protection locked="0"/>
    </xf>
    <xf numFmtId="0" fontId="22" fillId="41" borderId="26" xfId="18" applyFont="1" applyBorder="1" applyAlignment="1">
      <alignment horizontal="center" vertical="center" wrapText="1"/>
      <protection locked="0"/>
    </xf>
    <xf numFmtId="49" fontId="22" fillId="14" borderId="32" xfId="27" applyNumberFormat="1" applyFont="1" applyBorder="1" applyAlignment="1">
      <alignment horizontal="left" vertical="center" wrapText="1"/>
      <protection locked="0"/>
    </xf>
    <xf numFmtId="49" fontId="22" fillId="14" borderId="27" xfId="27" applyNumberFormat="1" applyFont="1" applyBorder="1" applyAlignment="1">
      <alignment horizontal="left" vertical="center" wrapText="1"/>
      <protection locked="0"/>
    </xf>
    <xf numFmtId="49" fontId="22" fillId="14" borderId="25" xfId="27" applyNumberFormat="1" applyFont="1" applyBorder="1" applyAlignment="1">
      <alignment horizontal="left" vertical="center" wrapText="1"/>
      <protection locked="0"/>
    </xf>
    <xf numFmtId="49" fontId="22" fillId="14" borderId="31" xfId="27" applyNumberFormat="1" applyFont="1" applyBorder="1" applyAlignment="1">
      <alignment horizontal="left" vertical="center" wrapText="1"/>
      <protection locked="0"/>
    </xf>
    <xf numFmtId="49" fontId="22" fillId="14" borderId="28" xfId="27" applyNumberFormat="1" applyFont="1" applyBorder="1" applyAlignment="1">
      <alignment horizontal="left" vertical="center" wrapText="1"/>
      <protection locked="0"/>
    </xf>
    <xf numFmtId="49" fontId="22" fillId="14" borderId="26" xfId="27" applyNumberFormat="1" applyFont="1" applyBorder="1" applyAlignment="1">
      <alignment horizontal="left" vertical="center" wrapText="1"/>
      <protection locked="0"/>
    </xf>
    <xf numFmtId="0" fontId="24" fillId="43" borderId="133" xfId="0" applyFont="1" applyFill="1" applyBorder="1" applyAlignment="1" applyProtection="1">
      <alignment horizontal="center" wrapText="1"/>
    </xf>
    <xf numFmtId="0" fontId="24" fillId="43" borderId="104" xfId="0" applyFont="1" applyFill="1" applyBorder="1" applyAlignment="1" applyProtection="1">
      <alignment horizontal="center" wrapText="1"/>
    </xf>
    <xf numFmtId="0" fontId="22" fillId="41" borderId="105" xfId="18" applyFont="1" applyBorder="1" applyAlignment="1">
      <alignment horizontal="center" vertical="center" wrapText="1"/>
      <protection locked="0"/>
    </xf>
    <xf numFmtId="0" fontId="22" fillId="41" borderId="107" xfId="18" applyFont="1" applyBorder="1" applyAlignment="1">
      <alignment horizontal="center" vertical="center" wrapText="1"/>
      <protection locked="0"/>
    </xf>
    <xf numFmtId="0" fontId="24" fillId="6" borderId="25" xfId="0" applyFont="1" applyFill="1" applyBorder="1" applyAlignment="1" applyProtection="1">
      <alignment horizontal="left" vertical="center" wrapText="1"/>
    </xf>
    <xf numFmtId="0" fontId="24" fillId="6" borderId="20" xfId="0" applyFont="1" applyFill="1" applyBorder="1" applyAlignment="1" applyProtection="1">
      <alignment horizontal="left" vertical="center" wrapText="1"/>
    </xf>
    <xf numFmtId="0" fontId="24" fillId="6" borderId="32" xfId="0" applyFont="1" applyFill="1" applyBorder="1" applyAlignment="1" applyProtection="1">
      <alignment horizontal="left" vertical="center" wrapText="1"/>
    </xf>
    <xf numFmtId="0" fontId="24" fillId="6" borderId="128" xfId="0" applyFont="1" applyFill="1" applyBorder="1" applyAlignment="1" applyProtection="1">
      <alignment horizontal="center" vertical="top" wrapText="1"/>
    </xf>
    <xf numFmtId="0" fontId="24" fillId="6" borderId="91" xfId="0" applyFont="1" applyFill="1" applyBorder="1" applyAlignment="1" applyProtection="1">
      <alignment horizontal="center" vertical="top" wrapText="1"/>
    </xf>
    <xf numFmtId="0" fontId="24" fillId="6" borderId="133" xfId="0" applyFont="1" applyFill="1" applyBorder="1" applyAlignment="1" applyProtection="1">
      <alignment horizontal="center" wrapText="1"/>
    </xf>
    <xf numFmtId="0" fontId="24" fillId="6" borderId="129" xfId="0" applyFont="1" applyFill="1" applyBorder="1" applyAlignment="1" applyProtection="1">
      <alignment horizontal="center" wrapText="1"/>
    </xf>
    <xf numFmtId="0" fontId="24" fillId="6" borderId="104" xfId="0" applyFont="1" applyFill="1" applyBorder="1" applyAlignment="1" applyProtection="1">
      <alignment horizontal="center" wrapText="1"/>
    </xf>
    <xf numFmtId="49" fontId="22" fillId="14" borderId="105" xfId="27" applyNumberFormat="1" applyFont="1" applyBorder="1" applyAlignment="1">
      <alignment horizontal="left" vertical="center" wrapText="1"/>
      <protection locked="0"/>
    </xf>
    <xf numFmtId="49" fontId="22" fillId="14" borderId="106" xfId="27" applyNumberFormat="1" applyFont="1" applyBorder="1" applyAlignment="1">
      <alignment horizontal="left" vertical="center" wrapText="1"/>
      <protection locked="0"/>
    </xf>
    <xf numFmtId="49" fontId="22" fillId="14" borderId="107" xfId="27" applyNumberFormat="1" applyFont="1" applyBorder="1" applyAlignment="1">
      <alignment horizontal="left" vertical="center" wrapText="1"/>
      <protection locked="0"/>
    </xf>
    <xf numFmtId="0" fontId="24" fillId="6" borderId="71" xfId="0" applyFont="1" applyFill="1" applyBorder="1" applyAlignment="1" applyProtection="1">
      <alignment horizontal="left" vertical="top" wrapText="1"/>
    </xf>
    <xf numFmtId="0" fontId="29" fillId="6" borderId="70"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9" fillId="6" borderId="96" xfId="116" applyFont="1" applyFill="1" applyBorder="1" applyAlignment="1" applyProtection="1">
      <alignment horizontal="left" vertical="center" wrapText="1"/>
    </xf>
    <xf numFmtId="0" fontId="24" fillId="6" borderId="27" xfId="0" applyFont="1" applyFill="1" applyBorder="1" applyAlignment="1" applyProtection="1">
      <alignment horizontal="left" vertical="center" wrapText="1"/>
    </xf>
    <xf numFmtId="0" fontId="24" fillId="6" borderId="128" xfId="0" applyFont="1" applyFill="1" applyBorder="1" applyAlignment="1" applyProtection="1">
      <alignment horizontal="center" vertical="top"/>
    </xf>
    <xf numFmtId="0" fontId="24" fillId="6" borderId="91" xfId="0" applyFont="1" applyFill="1" applyBorder="1" applyAlignment="1" applyProtection="1">
      <alignment horizontal="center" vertical="top"/>
    </xf>
    <xf numFmtId="0" fontId="0" fillId="2" borderId="27" xfId="0" applyFill="1" applyBorder="1" applyAlignment="1">
      <alignment horizontal="left" vertical="center" wrapText="1" indent="2"/>
    </xf>
    <xf numFmtId="0" fontId="25" fillId="6" borderId="27" xfId="0" applyFont="1" applyFill="1" applyBorder="1" applyAlignment="1" applyProtection="1">
      <alignment horizontal="left" vertical="center" wrapText="1" indent="2"/>
    </xf>
    <xf numFmtId="0" fontId="25" fillId="6" borderId="25" xfId="0" applyFont="1" applyFill="1" applyBorder="1" applyAlignment="1" applyProtection="1">
      <alignment horizontal="left" vertical="center" wrapText="1" indent="2"/>
    </xf>
    <xf numFmtId="0" fontId="39" fillId="6" borderId="27" xfId="0" applyFont="1" applyFill="1" applyBorder="1" applyAlignment="1" applyProtection="1">
      <alignment horizontal="left" vertical="center" wrapText="1" indent="1"/>
    </xf>
    <xf numFmtId="0" fontId="39" fillId="6" borderId="25"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49" fontId="22" fillId="41" borderId="105" xfId="19" applyFont="1" applyBorder="1" applyAlignment="1">
      <alignment horizontal="left" vertical="center"/>
      <protection locked="0"/>
    </xf>
    <xf numFmtId="49" fontId="22" fillId="41" borderId="106" xfId="19" applyFont="1" applyBorder="1" applyAlignment="1">
      <alignment horizontal="left" vertical="center"/>
      <protection locked="0"/>
    </xf>
    <xf numFmtId="49" fontId="22" fillId="41" borderId="32" xfId="19" applyFont="1" applyBorder="1" applyAlignment="1">
      <alignment horizontal="left" vertical="center"/>
      <protection locked="0"/>
    </xf>
    <xf numFmtId="49" fontId="22" fillId="41" borderId="27" xfId="19" applyFont="1" applyBorder="1" applyAlignment="1">
      <alignment horizontal="left" vertical="center"/>
      <protection locked="0"/>
    </xf>
    <xf numFmtId="0" fontId="0" fillId="6" borderId="106" xfId="0" applyBorder="1" applyAlignment="1">
      <alignment vertical="center" wrapText="1"/>
    </xf>
    <xf numFmtId="0" fontId="0" fillId="6" borderId="27" xfId="0" applyBorder="1" applyAlignment="1">
      <alignment vertical="center" wrapText="1"/>
    </xf>
    <xf numFmtId="49" fontId="22" fillId="41" borderId="31" xfId="19" applyFont="1" applyBorder="1" applyAlignment="1">
      <alignment horizontal="left" vertical="center"/>
      <protection locked="0"/>
    </xf>
    <xf numFmtId="49" fontId="22" fillId="41" borderId="28" xfId="19" applyFont="1" applyBorder="1" applyAlignment="1">
      <alignment horizontal="left" vertical="center"/>
      <protection locked="0"/>
    </xf>
    <xf numFmtId="0" fontId="0" fillId="13" borderId="27" xfId="3" applyFont="1" applyBorder="1">
      <alignment horizontal="center" vertical="center"/>
    </xf>
    <xf numFmtId="0" fontId="37" fillId="6" borderId="129" xfId="5" applyFont="1" applyBorder="1" applyAlignment="1">
      <alignment horizontal="center" wrapText="1"/>
    </xf>
    <xf numFmtId="0" fontId="24" fillId="6" borderId="108" xfId="0" applyFont="1" applyFill="1" applyBorder="1" applyAlignment="1">
      <alignment horizontal="center" vertical="center" wrapText="1"/>
    </xf>
    <xf numFmtId="0" fontId="24" fillId="6" borderId="128" xfId="0" applyFont="1" applyFill="1" applyBorder="1" applyAlignment="1">
      <alignment horizontal="center" vertical="center" wrapText="1"/>
    </xf>
    <xf numFmtId="0" fontId="24" fillId="6" borderId="42"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2" fillId="6" borderId="20" xfId="0" applyFont="1" applyFill="1" applyBorder="1" applyAlignment="1">
      <alignment horizontal="left" vertical="center" wrapText="1"/>
    </xf>
    <xf numFmtId="0" fontId="22" fillId="6" borderId="32" xfId="0" applyFont="1" applyFill="1" applyBorder="1" applyAlignment="1">
      <alignment horizontal="left" vertical="center" wrapText="1"/>
    </xf>
    <xf numFmtId="0" fontId="22" fillId="6" borderId="36"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0" fillId="6" borderId="31"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37" fillId="6" borderId="114" xfId="0" applyFont="1" applyFill="1" applyBorder="1" applyAlignment="1">
      <alignment horizontal="center" vertical="center" wrapText="1"/>
    </xf>
    <xf numFmtId="0" fontId="37" fillId="6" borderId="73" xfId="0" applyFont="1" applyFill="1" applyBorder="1" applyAlignment="1">
      <alignment horizontal="center" vertical="center" wrapText="1"/>
    </xf>
    <xf numFmtId="0" fontId="22" fillId="6" borderId="27" xfId="0" applyFont="1" applyFill="1" applyBorder="1" applyAlignment="1">
      <alignment horizontal="left" vertical="center" wrapText="1"/>
    </xf>
    <xf numFmtId="0" fontId="22" fillId="6" borderId="109" xfId="0" applyFont="1" applyFill="1" applyBorder="1" applyAlignment="1">
      <alignment horizontal="center" vertical="center" wrapText="1"/>
    </xf>
    <xf numFmtId="0" fontId="22" fillId="6" borderId="20" xfId="0" applyFont="1" applyFill="1" applyBorder="1" applyAlignment="1">
      <alignment horizontal="center" vertical="center" wrapText="1"/>
    </xf>
    <xf numFmtId="0" fontId="22" fillId="6" borderId="109" xfId="0" applyFont="1" applyFill="1" applyBorder="1" applyAlignment="1">
      <alignment horizontal="left" vertical="center" wrapText="1"/>
    </xf>
    <xf numFmtId="0" fontId="22" fillId="6" borderId="94"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37" fillId="6" borderId="130" xfId="0" applyFont="1" applyFill="1" applyBorder="1" applyAlignment="1">
      <alignment horizontal="center" vertical="center" wrapText="1"/>
    </xf>
    <xf numFmtId="0" fontId="37" fillId="6" borderId="133" xfId="0" applyFont="1" applyFill="1" applyBorder="1" applyAlignment="1">
      <alignment horizontal="center" vertical="center" wrapText="1"/>
    </xf>
    <xf numFmtId="0" fontId="0" fillId="6" borderId="20"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0" fillId="2" borderId="27" xfId="0" applyFill="1" applyBorder="1" applyAlignment="1">
      <alignment horizontal="left" vertical="center" wrapText="1"/>
    </xf>
    <xf numFmtId="0" fontId="0" fillId="6" borderId="21"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24" fillId="6" borderId="104" xfId="0" applyFont="1" applyFill="1" applyBorder="1" applyAlignment="1" applyProtection="1">
      <alignment horizontal="center" vertical="center"/>
    </xf>
    <xf numFmtId="0" fontId="37" fillId="6" borderId="113" xfId="5" applyFont="1" applyBorder="1" applyAlignment="1">
      <alignment horizontal="center" wrapText="1"/>
    </xf>
    <xf numFmtId="0" fontId="37" fillId="6" borderId="131" xfId="5" applyFont="1" applyBorder="1" applyAlignment="1">
      <alignment horizontal="center" wrapText="1"/>
    </xf>
    <xf numFmtId="0" fontId="22" fillId="6" borderId="115" xfId="0" applyFont="1" applyFill="1" applyBorder="1" applyAlignment="1">
      <alignment horizontal="center" vertical="center" wrapText="1"/>
    </xf>
    <xf numFmtId="0" fontId="22" fillId="6" borderId="41" xfId="0" applyFont="1" applyFill="1" applyBorder="1" applyAlignment="1">
      <alignment horizontal="center" vertical="center" wrapText="1"/>
    </xf>
    <xf numFmtId="0" fontId="37" fillId="6" borderId="115" xfId="0" applyFont="1" applyFill="1" applyBorder="1" applyAlignment="1">
      <alignment horizontal="center" vertical="center" wrapText="1"/>
    </xf>
    <xf numFmtId="0" fontId="37" fillId="6" borderId="98" xfId="0" applyFont="1" applyFill="1" applyBorder="1" applyAlignment="1">
      <alignment horizontal="center" vertical="center" wrapText="1"/>
    </xf>
    <xf numFmtId="0" fontId="37" fillId="6" borderId="108" xfId="0" applyFont="1" applyFill="1" applyBorder="1" applyAlignment="1">
      <alignment horizontal="center" vertical="center" wrapText="1"/>
    </xf>
    <xf numFmtId="0" fontId="37" fillId="6" borderId="99" xfId="0" applyFont="1" applyFill="1" applyBorder="1" applyAlignment="1">
      <alignment horizontal="center" vertical="center" wrapText="1"/>
    </xf>
    <xf numFmtId="0" fontId="37" fillId="6" borderId="128" xfId="0" applyFont="1" applyFill="1" applyBorder="1" applyAlignment="1" applyProtection="1">
      <alignment horizontal="center" vertical="center" wrapText="1"/>
    </xf>
    <xf numFmtId="0" fontId="37" fillId="6" borderId="91" xfId="0" applyFont="1" applyFill="1" applyBorder="1" applyAlignment="1" applyProtection="1">
      <alignment horizontal="center" vertical="center" wrapText="1"/>
    </xf>
    <xf numFmtId="0" fontId="37" fillId="6" borderId="104" xfId="5" applyFont="1" applyBorder="1" applyAlignment="1">
      <alignment horizontal="center" wrapText="1"/>
    </xf>
    <xf numFmtId="0" fontId="37" fillId="6" borderId="172" xfId="5" applyFont="1" applyBorder="1" applyAlignment="1">
      <alignment horizontal="center" wrapText="1"/>
    </xf>
    <xf numFmtId="0" fontId="37" fillId="6" borderId="171" xfId="5" applyFont="1" applyBorder="1" applyAlignment="1">
      <alignment horizontal="center" wrapText="1"/>
    </xf>
    <xf numFmtId="0" fontId="37" fillId="6" borderId="133" xfId="5" applyFont="1" applyBorder="1" applyAlignment="1">
      <alignment horizontal="center" wrapText="1"/>
    </xf>
    <xf numFmtId="2" fontId="24" fillId="6" borderId="131" xfId="0" applyNumberFormat="1" applyFont="1" applyFill="1" applyBorder="1" applyAlignment="1">
      <alignment horizontal="center" vertical="center" wrapText="1"/>
    </xf>
    <xf numFmtId="2" fontId="24" fillId="6" borderId="129" xfId="0" applyNumberFormat="1" applyFont="1" applyFill="1" applyBorder="1" applyAlignment="1">
      <alignment horizontal="center" vertical="center" wrapText="1"/>
    </xf>
    <xf numFmtId="2" fontId="24" fillId="6" borderId="113" xfId="0" applyNumberFormat="1" applyFont="1" applyFill="1" applyBorder="1" applyAlignment="1">
      <alignment horizontal="center" vertical="center" wrapText="1"/>
    </xf>
    <xf numFmtId="0" fontId="24" fillId="6" borderId="135" xfId="0" applyFont="1" applyFill="1" applyBorder="1" applyAlignment="1" applyProtection="1">
      <alignment horizontal="center" vertical="center" wrapText="1"/>
    </xf>
    <xf numFmtId="0" fontId="24" fillId="6" borderId="146" xfId="0" applyFont="1" applyFill="1" applyBorder="1" applyAlignment="1" applyProtection="1">
      <alignment horizontal="center" vertical="center" wrapText="1"/>
    </xf>
    <xf numFmtId="0" fontId="0" fillId="41" borderId="28" xfId="18" applyFont="1" applyBorder="1" applyAlignment="1">
      <alignment horizontal="center" vertical="center" wrapText="1"/>
      <protection locked="0"/>
    </xf>
    <xf numFmtId="0" fontId="22" fillId="6" borderId="37" xfId="0" applyFont="1" applyFill="1" applyBorder="1" applyAlignment="1">
      <alignment horizontal="center" vertical="center"/>
    </xf>
    <xf numFmtId="0" fontId="22" fillId="6" borderId="34" xfId="0" applyFont="1" applyFill="1" applyBorder="1" applyAlignment="1">
      <alignment horizontal="center" vertical="center"/>
    </xf>
    <xf numFmtId="0" fontId="22" fillId="6" borderId="108" xfId="0" applyFont="1" applyFill="1" applyBorder="1" applyAlignment="1">
      <alignment horizontal="left" vertical="center" wrapText="1"/>
    </xf>
    <xf numFmtId="0" fontId="22" fillId="6" borderId="128" xfId="0" applyFont="1" applyFill="1" applyBorder="1" applyAlignment="1">
      <alignment horizontal="left" vertical="center" wrapText="1"/>
    </xf>
    <xf numFmtId="0" fontId="0" fillId="6" borderId="106" xfId="0" applyFont="1" applyBorder="1" applyAlignment="1">
      <alignment horizontal="left" vertical="center"/>
    </xf>
    <xf numFmtId="0" fontId="24" fillId="6" borderId="0" xfId="0" applyFont="1" applyFill="1" applyBorder="1" applyAlignment="1" applyProtection="1">
      <alignment horizontal="center" vertical="center" wrapText="1"/>
    </xf>
    <xf numFmtId="0" fontId="24" fillId="6" borderId="113" xfId="0" applyFont="1" applyFill="1" applyBorder="1" applyAlignment="1">
      <alignment horizontal="center" vertical="center" wrapText="1"/>
    </xf>
    <xf numFmtId="0" fontId="24" fillId="6" borderId="143" xfId="0" applyFont="1" applyFill="1" applyBorder="1" applyAlignment="1" applyProtection="1">
      <alignment horizontal="center" vertical="center" wrapText="1"/>
    </xf>
    <xf numFmtId="0" fontId="24" fillId="6" borderId="147" xfId="0" applyFont="1" applyFill="1" applyBorder="1" applyAlignment="1" applyProtection="1">
      <alignment horizontal="center" vertical="center" wrapText="1"/>
    </xf>
    <xf numFmtId="0" fontId="22" fillId="6" borderId="38" xfId="0" applyFont="1" applyFill="1" applyBorder="1" applyAlignment="1">
      <alignment horizontal="left" vertical="center" wrapText="1"/>
    </xf>
    <xf numFmtId="0" fontId="22" fillId="6" borderId="35" xfId="0" applyFont="1" applyFill="1" applyBorder="1" applyAlignment="1">
      <alignment horizontal="left" vertical="center" wrapText="1"/>
    </xf>
    <xf numFmtId="0" fontId="22" fillId="6" borderId="28" xfId="0" applyFont="1" applyFill="1" applyBorder="1" applyAlignment="1" applyProtection="1">
      <alignment horizontal="left" vertical="center"/>
    </xf>
    <xf numFmtId="0" fontId="39" fillId="56" borderId="129" xfId="0" applyFont="1" applyFill="1" applyBorder="1" applyAlignment="1" applyProtection="1">
      <alignment horizontal="left" vertical="center" wrapText="1"/>
    </xf>
    <xf numFmtId="0" fontId="24" fillId="6" borderId="171" xfId="0" applyFont="1" applyFill="1" applyBorder="1" applyAlignment="1">
      <alignment horizontal="center" vertical="center"/>
    </xf>
    <xf numFmtId="0" fontId="24" fillId="6" borderId="130" xfId="0" applyFont="1" applyFill="1" applyBorder="1" applyAlignment="1">
      <alignment horizontal="center" vertical="center"/>
    </xf>
    <xf numFmtId="0" fontId="24" fillId="6" borderId="133" xfId="0" applyFont="1" applyFill="1" applyBorder="1" applyAlignment="1">
      <alignment horizontal="center" vertical="center"/>
    </xf>
    <xf numFmtId="0" fontId="37" fillId="6" borderId="130" xfId="0" applyFont="1" applyFill="1" applyBorder="1" applyAlignment="1" applyProtection="1">
      <alignment horizontal="center" vertical="center" wrapText="1"/>
    </xf>
    <xf numFmtId="0" fontId="37" fillId="6" borderId="133" xfId="0" applyFont="1" applyFill="1" applyBorder="1" applyAlignment="1" applyProtection="1">
      <alignment horizontal="center" vertical="center" wrapText="1"/>
    </xf>
    <xf numFmtId="0" fontId="0" fillId="6" borderId="32" xfId="0" applyFont="1" applyFill="1" applyBorder="1" applyAlignment="1">
      <alignment horizontal="left" vertical="center" wrapText="1" indent="1"/>
    </xf>
    <xf numFmtId="0" fontId="0" fillId="6" borderId="27" xfId="0" applyFont="1" applyFill="1" applyBorder="1" applyAlignment="1">
      <alignment horizontal="left" vertical="center" wrapText="1" indent="1"/>
    </xf>
    <xf numFmtId="0" fontId="0" fillId="6" borderId="25" xfId="0" applyFont="1" applyFill="1" applyBorder="1" applyAlignment="1">
      <alignment horizontal="left" vertical="center" wrapText="1" indent="1"/>
    </xf>
    <xf numFmtId="0" fontId="24" fillId="6" borderId="114" xfId="0" applyFont="1" applyFill="1" applyBorder="1" applyAlignment="1">
      <alignment horizontal="center" vertical="center" wrapText="1"/>
    </xf>
    <xf numFmtId="0" fontId="24" fillId="6" borderId="45" xfId="0" applyFont="1" applyFill="1" applyBorder="1" applyAlignment="1">
      <alignment horizontal="center" vertical="center" wrapText="1"/>
    </xf>
    <xf numFmtId="0" fontId="22" fillId="6" borderId="25" xfId="0" applyFont="1" applyFill="1" applyBorder="1" applyAlignment="1">
      <alignment horizontal="left" vertical="center" wrapText="1"/>
    </xf>
    <xf numFmtId="0" fontId="22" fillId="6" borderId="33" xfId="0" applyFont="1" applyFill="1" applyBorder="1" applyAlignment="1">
      <alignment horizontal="left" vertical="center" wrapText="1"/>
    </xf>
    <xf numFmtId="0" fontId="22" fillId="6" borderId="43" xfId="0" applyFont="1" applyFill="1" applyBorder="1" applyAlignment="1">
      <alignment horizontal="left" vertical="center" wrapText="1"/>
    </xf>
    <xf numFmtId="0" fontId="22" fillId="6" borderId="34" xfId="0" applyFont="1" applyFill="1" applyBorder="1" applyAlignment="1">
      <alignment horizontal="left" vertical="center" wrapText="1"/>
    </xf>
    <xf numFmtId="0" fontId="37" fillId="6" borderId="41" xfId="0" applyFont="1" applyFill="1" applyBorder="1" applyAlignment="1">
      <alignment horizontal="center" vertical="center" wrapText="1"/>
    </xf>
    <xf numFmtId="0" fontId="39" fillId="2" borderId="128" xfId="0" applyFont="1" applyFill="1" applyBorder="1" applyAlignment="1">
      <alignment horizontal="center" vertical="center" wrapText="1"/>
    </xf>
    <xf numFmtId="0" fontId="39" fillId="2" borderId="91" xfId="0" applyFont="1" applyFill="1" applyBorder="1" applyAlignment="1">
      <alignment horizontal="center" vertical="center" wrapText="1"/>
    </xf>
    <xf numFmtId="0" fontId="0" fillId="56" borderId="129" xfId="0" applyFont="1" applyFill="1" applyBorder="1" applyAlignment="1" applyProtection="1">
      <alignment horizontal="left" vertical="center" wrapText="1"/>
    </xf>
    <xf numFmtId="0" fontId="37" fillId="6" borderId="45" xfId="0" applyFont="1" applyFill="1" applyBorder="1" applyAlignment="1">
      <alignment horizontal="center" vertical="center" wrapText="1"/>
    </xf>
    <xf numFmtId="0" fontId="0" fillId="6" borderId="109" xfId="0" applyFont="1" applyFill="1" applyBorder="1" applyAlignment="1">
      <alignment horizontal="center" vertical="center" wrapText="1"/>
    </xf>
    <xf numFmtId="0" fontId="37" fillId="6" borderId="131" xfId="5" applyFont="1" applyBorder="1">
      <alignment horizontal="center" wrapText="1"/>
    </xf>
    <xf numFmtId="0" fontId="37" fillId="6" borderId="129" xfId="5" applyFont="1" applyBorder="1">
      <alignment horizontal="center" wrapText="1"/>
    </xf>
    <xf numFmtId="0" fontId="37" fillId="6" borderId="113" xfId="5" applyFont="1" applyBorder="1">
      <alignment horizontal="center" wrapText="1"/>
    </xf>
    <xf numFmtId="0" fontId="0" fillId="6" borderId="31"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0" fillId="6" borderId="20" xfId="0" applyFont="1" applyFill="1" applyBorder="1" applyAlignment="1">
      <alignment horizontal="center" vertical="center" wrapText="1"/>
    </xf>
    <xf numFmtId="0" fontId="0" fillId="49" borderId="28"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0" fillId="2" borderId="28" xfId="0" applyFill="1" applyBorder="1" applyAlignment="1">
      <alignment horizontal="left" vertical="center" wrapText="1"/>
    </xf>
    <xf numFmtId="0" fontId="0" fillId="6" borderId="106" xfId="0" applyFont="1" applyFill="1" applyBorder="1" applyAlignment="1">
      <alignment horizontal="left" vertical="center" wrapText="1"/>
    </xf>
    <xf numFmtId="0" fontId="0" fillId="2" borderId="106" xfId="0" applyFill="1" applyBorder="1" applyAlignment="1">
      <alignment horizontal="left" vertical="center"/>
    </xf>
    <xf numFmtId="3" fontId="0" fillId="6" borderId="20" xfId="30" applyFont="1" applyBorder="1">
      <alignment horizontal="right" vertical="center"/>
    </xf>
    <xf numFmtId="0" fontId="53" fillId="6" borderId="133" xfId="83" applyFont="1" applyFill="1" applyBorder="1" applyAlignment="1">
      <alignment horizontal="center" wrapText="1"/>
    </xf>
    <xf numFmtId="0" fontId="53" fillId="6" borderId="129" xfId="83" applyFont="1" applyFill="1" applyBorder="1" applyAlignment="1">
      <alignment horizontal="center" wrapText="1"/>
    </xf>
    <xf numFmtId="0" fontId="62" fillId="53" borderId="129" xfId="144" applyFont="1" applyBorder="1">
      <alignment horizontal="center" vertical="center"/>
    </xf>
    <xf numFmtId="0" fontId="53" fillId="6" borderId="129" xfId="83" applyFont="1" applyFill="1" applyBorder="1" applyAlignment="1" applyProtection="1">
      <alignment horizontal="center" vertical="center" wrapText="1"/>
    </xf>
    <xf numFmtId="0" fontId="24" fillId="56" borderId="128" xfId="0" applyFont="1" applyFill="1" applyBorder="1" applyAlignment="1" applyProtection="1">
      <alignment horizontal="left" vertical="center"/>
    </xf>
    <xf numFmtId="0" fontId="0" fillId="6" borderId="115" xfId="0" applyFill="1" applyBorder="1" applyAlignment="1">
      <alignment horizontal="center" vertical="center"/>
    </xf>
    <xf numFmtId="0" fontId="0" fillId="6" borderId="41" xfId="0" applyFill="1" applyBorder="1" applyAlignment="1">
      <alignment horizontal="center" vertical="center"/>
    </xf>
    <xf numFmtId="0" fontId="0" fillId="6" borderId="98" xfId="0" applyFill="1" applyBorder="1" applyAlignment="1">
      <alignment horizontal="center" vertical="center"/>
    </xf>
    <xf numFmtId="0" fontId="24" fillId="6" borderId="171" xfId="0" applyFont="1" applyFill="1" applyBorder="1" applyAlignment="1" applyProtection="1">
      <alignment horizontal="center" vertical="center" wrapText="1"/>
    </xf>
    <xf numFmtId="0" fontId="39" fillId="6" borderId="0" xfId="0" applyFont="1" applyFill="1" applyBorder="1" applyAlignment="1" applyProtection="1">
      <alignment horizontal="left" vertical="center" wrapText="1"/>
    </xf>
    <xf numFmtId="0" fontId="37" fillId="6" borderId="130" xfId="5" applyFont="1" applyFill="1" applyBorder="1" applyAlignment="1">
      <alignment horizontal="center" vertical="center" textRotation="90" wrapText="1"/>
    </xf>
    <xf numFmtId="0" fontId="37" fillId="6" borderId="130" xfId="5" applyFont="1" applyFill="1" applyBorder="1" applyAlignment="1">
      <alignment horizontal="center" vertical="center" wrapText="1"/>
    </xf>
    <xf numFmtId="0" fontId="24" fillId="6" borderId="116" xfId="5" applyFont="1" applyBorder="1" applyAlignment="1">
      <alignment horizontal="center" vertical="center" wrapText="1"/>
    </xf>
    <xf numFmtId="0" fontId="24" fillId="6" borderId="114" xfId="5" applyFont="1" applyBorder="1" applyAlignment="1">
      <alignment horizontal="center" vertical="center" wrapText="1"/>
    </xf>
    <xf numFmtId="0" fontId="24" fillId="6" borderId="124" xfId="5" applyFont="1" applyBorder="1" applyAlignment="1">
      <alignment horizontal="center" vertical="center" wrapText="1"/>
    </xf>
    <xf numFmtId="0" fontId="24" fillId="6" borderId="73" xfId="5" applyFont="1" applyBorder="1" applyAlignment="1">
      <alignment horizontal="center" vertical="center" wrapText="1"/>
    </xf>
    <xf numFmtId="0" fontId="37" fillId="6" borderId="116" xfId="5" applyFont="1" applyFill="1" applyBorder="1" applyAlignment="1">
      <alignment horizontal="center" vertical="center" wrapText="1"/>
    </xf>
    <xf numFmtId="0" fontId="37" fillId="6" borderId="114" xfId="5" applyFont="1" applyFill="1" applyBorder="1" applyAlignment="1">
      <alignment horizontal="center" vertical="center" wrapText="1"/>
    </xf>
    <xf numFmtId="0" fontId="37" fillId="6" borderId="124" xfId="5" applyFont="1" applyFill="1" applyBorder="1" applyAlignment="1">
      <alignment horizontal="center" vertical="center" wrapText="1"/>
    </xf>
    <xf numFmtId="0" fontId="37" fillId="6" borderId="73" xfId="5" applyFont="1" applyFill="1" applyBorder="1" applyAlignment="1">
      <alignment horizontal="center" vertical="center" wrapText="1"/>
    </xf>
    <xf numFmtId="0" fontId="37" fillId="6" borderId="143" xfId="5" applyFont="1" applyFill="1" applyBorder="1" applyAlignment="1">
      <alignment horizontal="center" vertical="center" wrapText="1"/>
    </xf>
    <xf numFmtId="0" fontId="37" fillId="6" borderId="182" xfId="5" applyFont="1" applyFill="1" applyBorder="1" applyAlignment="1">
      <alignment horizontal="center" vertical="center" wrapText="1"/>
    </xf>
    <xf numFmtId="0" fontId="37" fillId="6" borderId="147" xfId="5" applyFont="1" applyFill="1" applyBorder="1" applyAlignment="1">
      <alignment horizontal="center" vertical="center" wrapText="1"/>
    </xf>
    <xf numFmtId="0" fontId="24" fillId="6" borderId="143" xfId="5" applyFont="1" applyBorder="1" applyAlignment="1">
      <alignment horizontal="center" vertical="center" wrapText="1"/>
    </xf>
    <xf numFmtId="0" fontId="24" fillId="6" borderId="182" xfId="5" applyFont="1" applyBorder="1" applyAlignment="1">
      <alignment horizontal="center" vertical="center" wrapText="1"/>
    </xf>
    <xf numFmtId="0" fontId="24" fillId="6" borderId="147" xfId="5" applyFont="1" applyBorder="1" applyAlignment="1">
      <alignment horizontal="center" vertical="center" wrapText="1"/>
    </xf>
    <xf numFmtId="0" fontId="24" fillId="2" borderId="130" xfId="0" applyFont="1" applyFill="1" applyBorder="1" applyAlignment="1">
      <alignment horizontal="center" vertical="center" wrapText="1"/>
    </xf>
    <xf numFmtId="0" fontId="37" fillId="6" borderId="172" xfId="0" applyFont="1" applyBorder="1" applyAlignment="1">
      <alignment horizontal="center" vertical="center" wrapText="1"/>
    </xf>
    <xf numFmtId="0" fontId="24" fillId="6" borderId="131" xfId="5" applyFont="1" applyFill="1" applyBorder="1" applyAlignment="1">
      <alignment horizontal="center" vertical="center" wrapText="1"/>
    </xf>
    <xf numFmtId="0" fontId="24" fillId="6" borderId="129" xfId="5" applyFont="1" applyFill="1" applyBorder="1" applyAlignment="1">
      <alignment horizontal="center" vertical="center" wrapText="1"/>
    </xf>
    <xf numFmtId="0" fontId="24" fillId="6" borderId="104" xfId="5" applyFont="1" applyFill="1" applyBorder="1" applyAlignment="1">
      <alignment horizontal="center" vertical="center" wrapText="1"/>
    </xf>
    <xf numFmtId="0" fontId="24" fillId="6" borderId="115" xfId="5" applyFont="1" applyFill="1" applyBorder="1" applyAlignment="1">
      <alignment horizontal="center" vertical="center" wrapText="1"/>
    </xf>
    <xf numFmtId="0" fontId="24" fillId="6" borderId="41" xfId="5" applyFont="1" applyFill="1" applyBorder="1" applyAlignment="1">
      <alignment horizontal="center" vertical="center" wrapText="1"/>
    </xf>
    <xf numFmtId="0" fontId="24" fillId="6" borderId="98" xfId="5" applyFont="1" applyFill="1" applyBorder="1" applyAlignment="1">
      <alignment horizontal="center" vertical="center" wrapText="1"/>
    </xf>
    <xf numFmtId="0" fontId="24" fillId="48" borderId="171" xfId="5" applyFont="1" applyFill="1" applyBorder="1" applyAlignment="1">
      <alignment horizontal="center" vertical="center" wrapText="1"/>
    </xf>
    <xf numFmtId="0" fontId="24" fillId="48" borderId="172" xfId="5" applyFont="1" applyFill="1" applyBorder="1" applyAlignment="1">
      <alignment horizontal="center" vertical="center" wrapText="1"/>
    </xf>
    <xf numFmtId="0" fontId="24" fillId="6" borderId="143" xfId="5" applyFont="1" applyFill="1" applyBorder="1" applyAlignment="1">
      <alignment horizontal="center" vertical="center" wrapText="1"/>
    </xf>
    <xf numFmtId="0" fontId="24" fillId="6" borderId="182" xfId="5" applyFont="1" applyFill="1" applyBorder="1" applyAlignment="1">
      <alignment horizontal="center" vertical="center" wrapText="1"/>
    </xf>
    <xf numFmtId="0" fontId="24" fillId="6" borderId="147" xfId="5" applyFont="1" applyFill="1" applyBorder="1" applyAlignment="1">
      <alignment horizontal="center" vertical="center" wrapText="1"/>
    </xf>
    <xf numFmtId="0" fontId="24" fillId="6" borderId="108" xfId="5" applyFont="1" applyBorder="1" applyAlignment="1">
      <alignment horizontal="center" vertical="center" wrapText="1"/>
    </xf>
    <xf numFmtId="0" fontId="24" fillId="6" borderId="99" xfId="5" applyFont="1" applyBorder="1" applyAlignment="1">
      <alignment horizontal="center" vertical="center" wrapText="1"/>
    </xf>
    <xf numFmtId="0" fontId="24" fillId="6" borderId="135" xfId="5" applyFont="1" applyBorder="1" applyAlignment="1">
      <alignment horizontal="center" vertical="center" wrapText="1"/>
    </xf>
    <xf numFmtId="0" fontId="24" fillId="6" borderId="138" xfId="5" applyFont="1" applyBorder="1" applyAlignment="1">
      <alignment horizontal="center" vertical="center" wrapText="1"/>
    </xf>
    <xf numFmtId="0" fontId="24" fillId="6" borderId="146" xfId="5" applyFont="1" applyBorder="1" applyAlignment="1">
      <alignment horizontal="center" vertical="center" wrapText="1"/>
    </xf>
    <xf numFmtId="0" fontId="24" fillId="49" borderId="131" xfId="5" applyFont="1" applyFill="1" applyBorder="1" applyAlignment="1">
      <alignment horizontal="center" vertical="center" wrapText="1"/>
    </xf>
    <xf numFmtId="0" fontId="37" fillId="6" borderId="135" xfId="5" applyFont="1" applyFill="1" applyBorder="1" applyAlignment="1">
      <alignment horizontal="center" vertical="center" wrapText="1"/>
    </xf>
    <xf numFmtId="0" fontId="37" fillId="6" borderId="138" xfId="5" applyFont="1" applyFill="1" applyBorder="1" applyAlignment="1">
      <alignment horizontal="center" vertical="center" wrapText="1"/>
    </xf>
    <xf numFmtId="0" fontId="37" fillId="6" borderId="146" xfId="5" applyFont="1" applyFill="1" applyBorder="1" applyAlignment="1">
      <alignment horizontal="center" vertical="center" wrapText="1"/>
    </xf>
    <xf numFmtId="0" fontId="37" fillId="6" borderId="108" xfId="5" applyFont="1" applyFill="1" applyBorder="1" applyAlignment="1">
      <alignment horizontal="center" vertical="center" wrapText="1"/>
    </xf>
    <xf numFmtId="0" fontId="37" fillId="6" borderId="42" xfId="5" applyFont="1" applyFill="1" applyBorder="1" applyAlignment="1">
      <alignment horizontal="center" vertical="center" wrapText="1"/>
    </xf>
    <xf numFmtId="0" fontId="37" fillId="6" borderId="99" xfId="5" applyFont="1" applyFill="1" applyBorder="1" applyAlignment="1">
      <alignment horizontal="center" vertical="center" wrapText="1"/>
    </xf>
    <xf numFmtId="0" fontId="24" fillId="6" borderId="42" xfId="5" applyFont="1" applyBorder="1" applyAlignment="1">
      <alignment horizontal="center" vertical="center" wrapText="1"/>
    </xf>
    <xf numFmtId="0" fontId="24" fillId="50" borderId="171" xfId="5" applyFont="1" applyFill="1" applyBorder="1" applyAlignment="1">
      <alignment horizontal="center" vertical="center" wrapText="1"/>
    </xf>
    <xf numFmtId="0" fontId="24" fillId="50" borderId="130" xfId="5" applyFont="1" applyFill="1" applyBorder="1" applyAlignment="1">
      <alignment horizontal="center" vertical="center" wrapText="1"/>
    </xf>
    <xf numFmtId="0" fontId="24" fillId="50" borderId="172" xfId="5" applyFont="1" applyFill="1" applyBorder="1" applyAlignment="1">
      <alignment horizontal="center" vertical="center" wrapText="1"/>
    </xf>
    <xf numFmtId="0" fontId="24" fillId="41" borderId="131" xfId="5" applyFont="1" applyFill="1" applyBorder="1" applyAlignment="1">
      <alignment horizontal="center" vertical="center" wrapText="1"/>
    </xf>
    <xf numFmtId="0" fontId="24" fillId="41" borderId="113" xfId="5" applyFont="1" applyFill="1" applyBorder="1" applyAlignment="1">
      <alignment horizontal="center" vertical="center" wrapText="1"/>
    </xf>
    <xf numFmtId="0" fontId="37" fillId="6" borderId="70" xfId="5" applyFont="1" applyFill="1" applyBorder="1" applyAlignment="1">
      <alignment horizontal="center" vertical="center" wrapText="1"/>
    </xf>
    <xf numFmtId="0" fontId="39" fillId="6" borderId="106" xfId="0" applyFont="1" applyBorder="1" applyAlignment="1">
      <alignment horizontal="left" vertical="center" wrapText="1"/>
    </xf>
    <xf numFmtId="0" fontId="39" fillId="6" borderId="107" xfId="0" applyFont="1" applyBorder="1" applyAlignment="1">
      <alignment horizontal="left" vertical="center" wrapText="1"/>
    </xf>
    <xf numFmtId="0" fontId="24" fillId="50" borderId="133" xfId="5" applyFont="1" applyFill="1" applyBorder="1" applyAlignment="1">
      <alignment horizontal="center" vertical="center" wrapText="1"/>
    </xf>
    <xf numFmtId="0" fontId="24" fillId="49" borderId="171" xfId="5" applyFont="1" applyFill="1" applyBorder="1" applyAlignment="1">
      <alignment horizontal="center" vertical="center" wrapText="1"/>
    </xf>
    <xf numFmtId="0" fontId="24" fillId="49" borderId="130" xfId="5" applyFont="1" applyFill="1" applyBorder="1" applyAlignment="1">
      <alignment horizontal="center" vertical="center" wrapText="1"/>
    </xf>
    <xf numFmtId="0" fontId="24" fillId="49" borderId="172" xfId="5" applyFont="1" applyFill="1" applyBorder="1" applyAlignment="1">
      <alignment horizontal="center" vertical="center" wrapText="1"/>
    </xf>
    <xf numFmtId="0" fontId="24" fillId="50" borderId="131" xfId="5" applyFill="1" applyBorder="1" applyAlignment="1">
      <alignment horizontal="center" vertical="center" wrapText="1"/>
    </xf>
    <xf numFmtId="0" fontId="24" fillId="50" borderId="129" xfId="5" applyFill="1" applyBorder="1" applyAlignment="1">
      <alignment horizontal="center" vertical="center" wrapText="1"/>
    </xf>
    <xf numFmtId="0" fontId="24" fillId="50" borderId="113" xfId="5" applyFill="1" applyBorder="1" applyAlignment="1">
      <alignment horizontal="center" vertical="center" wrapText="1"/>
    </xf>
    <xf numFmtId="0" fontId="24" fillId="48" borderId="171" xfId="5" applyFont="1" applyFill="1" applyBorder="1" applyAlignment="1">
      <alignment horizontal="center" wrapText="1"/>
    </xf>
    <xf numFmtId="0" fontId="24" fillId="6" borderId="171" xfId="5" applyFont="1" applyFill="1" applyBorder="1" applyAlignment="1">
      <alignment horizontal="center" vertical="center" wrapText="1"/>
    </xf>
    <xf numFmtId="0" fontId="24" fillId="6" borderId="133" xfId="5" applyFont="1" applyFill="1" applyBorder="1" applyAlignment="1">
      <alignment horizontal="center" vertical="center" wrapText="1"/>
    </xf>
    <xf numFmtId="0" fontId="24" fillId="6" borderId="138" xfId="5" applyFont="1" applyFill="1" applyBorder="1" applyAlignment="1">
      <alignment horizontal="center" vertical="center" wrapText="1"/>
    </xf>
    <xf numFmtId="0" fontId="24" fillId="6" borderId="146" xfId="5" applyFont="1" applyFill="1" applyBorder="1" applyAlignment="1">
      <alignment horizontal="center" vertical="center" wrapText="1"/>
    </xf>
    <xf numFmtId="0" fontId="24" fillId="6" borderId="42" xfId="5" applyFont="1" applyFill="1" applyBorder="1" applyAlignment="1">
      <alignment horizontal="center" vertical="center" wrapText="1"/>
    </xf>
    <xf numFmtId="0" fontId="24" fillId="6" borderId="99" xfId="5" applyFont="1" applyFill="1" applyBorder="1" applyAlignment="1">
      <alignment horizontal="center" vertical="center" wrapText="1"/>
    </xf>
    <xf numFmtId="0" fontId="24" fillId="41" borderId="171" xfId="5" applyFont="1" applyFill="1" applyBorder="1" applyAlignment="1">
      <alignment horizontal="center" vertical="center" wrapText="1"/>
    </xf>
    <xf numFmtId="0" fontId="24" fillId="41" borderId="130" xfId="5" applyFont="1" applyFill="1" applyBorder="1" applyAlignment="1">
      <alignment horizontal="center" vertical="center" wrapText="1"/>
    </xf>
    <xf numFmtId="0" fontId="24" fillId="41" borderId="172" xfId="5" applyFont="1" applyFill="1" applyBorder="1" applyAlignment="1">
      <alignment horizontal="center" vertical="center" wrapText="1"/>
    </xf>
    <xf numFmtId="0" fontId="24" fillId="6" borderId="115" xfId="5" applyFont="1" applyBorder="1" applyAlignment="1">
      <alignment horizontal="center" vertical="center" wrapText="1"/>
    </xf>
    <xf numFmtId="0" fontId="24" fillId="6" borderId="41" xfId="5" applyFont="1" applyBorder="1" applyAlignment="1">
      <alignment horizontal="center" vertical="center" wrapText="1"/>
    </xf>
    <xf numFmtId="0" fontId="24" fillId="6" borderId="98" xfId="5" applyFont="1" applyBorder="1" applyAlignment="1">
      <alignment horizontal="center" vertical="center" wrapText="1"/>
    </xf>
    <xf numFmtId="0" fontId="24" fillId="6" borderId="117" xfId="5" applyFont="1" applyBorder="1" applyAlignment="1">
      <alignment horizontal="center" vertical="center" wrapText="1"/>
    </xf>
    <xf numFmtId="0" fontId="24" fillId="6" borderId="119" xfId="5" applyFont="1" applyBorder="1" applyAlignment="1">
      <alignment horizontal="center" vertical="center" wrapText="1"/>
    </xf>
    <xf numFmtId="0" fontId="24" fillId="6" borderId="70" xfId="5" applyFont="1" applyBorder="1" applyAlignment="1">
      <alignment horizontal="center" vertical="center" wrapText="1"/>
    </xf>
    <xf numFmtId="0" fontId="37" fillId="6" borderId="172" xfId="0" applyFont="1" applyFill="1" applyBorder="1" applyAlignment="1">
      <alignment horizontal="center" vertical="center" wrapText="1"/>
    </xf>
    <xf numFmtId="0" fontId="24" fillId="6" borderId="108" xfId="5" applyFill="1" applyBorder="1" applyAlignment="1">
      <alignment horizontal="center" vertical="center" wrapText="1"/>
    </xf>
    <xf numFmtId="0" fontId="24" fillId="6" borderId="114" xfId="5" applyFill="1" applyBorder="1" applyAlignment="1">
      <alignment horizontal="center" vertical="center" wrapText="1"/>
    </xf>
    <xf numFmtId="0" fontId="37" fillId="6" borderId="171" xfId="5" applyFont="1" applyBorder="1" applyAlignment="1">
      <alignment horizontal="center" vertical="center" textRotation="90" wrapText="1"/>
    </xf>
    <xf numFmtId="0" fontId="24" fillId="6" borderId="130" xfId="0" applyFont="1" applyFill="1" applyBorder="1" applyAlignment="1">
      <alignment horizontal="center" vertical="center" wrapText="1"/>
    </xf>
    <xf numFmtId="0" fontId="24" fillId="6" borderId="79" xfId="0" applyFont="1" applyFill="1" applyBorder="1" applyAlignment="1">
      <alignment horizontal="center" vertical="center" wrapText="1"/>
    </xf>
    <xf numFmtId="0" fontId="24" fillId="6" borderId="172" xfId="0" applyFont="1" applyFill="1" applyBorder="1" applyAlignment="1">
      <alignment horizontal="center" vertical="center" wrapText="1"/>
    </xf>
    <xf numFmtId="0" fontId="24" fillId="6" borderId="171" xfId="0" applyFont="1" applyFill="1" applyBorder="1" applyAlignment="1">
      <alignment horizontal="center" vertical="center" wrapText="1"/>
    </xf>
    <xf numFmtId="0" fontId="24" fillId="6" borderId="173" xfId="0" applyFont="1" applyFill="1" applyBorder="1" applyAlignment="1">
      <alignment horizontal="center" vertical="center" wrapText="1"/>
    </xf>
    <xf numFmtId="3" fontId="22" fillId="13" borderId="136" xfId="0" applyNumberFormat="1" applyFont="1" applyFill="1" applyBorder="1" applyAlignment="1">
      <alignment horizontal="center" vertical="center"/>
    </xf>
    <xf numFmtId="3" fontId="22" fillId="13" borderId="20" xfId="0" applyNumberFormat="1" applyFont="1" applyFill="1" applyBorder="1" applyAlignment="1">
      <alignment horizontal="center" vertical="center"/>
    </xf>
    <xf numFmtId="3" fontId="22" fillId="13" borderId="32" xfId="0" applyNumberFormat="1" applyFont="1" applyFill="1" applyBorder="1" applyAlignment="1">
      <alignment horizontal="center" vertical="center"/>
    </xf>
    <xf numFmtId="3" fontId="22" fillId="13" borderId="136" xfId="3" applyNumberFormat="1" applyFont="1" applyBorder="1">
      <alignment horizontal="center"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3" fontId="22" fillId="13" borderId="50" xfId="0" applyNumberFormat="1" applyFont="1" applyFill="1" applyBorder="1" applyAlignment="1">
      <alignment horizontal="center" vertical="center"/>
    </xf>
    <xf numFmtId="3" fontId="22" fillId="13" borderId="21" xfId="0" applyNumberFormat="1" applyFont="1" applyFill="1" applyBorder="1" applyAlignment="1">
      <alignment horizontal="center" vertical="center"/>
    </xf>
    <xf numFmtId="3" fontId="22" fillId="13" borderId="31" xfId="0" applyNumberFormat="1" applyFont="1" applyFill="1" applyBorder="1" applyAlignment="1">
      <alignment horizontal="center" vertical="center"/>
    </xf>
    <xf numFmtId="0" fontId="24" fillId="6" borderId="131" xfId="0" applyFont="1" applyFill="1" applyBorder="1" applyAlignment="1">
      <alignment horizontal="center" vertical="center" wrapText="1"/>
    </xf>
    <xf numFmtId="0" fontId="24" fillId="6" borderId="140" xfId="0" applyFont="1" applyFill="1" applyBorder="1" applyAlignment="1">
      <alignment horizontal="center" vertical="center" wrapText="1"/>
    </xf>
    <xf numFmtId="0" fontId="24" fillId="6" borderId="107" xfId="5" applyFont="1" applyBorder="1">
      <alignment horizontal="center" wrapText="1"/>
    </xf>
    <xf numFmtId="0" fontId="24" fillId="6" borderId="109" xfId="5" applyFont="1" applyBorder="1">
      <alignment horizontal="center" wrapText="1"/>
    </xf>
    <xf numFmtId="0" fontId="24" fillId="6" borderId="94" xfId="5" applyFont="1" applyBorder="1">
      <alignment horizontal="center" wrapText="1"/>
    </xf>
    <xf numFmtId="0" fontId="24" fillId="6" borderId="122" xfId="5" applyFont="1" applyBorder="1">
      <alignment horizontal="center" wrapText="1"/>
    </xf>
    <xf numFmtId="0" fontId="24" fillId="6" borderId="169" xfId="5" applyFont="1" applyBorder="1">
      <alignment horizontal="center" wrapText="1"/>
    </xf>
    <xf numFmtId="0" fontId="36" fillId="6" borderId="128" xfId="0" applyFont="1" applyFill="1" applyBorder="1" applyAlignment="1">
      <alignment horizontal="center" vertical="center"/>
    </xf>
    <xf numFmtId="0" fontId="36" fillId="6" borderId="0" xfId="0" applyFont="1" applyFill="1" applyBorder="1" applyAlignment="1">
      <alignment horizontal="center" vertical="center"/>
    </xf>
    <xf numFmtId="0" fontId="36" fillId="6" borderId="71" xfId="0" applyFont="1" applyFill="1" applyBorder="1" applyAlignment="1">
      <alignment horizontal="center" vertical="center"/>
    </xf>
    <xf numFmtId="0" fontId="24" fillId="6" borderId="129" xfId="5" applyFont="1" applyBorder="1">
      <alignment horizontal="center" wrapText="1"/>
    </xf>
    <xf numFmtId="0" fontId="24" fillId="6" borderId="113" xfId="5" applyFont="1" applyBorder="1">
      <alignment horizontal="center" wrapText="1"/>
    </xf>
    <xf numFmtId="0" fontId="24" fillId="6" borderId="135" xfId="5" applyFont="1" applyBorder="1">
      <alignment horizontal="center" wrapText="1"/>
    </xf>
    <xf numFmtId="0" fontId="24" fillId="6" borderId="143" xfId="5" applyFont="1" applyBorder="1">
      <alignment horizontal="center" wrapText="1"/>
    </xf>
    <xf numFmtId="0" fontId="24" fillId="6" borderId="146" xfId="5" applyFont="1" applyBorder="1">
      <alignment horizontal="center" wrapText="1"/>
    </xf>
    <xf numFmtId="0" fontId="24" fillId="6" borderId="147" xfId="5" applyFont="1" applyBorder="1">
      <alignment horizontal="center" wrapText="1"/>
    </xf>
    <xf numFmtId="0" fontId="37" fillId="6" borderId="135" xfId="5" applyFont="1" applyBorder="1">
      <alignment horizontal="center" wrapText="1"/>
    </xf>
    <xf numFmtId="0" fontId="37" fillId="6" borderId="143" xfId="5" applyFont="1" applyBorder="1">
      <alignment horizontal="center" wrapText="1"/>
    </xf>
    <xf numFmtId="0" fontId="37" fillId="6" borderId="146" xfId="5" applyFont="1" applyBorder="1">
      <alignment horizontal="center" wrapText="1"/>
    </xf>
    <xf numFmtId="0" fontId="37" fillId="6" borderId="147" xfId="5" applyFont="1" applyBorder="1">
      <alignment horizontal="center" wrapText="1"/>
    </xf>
    <xf numFmtId="0" fontId="24" fillId="6" borderId="120" xfId="5" applyFont="1" applyBorder="1">
      <alignment horizontal="center" wrapText="1"/>
    </xf>
    <xf numFmtId="0" fontId="24" fillId="6" borderId="132" xfId="5" applyFont="1" applyBorder="1">
      <alignment horizontal="center" wrapText="1"/>
    </xf>
    <xf numFmtId="0" fontId="24" fillId="6" borderId="144" xfId="5" applyFont="1" applyBorder="1">
      <alignment horizontal="center" wrapText="1"/>
    </xf>
    <xf numFmtId="0" fontId="24" fillId="6" borderId="148" xfId="5" applyFont="1" applyBorder="1">
      <alignment horizontal="center" wrapText="1"/>
    </xf>
    <xf numFmtId="0" fontId="24" fillId="6" borderId="149" xfId="5" applyFont="1" applyBorder="1">
      <alignment horizontal="center" wrapText="1"/>
    </xf>
    <xf numFmtId="0" fontId="24" fillId="6" borderId="104" xfId="5" applyFont="1" applyBorder="1">
      <alignment horizontal="center" wrapText="1"/>
    </xf>
    <xf numFmtId="0" fontId="24" fillId="48" borderId="129" xfId="0" applyFont="1" applyFill="1" applyBorder="1" applyAlignment="1" applyProtection="1">
      <alignment horizontal="center" vertical="center" wrapText="1"/>
    </xf>
    <xf numFmtId="0" fontId="24" fillId="49" borderId="131" xfId="0" applyFont="1" applyFill="1" applyBorder="1" applyAlignment="1">
      <alignment horizontal="center" vertical="center"/>
    </xf>
    <xf numFmtId="0" fontId="62" fillId="53" borderId="27" xfId="144" applyBorder="1">
      <alignment horizontal="center" vertical="center"/>
    </xf>
    <xf numFmtId="3" fontId="0" fillId="41" borderId="27" xfId="11" applyFont="1" applyBorder="1" applyAlignment="1">
      <alignment horizontal="center" vertical="center"/>
      <protection locked="0"/>
    </xf>
    <xf numFmtId="0" fontId="0" fillId="6" borderId="106" xfId="0" applyFont="1" applyFill="1" applyBorder="1" applyAlignment="1" applyProtection="1">
      <alignment horizontal="left" vertical="center" wrapText="1"/>
    </xf>
    <xf numFmtId="0" fontId="0" fillId="6" borderId="107"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0" fillId="6" borderId="129" xfId="0" applyFont="1" applyFill="1" applyBorder="1" applyAlignment="1" applyProtection="1">
      <alignment horizontal="left" vertical="center" wrapText="1"/>
    </xf>
    <xf numFmtId="0" fontId="0" fillId="6" borderId="104" xfId="0" applyFont="1" applyFill="1" applyBorder="1" applyAlignment="1" applyProtection="1">
      <alignment horizontal="left" vertical="center" wrapText="1"/>
    </xf>
    <xf numFmtId="0" fontId="22" fillId="6" borderId="129" xfId="0" applyFont="1" applyBorder="1" applyAlignment="1">
      <alignment horizontal="center" vertical="center"/>
    </xf>
    <xf numFmtId="0" fontId="22" fillId="2" borderId="27"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6" borderId="106" xfId="0" applyFont="1" applyBorder="1" applyAlignment="1">
      <alignment horizontal="center" vertical="center"/>
    </xf>
    <xf numFmtId="0" fontId="22" fillId="6" borderId="28" xfId="0" applyFont="1" applyBorder="1" applyAlignment="1">
      <alignment horizontal="center" vertical="center"/>
    </xf>
    <xf numFmtId="0" fontId="22" fillId="2" borderId="27" xfId="0" applyFont="1" applyFill="1" applyBorder="1" applyAlignment="1">
      <alignment horizontal="left" vertical="center" wrapText="1" indent="1"/>
    </xf>
    <xf numFmtId="0" fontId="22" fillId="2" borderId="25" xfId="0" applyFont="1" applyFill="1" applyBorder="1" applyAlignment="1">
      <alignment horizontal="left" vertical="center" wrapText="1" indent="1"/>
    </xf>
    <xf numFmtId="0" fontId="0" fillId="2" borderId="25" xfId="0" applyFill="1" applyBorder="1" applyAlignment="1">
      <alignment horizontal="left" vertical="center" wrapText="1"/>
    </xf>
    <xf numFmtId="0" fontId="24" fillId="6" borderId="129" xfId="5" applyBorder="1" applyAlignment="1">
      <alignment horizontal="center" vertical="center" wrapText="1"/>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xr:uid="{00000000-0005-0000-0000-00001F000000}"/>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Heading 1" xfId="4" xr:uid="{00000000-0005-0000-0000-000024000000}"/>
    <cellStyle name="Heading 2" xfId="114" hidden="1" xr:uid="{00000000-0005-0000-0000-000025000000}"/>
    <cellStyle name="Heading 2" xfId="117" hidden="1" xr:uid="{00000000-0005-0000-0000-000026000000}"/>
    <cellStyle name="Heading 2" xfId="116" xr:uid="{00000000-0005-0000-0000-000027000000}"/>
    <cellStyle name="Heading 2 2" xfId="120" hidden="1" xr:uid="{00000000-0005-0000-0000-000028000000}"/>
    <cellStyle name="Heading 2 2" xfId="118" hidden="1" xr:uid="{00000000-0005-0000-0000-000029000000}"/>
    <cellStyle name="Heading 2 2" xfId="124" hidden="1" xr:uid="{00000000-0005-0000-0000-00002A000000}"/>
    <cellStyle name="Heading 2 2" xfId="122" hidden="1" xr:uid="{00000000-0005-0000-0000-00002B000000}"/>
    <cellStyle name="Heading 2 2" xfId="128" hidden="1" xr:uid="{00000000-0005-0000-0000-00002C000000}"/>
    <cellStyle name="Heading 2 2" xfId="126" hidden="1" xr:uid="{00000000-0005-0000-0000-00002D000000}"/>
    <cellStyle name="Heading 2 2" xfId="133" hidden="1" xr:uid="{00000000-0005-0000-0000-00002E000000}"/>
    <cellStyle name="Heading 2 2" xfId="131" hidden="1" xr:uid="{00000000-0005-0000-0000-00002F000000}"/>
    <cellStyle name="Heading 2 2" xfId="137" hidden="1" xr:uid="{00000000-0005-0000-0000-000030000000}"/>
    <cellStyle name="Heading 2 2" xfId="135" hidden="1" xr:uid="{00000000-0005-0000-0000-000031000000}"/>
    <cellStyle name="Heading 2 2" xfId="141" hidden="1" xr:uid="{00000000-0005-0000-0000-000032000000}"/>
    <cellStyle name="Heading 2 2" xfId="139" hidden="1" xr:uid="{00000000-0005-0000-0000-000033000000}"/>
    <cellStyle name="Heading 2 3" xfId="121" hidden="1" xr:uid="{00000000-0005-0000-0000-000034000000}"/>
    <cellStyle name="Heading 2 3" xfId="119" hidden="1" xr:uid="{00000000-0005-0000-0000-000035000000}"/>
    <cellStyle name="Heading 2 3" xfId="125" hidden="1" xr:uid="{00000000-0005-0000-0000-000036000000}"/>
    <cellStyle name="Heading 2 3" xfId="123" hidden="1" xr:uid="{00000000-0005-0000-0000-000037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8" hidden="1" xr:uid="{00000000-0005-0000-0000-00003C000000}"/>
    <cellStyle name="Heading 2 3" xfId="136" hidden="1" xr:uid="{00000000-0005-0000-0000-00003D000000}"/>
    <cellStyle name="Heading 2 3" xfId="142" hidden="1" xr:uid="{00000000-0005-0000-0000-00003E000000}"/>
    <cellStyle name="Heading 2 3" xfId="140" hidden="1" xr:uid="{00000000-0005-0000-0000-00003F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eadingTable 2" xfId="148" xr:uid="{77546139-5975-4B65-8E04-BA579E9041F6}"/>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reviseExposure" xfId="28" xr:uid="{00000000-0005-0000-0000-000064000000}"/>
    <cellStyle name="showCheck" xfId="144" xr:uid="{00000000-0005-0000-0000-000067000000}"/>
    <cellStyle name="showCheckYN" xfId="29" xr:uid="{00000000-0005-0000-0000-000068000000}"/>
    <cellStyle name="showDate" xfId="146" xr:uid="{00000000-0005-0000-0000-000069000000}"/>
    <cellStyle name="showExposure" xfId="30" xr:uid="{00000000-0005-0000-0000-00006A000000}"/>
    <cellStyle name="showExposure 2 2" xfId="147" xr:uid="{00000000-0005-0000-0000-00006B000000}"/>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1672">
    <dxf>
      <font>
        <color rgb="FF006100"/>
      </font>
      <fill>
        <patternFill>
          <bgColor rgb="FFC6EFCE"/>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FFEC72"/>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3"/>
  <sheetViews>
    <sheetView tabSelected="1"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12" customWidth="1"/>
    <col min="2" max="2" width="100.7109375" style="106" customWidth="1"/>
    <col min="3" max="3" width="16.7109375" style="106" customWidth="1"/>
    <col min="4" max="4" width="16.7109375" style="185" customWidth="1"/>
    <col min="5" max="5" width="1.7109375" style="2326" customWidth="1"/>
    <col min="6" max="9" width="28.7109375" style="2326" customWidth="1"/>
    <col min="10" max="10" width="1.7109375" style="438" customWidth="1"/>
    <col min="11" max="16384" width="16.85546875" hidden="1"/>
  </cols>
  <sheetData>
    <row r="1" spans="1:10" ht="30" customHeight="1" x14ac:dyDescent="0.55000000000000004">
      <c r="A1" s="1001" t="s">
        <v>901</v>
      </c>
      <c r="B1" s="861"/>
      <c r="C1" s="862" t="str">
        <f>CONCATENATE("v",Parameters!C4,".",Parameters!D4,".",Parameters!E4)</f>
        <v>v4.6.S3</v>
      </c>
      <c r="D1" s="863"/>
      <c r="E1" s="2582"/>
      <c r="F1" s="2582"/>
      <c r="G1" s="2582"/>
      <c r="H1" s="2582"/>
      <c r="I1" s="2582"/>
      <c r="J1" s="2021"/>
    </row>
    <row r="2" spans="1:10" ht="45" customHeight="1" x14ac:dyDescent="0.25">
      <c r="A2" s="305" t="s">
        <v>2098</v>
      </c>
      <c r="B2" s="331"/>
      <c r="C2" s="290"/>
      <c r="D2" s="332"/>
      <c r="E2" s="2580"/>
      <c r="J2" s="1241"/>
    </row>
    <row r="3" spans="1:10" ht="15" customHeight="1" x14ac:dyDescent="0.25">
      <c r="A3" s="469"/>
      <c r="B3" s="527" t="s">
        <v>46</v>
      </c>
      <c r="C3" s="539"/>
      <c r="D3" s="540"/>
      <c r="F3" s="2585" t="s">
        <v>2298</v>
      </c>
      <c r="G3" s="2585"/>
      <c r="H3" s="2585"/>
      <c r="I3" s="2585"/>
      <c r="J3" s="441"/>
    </row>
    <row r="4" spans="1:10" ht="15" customHeight="1" x14ac:dyDescent="0.25">
      <c r="A4" s="469"/>
      <c r="B4" s="115" t="s">
        <v>45</v>
      </c>
      <c r="C4" s="3"/>
      <c r="D4" s="4"/>
      <c r="F4" s="2585"/>
      <c r="G4" s="2585"/>
      <c r="H4" s="2585"/>
      <c r="I4" s="2585"/>
      <c r="J4" s="441"/>
    </row>
    <row r="5" spans="1:10" ht="15" customHeight="1" x14ac:dyDescent="0.25">
      <c r="A5" s="469"/>
      <c r="B5" s="115" t="s">
        <v>47</v>
      </c>
      <c r="C5" s="3"/>
      <c r="D5" s="4"/>
      <c r="F5" s="2585"/>
      <c r="G5" s="2585"/>
      <c r="H5" s="2585"/>
      <c r="I5" s="2585"/>
      <c r="J5" s="441"/>
    </row>
    <row r="6" spans="1:10" ht="15" customHeight="1" x14ac:dyDescent="0.25">
      <c r="A6" s="469"/>
      <c r="B6" s="1029" t="s">
        <v>993</v>
      </c>
      <c r="C6" s="4"/>
      <c r="D6" s="4"/>
      <c r="F6" s="2585"/>
      <c r="G6" s="2585"/>
      <c r="H6" s="2585"/>
      <c r="I6" s="2585"/>
      <c r="J6" s="441"/>
    </row>
    <row r="7" spans="1:10" ht="15" customHeight="1" x14ac:dyDescent="0.25">
      <c r="A7" s="469"/>
      <c r="B7" s="115" t="s">
        <v>131</v>
      </c>
      <c r="C7" s="5" t="s">
        <v>43</v>
      </c>
      <c r="D7" s="4"/>
      <c r="F7" s="2585"/>
      <c r="G7" s="2585"/>
      <c r="H7" s="2585"/>
      <c r="I7" s="2585"/>
      <c r="J7" s="441"/>
    </row>
    <row r="8" spans="1:10" ht="15" customHeight="1" x14ac:dyDescent="0.25">
      <c r="A8" s="469"/>
      <c r="B8" s="115" t="s">
        <v>132</v>
      </c>
      <c r="C8" s="5" t="s">
        <v>43</v>
      </c>
      <c r="D8" s="4"/>
      <c r="F8" s="2585"/>
      <c r="G8" s="2585"/>
      <c r="H8" s="2585"/>
      <c r="I8" s="2585"/>
      <c r="J8" s="441"/>
    </row>
    <row r="9" spans="1:10" ht="15" customHeight="1" x14ac:dyDescent="0.25">
      <c r="A9" s="469"/>
      <c r="B9" s="115" t="s">
        <v>133</v>
      </c>
      <c r="C9" s="5" t="s">
        <v>43</v>
      </c>
      <c r="D9" s="4"/>
      <c r="F9" s="2585"/>
      <c r="G9" s="2585"/>
      <c r="H9" s="2585"/>
      <c r="I9" s="2585"/>
      <c r="J9" s="441"/>
    </row>
    <row r="10" spans="1:10" ht="30" customHeight="1" x14ac:dyDescent="0.25">
      <c r="A10" s="469"/>
      <c r="B10" s="115" t="s">
        <v>40</v>
      </c>
      <c r="C10" s="5" t="s">
        <v>140</v>
      </c>
      <c r="D10" s="4"/>
      <c r="F10" s="2585"/>
      <c r="G10" s="2585"/>
      <c r="H10" s="2585"/>
      <c r="I10" s="2585"/>
      <c r="J10" s="441"/>
    </row>
    <row r="11" spans="1:10" ht="15" customHeight="1" x14ac:dyDescent="0.25">
      <c r="A11" s="469"/>
      <c r="B11" s="115" t="s">
        <v>113</v>
      </c>
      <c r="C11" s="5"/>
      <c r="D11" s="4"/>
      <c r="F11" s="2585"/>
      <c r="G11" s="2585"/>
      <c r="H11" s="2585"/>
      <c r="I11" s="2585"/>
      <c r="J11" s="441"/>
    </row>
    <row r="12" spans="1:10" ht="15" customHeight="1" x14ac:dyDescent="0.25">
      <c r="A12" s="469"/>
      <c r="B12" s="115" t="s">
        <v>18</v>
      </c>
      <c r="C12" s="6"/>
      <c r="D12" s="4"/>
      <c r="F12" s="2585"/>
      <c r="G12" s="2585"/>
      <c r="H12" s="2585"/>
      <c r="I12" s="2585"/>
      <c r="J12" s="441"/>
    </row>
    <row r="13" spans="1:10" ht="15" hidden="1" customHeight="1" x14ac:dyDescent="0.25">
      <c r="A13" s="469"/>
      <c r="B13" s="1029" t="s">
        <v>993</v>
      </c>
      <c r="C13" s="4"/>
      <c r="D13" s="4"/>
      <c r="F13" s="2585"/>
      <c r="G13" s="2585"/>
      <c r="H13" s="2585"/>
      <c r="I13" s="2585"/>
      <c r="J13" s="441"/>
    </row>
    <row r="14" spans="1:10" ht="15" hidden="1" customHeight="1" x14ac:dyDescent="0.25">
      <c r="A14" s="469"/>
      <c r="B14" s="1029" t="s">
        <v>993</v>
      </c>
      <c r="C14" s="4"/>
      <c r="D14" s="4"/>
      <c r="F14" s="2585"/>
      <c r="G14" s="2585"/>
      <c r="H14" s="2585"/>
      <c r="I14" s="2585"/>
      <c r="J14" s="441"/>
    </row>
    <row r="15" spans="1:10" ht="15" customHeight="1" x14ac:dyDescent="0.25">
      <c r="A15" s="469"/>
      <c r="B15" s="116" t="s">
        <v>33</v>
      </c>
      <c r="C15" s="7">
        <v>1</v>
      </c>
      <c r="D15" s="119">
        <f>C15*'General Info'!C7</f>
        <v>1</v>
      </c>
      <c r="F15" s="2585"/>
      <c r="G15" s="2585"/>
      <c r="H15" s="2585"/>
      <c r="I15" s="2585"/>
      <c r="J15" s="441"/>
    </row>
    <row r="16" spans="1:10" ht="15" customHeight="1" x14ac:dyDescent="0.25">
      <c r="A16" s="469"/>
      <c r="B16" s="474" t="s">
        <v>79</v>
      </c>
      <c r="C16" s="543"/>
      <c r="D16" s="10"/>
      <c r="F16" s="2585"/>
      <c r="G16" s="2585"/>
      <c r="H16" s="2585"/>
      <c r="I16" s="2585"/>
      <c r="J16" s="441"/>
    </row>
    <row r="17" spans="1:10" ht="15" customHeight="1" x14ac:dyDescent="0.25">
      <c r="A17" s="469"/>
      <c r="B17" s="104"/>
      <c r="C17" s="104"/>
      <c r="D17" s="104"/>
      <c r="F17" s="2583"/>
      <c r="G17" s="2583"/>
      <c r="H17" s="2583"/>
      <c r="I17" s="2583"/>
      <c r="J17" s="441"/>
    </row>
    <row r="18" spans="1:10" ht="45" customHeight="1" x14ac:dyDescent="0.25">
      <c r="A18" s="305" t="s">
        <v>2099</v>
      </c>
      <c r="B18" s="331"/>
      <c r="C18" s="290"/>
      <c r="D18" s="332"/>
      <c r="E18" s="2580"/>
      <c r="F18" s="2580"/>
      <c r="G18" s="2580"/>
      <c r="H18" s="2580"/>
      <c r="I18" s="2580"/>
      <c r="J18" s="1241"/>
    </row>
    <row r="19" spans="1:10" ht="15" customHeight="1" x14ac:dyDescent="0.25">
      <c r="A19" s="469"/>
      <c r="B19" s="542" t="s">
        <v>54</v>
      </c>
      <c r="C19" s="431" t="s">
        <v>42</v>
      </c>
      <c r="D19" s="540"/>
      <c r="J19" s="441"/>
    </row>
    <row r="20" spans="1:10" ht="15" customHeight="1" x14ac:dyDescent="0.25">
      <c r="A20" s="469"/>
      <c r="B20" s="117" t="s">
        <v>77</v>
      </c>
      <c r="C20" s="5" t="s">
        <v>42</v>
      </c>
      <c r="D20" s="4"/>
      <c r="J20" s="441"/>
    </row>
    <row r="21" spans="1:10" ht="15" hidden="1" customHeight="1" x14ac:dyDescent="0.25">
      <c r="A21" s="469"/>
      <c r="B21" s="2176"/>
      <c r="C21" s="2177"/>
      <c r="D21" s="4"/>
      <c r="J21" s="441"/>
    </row>
    <row r="22" spans="1:10" ht="15" hidden="1" customHeight="1" x14ac:dyDescent="0.25">
      <c r="A22" s="469"/>
      <c r="B22" s="2178"/>
      <c r="C22" s="2177"/>
      <c r="D22" s="4"/>
      <c r="J22" s="441"/>
    </row>
    <row r="23" spans="1:10" ht="15" customHeight="1" x14ac:dyDescent="0.25">
      <c r="A23" s="469"/>
      <c r="B23" s="116" t="s">
        <v>515</v>
      </c>
      <c r="C23" s="5" t="s">
        <v>42</v>
      </c>
      <c r="D23" s="4"/>
      <c r="J23" s="441"/>
    </row>
    <row r="24" spans="1:10" ht="15" customHeight="1" x14ac:dyDescent="0.25">
      <c r="A24" s="469"/>
      <c r="B24" s="117" t="s">
        <v>77</v>
      </c>
      <c r="C24" s="5" t="s">
        <v>42</v>
      </c>
      <c r="D24" s="4"/>
      <c r="J24" s="441"/>
    </row>
    <row r="25" spans="1:10" ht="15" customHeight="1" x14ac:dyDescent="0.25">
      <c r="A25" s="469"/>
      <c r="B25" s="116" t="s">
        <v>501</v>
      </c>
      <c r="C25" s="5" t="s">
        <v>42</v>
      </c>
      <c r="D25" s="4"/>
      <c r="J25" s="441"/>
    </row>
    <row r="26" spans="1:10" ht="15" customHeight="1" x14ac:dyDescent="0.25">
      <c r="A26" s="469"/>
      <c r="B26" s="117" t="s">
        <v>77</v>
      </c>
      <c r="C26" s="5" t="s">
        <v>42</v>
      </c>
      <c r="D26" s="4"/>
      <c r="J26" s="441"/>
    </row>
    <row r="27" spans="1:10" ht="15" customHeight="1" x14ac:dyDescent="0.25">
      <c r="A27" s="469"/>
      <c r="B27" s="116" t="s">
        <v>55</v>
      </c>
      <c r="C27" s="5" t="s">
        <v>42</v>
      </c>
      <c r="D27" s="4"/>
      <c r="J27" s="441"/>
    </row>
    <row r="28" spans="1:10" ht="15" customHeight="1" x14ac:dyDescent="0.25">
      <c r="A28" s="469"/>
      <c r="B28" s="117" t="s">
        <v>77</v>
      </c>
      <c r="C28" s="5" t="s">
        <v>42</v>
      </c>
      <c r="D28" s="4"/>
      <c r="J28" s="441"/>
    </row>
    <row r="29" spans="1:10" ht="15" customHeight="1" x14ac:dyDescent="0.25">
      <c r="A29" s="469"/>
      <c r="B29" s="878" t="s">
        <v>1688</v>
      </c>
      <c r="C29" s="5" t="s">
        <v>42</v>
      </c>
      <c r="D29" s="4"/>
      <c r="J29" s="441"/>
    </row>
    <row r="30" spans="1:10" ht="15" customHeight="1" x14ac:dyDescent="0.25">
      <c r="A30" s="469"/>
      <c r="B30" s="117" t="s">
        <v>77</v>
      </c>
      <c r="C30" s="5" t="s">
        <v>42</v>
      </c>
      <c r="D30" s="4"/>
      <c r="J30" s="441"/>
    </row>
    <row r="31" spans="1:10" ht="15" customHeight="1" x14ac:dyDescent="0.25">
      <c r="A31" s="469"/>
      <c r="B31" s="878" t="s">
        <v>1048</v>
      </c>
      <c r="C31" s="5" t="s">
        <v>42</v>
      </c>
      <c r="D31" s="4"/>
      <c r="J31" s="441"/>
    </row>
    <row r="32" spans="1:10" ht="15" customHeight="1" x14ac:dyDescent="0.25">
      <c r="A32" s="469"/>
      <c r="B32" s="117" t="s">
        <v>77</v>
      </c>
      <c r="C32" s="5" t="s">
        <v>42</v>
      </c>
      <c r="D32" s="4"/>
      <c r="J32" s="441"/>
    </row>
    <row r="33" spans="1:10" ht="15" customHeight="1" x14ac:dyDescent="0.25">
      <c r="A33" s="469"/>
      <c r="B33" s="116" t="s">
        <v>148</v>
      </c>
      <c r="C33" s="5" t="s">
        <v>42</v>
      </c>
      <c r="D33" s="4"/>
      <c r="J33" s="441"/>
    </row>
    <row r="34" spans="1:10" ht="15" customHeight="1" x14ac:dyDescent="0.25">
      <c r="A34" s="469"/>
      <c r="B34" s="117" t="s">
        <v>77</v>
      </c>
      <c r="C34" s="5" t="s">
        <v>42</v>
      </c>
      <c r="D34" s="4"/>
      <c r="J34" s="441"/>
    </row>
    <row r="35" spans="1:10" ht="15" customHeight="1" x14ac:dyDescent="0.25">
      <c r="A35" s="469"/>
      <c r="B35" s="878" t="s">
        <v>1034</v>
      </c>
      <c r="C35" s="5" t="s">
        <v>42</v>
      </c>
      <c r="D35" s="4"/>
      <c r="J35" s="441"/>
    </row>
    <row r="36" spans="1:10" ht="15" customHeight="1" x14ac:dyDescent="0.25">
      <c r="A36" s="469"/>
      <c r="B36" s="117" t="s">
        <v>77</v>
      </c>
      <c r="C36" s="5" t="s">
        <v>42</v>
      </c>
      <c r="D36" s="4"/>
      <c r="J36" s="441"/>
    </row>
    <row r="37" spans="1:10" ht="15" customHeight="1" x14ac:dyDescent="0.25">
      <c r="A37" s="469"/>
      <c r="B37" s="878" t="s">
        <v>1033</v>
      </c>
      <c r="C37" s="5" t="s">
        <v>42</v>
      </c>
      <c r="D37" s="4"/>
      <c r="J37" s="441"/>
    </row>
    <row r="38" spans="1:10" ht="15" customHeight="1" x14ac:dyDescent="0.25">
      <c r="A38" s="469"/>
      <c r="B38" s="117" t="s">
        <v>77</v>
      </c>
      <c r="C38" s="5" t="s">
        <v>42</v>
      </c>
      <c r="D38" s="4"/>
      <c r="J38" s="441"/>
    </row>
    <row r="39" spans="1:10" ht="15" customHeight="1" x14ac:dyDescent="0.25">
      <c r="A39" s="469"/>
      <c r="B39" s="116" t="s">
        <v>549</v>
      </c>
      <c r="C39" s="5" t="s">
        <v>42</v>
      </c>
      <c r="D39" s="4"/>
      <c r="J39" s="441"/>
    </row>
    <row r="40" spans="1:10" ht="15" customHeight="1" x14ac:dyDescent="0.25">
      <c r="A40" s="469"/>
      <c r="B40" s="117" t="s">
        <v>77</v>
      </c>
      <c r="C40" s="5" t="s">
        <v>42</v>
      </c>
      <c r="D40" s="4"/>
      <c r="J40" s="441"/>
    </row>
    <row r="41" spans="1:10" ht="15" customHeight="1" x14ac:dyDescent="0.25">
      <c r="A41" s="469"/>
      <c r="B41" s="878" t="s">
        <v>1004</v>
      </c>
      <c r="C41" s="5" t="s">
        <v>42</v>
      </c>
      <c r="D41" s="4"/>
      <c r="J41" s="441"/>
    </row>
    <row r="42" spans="1:10" ht="15" customHeight="1" x14ac:dyDescent="0.25">
      <c r="A42" s="469"/>
      <c r="B42" s="117" t="s">
        <v>77</v>
      </c>
      <c r="C42" s="5" t="s">
        <v>42</v>
      </c>
      <c r="D42" s="4"/>
      <c r="J42" s="441"/>
    </row>
    <row r="43" spans="1:10" ht="15" customHeight="1" x14ac:dyDescent="0.25">
      <c r="A43" s="469"/>
      <c r="B43" s="116" t="s">
        <v>737</v>
      </c>
      <c r="C43" s="5" t="s">
        <v>42</v>
      </c>
      <c r="D43" s="4"/>
      <c r="J43" s="441"/>
    </row>
    <row r="44" spans="1:10" ht="15" customHeight="1" x14ac:dyDescent="0.25">
      <c r="A44" s="469"/>
      <c r="B44" s="117" t="s">
        <v>77</v>
      </c>
      <c r="C44" s="5" t="s">
        <v>42</v>
      </c>
      <c r="D44" s="4"/>
      <c r="J44" s="441"/>
    </row>
    <row r="45" spans="1:10" ht="15" customHeight="1" x14ac:dyDescent="0.25">
      <c r="A45" s="469"/>
      <c r="B45" s="116" t="s">
        <v>502</v>
      </c>
      <c r="C45" s="5" t="s">
        <v>42</v>
      </c>
      <c r="D45" s="4"/>
      <c r="J45" s="441"/>
    </row>
    <row r="46" spans="1:10" ht="15" customHeight="1" x14ac:dyDescent="0.25">
      <c r="A46" s="469"/>
      <c r="B46" s="117" t="s">
        <v>77</v>
      </c>
      <c r="C46" s="5" t="s">
        <v>42</v>
      </c>
      <c r="D46" s="4"/>
      <c r="J46" s="441"/>
    </row>
    <row r="47" spans="1:10" ht="15" customHeight="1" x14ac:dyDescent="0.25">
      <c r="A47" s="469"/>
      <c r="B47" s="878" t="s">
        <v>1451</v>
      </c>
      <c r="C47" s="5" t="s">
        <v>42</v>
      </c>
      <c r="D47" s="4"/>
      <c r="J47" s="441"/>
    </row>
    <row r="48" spans="1:10" ht="15" customHeight="1" x14ac:dyDescent="0.25">
      <c r="A48" s="469"/>
      <c r="B48" s="117" t="s">
        <v>77</v>
      </c>
      <c r="C48" s="5" t="s">
        <v>42</v>
      </c>
      <c r="D48" s="4"/>
      <c r="J48" s="441"/>
    </row>
    <row r="49" spans="1:10" ht="15" customHeight="1" x14ac:dyDescent="0.25">
      <c r="A49" s="469"/>
      <c r="B49" s="116" t="s">
        <v>617</v>
      </c>
      <c r="C49" s="5" t="s">
        <v>42</v>
      </c>
      <c r="D49" s="4"/>
      <c r="J49" s="441"/>
    </row>
    <row r="50" spans="1:10" ht="15" customHeight="1" x14ac:dyDescent="0.25">
      <c r="A50" s="469"/>
      <c r="B50" s="117" t="s">
        <v>77</v>
      </c>
      <c r="C50" s="5" t="s">
        <v>42</v>
      </c>
      <c r="D50" s="4"/>
      <c r="J50" s="441"/>
    </row>
    <row r="51" spans="1:10" ht="15" customHeight="1" x14ac:dyDescent="0.25">
      <c r="A51" s="469"/>
      <c r="B51" s="878" t="s">
        <v>1097</v>
      </c>
      <c r="C51" s="5" t="s">
        <v>42</v>
      </c>
      <c r="D51" s="4"/>
      <c r="J51" s="441"/>
    </row>
    <row r="52" spans="1:10" ht="15" customHeight="1" x14ac:dyDescent="0.25">
      <c r="A52" s="469"/>
      <c r="B52" s="117" t="s">
        <v>77</v>
      </c>
      <c r="C52" s="5" t="s">
        <v>42</v>
      </c>
      <c r="D52" s="4"/>
      <c r="J52" s="441"/>
    </row>
    <row r="53" spans="1:10" ht="15" customHeight="1" x14ac:dyDescent="0.25">
      <c r="A53" s="469"/>
      <c r="B53" s="116" t="s">
        <v>288</v>
      </c>
      <c r="C53" s="5" t="s">
        <v>42</v>
      </c>
      <c r="D53" s="4"/>
      <c r="J53" s="441"/>
    </row>
    <row r="54" spans="1:10" ht="15" customHeight="1" x14ac:dyDescent="0.25">
      <c r="A54" s="469"/>
      <c r="B54" s="117" t="s">
        <v>77</v>
      </c>
      <c r="C54" s="5" t="s">
        <v>42</v>
      </c>
      <c r="D54" s="4"/>
      <c r="J54" s="441"/>
    </row>
    <row r="55" spans="1:10" ht="15" customHeight="1" x14ac:dyDescent="0.25">
      <c r="A55" s="469"/>
      <c r="B55" s="878" t="s">
        <v>1054</v>
      </c>
      <c r="C55" s="5" t="s">
        <v>42</v>
      </c>
      <c r="D55" s="1448"/>
      <c r="J55" s="441"/>
    </row>
    <row r="56" spans="1:10" ht="15" customHeight="1" x14ac:dyDescent="0.25">
      <c r="A56" s="469"/>
      <c r="B56" s="117" t="s">
        <v>77</v>
      </c>
      <c r="C56" s="5" t="s">
        <v>42</v>
      </c>
      <c r="D56" s="1448"/>
      <c r="F56" s="2581"/>
      <c r="G56" s="2581"/>
      <c r="H56" s="2581"/>
      <c r="I56" s="2581"/>
      <c r="J56" s="441"/>
    </row>
    <row r="57" spans="1:10" ht="15" customHeight="1" x14ac:dyDescent="0.25">
      <c r="A57" s="469"/>
      <c r="B57" s="116" t="s">
        <v>287</v>
      </c>
      <c r="C57" s="5" t="s">
        <v>42</v>
      </c>
      <c r="D57" s="1448"/>
      <c r="F57" s="2330"/>
      <c r="G57" s="2330"/>
      <c r="H57" s="2330"/>
      <c r="I57" s="2330"/>
      <c r="J57" s="441"/>
    </row>
    <row r="58" spans="1:10" ht="15" customHeight="1" x14ac:dyDescent="0.25">
      <c r="A58" s="469"/>
      <c r="B58" s="2033" t="s">
        <v>77</v>
      </c>
      <c r="C58" s="166" t="s">
        <v>42</v>
      </c>
      <c r="D58" s="2019"/>
      <c r="F58" s="2330"/>
      <c r="G58" s="2330"/>
      <c r="H58" s="2330"/>
      <c r="I58" s="2330"/>
      <c r="J58" s="441"/>
    </row>
    <row r="59" spans="1:10" ht="15" customHeight="1" x14ac:dyDescent="0.25">
      <c r="A59" s="2020"/>
      <c r="B59" s="458"/>
      <c r="C59" s="458"/>
      <c r="D59" s="541"/>
      <c r="E59" s="1838"/>
      <c r="F59" s="2584"/>
      <c r="G59" s="2584"/>
      <c r="H59" s="2584"/>
      <c r="I59" s="2584"/>
      <c r="J59" s="1268"/>
    </row>
    <row r="60" spans="1:10" ht="0" hidden="1" customHeight="1" x14ac:dyDescent="0.25">
      <c r="F60" s="2330"/>
      <c r="G60" s="2330"/>
      <c r="H60" s="2330"/>
      <c r="I60" s="2330"/>
    </row>
    <row r="61" spans="1:10" ht="0" hidden="1" customHeight="1" x14ac:dyDescent="0.25">
      <c r="F61" s="2584"/>
      <c r="G61" s="2584"/>
      <c r="H61" s="2584"/>
      <c r="I61" s="2584"/>
    </row>
    <row r="62" spans="1:10" ht="0" hidden="1" customHeight="1" x14ac:dyDescent="0.25">
      <c r="F62" s="2330"/>
      <c r="G62" s="2330"/>
      <c r="H62" s="2330"/>
      <c r="I62" s="2330"/>
    </row>
    <row r="63" spans="1:10" ht="0" hidden="1" customHeight="1" x14ac:dyDescent="0.25">
      <c r="F63" s="2330"/>
      <c r="G63" s="2330"/>
      <c r="H63" s="2330"/>
      <c r="I63" s="2330"/>
    </row>
    <row r="64" spans="1:10" ht="0" hidden="1" customHeight="1" x14ac:dyDescent="0.25">
      <c r="F64" s="2330"/>
      <c r="G64" s="2330"/>
      <c r="H64" s="2330"/>
      <c r="I64" s="2330"/>
    </row>
    <row r="65" spans="6:9" ht="0" hidden="1" customHeight="1" x14ac:dyDescent="0.25">
      <c r="F65" s="2579"/>
      <c r="G65" s="2579"/>
      <c r="H65" s="2579"/>
      <c r="I65" s="2579"/>
    </row>
    <row r="66" spans="6:9" ht="0" hidden="1" customHeight="1" x14ac:dyDescent="0.25">
      <c r="F66" s="2330"/>
      <c r="G66" s="2330"/>
      <c r="H66" s="2330"/>
      <c r="I66" s="2330"/>
    </row>
    <row r="67" spans="6:9" ht="0" hidden="1" customHeight="1" x14ac:dyDescent="0.25">
      <c r="F67" s="2330"/>
      <c r="G67" s="2330"/>
      <c r="H67" s="2330"/>
      <c r="I67" s="2330"/>
    </row>
    <row r="68" spans="6:9" ht="0" hidden="1" customHeight="1" x14ac:dyDescent="0.25">
      <c r="F68" s="2330"/>
      <c r="G68" s="2330"/>
      <c r="H68" s="2330"/>
      <c r="I68" s="2330"/>
    </row>
    <row r="69" spans="6:9" ht="0" hidden="1" customHeight="1" x14ac:dyDescent="0.25">
      <c r="F69" s="2330"/>
      <c r="G69" s="2330"/>
      <c r="H69" s="2330"/>
      <c r="I69" s="2330"/>
    </row>
    <row r="70" spans="6:9" ht="0" hidden="1" customHeight="1" x14ac:dyDescent="0.25">
      <c r="F70" s="2579"/>
      <c r="G70" s="2579"/>
      <c r="H70" s="2579"/>
      <c r="I70" s="2579"/>
    </row>
    <row r="71" spans="6:9" ht="0" hidden="1" customHeight="1" x14ac:dyDescent="0.25">
      <c r="F71" s="2579"/>
      <c r="G71" s="2579"/>
      <c r="H71" s="2579"/>
      <c r="I71" s="2579"/>
    </row>
    <row r="73" spans="6:9" ht="0" hidden="1" customHeight="1" x14ac:dyDescent="0.25">
      <c r="F73" s="2580"/>
      <c r="G73" s="2580"/>
      <c r="H73" s="2580"/>
      <c r="I73" s="2580"/>
    </row>
  </sheetData>
  <mergeCells count="1">
    <mergeCell ref="F3:I16"/>
  </mergeCells>
  <conditionalFormatting sqref="F90:I1048576">
    <cfRule type="cellIs" dxfId="1671" priority="3" stopIfTrue="1" operator="equal">
      <formula>"Pass"</formula>
    </cfRule>
    <cfRule type="cellIs" dxfId="1670" priority="4" stopIfTrue="1" operator="equal">
      <formula>"Fail"</formula>
    </cfRule>
  </conditionalFormatting>
  <conditionalFormatting sqref="F1:I2 F19:I89 F3">
    <cfRule type="cellIs" dxfId="1669" priority="1" stopIfTrue="1" operator="equal">
      <formula>"Pass"</formula>
    </cfRule>
    <cfRule type="cellIs" dxfId="1668" priority="2"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pane ySplit="1" topLeftCell="A2" activePane="bottomLeft" state="frozen"/>
      <selection pane="bottomLeft" activeCell="H9" sqref="H9"/>
    </sheetView>
  </sheetViews>
  <sheetFormatPr defaultColWidth="0" defaultRowHeight="0" customHeight="1" zeroHeight="1" x14ac:dyDescent="0.25"/>
  <cols>
    <col min="1" max="1" width="1.7109375" style="1006" customWidth="1"/>
    <col min="2" max="2" width="72.7109375" style="155" customWidth="1"/>
    <col min="3" max="3" width="18.7109375" style="155" customWidth="1"/>
    <col min="4" max="4" width="18.7109375" style="155" hidden="1" customWidth="1"/>
    <col min="5" max="8" width="17.7109375" style="155" customWidth="1"/>
    <col min="9" max="10" width="17.7109375" style="155" hidden="1" customWidth="1"/>
    <col min="11" max="17" width="17.7109375" style="155" customWidth="1"/>
    <col min="18" max="18" width="1.7109375" style="180" customWidth="1"/>
    <col min="19" max="19" width="0" style="316" hidden="1" customWidth="1"/>
    <col min="20" max="16384" width="16.85546875" hidden="1"/>
  </cols>
  <sheetData>
    <row r="1" spans="1:19" ht="30" customHeight="1" x14ac:dyDescent="0.55000000000000004">
      <c r="A1" s="1056" t="s">
        <v>10</v>
      </c>
      <c r="B1" s="1329"/>
      <c r="C1" s="1062" t="str">
        <f>CONCATENATE("Reporting unit: ", 'General Info'!$C$7, " ", 'General Info'!$C$5)</f>
        <v xml:space="preserve">Reporting unit: 1 </v>
      </c>
      <c r="D1" s="2418"/>
      <c r="E1" s="1330"/>
      <c r="F1" s="1330"/>
      <c r="G1" s="1330"/>
      <c r="H1" s="1330"/>
      <c r="I1" s="1330"/>
      <c r="J1" s="1328"/>
      <c r="K1" s="1328"/>
      <c r="L1" s="1326"/>
      <c r="M1" s="1328"/>
      <c r="N1" s="1328"/>
      <c r="O1" s="1326"/>
      <c r="P1" s="1326"/>
      <c r="Q1" s="1328"/>
      <c r="R1" s="1057"/>
      <c r="S1" s="1097"/>
    </row>
    <row r="2" spans="1:19" ht="30" customHeight="1" x14ac:dyDescent="0.35">
      <c r="A2" s="1049" t="s">
        <v>2097</v>
      </c>
      <c r="B2" s="1326"/>
      <c r="C2" s="1326"/>
      <c r="D2" s="1326"/>
      <c r="E2" s="1326"/>
      <c r="F2" s="1326"/>
      <c r="G2" s="1326"/>
      <c r="H2" s="1326"/>
      <c r="I2" s="1326"/>
      <c r="J2" s="1331"/>
      <c r="K2" s="1331"/>
      <c r="L2" s="1331"/>
      <c r="M2" s="1331"/>
      <c r="N2" s="1331"/>
      <c r="O2" s="1326"/>
      <c r="P2" s="1326"/>
      <c r="Q2" s="1326"/>
      <c r="R2" s="1050"/>
    </row>
    <row r="3" spans="1:19" ht="15" customHeight="1" x14ac:dyDescent="0.25">
      <c r="A3" s="389"/>
      <c r="B3" s="160"/>
      <c r="C3" s="160"/>
      <c r="D3" s="160"/>
      <c r="E3" s="160"/>
      <c r="F3" s="160"/>
      <c r="G3" s="160"/>
      <c r="H3" s="160"/>
      <c r="I3" s="160"/>
      <c r="J3" s="160"/>
      <c r="K3" s="160"/>
      <c r="L3" s="160"/>
      <c r="M3" s="160"/>
      <c r="N3" s="160"/>
      <c r="O3" s="160"/>
      <c r="P3" s="160"/>
      <c r="Q3" s="160"/>
      <c r="R3" s="457"/>
    </row>
    <row r="4" spans="1:19" ht="15" customHeight="1" x14ac:dyDescent="0.25">
      <c r="A4" s="389"/>
      <c r="B4" s="1331"/>
      <c r="C4" s="2698" t="s">
        <v>1638</v>
      </c>
      <c r="D4" s="789"/>
      <c r="E4" s="2693" t="s">
        <v>135</v>
      </c>
      <c r="F4" s="2693"/>
      <c r="G4" s="2693"/>
      <c r="H4" s="2694"/>
      <c r="I4" s="2431"/>
      <c r="J4" s="2432"/>
      <c r="K4" s="2691" t="s">
        <v>160</v>
      </c>
      <c r="L4" s="2691"/>
      <c r="M4" s="2691"/>
      <c r="N4" s="2692"/>
      <c r="O4" s="2690" t="s">
        <v>159</v>
      </c>
      <c r="P4" s="2691"/>
      <c r="Q4" s="2691"/>
      <c r="R4" s="457"/>
    </row>
    <row r="5" spans="1:19" ht="30" customHeight="1" x14ac:dyDescent="0.25">
      <c r="A5" s="389"/>
      <c r="B5" s="2420"/>
      <c r="C5" s="2699"/>
      <c r="D5" s="2463"/>
      <c r="E5" s="2422" t="s">
        <v>161</v>
      </c>
      <c r="F5" s="2422" t="s">
        <v>170</v>
      </c>
      <c r="G5" s="2422" t="s">
        <v>137</v>
      </c>
      <c r="H5" s="2464" t="s">
        <v>116</v>
      </c>
      <c r="I5" s="2431"/>
      <c r="J5" s="2432"/>
      <c r="K5" s="2444" t="s">
        <v>161</v>
      </c>
      <c r="L5" s="1332" t="s">
        <v>170</v>
      </c>
      <c r="M5" s="1332" t="s">
        <v>162</v>
      </c>
      <c r="N5" s="2445" t="s">
        <v>152</v>
      </c>
      <c r="O5" s="2444" t="s">
        <v>161</v>
      </c>
      <c r="P5" s="1332" t="s">
        <v>170</v>
      </c>
      <c r="Q5" s="1324" t="s">
        <v>162</v>
      </c>
      <c r="R5" s="457"/>
    </row>
    <row r="6" spans="1:19" ht="30" customHeight="1" x14ac:dyDescent="0.25">
      <c r="A6" s="389"/>
      <c r="B6" s="2473" t="s">
        <v>2089</v>
      </c>
      <c r="C6" s="710"/>
      <c r="D6" s="712"/>
      <c r="E6" s="711"/>
      <c r="F6" s="711"/>
      <c r="G6" s="711"/>
      <c r="H6" s="1557" t="str">
        <f>IF(AND(ISNUMBER(H7), ISNUMBER(H9)), H7+H9, "")</f>
        <v/>
      </c>
      <c r="I6" s="2433"/>
      <c r="J6" s="2434"/>
      <c r="K6" s="2441"/>
      <c r="L6" s="711"/>
      <c r="M6" s="711"/>
      <c r="N6" s="1557" t="str">
        <f>IF(AND(ISNUMBER(N7), ISNUMBER(N9)), N7+N9, "")</f>
        <v/>
      </c>
      <c r="O6" s="2441"/>
      <c r="P6" s="711"/>
      <c r="Q6" s="712"/>
      <c r="R6" s="457"/>
    </row>
    <row r="7" spans="1:19" ht="45" customHeight="1" x14ac:dyDescent="0.25">
      <c r="A7" s="389"/>
      <c r="B7" s="2461" t="s">
        <v>171</v>
      </c>
      <c r="C7" s="2469" t="s">
        <v>1566</v>
      </c>
      <c r="D7" s="2466"/>
      <c r="E7" s="15"/>
      <c r="F7" s="15"/>
      <c r="G7" s="43"/>
      <c r="H7" s="2467" t="str">
        <f>IF(AND(ISNUMBER(E7), ISNUMBER(F7), ISNUMBER(G7)), SUM(E7:G7), "")</f>
        <v/>
      </c>
      <c r="I7" s="2439"/>
      <c r="J7" s="2440"/>
      <c r="K7" s="32" t="str">
        <f>IF(AND(ISNUMBER(E7),ISNUMBER(O7)),SUM(E7)*O7,"")</f>
        <v/>
      </c>
      <c r="L7" s="32" t="str">
        <f>IF(AND(ISNUMBER(F7),ISNUMBER(P7)),SUM(F7)*P7,"")</f>
        <v/>
      </c>
      <c r="M7" s="32" t="str">
        <f>IF(AND(ISNUMBER(G7),ISNUMBER(Q7)),SUM(G7)*Q7,"")</f>
        <v/>
      </c>
      <c r="N7" s="1556" t="str">
        <f>IF(ISNUMBER(M7),SUM(M7),"")</f>
        <v/>
      </c>
      <c r="O7" s="2429">
        <v>0</v>
      </c>
      <c r="P7" s="48">
        <v>0</v>
      </c>
      <c r="Q7" s="47">
        <v>1</v>
      </c>
      <c r="R7" s="457"/>
    </row>
    <row r="8" spans="1:19" ht="15" customHeight="1" x14ac:dyDescent="0.25">
      <c r="A8" s="389"/>
      <c r="B8" s="54" t="str">
        <f>CONCATENATE("Check: row ", ROW(B7), " ≤ ", ADDRESS(ROW('General Info'!E60), COLUMN('General Info'!E60), 4), " + ", ADDRESS(ROW('General Info'!E63), COLUMN('General Info'!E63), 4), " + ", ADDRESS(ROW('General Info'!E68), COLUMN('General Info'!E68), 4), " in the General Info worksheet")</f>
        <v>Check: row 7 ≤ E60 + E63 + E68 in the General Info worksheet</v>
      </c>
      <c r="C8" s="46"/>
      <c r="D8" s="1297"/>
      <c r="E8" s="162"/>
      <c r="F8" s="162"/>
      <c r="G8" s="162"/>
      <c r="H8" s="2447" t="str">
        <f>IF(AND(ISNUMBER(H7), ISNUMBER('General Info'!C60), ISNUMBER('General Info'!C63), ISNUMBER('General Info'!C68)), IF(H7&lt;=SUM('General Info'!C60,'General Info'!C63,'General Info'!C68), "Pass", "Fail"), "")</f>
        <v/>
      </c>
      <c r="I8" s="2435"/>
      <c r="J8" s="2436"/>
      <c r="K8" s="2427"/>
      <c r="L8" s="162"/>
      <c r="M8" s="162"/>
      <c r="N8" s="1052"/>
      <c r="O8" s="2427"/>
      <c r="P8" s="162"/>
      <c r="Q8" s="163"/>
      <c r="R8" s="457"/>
    </row>
    <row r="9" spans="1:19" ht="28.5" x14ac:dyDescent="0.25">
      <c r="A9" s="389"/>
      <c r="B9" s="2468" t="s">
        <v>174</v>
      </c>
      <c r="C9" s="2419" t="s">
        <v>1567</v>
      </c>
      <c r="D9" s="2421"/>
      <c r="E9" s="15"/>
      <c r="F9" s="15"/>
      <c r="G9" s="43"/>
      <c r="H9" s="2467" t="str">
        <f>IF(AND(ISNUMBER(E9), ISNUMBER(F9), ISNUMBER(G9)), SUM(E9:G9), "")</f>
        <v/>
      </c>
      <c r="I9" s="2435"/>
      <c r="J9" s="2436"/>
      <c r="K9" s="32" t="str">
        <f>IF(AND(ISNUMBER(E9),ISNUMBER(O9)),SUM(E9)*O9,"")</f>
        <v/>
      </c>
      <c r="L9" s="32" t="str">
        <f>IF(AND(ISNUMBER(F9),ISNUMBER(P9)),SUM(F9)*P9,"")</f>
        <v/>
      </c>
      <c r="M9" s="32" t="str">
        <f>IF(AND(ISNUMBER(G9),ISNUMBER(Q9)),SUM(G9)*Q9,"")</f>
        <v/>
      </c>
      <c r="N9" s="1556" t="str">
        <f>IF(ISNUMBER(M9),SUM(M9),"")</f>
        <v/>
      </c>
      <c r="O9" s="2429">
        <v>0</v>
      </c>
      <c r="P9" s="48">
        <v>0</v>
      </c>
      <c r="Q9" s="47">
        <v>1</v>
      </c>
      <c r="R9" s="457"/>
    </row>
    <row r="10" spans="1:19" ht="14.25" x14ac:dyDescent="0.25">
      <c r="A10" s="389"/>
      <c r="B10" s="2472" t="s">
        <v>2090</v>
      </c>
      <c r="C10" s="279"/>
      <c r="D10" s="1297"/>
      <c r="E10" s="16"/>
      <c r="F10" s="16"/>
      <c r="G10" s="16"/>
      <c r="H10" s="1556" t="str">
        <f>IF(AND(ISNUMBER(H11), ISNUMBER(H12), ISNUMBER(H13)), SUM(H11:H13), "")</f>
        <v/>
      </c>
      <c r="I10" s="2435"/>
      <c r="J10" s="2436"/>
      <c r="K10" s="2427"/>
      <c r="L10" s="162"/>
      <c r="M10" s="162"/>
      <c r="N10" s="1556" t="str">
        <f>IF(AND(ISNUMBER(N11), ISNUMBER(N12), ISNUMBER(N13)), SUM(N11:N13), "")</f>
        <v/>
      </c>
      <c r="O10" s="2427"/>
      <c r="P10" s="162"/>
      <c r="Q10" s="2428"/>
      <c r="R10" s="457"/>
    </row>
    <row r="11" spans="1:19" ht="14.25" x14ac:dyDescent="0.25">
      <c r="A11" s="389"/>
      <c r="B11" s="2468" t="s">
        <v>2092</v>
      </c>
      <c r="C11" s="2419" t="s">
        <v>1568</v>
      </c>
      <c r="D11" s="2421"/>
      <c r="E11" s="43"/>
      <c r="F11" s="43"/>
      <c r="G11" s="43"/>
      <c r="H11" s="2467" t="str">
        <f>IF(AND(ISNUMBER(E11), ISNUMBER(F11), ISNUMBER(G11)), SUM(E11:G11), "")</f>
        <v/>
      </c>
      <c r="I11" s="2435"/>
      <c r="J11" s="2436"/>
      <c r="K11" s="1421" t="str">
        <f t="shared" ref="K11:L13" si="0">IF(AND(ISNUMBER(E11),ISNUMBER(O11)), E11*O11, "")</f>
        <v/>
      </c>
      <c r="L11" s="32" t="str">
        <f t="shared" si="0"/>
        <v/>
      </c>
      <c r="M11" s="32" t="str">
        <f>IF(AND(ISNUMBER(G11),ISNUMBER(Q11)),SUM(G11)*Q11,"")</f>
        <v/>
      </c>
      <c r="N11" s="1556" t="str">
        <f>IF(AND(ISNUMBER(K11),ISNUMBER(L11),ISNUMBER(M11)), SUM(K11:M11), "")</f>
        <v/>
      </c>
      <c r="O11" s="2429">
        <v>0.95</v>
      </c>
      <c r="P11" s="48">
        <v>0.95</v>
      </c>
      <c r="Q11" s="47">
        <v>1</v>
      </c>
      <c r="R11" s="457"/>
    </row>
    <row r="12" spans="1:19" ht="15" customHeight="1" x14ac:dyDescent="0.25">
      <c r="A12" s="389"/>
      <c r="B12" s="2468" t="s">
        <v>2093</v>
      </c>
      <c r="C12" s="2419" t="s">
        <v>1569</v>
      </c>
      <c r="D12" s="2421"/>
      <c r="E12" s="43"/>
      <c r="F12" s="43"/>
      <c r="G12" s="43"/>
      <c r="H12" s="2467" t="str">
        <f>IF(AND(ISNUMBER(E12), ISNUMBER(F12), ISNUMBER(G12)), SUM(E12:G12), "")</f>
        <v/>
      </c>
      <c r="I12" s="2435"/>
      <c r="J12" s="2436"/>
      <c r="K12" s="1421" t="str">
        <f t="shared" si="0"/>
        <v/>
      </c>
      <c r="L12" s="32" t="str">
        <f t="shared" si="0"/>
        <v/>
      </c>
      <c r="M12" s="32" t="str">
        <f>IF(AND(ISNUMBER(G12),ISNUMBER(Q12)),SUM(G12)*Q12,"")</f>
        <v/>
      </c>
      <c r="N12" s="1556" t="str">
        <f>IF(AND(ISNUMBER(K12),ISNUMBER(L12),ISNUMBER(M12)), SUM(K12:M12), "")</f>
        <v/>
      </c>
      <c r="O12" s="2429">
        <v>0.9</v>
      </c>
      <c r="P12" s="48">
        <v>0.9</v>
      </c>
      <c r="Q12" s="47">
        <v>1</v>
      </c>
      <c r="R12" s="457"/>
    </row>
    <row r="13" spans="1:19" ht="15" customHeight="1" x14ac:dyDescent="0.25">
      <c r="A13" s="389"/>
      <c r="B13" s="2468" t="s">
        <v>2091</v>
      </c>
      <c r="C13" s="46"/>
      <c r="D13" s="1297"/>
      <c r="E13" s="43"/>
      <c r="F13" s="43"/>
      <c r="G13" s="43"/>
      <c r="H13" s="2467" t="str">
        <f>IF(AND(ISNUMBER(E13), ISNUMBER(F13), ISNUMBER(G13)), SUM(E13:G13), "")</f>
        <v/>
      </c>
      <c r="I13" s="2435"/>
      <c r="J13" s="2436"/>
      <c r="K13" s="1421" t="str">
        <f t="shared" si="0"/>
        <v/>
      </c>
      <c r="L13" s="32" t="str">
        <f t="shared" si="0"/>
        <v/>
      </c>
      <c r="M13" s="32" t="str">
        <f>IF(AND(ISNUMBER(G13),ISNUMBER(Q13)),SUM(G13)*Q13,"")</f>
        <v/>
      </c>
      <c r="N13" s="1556" t="str">
        <f>IF(AND(ISNUMBER(K13),ISNUMBER(L13),ISNUMBER(M13)), SUM(K13:M13), "")</f>
        <v/>
      </c>
      <c r="O13" s="2429">
        <v>0</v>
      </c>
      <c r="P13" s="48">
        <v>0.5</v>
      </c>
      <c r="Q13" s="47">
        <v>1</v>
      </c>
      <c r="R13" s="457"/>
    </row>
    <row r="14" spans="1:19" ht="15" hidden="1" customHeight="1" x14ac:dyDescent="0.25">
      <c r="A14" s="389"/>
      <c r="B14" s="2471"/>
      <c r="C14" s="2465"/>
      <c r="D14" s="1297"/>
      <c r="E14" s="2334"/>
      <c r="F14" s="2334"/>
      <c r="G14" s="2334"/>
      <c r="H14" s="2457"/>
      <c r="I14" s="2435"/>
      <c r="J14" s="2436"/>
      <c r="K14" s="2474"/>
      <c r="L14" s="2475"/>
      <c r="M14" s="2475"/>
      <c r="N14" s="2458"/>
      <c r="O14" s="2459"/>
      <c r="P14" s="2460"/>
      <c r="Q14" s="2428"/>
      <c r="R14" s="457"/>
    </row>
    <row r="15" spans="1:19" ht="15" customHeight="1" x14ac:dyDescent="0.25">
      <c r="A15" s="389"/>
      <c r="B15" s="2472" t="s">
        <v>2094</v>
      </c>
      <c r="C15" s="46"/>
      <c r="D15" s="2421"/>
      <c r="E15" s="2334"/>
      <c r="F15" s="2334"/>
      <c r="G15" s="2334"/>
      <c r="H15" s="1556" t="str">
        <f>IF(AND(ISNUMBER(H16), ISNUMBER(H17)), H16+H17, "")</f>
        <v/>
      </c>
      <c r="I15" s="2435"/>
      <c r="J15" s="2436"/>
      <c r="K15" s="2427"/>
      <c r="L15" s="162"/>
      <c r="M15" s="162"/>
      <c r="N15" s="1556" t="str">
        <f>IF(AND(ISNUMBER(N16), ISNUMBER(N17)), N16+N17, "")</f>
        <v/>
      </c>
      <c r="O15" s="2427"/>
      <c r="P15" s="162"/>
      <c r="Q15" s="163"/>
      <c r="R15" s="457"/>
    </row>
    <row r="16" spans="1:19" ht="15" customHeight="1" x14ac:dyDescent="0.25">
      <c r="A16" s="389"/>
      <c r="B16" s="2468" t="s">
        <v>2095</v>
      </c>
      <c r="C16" s="2419" t="s">
        <v>1570</v>
      </c>
      <c r="D16" s="1297"/>
      <c r="E16" s="43"/>
      <c r="F16" s="43"/>
      <c r="G16" s="43"/>
      <c r="H16" s="2467" t="str">
        <f>IF(AND(ISNUMBER(E16), ISNUMBER(F16), ISNUMBER(G16)), SUM(E16:G16), "")</f>
        <v/>
      </c>
      <c r="I16" s="2435"/>
      <c r="J16" s="2436"/>
      <c r="K16" s="1421" t="str">
        <f>IF(AND(ISNUMBER(E16),ISNUMBER(O16)), E16*O16, "")</f>
        <v/>
      </c>
      <c r="L16" s="32" t="str">
        <f>IF(AND(ISNUMBER(F16),ISNUMBER(P16)), F16*P16, "")</f>
        <v/>
      </c>
      <c r="M16" s="32" t="str">
        <f>IF(AND(ISNUMBER(G16),ISNUMBER(Q16)),SUM(G16)*Q16,"")</f>
        <v/>
      </c>
      <c r="N16" s="1556" t="str">
        <f>IF(AND(ISNUMBER(K16),ISNUMBER(L16),ISNUMBER(M16)), SUM(K16:M16), "")</f>
        <v/>
      </c>
      <c r="O16" s="2429">
        <v>0.5</v>
      </c>
      <c r="P16" s="48">
        <v>0.5</v>
      </c>
      <c r="Q16" s="47">
        <v>1</v>
      </c>
      <c r="R16" s="457"/>
    </row>
    <row r="17" spans="1:18" ht="15" customHeight="1" x14ac:dyDescent="0.25">
      <c r="A17" s="389"/>
      <c r="B17" s="2468" t="s">
        <v>2091</v>
      </c>
      <c r="C17" s="46"/>
      <c r="D17" s="1297"/>
      <c r="E17" s="43"/>
      <c r="F17" s="43"/>
      <c r="G17" s="43"/>
      <c r="H17" s="2467" t="str">
        <f>IF(AND(ISNUMBER(E17), ISNUMBER(F17), ISNUMBER(G17)), SUM(E17:G17), "")</f>
        <v/>
      </c>
      <c r="I17" s="2435"/>
      <c r="J17" s="2436"/>
      <c r="K17" s="1421" t="str">
        <f>IF(AND(ISNUMBER(E17),ISNUMBER(O17)), E17*O17, "")</f>
        <v/>
      </c>
      <c r="L17" s="32" t="str">
        <f>IF(AND(ISNUMBER(F17),ISNUMBER(P17)), F17*P17, "")</f>
        <v/>
      </c>
      <c r="M17" s="32" t="str">
        <f>IF(AND(ISNUMBER(G17),ISNUMBER(Q17)),SUM(G17)*Q17,"")</f>
        <v/>
      </c>
      <c r="N17" s="1556" t="str">
        <f>IF(AND(ISNUMBER(K17),ISNUMBER(L17),ISNUMBER(M17)), SUM(K17:M17), "")</f>
        <v/>
      </c>
      <c r="O17" s="2429">
        <v>0.5</v>
      </c>
      <c r="P17" s="48">
        <v>0.5</v>
      </c>
      <c r="Q17" s="47">
        <v>1</v>
      </c>
      <c r="R17" s="457"/>
    </row>
    <row r="18" spans="1:18" ht="15" hidden="1" customHeight="1" x14ac:dyDescent="0.25">
      <c r="A18" s="389"/>
      <c r="B18" s="2471"/>
      <c r="C18" s="2465"/>
      <c r="D18" s="1297"/>
      <c r="E18" s="2334"/>
      <c r="F18" s="2334"/>
      <c r="G18" s="2334"/>
      <c r="H18" s="2457"/>
      <c r="I18" s="2435"/>
      <c r="J18" s="2436"/>
      <c r="K18" s="2474"/>
      <c r="L18" s="2475"/>
      <c r="M18" s="2475"/>
      <c r="N18" s="2458"/>
      <c r="O18" s="2459"/>
      <c r="P18" s="2460"/>
      <c r="Q18" s="2428"/>
      <c r="R18" s="457"/>
    </row>
    <row r="19" spans="1:18" ht="15" customHeight="1" x14ac:dyDescent="0.25">
      <c r="A19" s="389"/>
      <c r="B19" s="51" t="s">
        <v>2250</v>
      </c>
      <c r="C19" s="2465"/>
      <c r="D19" s="2421"/>
      <c r="E19" s="16"/>
      <c r="F19" s="16"/>
      <c r="G19" s="16"/>
      <c r="H19" s="1556" t="str">
        <f>IF(AND(ISNUMBER(H20), ISNUMBER(H23)), H20+H23, "")</f>
        <v/>
      </c>
      <c r="I19" s="2435"/>
      <c r="J19" s="2436"/>
      <c r="K19" s="2427"/>
      <c r="L19" s="162"/>
      <c r="M19" s="162"/>
      <c r="N19" s="1556" t="str">
        <f>IF(AND(ISNUMBER(N20), ISNUMBER(N23)), N20+N23, "")</f>
        <v/>
      </c>
      <c r="O19" s="2427"/>
      <c r="P19" s="162"/>
      <c r="Q19" s="163"/>
      <c r="R19" s="457"/>
    </row>
    <row r="20" spans="1:18" ht="15" customHeight="1" x14ac:dyDescent="0.25">
      <c r="A20" s="389"/>
      <c r="B20" s="153" t="s">
        <v>2251</v>
      </c>
      <c r="C20" s="2695" t="s">
        <v>1571</v>
      </c>
      <c r="D20" s="2421"/>
      <c r="E20" s="32" t="str">
        <f>IF(AND(ISNUMBER(E21), ISNUMBER(E22)), E21+E22, "")</f>
        <v/>
      </c>
      <c r="F20" s="32" t="str">
        <f>IF(AND(ISNUMBER(F21), ISNUMBER(F22)), F21+F22, "")</f>
        <v/>
      </c>
      <c r="G20" s="32" t="str">
        <f>IF(AND(ISNUMBER(G21), ISNUMBER(G22)), G21+G22, "")</f>
        <v/>
      </c>
      <c r="H20" s="2467" t="str">
        <f>IF(AND(ISNUMBER(E20), ISNUMBER(F20), ISNUMBER(G20)), SUM(E20:G20), "")</f>
        <v/>
      </c>
      <c r="I20" s="2435"/>
      <c r="J20" s="2436"/>
      <c r="K20" s="32" t="str">
        <f>IF(AND(ISNUMBER(K21), ISNUMBER(K22)), K21+K22, "")</f>
        <v/>
      </c>
      <c r="L20" s="32" t="str">
        <f>IF(AND(ISNUMBER(L21), ISNUMBER(L22)), L21+L22, "")</f>
        <v/>
      </c>
      <c r="M20" s="32" t="str">
        <f>IF(AND(ISNUMBER(M21), ISNUMBER(M22)), M21+M22, "")</f>
        <v/>
      </c>
      <c r="N20" s="2467" t="str">
        <f>IF(AND(ISNUMBER(K20), ISNUMBER(L20), ISNUMBER(M20)), SUM(K20:M20), "")</f>
        <v/>
      </c>
      <c r="O20" s="2427"/>
      <c r="P20" s="162"/>
      <c r="Q20" s="163"/>
      <c r="R20" s="457"/>
    </row>
    <row r="21" spans="1:18" ht="15" customHeight="1" x14ac:dyDescent="0.25">
      <c r="A21" s="389"/>
      <c r="B21" s="152" t="s">
        <v>2252</v>
      </c>
      <c r="C21" s="2696"/>
      <c r="D21" s="1297"/>
      <c r="E21" s="43"/>
      <c r="F21" s="43"/>
      <c r="G21" s="43"/>
      <c r="H21" s="2467" t="str">
        <f>IF(AND(ISNUMBER(E21), ISNUMBER(F21), ISNUMBER(G21)), SUM(E21:G21), "")</f>
        <v/>
      </c>
      <c r="I21" s="2435"/>
      <c r="J21" s="2436"/>
      <c r="K21" s="1421" t="str">
        <f t="shared" ref="K21:L23" si="1">IF(AND(ISNUMBER(E21),ISNUMBER(O21)), E21*O21, "")</f>
        <v/>
      </c>
      <c r="L21" s="32" t="str">
        <f t="shared" si="1"/>
        <v/>
      </c>
      <c r="M21" s="32" t="str">
        <f>IF(AND(ISNUMBER(G21),ISNUMBER(Q21)),SUM(G21)*Q21,"")</f>
        <v/>
      </c>
      <c r="N21" s="1556" t="str">
        <f>IF(AND(ISNUMBER(K21),ISNUMBER(L21),ISNUMBER(M21)), SUM(K21:M21), "")</f>
        <v/>
      </c>
      <c r="O21" s="2429">
        <v>0.5</v>
      </c>
      <c r="P21" s="48">
        <v>0.5</v>
      </c>
      <c r="Q21" s="47">
        <v>1</v>
      </c>
      <c r="R21" s="457"/>
    </row>
    <row r="22" spans="1:18" ht="15" customHeight="1" x14ac:dyDescent="0.25">
      <c r="A22" s="389"/>
      <c r="B22" s="152" t="s">
        <v>2253</v>
      </c>
      <c r="C22" s="2697"/>
      <c r="D22" s="1297"/>
      <c r="E22" s="43"/>
      <c r="F22" s="43"/>
      <c r="G22" s="43"/>
      <c r="H22" s="2467" t="str">
        <f>IF(AND(ISNUMBER(E22), ISNUMBER(F22), ISNUMBER(G22)), SUM(E22:G22), "")</f>
        <v/>
      </c>
      <c r="I22" s="2435"/>
      <c r="J22" s="2436"/>
      <c r="K22" s="1421" t="str">
        <f t="shared" si="1"/>
        <v/>
      </c>
      <c r="L22" s="32" t="str">
        <f t="shared" si="1"/>
        <v/>
      </c>
      <c r="M22" s="32" t="str">
        <f>IF(AND(ISNUMBER(G22),ISNUMBER(Q22)),SUM(G22)*Q22,"")</f>
        <v/>
      </c>
      <c r="N22" s="1556" t="str">
        <f>IF(AND(ISNUMBER(K22),ISNUMBER(L22),ISNUMBER(M22)), SUM(K22:M22), "")</f>
        <v/>
      </c>
      <c r="O22" s="2429">
        <v>0</v>
      </c>
      <c r="P22" s="48">
        <v>0.5</v>
      </c>
      <c r="Q22" s="47">
        <v>1</v>
      </c>
      <c r="R22" s="457"/>
    </row>
    <row r="23" spans="1:18" ht="15" customHeight="1" x14ac:dyDescent="0.25">
      <c r="A23" s="389"/>
      <c r="B23" s="2468" t="s">
        <v>2091</v>
      </c>
      <c r="C23" s="46"/>
      <c r="D23" s="1297"/>
      <c r="E23" s="43"/>
      <c r="F23" s="43"/>
      <c r="G23" s="43"/>
      <c r="H23" s="2467" t="str">
        <f>IF(AND(ISNUMBER(E23), ISNUMBER(F23), ISNUMBER(G23)), SUM(E23:G23), "")</f>
        <v/>
      </c>
      <c r="I23" s="2435"/>
      <c r="J23" s="2436"/>
      <c r="K23" s="1421" t="str">
        <f t="shared" si="1"/>
        <v/>
      </c>
      <c r="L23" s="32" t="str">
        <f t="shared" si="1"/>
        <v/>
      </c>
      <c r="M23" s="32" t="str">
        <f>IF(AND(ISNUMBER(G23),ISNUMBER(Q23)),SUM(G23)*Q23,"")</f>
        <v/>
      </c>
      <c r="N23" s="1556" t="str">
        <f>IF(AND(ISNUMBER(K23),ISNUMBER(L23),ISNUMBER(M23)), SUM(K23:M23), "")</f>
        <v/>
      </c>
      <c r="O23" s="2429">
        <v>0</v>
      </c>
      <c r="P23" s="48">
        <v>0.5</v>
      </c>
      <c r="Q23" s="47">
        <v>1</v>
      </c>
      <c r="R23" s="457"/>
    </row>
    <row r="24" spans="1:18" ht="15" hidden="1" customHeight="1" x14ac:dyDescent="0.25">
      <c r="A24" s="389"/>
      <c r="B24" s="2471"/>
      <c r="C24" s="2465"/>
      <c r="D24" s="1297"/>
      <c r="E24" s="2334"/>
      <c r="F24" s="2334"/>
      <c r="G24" s="2334"/>
      <c r="H24" s="2457"/>
      <c r="I24" s="2435"/>
      <c r="J24" s="2436"/>
      <c r="K24" s="2474"/>
      <c r="L24" s="2475"/>
      <c r="M24" s="2475"/>
      <c r="N24" s="2458"/>
      <c r="O24" s="2459"/>
      <c r="P24" s="2460"/>
      <c r="Q24" s="2428"/>
      <c r="R24" s="457"/>
    </row>
    <row r="25" spans="1:18" ht="15" customHeight="1" x14ac:dyDescent="0.25">
      <c r="A25" s="389"/>
      <c r="B25" s="2472" t="s">
        <v>2096</v>
      </c>
      <c r="C25" s="46"/>
      <c r="D25" s="2421"/>
      <c r="E25" s="2334"/>
      <c r="F25" s="2334"/>
      <c r="G25" s="2334"/>
      <c r="H25" s="1556" t="str">
        <f>IF(AND(ISNUMBER(H26), ISNUMBER(H27)), H26+H27, "")</f>
        <v/>
      </c>
      <c r="I25" s="2435"/>
      <c r="J25" s="2436"/>
      <c r="K25" s="2427"/>
      <c r="L25" s="162"/>
      <c r="M25" s="162"/>
      <c r="N25" s="1556" t="str">
        <f>IF(AND(ISNUMBER(N26), ISNUMBER(N27)), N26+N27, "")</f>
        <v/>
      </c>
      <c r="O25" s="2427"/>
      <c r="P25" s="162"/>
      <c r="Q25" s="163"/>
      <c r="R25" s="457"/>
    </row>
    <row r="26" spans="1:18" ht="15" customHeight="1" x14ac:dyDescent="0.25">
      <c r="A26" s="389"/>
      <c r="B26" s="2430" t="s">
        <v>2095</v>
      </c>
      <c r="C26" s="2419" t="s">
        <v>1572</v>
      </c>
      <c r="D26" s="1297"/>
      <c r="E26" s="43"/>
      <c r="F26" s="43"/>
      <c r="G26" s="43"/>
      <c r="H26" s="2467" t="str">
        <f>IF(AND(ISNUMBER(E26), ISNUMBER(F26), ISNUMBER(G26)), SUM(E26:G26), "")</f>
        <v/>
      </c>
      <c r="I26" s="2435"/>
      <c r="J26" s="2436"/>
      <c r="K26" s="1421" t="str">
        <f>IF(AND(ISNUMBER(E26),ISNUMBER(O26)), E26*O26, "")</f>
        <v/>
      </c>
      <c r="L26" s="32" t="str">
        <f>IF(AND(ISNUMBER(F26),ISNUMBER(P26)), F26*P26, "")</f>
        <v/>
      </c>
      <c r="M26" s="32" t="str">
        <f>IF(AND(ISNUMBER(G26),ISNUMBER(Q26)),SUM(G26)*Q26,"")</f>
        <v/>
      </c>
      <c r="N26" s="1556" t="str">
        <f>IF(AND(ISNUMBER(K26),ISNUMBER(L26),ISNUMBER(M26)), SUM(K26:M26), "")</f>
        <v/>
      </c>
      <c r="O26" s="2429">
        <v>0.5</v>
      </c>
      <c r="P26" s="48">
        <v>0.5</v>
      </c>
      <c r="Q26" s="47">
        <v>1</v>
      </c>
      <c r="R26" s="457"/>
    </row>
    <row r="27" spans="1:18" ht="15" customHeight="1" x14ac:dyDescent="0.25">
      <c r="A27" s="389"/>
      <c r="B27" s="2468" t="s">
        <v>2091</v>
      </c>
      <c r="C27" s="46"/>
      <c r="D27" s="1297"/>
      <c r="E27" s="43"/>
      <c r="F27" s="43"/>
      <c r="G27" s="43"/>
      <c r="H27" s="2467" t="str">
        <f>IF(AND(ISNUMBER(E27), ISNUMBER(F27), ISNUMBER(G27)), SUM(E27:G27), "")</f>
        <v/>
      </c>
      <c r="I27" s="2435"/>
      <c r="J27" s="2436"/>
      <c r="K27" s="1421" t="str">
        <f>IF(AND(ISNUMBER(E27),ISNUMBER(O27)), E27*O27, "")</f>
        <v/>
      </c>
      <c r="L27" s="32" t="str">
        <f>IF(AND(ISNUMBER(F27),ISNUMBER(P27)), F27*P27, "")</f>
        <v/>
      </c>
      <c r="M27" s="32" t="str">
        <f>IF(AND(ISNUMBER(G27),ISNUMBER(Q27)),SUM(G27)*Q27,"")</f>
        <v/>
      </c>
      <c r="N27" s="1556" t="str">
        <f>IF(AND(ISNUMBER(K27),ISNUMBER(L27),ISNUMBER(M27)), SUM(K27:M27), "")</f>
        <v/>
      </c>
      <c r="O27" s="2429">
        <v>0.5</v>
      </c>
      <c r="P27" s="48">
        <v>0.5</v>
      </c>
      <c r="Q27" s="47">
        <v>1</v>
      </c>
      <c r="R27" s="457"/>
    </row>
    <row r="28" spans="1:18" ht="15" hidden="1" customHeight="1" x14ac:dyDescent="0.25">
      <c r="A28" s="389"/>
      <c r="B28" s="2471"/>
      <c r="C28" s="2465"/>
      <c r="D28" s="1297"/>
      <c r="E28" s="2334"/>
      <c r="F28" s="2334"/>
      <c r="G28" s="2334"/>
      <c r="H28" s="2457"/>
      <c r="I28" s="2435"/>
      <c r="J28" s="2436"/>
      <c r="K28" s="2474"/>
      <c r="L28" s="2475"/>
      <c r="M28" s="2475"/>
      <c r="N28" s="2458"/>
      <c r="O28" s="2459"/>
      <c r="P28" s="2460"/>
      <c r="Q28" s="2428"/>
      <c r="R28" s="457"/>
    </row>
    <row r="29" spans="1:18" ht="30" customHeight="1" x14ac:dyDescent="0.25">
      <c r="A29" s="389"/>
      <c r="B29" s="2472" t="s">
        <v>2254</v>
      </c>
      <c r="C29" s="279"/>
      <c r="D29" s="1297"/>
      <c r="E29" s="16"/>
      <c r="F29" s="16"/>
      <c r="G29" s="16"/>
      <c r="H29" s="1556" t="str">
        <f>IF(AND(ISNUMBER(H30), ISNUMBER(H33)), H30+H33, "")</f>
        <v/>
      </c>
      <c r="I29" s="2435"/>
      <c r="J29" s="2436"/>
      <c r="K29" s="2443"/>
      <c r="L29" s="16"/>
      <c r="M29" s="16"/>
      <c r="N29" s="1556" t="str">
        <f>IF(AND(ISNUMBER(N30), ISNUMBER(N33)), N30+N33, "")</f>
        <v/>
      </c>
      <c r="O29" s="2459"/>
      <c r="P29" s="2460"/>
      <c r="Q29" s="2428"/>
      <c r="R29" s="457"/>
    </row>
    <row r="30" spans="1:18" ht="15" customHeight="1" x14ac:dyDescent="0.25">
      <c r="A30" s="389"/>
      <c r="B30" s="51" t="s">
        <v>2251</v>
      </c>
      <c r="C30" s="2695" t="s">
        <v>1571</v>
      </c>
      <c r="D30" s="2421"/>
      <c r="E30" s="32" t="str">
        <f>IF(AND(ISNUMBER(E31), ISNUMBER(E32)), E31+E32, "")</f>
        <v/>
      </c>
      <c r="F30" s="32" t="str">
        <f>IF(AND(ISNUMBER(F31), ISNUMBER(F32)), F31+F32, "")</f>
        <v/>
      </c>
      <c r="G30" s="32" t="str">
        <f>IF(AND(ISNUMBER(G31), ISNUMBER(G32)), G31+G32, "")</f>
        <v/>
      </c>
      <c r="H30" s="2467" t="str">
        <f>IF(AND(ISNUMBER(E30), ISNUMBER(F30), ISNUMBER(G30)), SUM(E30:G30), "")</f>
        <v/>
      </c>
      <c r="I30" s="2435"/>
      <c r="J30" s="2436"/>
      <c r="K30" s="32" t="str">
        <f>IF(AND(ISNUMBER(K31), ISNUMBER(K32)), K31+K32, "")</f>
        <v/>
      </c>
      <c r="L30" s="32" t="str">
        <f>IF(AND(ISNUMBER(L31), ISNUMBER(L32)), L31+L32, "")</f>
        <v/>
      </c>
      <c r="M30" s="32" t="str">
        <f>IF(AND(ISNUMBER(M31), ISNUMBER(M32)), M31+M32, "")</f>
        <v/>
      </c>
      <c r="N30" s="2467" t="str">
        <f>IF(AND(ISNUMBER(K30), ISNUMBER(L30), ISNUMBER(M30)), SUM(K30:M30), "")</f>
        <v/>
      </c>
      <c r="O30" s="2427"/>
      <c r="P30" s="162"/>
      <c r="Q30" s="163"/>
      <c r="R30" s="457"/>
    </row>
    <row r="31" spans="1:18" ht="15" customHeight="1" x14ac:dyDescent="0.25">
      <c r="A31" s="389"/>
      <c r="B31" s="152" t="s">
        <v>2252</v>
      </c>
      <c r="C31" s="2696"/>
      <c r="D31" s="1297"/>
      <c r="E31" s="43"/>
      <c r="F31" s="43"/>
      <c r="G31" s="43"/>
      <c r="H31" s="2467" t="str">
        <f>IF(AND(ISNUMBER(E31), ISNUMBER(F31), ISNUMBER(G31)), SUM(E31:G31), "")</f>
        <v/>
      </c>
      <c r="I31" s="2435"/>
      <c r="J31" s="2436"/>
      <c r="K31" s="1421" t="str">
        <f t="shared" ref="K31:L33" si="2">IF(AND(ISNUMBER(E31),ISNUMBER(O31)), E31*O31, "")</f>
        <v/>
      </c>
      <c r="L31" s="32" t="str">
        <f t="shared" si="2"/>
        <v/>
      </c>
      <c r="M31" s="32" t="str">
        <f>IF(AND(ISNUMBER(G31),ISNUMBER(Q31)),SUM(G31)*Q31,"")</f>
        <v/>
      </c>
      <c r="N31" s="1556" t="str">
        <f>IF(AND(ISNUMBER(K31),ISNUMBER(L31),ISNUMBER(M31)), SUM(K31:M31), "")</f>
        <v/>
      </c>
      <c r="O31" s="2429">
        <v>0.5</v>
      </c>
      <c r="P31" s="48">
        <v>0.5</v>
      </c>
      <c r="Q31" s="47">
        <v>1</v>
      </c>
      <c r="R31" s="457"/>
    </row>
    <row r="32" spans="1:18" ht="15" customHeight="1" x14ac:dyDescent="0.25">
      <c r="A32" s="389"/>
      <c r="B32" s="152" t="s">
        <v>2253</v>
      </c>
      <c r="C32" s="2697"/>
      <c r="D32" s="1297"/>
      <c r="E32" s="43"/>
      <c r="F32" s="43"/>
      <c r="G32" s="43"/>
      <c r="H32" s="2467" t="str">
        <f>IF(AND(ISNUMBER(E32), ISNUMBER(F32), ISNUMBER(G32)), SUM(E32:G32), "")</f>
        <v/>
      </c>
      <c r="I32" s="2435"/>
      <c r="J32" s="2436"/>
      <c r="K32" s="1421" t="str">
        <f t="shared" si="2"/>
        <v/>
      </c>
      <c r="L32" s="32" t="str">
        <f t="shared" si="2"/>
        <v/>
      </c>
      <c r="M32" s="32" t="str">
        <f>IF(AND(ISNUMBER(G32),ISNUMBER(Q32)),SUM(G32)*Q32,"")</f>
        <v/>
      </c>
      <c r="N32" s="1556" t="str">
        <f>IF(AND(ISNUMBER(K32),ISNUMBER(L32),ISNUMBER(M32)), SUM(K32:M32), "")</f>
        <v/>
      </c>
      <c r="O32" s="2429">
        <v>0</v>
      </c>
      <c r="P32" s="48">
        <v>0.5</v>
      </c>
      <c r="Q32" s="47">
        <v>1</v>
      </c>
      <c r="R32" s="457"/>
    </row>
    <row r="33" spans="1:18" ht="15" customHeight="1" x14ac:dyDescent="0.25">
      <c r="A33" s="389"/>
      <c r="B33" s="2468" t="s">
        <v>2091</v>
      </c>
      <c r="C33" s="46"/>
      <c r="D33" s="1297"/>
      <c r="E33" s="43"/>
      <c r="F33" s="43"/>
      <c r="G33" s="43"/>
      <c r="H33" s="2467" t="str">
        <f>IF(AND(ISNUMBER(E33), ISNUMBER(F33), ISNUMBER(G33)), SUM(E33:G33), "")</f>
        <v/>
      </c>
      <c r="I33" s="2435"/>
      <c r="J33" s="2436"/>
      <c r="K33" s="1421" t="str">
        <f t="shared" si="2"/>
        <v/>
      </c>
      <c r="L33" s="32" t="str">
        <f t="shared" si="2"/>
        <v/>
      </c>
      <c r="M33" s="32" t="str">
        <f>IF(AND(ISNUMBER(G33),ISNUMBER(Q33)),SUM(G33)*Q33,"")</f>
        <v/>
      </c>
      <c r="N33" s="1556" t="str">
        <f>IF(AND(ISNUMBER(K33),ISNUMBER(L33),ISNUMBER(M33)), SUM(K33:M33), "")</f>
        <v/>
      </c>
      <c r="O33" s="2429">
        <v>0</v>
      </c>
      <c r="P33" s="48">
        <v>0.5</v>
      </c>
      <c r="Q33" s="47">
        <v>1</v>
      </c>
      <c r="R33" s="457"/>
    </row>
    <row r="34" spans="1:18" ht="15" hidden="1" customHeight="1" x14ac:dyDescent="0.25">
      <c r="A34" s="389"/>
      <c r="B34" s="2471"/>
      <c r="C34" s="2465"/>
      <c r="D34" s="1297"/>
      <c r="E34" s="2334"/>
      <c r="F34" s="2334"/>
      <c r="G34" s="2334"/>
      <c r="H34" s="2457"/>
      <c r="I34" s="2435"/>
      <c r="J34" s="2436"/>
      <c r="K34" s="2474"/>
      <c r="L34" s="2475"/>
      <c r="M34" s="2475"/>
      <c r="N34" s="2458"/>
      <c r="O34" s="2459"/>
      <c r="P34" s="2460"/>
      <c r="Q34" s="2428"/>
      <c r="R34" s="457"/>
    </row>
    <row r="35" spans="1:18" ht="30" customHeight="1" x14ac:dyDescent="0.25">
      <c r="A35" s="389"/>
      <c r="B35" s="172" t="s">
        <v>1603</v>
      </c>
      <c r="C35" s="2419" t="s">
        <v>1602</v>
      </c>
      <c r="D35" s="2421"/>
      <c r="E35" s="43"/>
      <c r="F35" s="43"/>
      <c r="G35" s="43"/>
      <c r="H35" s="2467" t="str">
        <f>IF(AND(ISNUMBER(E35), ISNUMBER(F35), ISNUMBER(G35)), SUM(E35:G35), "")</f>
        <v/>
      </c>
      <c r="I35" s="2435"/>
      <c r="J35" s="2436"/>
      <c r="K35" s="32" t="str">
        <f t="shared" ref="K35:L35" si="3">IF(AND(ISNUMBER(E35),ISNUMBER(O35)),SUM(E35)*O35,"")</f>
        <v/>
      </c>
      <c r="L35" s="32" t="str">
        <f t="shared" si="3"/>
        <v/>
      </c>
      <c r="M35" s="32" t="str">
        <f>IF(AND(ISNUMBER(G35),ISNUMBER(Q35)),SUM(G35)*Q35,"")</f>
        <v/>
      </c>
      <c r="N35" s="1556" t="str">
        <f>IF(ISNUMBER(M35),SUM(M35),"")</f>
        <v/>
      </c>
      <c r="O35" s="2429">
        <v>0</v>
      </c>
      <c r="P35" s="48">
        <v>0</v>
      </c>
      <c r="Q35" s="47">
        <v>1</v>
      </c>
      <c r="R35" s="457"/>
    </row>
    <row r="36" spans="1:18" ht="15" customHeight="1" x14ac:dyDescent="0.25">
      <c r="A36" s="389"/>
      <c r="B36" s="51" t="s">
        <v>261</v>
      </c>
      <c r="C36" s="46"/>
      <c r="D36" s="1297"/>
      <c r="E36" s="43"/>
      <c r="F36" s="43"/>
      <c r="G36" s="43"/>
      <c r="H36" s="2467" t="str">
        <f>IF(AND(ISNUMBER(E36), ISNUMBER(F36), ISNUMBER(G36)), SUM(E36:G36), "")</f>
        <v/>
      </c>
      <c r="I36" s="2435"/>
      <c r="J36" s="2436"/>
      <c r="K36" s="1421" t="str">
        <f>IF(AND(ISNUMBER(E36),ISNUMBER(O36)), E36*O36, "")</f>
        <v/>
      </c>
      <c r="L36" s="32" t="str">
        <f>IF(AND(ISNUMBER(F36),ISNUMBER(P36)), F36*P36, "")</f>
        <v/>
      </c>
      <c r="M36" s="32" t="str">
        <f>IF(AND(ISNUMBER(G36),ISNUMBER(Q36)),SUM(G36)*Q36,"")</f>
        <v/>
      </c>
      <c r="N36" s="1556" t="str">
        <f>IF(AND(ISNUMBER(K36),ISNUMBER(L36),ISNUMBER(M36)), SUM(K36:M36), "")</f>
        <v/>
      </c>
      <c r="O36" s="2429">
        <v>0</v>
      </c>
      <c r="P36" s="48">
        <v>0.5</v>
      </c>
      <c r="Q36" s="47">
        <v>1</v>
      </c>
      <c r="R36" s="457"/>
    </row>
    <row r="37" spans="1:18" ht="30" customHeight="1" x14ac:dyDescent="0.25">
      <c r="A37" s="389"/>
      <c r="B37" s="2417" t="s">
        <v>2300</v>
      </c>
      <c r="C37" s="2419" t="s">
        <v>1604</v>
      </c>
      <c r="D37" s="2421"/>
      <c r="E37" s="162"/>
      <c r="F37" s="162"/>
      <c r="G37" s="162"/>
      <c r="H37" s="1467"/>
      <c r="I37" s="2435"/>
      <c r="J37" s="2436"/>
      <c r="K37" s="2427"/>
      <c r="L37" s="162"/>
      <c r="M37" s="162"/>
      <c r="N37" s="1556" t="str">
        <f>IF(AND(ISNUMBER(H37), ISNUMBER(Q37)), H37*Q37, "")</f>
        <v/>
      </c>
      <c r="O37" s="2427"/>
      <c r="P37" s="162"/>
      <c r="Q37" s="47">
        <v>0</v>
      </c>
      <c r="R37" s="457"/>
    </row>
    <row r="38" spans="1:18" ht="15" customHeight="1" x14ac:dyDescent="0.25">
      <c r="A38" s="389"/>
      <c r="B38" s="153" t="s">
        <v>276</v>
      </c>
      <c r="C38" s="46"/>
      <c r="D38" s="1297"/>
      <c r="E38" s="162"/>
      <c r="F38" s="162"/>
      <c r="G38" s="162"/>
      <c r="H38" s="2448"/>
      <c r="I38" s="2435"/>
      <c r="J38" s="2436"/>
      <c r="K38" s="2427"/>
      <c r="L38" s="162"/>
      <c r="M38" s="162"/>
      <c r="N38" s="1052"/>
      <c r="O38" s="2427"/>
      <c r="P38" s="162"/>
      <c r="Q38" s="163"/>
      <c r="R38" s="457"/>
    </row>
    <row r="39" spans="1:18" ht="15" customHeight="1" x14ac:dyDescent="0.25">
      <c r="A39" s="389"/>
      <c r="B39" s="51" t="s">
        <v>151</v>
      </c>
      <c r="C39" s="46"/>
      <c r="D39" s="1297"/>
      <c r="E39" s="32" t="str">
        <f>IF(AND(ISNUMBER(E40), ISNUMBER(E41), ISNUMBER(E42), ISNUMBER(E43), ISNUMBER(E44)), SUM(E40:E44), "")</f>
        <v/>
      </c>
      <c r="F39" s="32" t="str">
        <f>IF(AND(ISNUMBER(F40), ISNUMBER(F41), ISNUMBER(F43), ISNUMBER(F44)), SUM(F40:F41, F43:F44), "")</f>
        <v/>
      </c>
      <c r="G39" s="32" t="str">
        <f>IF(AND(ISNUMBER(G40), ISNUMBER(G41), ISNUMBER(G43), ISNUMBER(G44)), SUM(G40:G41, G43:G44), "")</f>
        <v/>
      </c>
      <c r="H39" s="2467" t="str">
        <f>IF(AND(ISNUMBER(E39), ISNUMBER(F39), ISNUMBER(G39)), SUM(E39:G39), "")</f>
        <v/>
      </c>
      <c r="I39" s="2435"/>
      <c r="J39" s="2436"/>
      <c r="K39" s="32" t="str">
        <f>IF(AND(ISNUMBER(K40), ISNUMBER(K41), ISNUMBER(K42), ISNUMBER(K43), ISNUMBER(K44)), SUM(K40:K44), "")</f>
        <v/>
      </c>
      <c r="L39" s="32" t="str">
        <f>IF(AND(ISNUMBER(L40), ISNUMBER(L41), ISNUMBER(L43), ISNUMBER(L44)), SUM(L40:L41, L43:L44), "")</f>
        <v/>
      </c>
      <c r="M39" s="32" t="str">
        <f>IF(AND(ISNUMBER(M40), ISNUMBER(M41), ISNUMBER(M43), ISNUMBER(M44)), SUM(M40:M41, M43:M44), "")</f>
        <v/>
      </c>
      <c r="N39" s="2467" t="str">
        <f>IF(AND(ISNUMBER(K39), ISNUMBER(L39), ISNUMBER(M39)), SUM(K39:M39), "")</f>
        <v/>
      </c>
      <c r="O39" s="2427"/>
      <c r="P39" s="162"/>
      <c r="Q39" s="163"/>
      <c r="R39" s="457"/>
    </row>
    <row r="40" spans="1:18" ht="15" customHeight="1" x14ac:dyDescent="0.25">
      <c r="A40" s="389"/>
      <c r="B40" s="153" t="s">
        <v>166</v>
      </c>
      <c r="C40" s="2419" t="s">
        <v>1573</v>
      </c>
      <c r="D40" s="2421"/>
      <c r="E40" s="43"/>
      <c r="F40" s="43"/>
      <c r="G40" s="43"/>
      <c r="H40" s="2467" t="str">
        <f>IF(AND(ISNUMBER(E40), ISNUMBER(F40), ISNUMBER(G40)), SUM(E40:G40), "")</f>
        <v/>
      </c>
      <c r="I40" s="2435"/>
      <c r="J40" s="2436"/>
      <c r="K40" s="1421" t="str">
        <f>IF(AND(ISNUMBER(E40),ISNUMBER(O40)), E40*O40, "")</f>
        <v/>
      </c>
      <c r="L40" s="32" t="str">
        <f>IF(AND(ISNUMBER(F40),ISNUMBER(P40)), F40*P40, "")</f>
        <v/>
      </c>
      <c r="M40" s="32" t="str">
        <f>IF(AND(ISNUMBER(G40),ISNUMBER(Q40)),SUM(G40)*Q40,"")</f>
        <v/>
      </c>
      <c r="N40" s="1556" t="str">
        <f>IF(AND(ISNUMBER(K40),ISNUMBER(L40),ISNUMBER(M40)), SUM(K40:M40), "")</f>
        <v/>
      </c>
      <c r="O40" s="2429">
        <v>0</v>
      </c>
      <c r="P40" s="48">
        <v>0.5</v>
      </c>
      <c r="Q40" s="47">
        <v>1</v>
      </c>
      <c r="R40" s="457"/>
    </row>
    <row r="41" spans="1:18" ht="15" customHeight="1" x14ac:dyDescent="0.25">
      <c r="A41" s="389"/>
      <c r="B41" s="153" t="s">
        <v>167</v>
      </c>
      <c r="C41" s="2419" t="s">
        <v>1573</v>
      </c>
      <c r="D41" s="2421"/>
      <c r="E41" s="43"/>
      <c r="F41" s="43"/>
      <c r="G41" s="43"/>
      <c r="H41" s="2467" t="str">
        <f>IF(AND(ISNUMBER(E41), ISNUMBER(F41), ISNUMBER(G41)), SUM(E41:G41), "")</f>
        <v/>
      </c>
      <c r="I41" s="2435"/>
      <c r="J41" s="2436"/>
      <c r="K41" s="1421" t="str">
        <f>IF(AND(ISNUMBER(E41),ISNUMBER(O41)), E41*O41, "")</f>
        <v/>
      </c>
      <c r="L41" s="32" t="str">
        <f>IF(AND(ISNUMBER(F41),ISNUMBER(P41)), F41*P41, "")</f>
        <v/>
      </c>
      <c r="M41" s="32" t="str">
        <f>IF(AND(ISNUMBER(G41),ISNUMBER(Q41)),SUM(G41)*Q41,"")</f>
        <v/>
      </c>
      <c r="N41" s="1556" t="str">
        <f>IF(AND(ISNUMBER(K41),ISNUMBER(L41),ISNUMBER(M41)), SUM(K41:M41), "")</f>
        <v/>
      </c>
      <c r="O41" s="2429">
        <v>0</v>
      </c>
      <c r="P41" s="48">
        <v>0.5</v>
      </c>
      <c r="Q41" s="47">
        <v>1</v>
      </c>
      <c r="R41" s="457"/>
    </row>
    <row r="42" spans="1:18" ht="15" customHeight="1" x14ac:dyDescent="0.25">
      <c r="A42" s="389"/>
      <c r="B42" s="153" t="s">
        <v>241</v>
      </c>
      <c r="C42" s="2419" t="s">
        <v>1574</v>
      </c>
      <c r="D42" s="2421"/>
      <c r="E42" s="43"/>
      <c r="F42" s="162"/>
      <c r="G42" s="162"/>
      <c r="H42" s="1556" t="str">
        <f>IF(ISNUMBER(E42), E42, "")</f>
        <v/>
      </c>
      <c r="I42" s="2435"/>
      <c r="J42" s="2436"/>
      <c r="K42" s="1421" t="str">
        <f>IF(AND(ISNUMBER(E42),ISNUMBER(O42)), E42*O42, "")</f>
        <v/>
      </c>
      <c r="L42" s="162"/>
      <c r="M42" s="162"/>
      <c r="N42" s="1556" t="str">
        <f>IF(ISNUMBER(K42), K42, "")</f>
        <v/>
      </c>
      <c r="O42" s="2429">
        <v>0</v>
      </c>
      <c r="P42" s="162"/>
      <c r="Q42" s="163"/>
      <c r="R42" s="457"/>
    </row>
    <row r="43" spans="1:18" ht="15" customHeight="1" x14ac:dyDescent="0.25">
      <c r="A43" s="389"/>
      <c r="B43" s="153" t="s">
        <v>240</v>
      </c>
      <c r="C43" s="2419">
        <v>30.35</v>
      </c>
      <c r="D43" s="2421"/>
      <c r="E43" s="43"/>
      <c r="F43" s="43"/>
      <c r="G43" s="43"/>
      <c r="H43" s="2467" t="str">
        <f>IF(AND(ISNUMBER(E43), ISNUMBER(F43), ISNUMBER(G43)), SUM(E43:G43), "")</f>
        <v/>
      </c>
      <c r="I43" s="2435"/>
      <c r="J43" s="2436"/>
      <c r="K43" s="1421" t="str">
        <f>IF(AND(ISNUMBER(E43),ISNUMBER(O43)), E43*O43, "")</f>
        <v/>
      </c>
      <c r="L43" s="32" t="str">
        <f>IF(AND(ISNUMBER(F43),ISNUMBER(P43)), F43*P43, "")</f>
        <v/>
      </c>
      <c r="M43" s="32" t="str">
        <f>IF(AND(ISNUMBER(G43),ISNUMBER(Q43)), G43*Q43, "")</f>
        <v/>
      </c>
      <c r="N43" s="1556" t="str">
        <f>IF(AND(ISNUMBER(K43),ISNUMBER(L43),ISNUMBER(M43)), SUM(K43:M43), "")</f>
        <v/>
      </c>
      <c r="O43" s="2429">
        <v>0</v>
      </c>
      <c r="P43" s="48">
        <v>0</v>
      </c>
      <c r="Q43" s="47">
        <v>0</v>
      </c>
      <c r="R43" s="457"/>
    </row>
    <row r="44" spans="1:18" ht="30" customHeight="1" x14ac:dyDescent="0.25">
      <c r="A44" s="389"/>
      <c r="B44" s="153" t="s">
        <v>158</v>
      </c>
      <c r="C44" s="2419" t="s">
        <v>1575</v>
      </c>
      <c r="D44" s="2421"/>
      <c r="E44" s="43"/>
      <c r="F44" s="43"/>
      <c r="G44" s="43"/>
      <c r="H44" s="2467" t="str">
        <f>IF(AND(ISNUMBER(E44), ISNUMBER(F44), ISNUMBER(G44)), SUM(E44:G44), "")</f>
        <v/>
      </c>
      <c r="I44" s="2435"/>
      <c r="J44" s="2436"/>
      <c r="K44" s="1421" t="str">
        <f>IF(AND(ISNUMBER(E44),ISNUMBER(O44)), E44*O44, "")</f>
        <v/>
      </c>
      <c r="L44" s="32" t="str">
        <f>IF(AND(ISNUMBER(F44),ISNUMBER(P44)), F44*P44, "")</f>
        <v/>
      </c>
      <c r="M44" s="32" t="str">
        <f>IF(AND(ISNUMBER(G44),ISNUMBER(Q44)),SUM(G44)*Q44,"")</f>
        <v/>
      </c>
      <c r="N44" s="1556" t="str">
        <f>IF(AND(ISNUMBER(K44),ISNUMBER(L44),ISNUMBER(M44)), SUM(K44:M44), "")</f>
        <v/>
      </c>
      <c r="O44" s="2429">
        <v>0</v>
      </c>
      <c r="P44" s="48">
        <v>0.5</v>
      </c>
      <c r="Q44" s="47">
        <v>1</v>
      </c>
      <c r="R44" s="457"/>
    </row>
    <row r="45" spans="1:18" ht="30" customHeight="1" x14ac:dyDescent="0.25">
      <c r="A45" s="389"/>
      <c r="B45" s="2462" t="str">
        <f>"Check: Balances with less than one year maturity reported in row " &amp; ROW(B44) &amp; " should be greater than 0."</f>
        <v>Check: Balances with less than one year maturity reported in row 44 should be greater than 0.</v>
      </c>
      <c r="C45" s="57"/>
      <c r="D45" s="22"/>
      <c r="E45" s="555" t="str">
        <f>IF(AND(ISNUMBER(E44), ISNUMBER(F44)), IF(E44+F44&gt;0, "Pass", "please check"), "")</f>
        <v/>
      </c>
      <c r="F45" s="156"/>
      <c r="G45" s="156"/>
      <c r="H45" s="1055"/>
      <c r="I45" s="2437"/>
      <c r="J45" s="2438"/>
      <c r="K45" s="2446"/>
      <c r="L45" s="355"/>
      <c r="M45" s="355"/>
      <c r="N45" s="2454"/>
      <c r="O45" s="2446"/>
      <c r="P45" s="355"/>
      <c r="Q45" s="356"/>
      <c r="R45" s="457"/>
    </row>
    <row r="46" spans="1:18" ht="15" customHeight="1" x14ac:dyDescent="0.25">
      <c r="A46" s="389"/>
      <c r="B46" s="2442" t="s">
        <v>116</v>
      </c>
      <c r="C46" s="2569"/>
      <c r="D46" s="2453"/>
      <c r="E46" s="2570"/>
      <c r="F46" s="2453"/>
      <c r="G46" s="2453"/>
      <c r="H46" s="2449" t="str">
        <f>IF(AND(ISNUMBER(H6), ISNUMBER(H10), ISNUMBER(H15), ISNUMBER(H19), ISNUMBER(H25), ISNUMBER(H29), ISNUMBER(H35), ISNUMBER(H36), ISNUMBER(H37), ISNUMBER(H39)), SUM(H6, H10, H15, H19, H25, H29, H35:H37, H39), "")</f>
        <v/>
      </c>
      <c r="I46" s="2450"/>
      <c r="J46" s="2451"/>
      <c r="K46" s="2452"/>
      <c r="L46" s="2453"/>
      <c r="M46" s="2453"/>
      <c r="N46" s="2449" t="str">
        <f>IF(AND(ISNUMBER(N6), ISNUMBER(N10), ISNUMBER(N15), ISNUMBER(N19), ISNUMBER(N25), ISNUMBER(N29), ISNUMBER(N35), ISNUMBER(N36), ISNUMBER(N37), ISNUMBER(N39)), SUM(N6, N10, N15, N19, N25, N29, N35:N37, N39), "")</f>
        <v/>
      </c>
      <c r="O46" s="2571"/>
      <c r="P46" s="2572"/>
      <c r="Q46" s="2573"/>
      <c r="R46" s="457"/>
    </row>
    <row r="47" spans="1:18" ht="15" customHeight="1" x14ac:dyDescent="0.25">
      <c r="A47" s="389"/>
      <c r="B47" s="160"/>
      <c r="C47" s="160"/>
      <c r="D47" s="160"/>
      <c r="E47" s="1484"/>
      <c r="F47" s="160"/>
      <c r="G47" s="160"/>
      <c r="H47" s="160"/>
      <c r="I47" s="160"/>
      <c r="J47" s="160"/>
      <c r="K47" s="160"/>
      <c r="L47" s="160"/>
      <c r="M47" s="160"/>
      <c r="N47" s="160"/>
      <c r="O47" s="160"/>
      <c r="P47" s="160"/>
      <c r="Q47" s="160"/>
      <c r="R47" s="457"/>
    </row>
    <row r="48" spans="1:18" ht="45" customHeight="1" x14ac:dyDescent="0.35">
      <c r="A48" s="1049" t="s">
        <v>2256</v>
      </c>
      <c r="B48" s="1326"/>
      <c r="C48" s="1326"/>
      <c r="D48" s="1326"/>
      <c r="E48" s="1326"/>
      <c r="F48" s="1326"/>
      <c r="G48" s="1326"/>
      <c r="H48" s="1326"/>
      <c r="I48" s="1326"/>
      <c r="J48" s="1331"/>
      <c r="K48" s="1331"/>
      <c r="L48" s="1331"/>
      <c r="M48" s="1331"/>
      <c r="N48" s="1331"/>
      <c r="O48" s="1326"/>
      <c r="P48" s="1326"/>
      <c r="Q48" s="1326"/>
      <c r="R48" s="1050"/>
    </row>
    <row r="49" spans="1:19" ht="30" customHeight="1" x14ac:dyDescent="0.35">
      <c r="A49" s="1058" t="s">
        <v>2257</v>
      </c>
      <c r="B49" s="40"/>
      <c r="C49" s="40"/>
      <c r="D49" s="40"/>
      <c r="E49" s="41"/>
      <c r="F49" s="42"/>
      <c r="G49" s="160"/>
      <c r="H49" s="160"/>
      <c r="I49" s="160"/>
      <c r="J49" s="160"/>
      <c r="K49" s="160"/>
      <c r="L49" s="160"/>
      <c r="M49" s="160"/>
      <c r="N49" s="160"/>
      <c r="O49" s="160"/>
      <c r="P49" s="160"/>
      <c r="Q49" s="160"/>
      <c r="R49" s="457"/>
    </row>
    <row r="50" spans="1:19" ht="15" customHeight="1" x14ac:dyDescent="0.25">
      <c r="A50" s="389"/>
      <c r="B50" s="160"/>
      <c r="C50" s="160"/>
      <c r="D50" s="160"/>
      <c r="E50" s="160"/>
      <c r="F50" s="160"/>
      <c r="G50" s="160"/>
      <c r="H50" s="160"/>
      <c r="I50" s="160"/>
      <c r="J50" s="160"/>
      <c r="K50" s="160"/>
      <c r="L50" s="160"/>
      <c r="M50" s="160"/>
      <c r="N50" s="160"/>
      <c r="O50" s="160"/>
      <c r="P50" s="160"/>
      <c r="Q50" s="160"/>
      <c r="R50" s="457"/>
    </row>
    <row r="51" spans="1:19" ht="15" customHeight="1" x14ac:dyDescent="0.25">
      <c r="A51" s="389"/>
      <c r="B51" s="2700"/>
      <c r="C51" s="2698" t="s">
        <v>1638</v>
      </c>
      <c r="D51" s="789"/>
      <c r="E51" s="2704" t="s">
        <v>135</v>
      </c>
      <c r="F51" s="2705"/>
      <c r="G51" s="2705"/>
      <c r="H51" s="2706"/>
      <c r="I51" s="2431"/>
      <c r="J51" s="2432"/>
      <c r="K51" s="2702" t="s">
        <v>2255</v>
      </c>
      <c r="L51" s="2702"/>
      <c r="M51" s="2702"/>
      <c r="N51" s="2703"/>
      <c r="O51" s="2690" t="s">
        <v>163</v>
      </c>
      <c r="P51" s="2691"/>
      <c r="Q51" s="2691"/>
      <c r="R51" s="457"/>
    </row>
    <row r="52" spans="1:19" ht="30" customHeight="1" x14ac:dyDescent="0.25">
      <c r="A52" s="389"/>
      <c r="B52" s="2701"/>
      <c r="C52" s="2699"/>
      <c r="D52" s="2463"/>
      <c r="E52" s="2479" t="s">
        <v>161</v>
      </c>
      <c r="F52" s="2479" t="s">
        <v>170</v>
      </c>
      <c r="G52" s="2480" t="s">
        <v>137</v>
      </c>
      <c r="H52" s="2547" t="s">
        <v>157</v>
      </c>
      <c r="I52" s="2431"/>
      <c r="J52" s="2432"/>
      <c r="K52" s="2478" t="s">
        <v>161</v>
      </c>
      <c r="L52" s="2479" t="s">
        <v>170</v>
      </c>
      <c r="M52" s="2480" t="s">
        <v>162</v>
      </c>
      <c r="N52" s="2547" t="s">
        <v>157</v>
      </c>
      <c r="O52" s="2444" t="s">
        <v>161</v>
      </c>
      <c r="P52" s="1332" t="s">
        <v>170</v>
      </c>
      <c r="Q52" s="1324" t="s">
        <v>162</v>
      </c>
      <c r="R52" s="457"/>
    </row>
    <row r="53" spans="1:19" s="316" customFormat="1" ht="15" customHeight="1" x14ac:dyDescent="0.25">
      <c r="A53" s="392"/>
      <c r="B53" s="2517" t="s">
        <v>2258</v>
      </c>
      <c r="C53" s="710"/>
      <c r="D53" s="711"/>
      <c r="E53" s="711"/>
      <c r="F53" s="711"/>
      <c r="G53" s="711"/>
      <c r="H53" s="1557" t="str">
        <f>IF(AND(ISNUMBER(H54), ISNUMBER(H55)), H54+H55, "")</f>
        <v/>
      </c>
      <c r="I53" s="2433"/>
      <c r="J53" s="2434"/>
      <c r="K53" s="710"/>
      <c r="L53" s="711"/>
      <c r="M53" s="712"/>
      <c r="N53" s="1557" t="str">
        <f>IF(AND(ISNUMBER(N54), ISNUMBER(N55)), N54+N55, "")</f>
        <v/>
      </c>
      <c r="O53" s="2441"/>
      <c r="P53" s="711"/>
      <c r="Q53" s="712"/>
      <c r="R53" s="833"/>
    </row>
    <row r="54" spans="1:19" ht="15" customHeight="1" x14ac:dyDescent="0.25">
      <c r="A54" s="389"/>
      <c r="B54" s="153" t="s">
        <v>145</v>
      </c>
      <c r="C54" s="2419" t="s">
        <v>1576</v>
      </c>
      <c r="D54" s="2481"/>
      <c r="E54" s="43"/>
      <c r="F54" s="162"/>
      <c r="G54" s="162"/>
      <c r="H54" s="2467" t="str">
        <f>IF(ISNUMBER(E54), E54, "")</f>
        <v/>
      </c>
      <c r="I54" s="2435"/>
      <c r="J54" s="2436"/>
      <c r="K54" s="161" t="str">
        <f t="shared" ref="K54:K56" si="4">IF(AND(ISNUMBER(E54), ISNUMBER(O54)), E54*O54, "")</f>
        <v/>
      </c>
      <c r="L54" s="50"/>
      <c r="M54" s="53"/>
      <c r="N54" s="2467" t="str">
        <f>IF(ISNUMBER(K54), K54, "")</f>
        <v/>
      </c>
      <c r="O54" s="2429">
        <f>Parameters!F20</f>
        <v>0</v>
      </c>
      <c r="P54" s="52"/>
      <c r="Q54" s="2423"/>
      <c r="R54" s="457"/>
      <c r="S54" s="316">
        <f>IF(ISNUMBER(N54),1,0)</f>
        <v>0</v>
      </c>
    </row>
    <row r="55" spans="1:19" ht="15" customHeight="1" x14ac:dyDescent="0.25">
      <c r="A55" s="389"/>
      <c r="B55" s="153" t="s">
        <v>153</v>
      </c>
      <c r="C55" s="2419" t="s">
        <v>1577</v>
      </c>
      <c r="D55" s="2481"/>
      <c r="E55" s="43"/>
      <c r="F55" s="43"/>
      <c r="G55" s="43"/>
      <c r="H55" s="2467" t="str">
        <f>IF(AND(ISNUMBER(E55), ISNUMBER(F55), ISNUMBER(G55)), SUM(E55:G55), "")</f>
        <v/>
      </c>
      <c r="I55" s="2435"/>
      <c r="J55" s="2436"/>
      <c r="K55" s="161" t="str">
        <f t="shared" si="4"/>
        <v/>
      </c>
      <c r="L55" s="161" t="str">
        <f t="shared" ref="L55:L56" si="5">IF(AND(ISNUMBER(F55), ISNUMBER(P55)), F55*P55, "")</f>
        <v/>
      </c>
      <c r="M55" s="161" t="str">
        <f t="shared" ref="M55:M56" si="6">IF(AND(ISNUMBER(G55), ISNUMBER(Q55)), G55*Q55, "")</f>
        <v/>
      </c>
      <c r="N55" s="2467" t="str">
        <f>IF(AND(ISNUMBER(K55), ISNUMBER(L55), ISNUMBER(M55)), SUM(K55:M55), "")</f>
        <v/>
      </c>
      <c r="O55" s="2429">
        <f>Parameters!F21</f>
        <v>0</v>
      </c>
      <c r="P55" s="48">
        <f>Parameters!G21</f>
        <v>0</v>
      </c>
      <c r="Q55" s="47">
        <f>Parameters!H21</f>
        <v>0</v>
      </c>
      <c r="R55" s="457"/>
      <c r="S55" s="316">
        <f>IF(ISNUMBER(N55),1,0)</f>
        <v>0</v>
      </c>
    </row>
    <row r="56" spans="1:19" ht="15" customHeight="1" x14ac:dyDescent="0.25">
      <c r="A56" s="389"/>
      <c r="B56" s="152" t="s">
        <v>250</v>
      </c>
      <c r="C56" s="2419" t="s">
        <v>1605</v>
      </c>
      <c r="D56" s="2481"/>
      <c r="E56" s="43"/>
      <c r="F56" s="43"/>
      <c r="G56" s="43"/>
      <c r="H56" s="2467" t="str">
        <f>IF(AND(ISNUMBER(E56), ISNUMBER(F56), ISNUMBER(G56)), SUM(E56:G56), "")</f>
        <v/>
      </c>
      <c r="I56" s="2435"/>
      <c r="J56" s="2436"/>
      <c r="K56" s="161" t="str">
        <f t="shared" si="4"/>
        <v/>
      </c>
      <c r="L56" s="161" t="str">
        <f t="shared" si="5"/>
        <v/>
      </c>
      <c r="M56" s="161" t="str">
        <f t="shared" si="6"/>
        <v/>
      </c>
      <c r="N56" s="2467" t="str">
        <f>IF(AND(ISNUMBER(K56), ISNUMBER(L56), ISNUMBER(M56)), SUM(K56:M56), "")</f>
        <v/>
      </c>
      <c r="O56" s="2429">
        <f>Parameters!F22</f>
        <v>0</v>
      </c>
      <c r="P56" s="48">
        <f>Parameters!G22</f>
        <v>0</v>
      </c>
      <c r="Q56" s="47">
        <f>Parameters!H22</f>
        <v>0</v>
      </c>
      <c r="R56" s="457"/>
      <c r="S56" s="316">
        <f>IF(ISNUMBER(N56),1,0)</f>
        <v>0</v>
      </c>
    </row>
    <row r="57" spans="1:19" s="316" customFormat="1" ht="15" customHeight="1" x14ac:dyDescent="0.25">
      <c r="A57" s="392"/>
      <c r="B57" s="2483" t="s">
        <v>2259</v>
      </c>
      <c r="C57" s="279"/>
      <c r="D57" s="16"/>
      <c r="E57" s="553" t="str">
        <f t="shared" ref="E57:G57" si="7">IF(AND(ISNUMBER(E55), ISNUMBER(E56)), IF(E56&lt;=E55, "Pass", "Fail"), "")</f>
        <v/>
      </c>
      <c r="F57" s="553" t="str">
        <f t="shared" si="7"/>
        <v/>
      </c>
      <c r="G57" s="553" t="str">
        <f t="shared" si="7"/>
        <v/>
      </c>
      <c r="H57" s="1052"/>
      <c r="I57" s="2435"/>
      <c r="J57" s="2436"/>
      <c r="K57" s="46"/>
      <c r="L57" s="162"/>
      <c r="M57" s="162"/>
      <c r="N57" s="1052"/>
      <c r="O57" s="2504"/>
      <c r="P57" s="50"/>
      <c r="Q57" s="53"/>
      <c r="R57" s="833"/>
    </row>
    <row r="58" spans="1:19" ht="15" hidden="1" customHeight="1" x14ac:dyDescent="0.25">
      <c r="A58" s="389"/>
      <c r="B58" s="99"/>
      <c r="C58" s="46"/>
      <c r="D58" s="16"/>
      <c r="E58" s="162"/>
      <c r="F58" s="162"/>
      <c r="G58" s="162"/>
      <c r="H58" s="1052"/>
      <c r="I58" s="2435"/>
      <c r="J58" s="2436"/>
      <c r="K58" s="49"/>
      <c r="L58" s="50"/>
      <c r="M58" s="53"/>
      <c r="N58" s="2548"/>
      <c r="O58" s="2504"/>
      <c r="P58" s="50"/>
      <c r="Q58" s="53"/>
      <c r="R58" s="457"/>
    </row>
    <row r="59" spans="1:19" ht="60" customHeight="1" x14ac:dyDescent="0.25">
      <c r="A59" s="389"/>
      <c r="B59" s="2494" t="s">
        <v>1503</v>
      </c>
      <c r="C59" s="46"/>
      <c r="D59" s="16"/>
      <c r="E59" s="162"/>
      <c r="F59" s="162"/>
      <c r="G59" s="162"/>
      <c r="H59" s="1556" t="str">
        <f>IF(AND(ISNUMBER(H60), ISNUMBER(H61), ISNUMBER(H62), ISNUMBER(H63), ISNUMBER(H64), ISNUMBER(H65)), SUM(H60:H65), "")</f>
        <v/>
      </c>
      <c r="I59" s="2435"/>
      <c r="J59" s="2436"/>
      <c r="K59" s="46"/>
      <c r="L59" s="162"/>
      <c r="M59" s="162"/>
      <c r="N59" s="1556" t="str">
        <f>IF(AND(ISNUMBER(N60), ISNUMBER(N61), ISNUMBER(N62), ISNUMBER(N63), ISNUMBER(N64), ISNUMBER(N65)), SUM(N60:N65), "")</f>
        <v/>
      </c>
      <c r="O59" s="2427"/>
      <c r="P59" s="162"/>
      <c r="Q59" s="163"/>
      <c r="R59" s="457"/>
    </row>
    <row r="60" spans="1:19" ht="15" customHeight="1" x14ac:dyDescent="0.25">
      <c r="A60" s="389"/>
      <c r="B60" s="2468" t="s">
        <v>154</v>
      </c>
      <c r="C60" s="46"/>
      <c r="D60" s="16"/>
      <c r="E60" s="43"/>
      <c r="F60" s="43"/>
      <c r="G60" s="43"/>
      <c r="H60" s="2467" t="str">
        <f t="shared" ref="H60:H65" si="8">IF(AND(ISNUMBER(E60), ISNUMBER(F60), ISNUMBER(G60)), SUM(E60:G60), "")</f>
        <v/>
      </c>
      <c r="I60" s="2435"/>
      <c r="J60" s="2436"/>
      <c r="K60" s="161" t="str">
        <f>IF(AND(ISNUMBER(E60), ISNUMBER(O60)), E60*O60, "")</f>
        <v/>
      </c>
      <c r="L60" s="161" t="str">
        <f t="shared" ref="L60:L65" si="9">IF(AND(ISNUMBER(F60), ISNUMBER(P60)), F60*P60, "")</f>
        <v/>
      </c>
      <c r="M60" s="161" t="str">
        <f t="shared" ref="M60:M65" si="10">IF(AND(ISNUMBER(G60), ISNUMBER(Q60)), G60*Q60, "")</f>
        <v/>
      </c>
      <c r="N60" s="2467" t="str">
        <f t="shared" ref="N60:N65" si="11">IF(AND(ISNUMBER(K60), ISNUMBER(L60), ISNUMBER(M60)), SUM(K60:M60), "")</f>
        <v/>
      </c>
      <c r="O60" s="2429">
        <f>Parameters!F26</f>
        <v>0</v>
      </c>
      <c r="P60" s="165">
        <f>Parameters!G26</f>
        <v>0</v>
      </c>
      <c r="Q60" s="47">
        <f>Parameters!H26</f>
        <v>0</v>
      </c>
      <c r="R60" s="457"/>
      <c r="S60" s="316">
        <f>IF(ISNUMBER(N60),1,0)</f>
        <v>0</v>
      </c>
    </row>
    <row r="61" spans="1:19" ht="15" customHeight="1" x14ac:dyDescent="0.25">
      <c r="A61" s="389"/>
      <c r="B61" s="2468" t="s">
        <v>251</v>
      </c>
      <c r="C61" s="46"/>
      <c r="D61" s="16"/>
      <c r="E61" s="43"/>
      <c r="F61" s="43"/>
      <c r="G61" s="43"/>
      <c r="H61" s="2467" t="str">
        <f t="shared" si="8"/>
        <v/>
      </c>
      <c r="I61" s="2435"/>
      <c r="J61" s="2436"/>
      <c r="K61" s="161" t="str">
        <f t="shared" ref="K61:K65" si="12">IF(AND(ISNUMBER(E61), ISNUMBER(O61)), E61*O61, "")</f>
        <v/>
      </c>
      <c r="L61" s="161" t="str">
        <f t="shared" si="9"/>
        <v/>
      </c>
      <c r="M61" s="161" t="str">
        <f t="shared" si="10"/>
        <v/>
      </c>
      <c r="N61" s="2467" t="str">
        <f t="shared" si="11"/>
        <v/>
      </c>
      <c r="O61" s="2429">
        <f>Parameters!F27</f>
        <v>0</v>
      </c>
      <c r="P61" s="165">
        <f>Parameters!G27</f>
        <v>0</v>
      </c>
      <c r="Q61" s="47">
        <f>Parameters!H27</f>
        <v>0</v>
      </c>
      <c r="R61" s="457"/>
      <c r="S61" s="316">
        <f t="shared" ref="S61:S73" si="13">IF(ISNUMBER(N61),1,0)</f>
        <v>0</v>
      </c>
    </row>
    <row r="62" spans="1:19" ht="15" customHeight="1" x14ac:dyDescent="0.25">
      <c r="A62" s="389"/>
      <c r="B62" s="2468" t="s">
        <v>252</v>
      </c>
      <c r="C62" s="46"/>
      <c r="D62" s="16"/>
      <c r="E62" s="43"/>
      <c r="F62" s="43"/>
      <c r="G62" s="43"/>
      <c r="H62" s="2467" t="str">
        <f t="shared" si="8"/>
        <v/>
      </c>
      <c r="I62" s="2435"/>
      <c r="J62" s="2436"/>
      <c r="K62" s="161" t="str">
        <f t="shared" si="12"/>
        <v/>
      </c>
      <c r="L62" s="161" t="str">
        <f t="shared" si="9"/>
        <v/>
      </c>
      <c r="M62" s="161" t="str">
        <f t="shared" si="10"/>
        <v/>
      </c>
      <c r="N62" s="2467" t="str">
        <f t="shared" si="11"/>
        <v/>
      </c>
      <c r="O62" s="2429">
        <f>Parameters!F28</f>
        <v>0</v>
      </c>
      <c r="P62" s="165">
        <f>Parameters!G28</f>
        <v>0</v>
      </c>
      <c r="Q62" s="47">
        <f>Parameters!H28</f>
        <v>0</v>
      </c>
      <c r="R62" s="457"/>
      <c r="S62" s="316">
        <f t="shared" si="13"/>
        <v>0</v>
      </c>
    </row>
    <row r="63" spans="1:19" ht="15" customHeight="1" x14ac:dyDescent="0.25">
      <c r="A63" s="389"/>
      <c r="B63" s="2468" t="s">
        <v>253</v>
      </c>
      <c r="C63" s="46"/>
      <c r="D63" s="16"/>
      <c r="E63" s="43"/>
      <c r="F63" s="43"/>
      <c r="G63" s="43"/>
      <c r="H63" s="2467" t="str">
        <f t="shared" si="8"/>
        <v/>
      </c>
      <c r="I63" s="2435"/>
      <c r="J63" s="2436"/>
      <c r="K63" s="161" t="str">
        <f t="shared" si="12"/>
        <v/>
      </c>
      <c r="L63" s="161" t="str">
        <f t="shared" si="9"/>
        <v/>
      </c>
      <c r="M63" s="161" t="str">
        <f t="shared" si="10"/>
        <v/>
      </c>
      <c r="N63" s="2467" t="str">
        <f t="shared" si="11"/>
        <v/>
      </c>
      <c r="O63" s="2429">
        <f>Parameters!F29</f>
        <v>0</v>
      </c>
      <c r="P63" s="165">
        <f>Parameters!G29</f>
        <v>0</v>
      </c>
      <c r="Q63" s="47">
        <f>Parameters!H29</f>
        <v>0</v>
      </c>
      <c r="R63" s="457"/>
      <c r="S63" s="316">
        <f t="shared" si="13"/>
        <v>0</v>
      </c>
    </row>
    <row r="64" spans="1:19" ht="15" customHeight="1" x14ac:dyDescent="0.25">
      <c r="A64" s="389"/>
      <c r="B64" s="2468" t="s">
        <v>2260</v>
      </c>
      <c r="C64" s="46"/>
      <c r="D64" s="16"/>
      <c r="E64" s="43"/>
      <c r="F64" s="43"/>
      <c r="G64" s="43"/>
      <c r="H64" s="2467" t="str">
        <f t="shared" si="8"/>
        <v/>
      </c>
      <c r="I64" s="2435"/>
      <c r="J64" s="2436"/>
      <c r="K64" s="161" t="str">
        <f t="shared" si="12"/>
        <v/>
      </c>
      <c r="L64" s="161" t="str">
        <f t="shared" si="9"/>
        <v/>
      </c>
      <c r="M64" s="161" t="str">
        <f t="shared" si="10"/>
        <v/>
      </c>
      <c r="N64" s="2467" t="str">
        <f t="shared" si="11"/>
        <v/>
      </c>
      <c r="O64" s="2429">
        <f>Parameters!F30</f>
        <v>0</v>
      </c>
      <c r="P64" s="165">
        <f>Parameters!G30</f>
        <v>0</v>
      </c>
      <c r="Q64" s="47">
        <f>Parameters!H30</f>
        <v>0</v>
      </c>
      <c r="R64" s="457"/>
    </row>
    <row r="65" spans="1:19" ht="15" customHeight="1" x14ac:dyDescent="0.25">
      <c r="A65" s="389"/>
      <c r="B65" s="2468" t="s">
        <v>2261</v>
      </c>
      <c r="C65" s="46"/>
      <c r="D65" s="16"/>
      <c r="E65" s="43"/>
      <c r="F65" s="43"/>
      <c r="G65" s="43"/>
      <c r="H65" s="2467" t="str">
        <f t="shared" si="8"/>
        <v/>
      </c>
      <c r="I65" s="2435"/>
      <c r="J65" s="2436"/>
      <c r="K65" s="161" t="str">
        <f t="shared" si="12"/>
        <v/>
      </c>
      <c r="L65" s="161" t="str">
        <f t="shared" si="9"/>
        <v/>
      </c>
      <c r="M65" s="161" t="str">
        <f t="shared" si="10"/>
        <v/>
      </c>
      <c r="N65" s="2467" t="str">
        <f t="shared" si="11"/>
        <v/>
      </c>
      <c r="O65" s="2429">
        <f>Parameters!F31</f>
        <v>0</v>
      </c>
      <c r="P65" s="165">
        <f>Parameters!G31</f>
        <v>0</v>
      </c>
      <c r="Q65" s="47">
        <f>Parameters!H31</f>
        <v>0</v>
      </c>
      <c r="R65" s="457"/>
    </row>
    <row r="66" spans="1:19" ht="15" hidden="1" customHeight="1" x14ac:dyDescent="0.25">
      <c r="A66" s="389"/>
      <c r="B66" s="2471"/>
      <c r="C66" s="46"/>
      <c r="D66" s="16"/>
      <c r="E66" s="43"/>
      <c r="F66" s="43"/>
      <c r="G66" s="43"/>
      <c r="H66" s="2457"/>
      <c r="I66" s="2435"/>
      <c r="J66" s="2436"/>
      <c r="K66" s="683"/>
      <c r="L66" s="2475"/>
      <c r="M66" s="683"/>
      <c r="N66" s="2458"/>
      <c r="O66" s="2459"/>
      <c r="P66" s="2496"/>
      <c r="Q66" s="2428"/>
      <c r="R66" s="457"/>
    </row>
    <row r="67" spans="1:19" ht="15" hidden="1" customHeight="1" x14ac:dyDescent="0.25">
      <c r="A67" s="389"/>
      <c r="B67" s="2471"/>
      <c r="C67" s="46"/>
      <c r="D67" s="16"/>
      <c r="E67" s="43"/>
      <c r="F67" s="43"/>
      <c r="G67" s="43"/>
      <c r="H67" s="2457"/>
      <c r="I67" s="2435"/>
      <c r="J67" s="2436"/>
      <c r="K67" s="683"/>
      <c r="L67" s="2475"/>
      <c r="M67" s="683"/>
      <c r="N67" s="2458"/>
      <c r="O67" s="2459"/>
      <c r="P67" s="2496"/>
      <c r="Q67" s="2428"/>
      <c r="R67" s="457"/>
    </row>
    <row r="68" spans="1:19" ht="30" customHeight="1" x14ac:dyDescent="0.25">
      <c r="A68" s="389"/>
      <c r="B68" s="2417" t="s">
        <v>2059</v>
      </c>
      <c r="C68" s="2419" t="s">
        <v>1606</v>
      </c>
      <c r="D68" s="2481"/>
      <c r="E68" s="43"/>
      <c r="F68" s="43"/>
      <c r="G68" s="43"/>
      <c r="H68" s="2467" t="str">
        <f>IF(AND(ISNUMBER(E68), ISNUMBER(F68), ISNUMBER(G68)), SUM(E68:G68), "")</f>
        <v/>
      </c>
      <c r="I68" s="2435"/>
      <c r="J68" s="2436"/>
      <c r="K68" s="161" t="str">
        <f t="shared" ref="K68" si="14">IF(AND(ISNUMBER(E68), ISNUMBER(O68)), E68*O68, "")</f>
        <v/>
      </c>
      <c r="L68" s="161" t="str">
        <f t="shared" ref="L68" si="15">IF(AND(ISNUMBER(F68), ISNUMBER(P68)), F68*P68, "")</f>
        <v/>
      </c>
      <c r="M68" s="161" t="str">
        <f t="shared" ref="M68" si="16">IF(AND(ISNUMBER(G68), ISNUMBER(Q68)), G68*Q68, "")</f>
        <v/>
      </c>
      <c r="N68" s="1556" t="str">
        <f>IF(ISNUMBER(M68), M68, "")</f>
        <v/>
      </c>
      <c r="O68" s="2424">
        <f>Parameters!F34</f>
        <v>0</v>
      </c>
      <c r="P68" s="47">
        <f>Parameters!G34</f>
        <v>0</v>
      </c>
      <c r="Q68" s="47">
        <f>Parameters!H34</f>
        <v>1</v>
      </c>
      <c r="R68" s="457"/>
      <c r="S68" s="316">
        <f t="shared" si="13"/>
        <v>0</v>
      </c>
    </row>
    <row r="69" spans="1:19" ht="30" customHeight="1" x14ac:dyDescent="0.25">
      <c r="A69" s="389"/>
      <c r="B69" s="2472" t="s">
        <v>282</v>
      </c>
      <c r="C69" s="46"/>
      <c r="D69" s="16"/>
      <c r="E69" s="162"/>
      <c r="F69" s="162"/>
      <c r="G69" s="162"/>
      <c r="H69" s="1556" t="str">
        <f>IF(AND(ISNUMBER(H70), ISNUMBER(H71), ISNUMBER(H72), ISNUMBER(H73)), SUM(H70:H73), "")</f>
        <v/>
      </c>
      <c r="I69" s="2435"/>
      <c r="J69" s="2436"/>
      <c r="K69" s="49"/>
      <c r="L69" s="50"/>
      <c r="M69" s="53"/>
      <c r="N69" s="1556" t="str">
        <f>IF(AND(ISNUMBER(N70), ISNUMBER(N71), ISNUMBER(N72), ISNUMBER(N73)), SUM(N70:N73), "")</f>
        <v/>
      </c>
      <c r="O69" s="2427"/>
      <c r="P69" s="162"/>
      <c r="Q69" s="163"/>
      <c r="R69" s="457"/>
    </row>
    <row r="70" spans="1:19" ht="15" customHeight="1" x14ac:dyDescent="0.25">
      <c r="A70" s="389"/>
      <c r="B70" s="2468" t="s">
        <v>154</v>
      </c>
      <c r="C70" s="46"/>
      <c r="D70" s="16"/>
      <c r="E70" s="43"/>
      <c r="F70" s="43"/>
      <c r="G70" s="43"/>
      <c r="H70" s="2467" t="str">
        <f t="shared" ref="H70:H73" si="17">IF(AND(ISNUMBER(E70), ISNUMBER(F70), ISNUMBER(G70)), SUM(E70:G70), "")</f>
        <v/>
      </c>
      <c r="I70" s="2435"/>
      <c r="J70" s="2436"/>
      <c r="K70" s="161" t="str">
        <f t="shared" ref="K70:K73" si="18">IF(AND(ISNUMBER(E70), ISNUMBER(O70)), E70*O70, "")</f>
        <v/>
      </c>
      <c r="L70" s="161" t="str">
        <f t="shared" ref="L70:L73" si="19">IF(AND(ISNUMBER(F70), ISNUMBER(P70)), F70*P70, "")</f>
        <v/>
      </c>
      <c r="M70" s="161" t="str">
        <f t="shared" ref="M70:M73" si="20">IF(AND(ISNUMBER(G70), ISNUMBER(Q70)), G70*Q70, "")</f>
        <v/>
      </c>
      <c r="N70" s="1556" t="str">
        <f>IF(AND(ISNUMBER(K70),ISNUMBER(L70),ISNUMBER(M70)), SUM(K70:M70), "")</f>
        <v/>
      </c>
      <c r="O70" s="2429">
        <f>Parameters!F37</f>
        <v>0.15</v>
      </c>
      <c r="P70" s="165">
        <f>Parameters!G37</f>
        <v>0.5</v>
      </c>
      <c r="Q70" s="47">
        <f>Parameters!H37</f>
        <v>1</v>
      </c>
      <c r="R70" s="457"/>
      <c r="S70" s="316">
        <f t="shared" si="13"/>
        <v>0</v>
      </c>
    </row>
    <row r="71" spans="1:19" ht="15" customHeight="1" x14ac:dyDescent="0.25">
      <c r="A71" s="389"/>
      <c r="B71" s="2468" t="s">
        <v>251</v>
      </c>
      <c r="C71" s="46"/>
      <c r="D71" s="16"/>
      <c r="E71" s="43"/>
      <c r="F71" s="43"/>
      <c r="G71" s="43"/>
      <c r="H71" s="2467" t="str">
        <f t="shared" si="17"/>
        <v/>
      </c>
      <c r="I71" s="2435"/>
      <c r="J71" s="2436"/>
      <c r="K71" s="161" t="str">
        <f t="shared" si="18"/>
        <v/>
      </c>
      <c r="L71" s="161" t="str">
        <f t="shared" si="19"/>
        <v/>
      </c>
      <c r="M71" s="161" t="str">
        <f t="shared" si="20"/>
        <v/>
      </c>
      <c r="N71" s="1556" t="str">
        <f>IF(AND(ISNUMBER(K71),ISNUMBER(L71),ISNUMBER(M71)), SUM(K71:M71), "")</f>
        <v/>
      </c>
      <c r="O71" s="2429">
        <f>Parameters!F38</f>
        <v>0.15</v>
      </c>
      <c r="P71" s="165">
        <f>Parameters!G38</f>
        <v>0.5</v>
      </c>
      <c r="Q71" s="47">
        <f>Parameters!H38</f>
        <v>1</v>
      </c>
      <c r="R71" s="457"/>
      <c r="S71" s="316">
        <f t="shared" si="13"/>
        <v>0</v>
      </c>
    </row>
    <row r="72" spans="1:19" ht="15" customHeight="1" x14ac:dyDescent="0.25">
      <c r="A72" s="389"/>
      <c r="B72" s="2468" t="s">
        <v>252</v>
      </c>
      <c r="C72" s="46"/>
      <c r="D72" s="16"/>
      <c r="E72" s="43"/>
      <c r="F72" s="43"/>
      <c r="G72" s="43"/>
      <c r="H72" s="2467" t="str">
        <f t="shared" si="17"/>
        <v/>
      </c>
      <c r="I72" s="2435"/>
      <c r="J72" s="2436"/>
      <c r="K72" s="161" t="str">
        <f t="shared" si="18"/>
        <v/>
      </c>
      <c r="L72" s="161" t="str">
        <f t="shared" si="19"/>
        <v/>
      </c>
      <c r="M72" s="161" t="str">
        <f t="shared" si="20"/>
        <v/>
      </c>
      <c r="N72" s="1556" t="str">
        <f>IF(AND(ISNUMBER(K72),ISNUMBER(L72),ISNUMBER(M72)), SUM(K72:M72), "")</f>
        <v/>
      </c>
      <c r="O72" s="2429">
        <f>Parameters!F39</f>
        <v>0.5</v>
      </c>
      <c r="P72" s="165">
        <f>Parameters!G39</f>
        <v>0.5</v>
      </c>
      <c r="Q72" s="47">
        <f>Parameters!H39</f>
        <v>1</v>
      </c>
      <c r="R72" s="457"/>
      <c r="S72" s="316">
        <f t="shared" si="13"/>
        <v>0</v>
      </c>
    </row>
    <row r="73" spans="1:19" ht="15" customHeight="1" x14ac:dyDescent="0.25">
      <c r="A73" s="389"/>
      <c r="B73" s="2468" t="s">
        <v>253</v>
      </c>
      <c r="C73" s="46"/>
      <c r="D73" s="16"/>
      <c r="E73" s="43"/>
      <c r="F73" s="43"/>
      <c r="G73" s="43"/>
      <c r="H73" s="2467" t="str">
        <f t="shared" si="17"/>
        <v/>
      </c>
      <c r="I73" s="2435"/>
      <c r="J73" s="2436"/>
      <c r="K73" s="161" t="str">
        <f t="shared" si="18"/>
        <v/>
      </c>
      <c r="L73" s="161" t="str">
        <f t="shared" si="19"/>
        <v/>
      </c>
      <c r="M73" s="161" t="str">
        <f t="shared" si="20"/>
        <v/>
      </c>
      <c r="N73" s="1556" t="str">
        <f>IF(AND(ISNUMBER(K73),ISNUMBER(L73),ISNUMBER(M73)), SUM(K73:M73), "")</f>
        <v/>
      </c>
      <c r="O73" s="2429">
        <f>Parameters!F40</f>
        <v>1</v>
      </c>
      <c r="P73" s="165">
        <f>Parameters!G40</f>
        <v>1</v>
      </c>
      <c r="Q73" s="47">
        <f>Parameters!H40</f>
        <v>1</v>
      </c>
      <c r="R73" s="457"/>
      <c r="S73" s="316">
        <f t="shared" si="13"/>
        <v>0</v>
      </c>
    </row>
    <row r="74" spans="1:19" ht="15" hidden="1" customHeight="1" x14ac:dyDescent="0.25">
      <c r="A74" s="389"/>
      <c r="B74" s="2471"/>
      <c r="C74" s="46"/>
      <c r="D74" s="16"/>
      <c r="E74" s="2334"/>
      <c r="F74" s="2334"/>
      <c r="G74" s="2334"/>
      <c r="H74" s="2457"/>
      <c r="I74" s="2435"/>
      <c r="J74" s="2436"/>
      <c r="K74" s="683"/>
      <c r="L74" s="2475"/>
      <c r="M74" s="683"/>
      <c r="N74" s="2458"/>
      <c r="O74" s="2459"/>
      <c r="P74" s="2496"/>
      <c r="Q74" s="2428"/>
      <c r="R74" s="457"/>
    </row>
    <row r="75" spans="1:19" ht="15" hidden="1" customHeight="1" x14ac:dyDescent="0.25">
      <c r="A75" s="389"/>
      <c r="B75" s="2471"/>
      <c r="C75" s="46"/>
      <c r="D75" s="16"/>
      <c r="E75" s="2334"/>
      <c r="F75" s="2334"/>
      <c r="G75" s="2334"/>
      <c r="H75" s="2457"/>
      <c r="I75" s="2435"/>
      <c r="J75" s="2436"/>
      <c r="K75" s="683"/>
      <c r="L75" s="2475"/>
      <c r="M75" s="683"/>
      <c r="N75" s="2458"/>
      <c r="O75" s="2459"/>
      <c r="P75" s="2496"/>
      <c r="Q75" s="2428"/>
      <c r="R75" s="457"/>
    </row>
    <row r="76" spans="1:19" ht="15" customHeight="1" x14ac:dyDescent="0.25">
      <c r="A76" s="389"/>
      <c r="B76" s="2494" t="s">
        <v>242</v>
      </c>
      <c r="C76" s="46"/>
      <c r="D76" s="16"/>
      <c r="E76" s="162"/>
      <c r="F76" s="162"/>
      <c r="G76" s="162"/>
      <c r="H76" s="1556" t="str">
        <f>IF(AND(ISNUMBER(H77), ISNUMBER(H86), ISNUMBER(H95)), H77+H86+H95, "")</f>
        <v/>
      </c>
      <c r="I76" s="2435"/>
      <c r="J76" s="2436"/>
      <c r="K76" s="46"/>
      <c r="L76" s="162"/>
      <c r="M76" s="162"/>
      <c r="N76" s="1556" t="str">
        <f>IF(AND(ISNUMBER(N77), ISNUMBER(N86), ISNUMBER(N95)), N77+N86+N95, "")</f>
        <v/>
      </c>
      <c r="O76" s="2427"/>
      <c r="P76" s="162"/>
      <c r="Q76" s="163"/>
      <c r="R76" s="457"/>
    </row>
    <row r="77" spans="1:19" ht="45" customHeight="1" x14ac:dyDescent="0.25">
      <c r="A77" s="389"/>
      <c r="B77" s="2468" t="s">
        <v>1504</v>
      </c>
      <c r="C77" s="2419" t="s">
        <v>1578</v>
      </c>
      <c r="D77" s="2481"/>
      <c r="E77" s="162"/>
      <c r="F77" s="162"/>
      <c r="G77" s="162"/>
      <c r="H77" s="1556" t="str">
        <f>IF(AND(ISNUMBER(H78), ISNUMBER(H79), ISNUMBER(H80), ISNUMBER(H81), ISNUMBER(H82), ISNUMBER(H83)), SUM(H78:H83), "")</f>
        <v/>
      </c>
      <c r="I77" s="2435"/>
      <c r="J77" s="2436"/>
      <c r="K77" s="46"/>
      <c r="L77" s="162"/>
      <c r="M77" s="162"/>
      <c r="N77" s="1556" t="str">
        <f>IF(AND(ISNUMBER(N78), ISNUMBER(N79), ISNUMBER(N80), ISNUMBER(N81), ISNUMBER(N82), ISNUMBER(N83)), SUM(N78:N83), "")</f>
        <v/>
      </c>
      <c r="O77" s="2427"/>
      <c r="P77" s="162"/>
      <c r="Q77" s="163"/>
      <c r="R77" s="457"/>
    </row>
    <row r="78" spans="1:19" ht="15" customHeight="1" x14ac:dyDescent="0.25">
      <c r="A78" s="389"/>
      <c r="B78" s="2470" t="s">
        <v>154</v>
      </c>
      <c r="C78" s="46"/>
      <c r="D78" s="16"/>
      <c r="E78" s="43"/>
      <c r="F78" s="43"/>
      <c r="G78" s="43"/>
      <c r="H78" s="2467" t="str">
        <f t="shared" ref="H78:H83" si="21">IF(AND(ISNUMBER(E78), ISNUMBER(F78), ISNUMBER(G78)), SUM(E78:G78), "")</f>
        <v/>
      </c>
      <c r="I78" s="2435"/>
      <c r="J78" s="2436"/>
      <c r="K78" s="161" t="str">
        <f t="shared" ref="K78:K83" si="22">IF(AND(ISNUMBER(E78), ISNUMBER(O78)), E78*O78, "")</f>
        <v/>
      </c>
      <c r="L78" s="161" t="str">
        <f t="shared" ref="L78:L83" si="23">IF(AND(ISNUMBER(F78), ISNUMBER(P78)), F78*P78, "")</f>
        <v/>
      </c>
      <c r="M78" s="161" t="str">
        <f t="shared" ref="M78:M83" si="24">IF(AND(ISNUMBER(G78), ISNUMBER(Q78)), G78*Q78, "")</f>
        <v/>
      </c>
      <c r="N78" s="2467" t="str">
        <f t="shared" ref="N78:N83" si="25">IF(AND(ISNUMBER(K78), ISNUMBER(L78), ISNUMBER(M78)), SUM(K78:M78), "")</f>
        <v/>
      </c>
      <c r="O78" s="2429">
        <f>Parameters!F45</f>
        <v>0.1</v>
      </c>
      <c r="P78" s="165">
        <f>Parameters!G45</f>
        <v>0.5</v>
      </c>
      <c r="Q78" s="47">
        <f>Parameters!H45</f>
        <v>1</v>
      </c>
      <c r="R78" s="457"/>
      <c r="S78" s="316">
        <f>IF(ISNUMBER(N78),1,0)</f>
        <v>0</v>
      </c>
    </row>
    <row r="79" spans="1:19" ht="15" customHeight="1" x14ac:dyDescent="0.25">
      <c r="A79" s="389"/>
      <c r="B79" s="2470" t="s">
        <v>251</v>
      </c>
      <c r="C79" s="46"/>
      <c r="D79" s="16"/>
      <c r="E79" s="43"/>
      <c r="F79" s="43"/>
      <c r="G79" s="43"/>
      <c r="H79" s="2467" t="str">
        <f t="shared" si="21"/>
        <v/>
      </c>
      <c r="I79" s="2435"/>
      <c r="J79" s="2436"/>
      <c r="K79" s="161" t="str">
        <f t="shared" si="22"/>
        <v/>
      </c>
      <c r="L79" s="161" t="str">
        <f t="shared" si="23"/>
        <v/>
      </c>
      <c r="M79" s="161" t="str">
        <f t="shared" si="24"/>
        <v/>
      </c>
      <c r="N79" s="2467" t="str">
        <f t="shared" si="25"/>
        <v/>
      </c>
      <c r="O79" s="2429">
        <f>Parameters!F46</f>
        <v>0.1</v>
      </c>
      <c r="P79" s="165">
        <f>Parameters!G46</f>
        <v>0.5</v>
      </c>
      <c r="Q79" s="47">
        <f>Parameters!H46</f>
        <v>1</v>
      </c>
      <c r="R79" s="457"/>
      <c r="S79" s="316">
        <f t="shared" ref="S79:S81" si="26">IF(ISNUMBER(N79),1,0)</f>
        <v>0</v>
      </c>
    </row>
    <row r="80" spans="1:19" ht="15" customHeight="1" x14ac:dyDescent="0.25">
      <c r="A80" s="389"/>
      <c r="B80" s="2470" t="s">
        <v>252</v>
      </c>
      <c r="C80" s="46"/>
      <c r="D80" s="16"/>
      <c r="E80" s="43"/>
      <c r="F80" s="43"/>
      <c r="G80" s="43"/>
      <c r="H80" s="2467" t="str">
        <f t="shared" si="21"/>
        <v/>
      </c>
      <c r="I80" s="2435"/>
      <c r="J80" s="2436"/>
      <c r="K80" s="161" t="str">
        <f t="shared" si="22"/>
        <v/>
      </c>
      <c r="L80" s="161" t="str">
        <f t="shared" si="23"/>
        <v/>
      </c>
      <c r="M80" s="161" t="str">
        <f t="shared" si="24"/>
        <v/>
      </c>
      <c r="N80" s="2467" t="str">
        <f t="shared" si="25"/>
        <v/>
      </c>
      <c r="O80" s="2429">
        <f>Parameters!F47</f>
        <v>0.5</v>
      </c>
      <c r="P80" s="165">
        <f>Parameters!G47</f>
        <v>0.5</v>
      </c>
      <c r="Q80" s="47">
        <f>Parameters!H47</f>
        <v>1</v>
      </c>
      <c r="R80" s="457"/>
      <c r="S80" s="316">
        <f t="shared" si="26"/>
        <v>0</v>
      </c>
    </row>
    <row r="81" spans="1:19" ht="15" customHeight="1" x14ac:dyDescent="0.25">
      <c r="A81" s="389"/>
      <c r="B81" s="2470" t="s">
        <v>253</v>
      </c>
      <c r="C81" s="46"/>
      <c r="D81" s="16"/>
      <c r="E81" s="43"/>
      <c r="F81" s="43"/>
      <c r="G81" s="43"/>
      <c r="H81" s="2467" t="str">
        <f t="shared" si="21"/>
        <v/>
      </c>
      <c r="I81" s="2435"/>
      <c r="J81" s="2436"/>
      <c r="K81" s="161" t="str">
        <f t="shared" si="22"/>
        <v/>
      </c>
      <c r="L81" s="161" t="str">
        <f t="shared" si="23"/>
        <v/>
      </c>
      <c r="M81" s="161" t="str">
        <f t="shared" si="24"/>
        <v/>
      </c>
      <c r="N81" s="2467" t="str">
        <f t="shared" si="25"/>
        <v/>
      </c>
      <c r="O81" s="2429">
        <f>Parameters!F48</f>
        <v>1</v>
      </c>
      <c r="P81" s="165">
        <f>Parameters!G48</f>
        <v>1</v>
      </c>
      <c r="Q81" s="47">
        <f>Parameters!H48</f>
        <v>1</v>
      </c>
      <c r="R81" s="457"/>
      <c r="S81" s="316">
        <f t="shared" si="26"/>
        <v>0</v>
      </c>
    </row>
    <row r="82" spans="1:19" ht="15" customHeight="1" x14ac:dyDescent="0.25">
      <c r="A82" s="389"/>
      <c r="B82" s="2470" t="s">
        <v>2260</v>
      </c>
      <c r="C82" s="46"/>
      <c r="D82" s="16"/>
      <c r="E82" s="43"/>
      <c r="F82" s="43"/>
      <c r="G82" s="43"/>
      <c r="H82" s="2467" t="str">
        <f t="shared" si="21"/>
        <v/>
      </c>
      <c r="I82" s="2435"/>
      <c r="J82" s="2436"/>
      <c r="K82" s="161" t="str">
        <f t="shared" si="22"/>
        <v/>
      </c>
      <c r="L82" s="161" t="str">
        <f t="shared" si="23"/>
        <v/>
      </c>
      <c r="M82" s="161" t="str">
        <f t="shared" si="24"/>
        <v/>
      </c>
      <c r="N82" s="2467" t="str">
        <f t="shared" si="25"/>
        <v/>
      </c>
      <c r="O82" s="2429">
        <f>Parameters!F49</f>
        <v>0</v>
      </c>
      <c r="P82" s="165">
        <f>Parameters!G49</f>
        <v>0</v>
      </c>
      <c r="Q82" s="47">
        <f>Parameters!H49</f>
        <v>0</v>
      </c>
      <c r="R82" s="457"/>
    </row>
    <row r="83" spans="1:19" ht="15" customHeight="1" x14ac:dyDescent="0.25">
      <c r="A83" s="389"/>
      <c r="B83" s="2470" t="s">
        <v>2261</v>
      </c>
      <c r="C83" s="46"/>
      <c r="D83" s="16"/>
      <c r="E83" s="43"/>
      <c r="F83" s="43"/>
      <c r="G83" s="43"/>
      <c r="H83" s="2467" t="str">
        <f t="shared" si="21"/>
        <v/>
      </c>
      <c r="I83" s="2435"/>
      <c r="J83" s="2436"/>
      <c r="K83" s="161" t="str">
        <f t="shared" si="22"/>
        <v/>
      </c>
      <c r="L83" s="161" t="str">
        <f t="shared" si="23"/>
        <v/>
      </c>
      <c r="M83" s="161" t="str">
        <f t="shared" si="24"/>
        <v/>
      </c>
      <c r="N83" s="2467" t="str">
        <f t="shared" si="25"/>
        <v/>
      </c>
      <c r="O83" s="2429">
        <f>Parameters!F50</f>
        <v>0</v>
      </c>
      <c r="P83" s="165">
        <f>Parameters!G50</f>
        <v>0</v>
      </c>
      <c r="Q83" s="47">
        <f>Parameters!H50</f>
        <v>0</v>
      </c>
      <c r="R83" s="457"/>
    </row>
    <row r="84" spans="1:19" ht="15" hidden="1" customHeight="1" x14ac:dyDescent="0.25">
      <c r="A84" s="389"/>
      <c r="B84" s="2471"/>
      <c r="C84" s="46"/>
      <c r="D84" s="16"/>
      <c r="E84" s="2334"/>
      <c r="F84" s="2334"/>
      <c r="G84" s="2334"/>
      <c r="H84" s="2457"/>
      <c r="I84" s="2435"/>
      <c r="J84" s="2436"/>
      <c r="K84" s="683"/>
      <c r="L84" s="2475"/>
      <c r="M84" s="683"/>
      <c r="N84" s="2458"/>
      <c r="O84" s="2459"/>
      <c r="P84" s="2496"/>
      <c r="Q84" s="2428"/>
      <c r="R84" s="457"/>
    </row>
    <row r="85" spans="1:19" ht="15" hidden="1" customHeight="1" x14ac:dyDescent="0.25">
      <c r="A85" s="389"/>
      <c r="B85" s="2471"/>
      <c r="C85" s="46"/>
      <c r="D85" s="16"/>
      <c r="E85" s="2334"/>
      <c r="F85" s="2334"/>
      <c r="G85" s="2334"/>
      <c r="H85" s="2457"/>
      <c r="I85" s="2435"/>
      <c r="J85" s="2436"/>
      <c r="K85" s="683"/>
      <c r="L85" s="2475"/>
      <c r="M85" s="683"/>
      <c r="N85" s="2458"/>
      <c r="O85" s="2459"/>
      <c r="P85" s="2496"/>
      <c r="Q85" s="2428"/>
      <c r="R85" s="457"/>
    </row>
    <row r="86" spans="1:19" ht="45" customHeight="1" x14ac:dyDescent="0.25">
      <c r="A86" s="389"/>
      <c r="B86" s="2468" t="s">
        <v>243</v>
      </c>
      <c r="C86" s="2419" t="s">
        <v>1579</v>
      </c>
      <c r="D86" s="2481"/>
      <c r="E86" s="162"/>
      <c r="F86" s="162"/>
      <c r="G86" s="162"/>
      <c r="H86" s="1556" t="str">
        <f>IF(AND(ISNUMBER(H87), ISNUMBER(H88), ISNUMBER(H89), ISNUMBER(H90), ISNUMBER(H91), ISNUMBER(H92)), SUM(H87:H92), "")</f>
        <v/>
      </c>
      <c r="I86" s="2435"/>
      <c r="J86" s="2436"/>
      <c r="K86" s="46"/>
      <c r="L86" s="46"/>
      <c r="M86" s="46"/>
      <c r="N86" s="1556" t="str">
        <f>IF(AND(ISNUMBER(N87), ISNUMBER(N88), ISNUMBER(N89), ISNUMBER(N90), ISNUMBER(N91), ISNUMBER(N92)), SUM(N87:N92), "")</f>
        <v/>
      </c>
      <c r="O86" s="2427"/>
      <c r="P86" s="46"/>
      <c r="Q86" s="163"/>
      <c r="R86" s="457"/>
    </row>
    <row r="87" spans="1:19" ht="15" customHeight="1" x14ac:dyDescent="0.25">
      <c r="A87" s="389"/>
      <c r="B87" s="2470" t="s">
        <v>154</v>
      </c>
      <c r="C87" s="46"/>
      <c r="D87" s="16"/>
      <c r="E87" s="43"/>
      <c r="F87" s="43"/>
      <c r="G87" s="43"/>
      <c r="H87" s="2467" t="str">
        <f t="shared" ref="H87:H92" si="27">IF(AND(ISNUMBER(E87), ISNUMBER(F87), ISNUMBER(G87)), SUM(E87:G87), "")</f>
        <v/>
      </c>
      <c r="I87" s="2435"/>
      <c r="J87" s="2436"/>
      <c r="K87" s="161" t="str">
        <f t="shared" ref="K87:K92" si="28">IF(AND(ISNUMBER(E87), ISNUMBER(O87)), E87*O87, "")</f>
        <v/>
      </c>
      <c r="L87" s="161" t="str">
        <f t="shared" ref="L87:L92" si="29">IF(AND(ISNUMBER(F87), ISNUMBER(P87)), F87*P87, "")</f>
        <v/>
      </c>
      <c r="M87" s="161" t="str">
        <f t="shared" ref="M87:M92" si="30">IF(AND(ISNUMBER(G87), ISNUMBER(Q87)), G87*Q87, "")</f>
        <v/>
      </c>
      <c r="N87" s="2467" t="str">
        <f t="shared" ref="N87:N92" si="31">IF(AND(ISNUMBER(K87), ISNUMBER(L87), ISNUMBER(M87)), SUM(K87:M87), "")</f>
        <v/>
      </c>
      <c r="O87" s="2429">
        <f>Parameters!F54</f>
        <v>0.15</v>
      </c>
      <c r="P87" s="165">
        <f>Parameters!G54</f>
        <v>0.5</v>
      </c>
      <c r="Q87" s="47">
        <f>Parameters!H54</f>
        <v>1</v>
      </c>
      <c r="R87" s="457"/>
      <c r="S87" s="316">
        <f>IF(ISNUMBER(N87),1,0)</f>
        <v>0</v>
      </c>
    </row>
    <row r="88" spans="1:19" ht="15" customHeight="1" x14ac:dyDescent="0.25">
      <c r="A88" s="389"/>
      <c r="B88" s="2470" t="s">
        <v>251</v>
      </c>
      <c r="C88" s="46"/>
      <c r="D88" s="16"/>
      <c r="E88" s="43"/>
      <c r="F88" s="43"/>
      <c r="G88" s="43"/>
      <c r="H88" s="2467" t="str">
        <f t="shared" si="27"/>
        <v/>
      </c>
      <c r="I88" s="2435"/>
      <c r="J88" s="2436"/>
      <c r="K88" s="161" t="str">
        <f t="shared" si="28"/>
        <v/>
      </c>
      <c r="L88" s="161" t="str">
        <f t="shared" si="29"/>
        <v/>
      </c>
      <c r="M88" s="161" t="str">
        <f t="shared" si="30"/>
        <v/>
      </c>
      <c r="N88" s="2467" t="str">
        <f t="shared" si="31"/>
        <v/>
      </c>
      <c r="O88" s="2429">
        <f>Parameters!F55</f>
        <v>0.15</v>
      </c>
      <c r="P88" s="165">
        <f>Parameters!G55</f>
        <v>0.5</v>
      </c>
      <c r="Q88" s="47">
        <f>Parameters!H55</f>
        <v>1</v>
      </c>
      <c r="R88" s="457"/>
      <c r="S88" s="316">
        <f t="shared" ref="S88:S90" si="32">IF(ISNUMBER(N88),1,0)</f>
        <v>0</v>
      </c>
    </row>
    <row r="89" spans="1:19" ht="15" customHeight="1" x14ac:dyDescent="0.25">
      <c r="A89" s="389"/>
      <c r="B89" s="2470" t="s">
        <v>252</v>
      </c>
      <c r="C89" s="46"/>
      <c r="D89" s="16"/>
      <c r="E89" s="43"/>
      <c r="F89" s="43"/>
      <c r="G89" s="43"/>
      <c r="H89" s="2467" t="str">
        <f t="shared" si="27"/>
        <v/>
      </c>
      <c r="I89" s="2435"/>
      <c r="J89" s="2436"/>
      <c r="K89" s="161" t="str">
        <f t="shared" si="28"/>
        <v/>
      </c>
      <c r="L89" s="161" t="str">
        <f t="shared" si="29"/>
        <v/>
      </c>
      <c r="M89" s="161" t="str">
        <f t="shared" si="30"/>
        <v/>
      </c>
      <c r="N89" s="2467" t="str">
        <f t="shared" si="31"/>
        <v/>
      </c>
      <c r="O89" s="2429">
        <f>Parameters!F56</f>
        <v>0.5</v>
      </c>
      <c r="P89" s="165">
        <f>Parameters!G56</f>
        <v>0.5</v>
      </c>
      <c r="Q89" s="47">
        <f>Parameters!H56</f>
        <v>1</v>
      </c>
      <c r="R89" s="457"/>
      <c r="S89" s="316">
        <f t="shared" si="32"/>
        <v>0</v>
      </c>
    </row>
    <row r="90" spans="1:19" ht="15" customHeight="1" x14ac:dyDescent="0.25">
      <c r="A90" s="389"/>
      <c r="B90" s="2470" t="s">
        <v>253</v>
      </c>
      <c r="C90" s="46"/>
      <c r="D90" s="16"/>
      <c r="E90" s="43"/>
      <c r="F90" s="43"/>
      <c r="G90" s="43"/>
      <c r="H90" s="2467" t="str">
        <f t="shared" si="27"/>
        <v/>
      </c>
      <c r="I90" s="2435"/>
      <c r="J90" s="2436"/>
      <c r="K90" s="161" t="str">
        <f t="shared" si="28"/>
        <v/>
      </c>
      <c r="L90" s="161" t="str">
        <f t="shared" si="29"/>
        <v/>
      </c>
      <c r="M90" s="161" t="str">
        <f t="shared" si="30"/>
        <v/>
      </c>
      <c r="N90" s="2467" t="str">
        <f t="shared" si="31"/>
        <v/>
      </c>
      <c r="O90" s="2429">
        <f>Parameters!F57</f>
        <v>1</v>
      </c>
      <c r="P90" s="165">
        <f>Parameters!G57</f>
        <v>1</v>
      </c>
      <c r="Q90" s="47">
        <f>Parameters!H57</f>
        <v>1</v>
      </c>
      <c r="R90" s="457"/>
      <c r="S90" s="316">
        <f t="shared" si="32"/>
        <v>0</v>
      </c>
    </row>
    <row r="91" spans="1:19" ht="15" customHeight="1" x14ac:dyDescent="0.25">
      <c r="A91" s="389"/>
      <c r="B91" s="2470" t="s">
        <v>2260</v>
      </c>
      <c r="C91" s="46"/>
      <c r="D91" s="16"/>
      <c r="E91" s="43"/>
      <c r="F91" s="43"/>
      <c r="G91" s="43"/>
      <c r="H91" s="2467" t="str">
        <f t="shared" si="27"/>
        <v/>
      </c>
      <c r="I91" s="2435"/>
      <c r="J91" s="2436"/>
      <c r="K91" s="161" t="str">
        <f t="shared" si="28"/>
        <v/>
      </c>
      <c r="L91" s="161" t="str">
        <f t="shared" si="29"/>
        <v/>
      </c>
      <c r="M91" s="161" t="str">
        <f t="shared" si="30"/>
        <v/>
      </c>
      <c r="N91" s="2467" t="str">
        <f t="shared" si="31"/>
        <v/>
      </c>
      <c r="O91" s="2429">
        <f>Parameters!F58</f>
        <v>0</v>
      </c>
      <c r="P91" s="165">
        <f>Parameters!G58</f>
        <v>0</v>
      </c>
      <c r="Q91" s="47">
        <f>Parameters!H58</f>
        <v>0</v>
      </c>
      <c r="R91" s="457"/>
    </row>
    <row r="92" spans="1:19" ht="15" customHeight="1" x14ac:dyDescent="0.25">
      <c r="A92" s="389"/>
      <c r="B92" s="2470" t="s">
        <v>2261</v>
      </c>
      <c r="C92" s="46"/>
      <c r="D92" s="16"/>
      <c r="E92" s="43"/>
      <c r="F92" s="43"/>
      <c r="G92" s="43"/>
      <c r="H92" s="2467" t="str">
        <f t="shared" si="27"/>
        <v/>
      </c>
      <c r="I92" s="2435"/>
      <c r="J92" s="2436"/>
      <c r="K92" s="161" t="str">
        <f t="shared" si="28"/>
        <v/>
      </c>
      <c r="L92" s="161" t="str">
        <f t="shared" si="29"/>
        <v/>
      </c>
      <c r="M92" s="161" t="str">
        <f t="shared" si="30"/>
        <v/>
      </c>
      <c r="N92" s="2467" t="str">
        <f t="shared" si="31"/>
        <v/>
      </c>
      <c r="O92" s="2429">
        <f>Parameters!F59</f>
        <v>0</v>
      </c>
      <c r="P92" s="165">
        <f>Parameters!G59</f>
        <v>0</v>
      </c>
      <c r="Q92" s="47">
        <f>Parameters!H59</f>
        <v>0</v>
      </c>
      <c r="R92" s="457"/>
    </row>
    <row r="93" spans="1:19" ht="15" hidden="1" customHeight="1" x14ac:dyDescent="0.25">
      <c r="A93" s="389"/>
      <c r="B93" s="2471"/>
      <c r="C93" s="46"/>
      <c r="D93" s="16"/>
      <c r="E93" s="2334"/>
      <c r="F93" s="2334"/>
      <c r="G93" s="2334"/>
      <c r="H93" s="2457"/>
      <c r="I93" s="2435"/>
      <c r="J93" s="2436"/>
      <c r="K93" s="683"/>
      <c r="L93" s="2475"/>
      <c r="M93" s="683"/>
      <c r="N93" s="2458"/>
      <c r="O93" s="2459"/>
      <c r="P93" s="2496"/>
      <c r="Q93" s="2428"/>
      <c r="R93" s="457"/>
    </row>
    <row r="94" spans="1:19" ht="15" hidden="1" customHeight="1" x14ac:dyDescent="0.25">
      <c r="A94" s="389"/>
      <c r="B94" s="2471"/>
      <c r="C94" s="46"/>
      <c r="D94" s="16"/>
      <c r="E94" s="2334"/>
      <c r="F94" s="2334"/>
      <c r="G94" s="2334"/>
      <c r="H94" s="2457"/>
      <c r="I94" s="2435"/>
      <c r="J94" s="2436"/>
      <c r="K94" s="683"/>
      <c r="L94" s="2475"/>
      <c r="M94" s="683"/>
      <c r="N94" s="2458"/>
      <c r="O94" s="2459"/>
      <c r="P94" s="2496"/>
      <c r="Q94" s="2428"/>
      <c r="R94" s="457"/>
    </row>
    <row r="95" spans="1:19" ht="45" customHeight="1" x14ac:dyDescent="0.25">
      <c r="A95" s="389"/>
      <c r="B95" s="2468" t="s">
        <v>244</v>
      </c>
      <c r="C95" s="2419" t="s">
        <v>1579</v>
      </c>
      <c r="D95" s="2481"/>
      <c r="E95" s="162"/>
      <c r="F95" s="162"/>
      <c r="G95" s="162"/>
      <c r="H95" s="1556" t="str">
        <f>IF(AND(ISNUMBER(H96), ISNUMBER(H97), ISNUMBER(H98), ISNUMBER(H99), ISNUMBER(H100), ISNUMBER(H101)), SUM(H96:H101), "")</f>
        <v/>
      </c>
      <c r="I95" s="2435"/>
      <c r="J95" s="2436"/>
      <c r="K95" s="46"/>
      <c r="L95" s="46"/>
      <c r="M95" s="46"/>
      <c r="N95" s="1556" t="str">
        <f>IF(AND(ISNUMBER(N96), ISNUMBER(N97), ISNUMBER(N98), ISNUMBER(N99), ISNUMBER(N100), ISNUMBER(N101)), SUM(N96:N101), "")</f>
        <v/>
      </c>
      <c r="O95" s="2427"/>
      <c r="P95" s="46"/>
      <c r="Q95" s="163"/>
      <c r="R95" s="457"/>
    </row>
    <row r="96" spans="1:19" ht="15" customHeight="1" x14ac:dyDescent="0.25">
      <c r="A96" s="389"/>
      <c r="B96" s="2470" t="s">
        <v>154</v>
      </c>
      <c r="C96" s="46"/>
      <c r="D96" s="16"/>
      <c r="E96" s="43"/>
      <c r="F96" s="43"/>
      <c r="G96" s="43"/>
      <c r="H96" s="2467" t="str">
        <f t="shared" ref="H96:H101" si="33">IF(AND(ISNUMBER(E96), ISNUMBER(F96), ISNUMBER(G96)), SUM(E96:G96), "")</f>
        <v/>
      </c>
      <c r="I96" s="2435"/>
      <c r="J96" s="2436"/>
      <c r="K96" s="161" t="str">
        <f t="shared" ref="K96:K101" si="34">IF(AND(ISNUMBER(E96), ISNUMBER(O96)), E96*O96, "")</f>
        <v/>
      </c>
      <c r="L96" s="161" t="str">
        <f t="shared" ref="L96:L101" si="35">IF(AND(ISNUMBER(F96), ISNUMBER(P96)), F96*P96, "")</f>
        <v/>
      </c>
      <c r="M96" s="161" t="str">
        <f t="shared" ref="M96:M101" si="36">IF(AND(ISNUMBER(G96), ISNUMBER(Q96)), G96*Q96, "")</f>
        <v/>
      </c>
      <c r="N96" s="2467" t="str">
        <f t="shared" ref="N96:N101" si="37">IF(AND(ISNUMBER(K96), ISNUMBER(L96), ISNUMBER(M96)), SUM(K96:M96), "")</f>
        <v/>
      </c>
      <c r="O96" s="2429">
        <f>Parameters!F63</f>
        <v>0.15</v>
      </c>
      <c r="P96" s="165">
        <f>Parameters!G63</f>
        <v>0.5</v>
      </c>
      <c r="Q96" s="47">
        <f>Parameters!H63</f>
        <v>1</v>
      </c>
      <c r="R96" s="457"/>
      <c r="S96" s="316">
        <f>IF(ISNUMBER(N96),1,0)</f>
        <v>0</v>
      </c>
    </row>
    <row r="97" spans="1:19" ht="15" customHeight="1" x14ac:dyDescent="0.25">
      <c r="A97" s="389"/>
      <c r="B97" s="2470" t="s">
        <v>251</v>
      </c>
      <c r="C97" s="46"/>
      <c r="D97" s="16"/>
      <c r="E97" s="43"/>
      <c r="F97" s="43"/>
      <c r="G97" s="43"/>
      <c r="H97" s="2467" t="str">
        <f t="shared" si="33"/>
        <v/>
      </c>
      <c r="I97" s="2435"/>
      <c r="J97" s="2436"/>
      <c r="K97" s="161" t="str">
        <f t="shared" si="34"/>
        <v/>
      </c>
      <c r="L97" s="161" t="str">
        <f t="shared" si="35"/>
        <v/>
      </c>
      <c r="M97" s="161" t="str">
        <f t="shared" si="36"/>
        <v/>
      </c>
      <c r="N97" s="2467" t="str">
        <f t="shared" si="37"/>
        <v/>
      </c>
      <c r="O97" s="2429">
        <f>Parameters!F64</f>
        <v>0.15</v>
      </c>
      <c r="P97" s="165">
        <f>Parameters!G64</f>
        <v>0.5</v>
      </c>
      <c r="Q97" s="47">
        <f>Parameters!H64</f>
        <v>1</v>
      </c>
      <c r="R97" s="457"/>
      <c r="S97" s="316">
        <f t="shared" ref="S97:S99" si="38">IF(ISNUMBER(N97),1,0)</f>
        <v>0</v>
      </c>
    </row>
    <row r="98" spans="1:19" ht="15" customHeight="1" x14ac:dyDescent="0.25">
      <c r="A98" s="389"/>
      <c r="B98" s="2470" t="s">
        <v>252</v>
      </c>
      <c r="C98" s="46"/>
      <c r="D98" s="16"/>
      <c r="E98" s="43"/>
      <c r="F98" s="43"/>
      <c r="G98" s="43"/>
      <c r="H98" s="2467" t="str">
        <f t="shared" si="33"/>
        <v/>
      </c>
      <c r="I98" s="2435"/>
      <c r="J98" s="2436"/>
      <c r="K98" s="161" t="str">
        <f t="shared" si="34"/>
        <v/>
      </c>
      <c r="L98" s="161" t="str">
        <f t="shared" si="35"/>
        <v/>
      </c>
      <c r="M98" s="161" t="str">
        <f t="shared" si="36"/>
        <v/>
      </c>
      <c r="N98" s="2467" t="str">
        <f t="shared" si="37"/>
        <v/>
      </c>
      <c r="O98" s="2429">
        <f>Parameters!F65</f>
        <v>0.5</v>
      </c>
      <c r="P98" s="165">
        <f>Parameters!G65</f>
        <v>0.5</v>
      </c>
      <c r="Q98" s="47">
        <f>Parameters!H65</f>
        <v>1</v>
      </c>
      <c r="R98" s="457"/>
      <c r="S98" s="316">
        <f t="shared" si="38"/>
        <v>0</v>
      </c>
    </row>
    <row r="99" spans="1:19" ht="15" customHeight="1" x14ac:dyDescent="0.25">
      <c r="A99" s="389"/>
      <c r="B99" s="2470" t="s">
        <v>253</v>
      </c>
      <c r="C99" s="46"/>
      <c r="D99" s="16"/>
      <c r="E99" s="43"/>
      <c r="F99" s="43"/>
      <c r="G99" s="43"/>
      <c r="H99" s="2467" t="str">
        <f t="shared" si="33"/>
        <v/>
      </c>
      <c r="I99" s="2435"/>
      <c r="J99" s="2436"/>
      <c r="K99" s="161" t="str">
        <f t="shared" si="34"/>
        <v/>
      </c>
      <c r="L99" s="161" t="str">
        <f t="shared" si="35"/>
        <v/>
      </c>
      <c r="M99" s="161" t="str">
        <f t="shared" si="36"/>
        <v/>
      </c>
      <c r="N99" s="2467" t="str">
        <f t="shared" si="37"/>
        <v/>
      </c>
      <c r="O99" s="2429">
        <f>Parameters!F66</f>
        <v>1</v>
      </c>
      <c r="P99" s="165">
        <f>Parameters!G66</f>
        <v>1</v>
      </c>
      <c r="Q99" s="47">
        <f>Parameters!H66</f>
        <v>1</v>
      </c>
      <c r="R99" s="457"/>
      <c r="S99" s="316">
        <f t="shared" si="38"/>
        <v>0</v>
      </c>
    </row>
    <row r="100" spans="1:19" ht="15" customHeight="1" x14ac:dyDescent="0.25">
      <c r="A100" s="389"/>
      <c r="B100" s="2470" t="s">
        <v>2260</v>
      </c>
      <c r="C100" s="46"/>
      <c r="D100" s="16"/>
      <c r="E100" s="43"/>
      <c r="F100" s="43"/>
      <c r="G100" s="43"/>
      <c r="H100" s="2467" t="str">
        <f t="shared" si="33"/>
        <v/>
      </c>
      <c r="I100" s="2435"/>
      <c r="J100" s="2436"/>
      <c r="K100" s="161" t="str">
        <f t="shared" si="34"/>
        <v/>
      </c>
      <c r="L100" s="161" t="str">
        <f t="shared" si="35"/>
        <v/>
      </c>
      <c r="M100" s="161" t="str">
        <f t="shared" si="36"/>
        <v/>
      </c>
      <c r="N100" s="2467" t="str">
        <f t="shared" si="37"/>
        <v/>
      </c>
      <c r="O100" s="2429">
        <f>Parameters!F67</f>
        <v>0</v>
      </c>
      <c r="P100" s="165">
        <f>Parameters!G67</f>
        <v>0</v>
      </c>
      <c r="Q100" s="47">
        <f>Parameters!H67</f>
        <v>0</v>
      </c>
      <c r="R100" s="457"/>
    </row>
    <row r="101" spans="1:19" ht="15" customHeight="1" x14ac:dyDescent="0.25">
      <c r="A101" s="389"/>
      <c r="B101" s="2470" t="s">
        <v>2261</v>
      </c>
      <c r="C101" s="46"/>
      <c r="D101" s="16"/>
      <c r="E101" s="43"/>
      <c r="F101" s="43"/>
      <c r="G101" s="43"/>
      <c r="H101" s="2467" t="str">
        <f t="shared" si="33"/>
        <v/>
      </c>
      <c r="I101" s="2435"/>
      <c r="J101" s="2436"/>
      <c r="K101" s="161" t="str">
        <f t="shared" si="34"/>
        <v/>
      </c>
      <c r="L101" s="161" t="str">
        <f t="shared" si="35"/>
        <v/>
      </c>
      <c r="M101" s="161" t="str">
        <f t="shared" si="36"/>
        <v/>
      </c>
      <c r="N101" s="2467" t="str">
        <f t="shared" si="37"/>
        <v/>
      </c>
      <c r="O101" s="2429">
        <f>Parameters!F68</f>
        <v>0</v>
      </c>
      <c r="P101" s="165">
        <f>Parameters!G68</f>
        <v>0</v>
      </c>
      <c r="Q101" s="47">
        <f>Parameters!H68</f>
        <v>0</v>
      </c>
      <c r="R101" s="457"/>
    </row>
    <row r="102" spans="1:19" ht="15" hidden="1" customHeight="1" x14ac:dyDescent="0.25">
      <c r="A102" s="389"/>
      <c r="B102" s="2471"/>
      <c r="C102" s="46"/>
      <c r="D102" s="16"/>
      <c r="E102" s="2334"/>
      <c r="F102" s="2334"/>
      <c r="G102" s="2334"/>
      <c r="H102" s="2457"/>
      <c r="I102" s="2435"/>
      <c r="J102" s="2436"/>
      <c r="K102" s="683"/>
      <c r="L102" s="2475"/>
      <c r="M102" s="683"/>
      <c r="N102" s="2458"/>
      <c r="O102" s="2459"/>
      <c r="P102" s="2496"/>
      <c r="Q102" s="2428"/>
      <c r="R102" s="457"/>
    </row>
    <row r="103" spans="1:19" ht="15" hidden="1" customHeight="1" x14ac:dyDescent="0.25">
      <c r="A103" s="389"/>
      <c r="B103" s="2471"/>
      <c r="C103" s="46"/>
      <c r="D103" s="16"/>
      <c r="E103" s="2334"/>
      <c r="F103" s="2334"/>
      <c r="G103" s="2334"/>
      <c r="H103" s="2457"/>
      <c r="I103" s="2435"/>
      <c r="J103" s="2436"/>
      <c r="K103" s="683"/>
      <c r="L103" s="2475"/>
      <c r="M103" s="683"/>
      <c r="N103" s="2458"/>
      <c r="O103" s="2459"/>
      <c r="P103" s="2496"/>
      <c r="Q103" s="2428"/>
      <c r="R103" s="457"/>
    </row>
    <row r="104" spans="1:19" ht="15" hidden="1" customHeight="1" x14ac:dyDescent="0.25">
      <c r="A104" s="389"/>
      <c r="B104" s="2471"/>
      <c r="C104" s="46"/>
      <c r="D104" s="16"/>
      <c r="E104" s="2334"/>
      <c r="F104" s="2334"/>
      <c r="G104" s="2334"/>
      <c r="H104" s="2457"/>
      <c r="I104" s="2435"/>
      <c r="J104" s="2436"/>
      <c r="K104" s="683"/>
      <c r="L104" s="2475"/>
      <c r="M104" s="683"/>
      <c r="N104" s="2458"/>
      <c r="O104" s="2459"/>
      <c r="P104" s="2496"/>
      <c r="Q104" s="2428"/>
      <c r="R104" s="457"/>
    </row>
    <row r="105" spans="1:19" ht="15" hidden="1" customHeight="1" x14ac:dyDescent="0.25">
      <c r="A105" s="389"/>
      <c r="B105" s="2471"/>
      <c r="C105" s="46"/>
      <c r="D105" s="16"/>
      <c r="E105" s="2334"/>
      <c r="F105" s="2334"/>
      <c r="G105" s="2334"/>
      <c r="H105" s="2457"/>
      <c r="I105" s="2435"/>
      <c r="J105" s="2436"/>
      <c r="K105" s="683"/>
      <c r="L105" s="2475"/>
      <c r="M105" s="683"/>
      <c r="N105" s="2458"/>
      <c r="O105" s="2459"/>
      <c r="P105" s="2496"/>
      <c r="Q105" s="2428"/>
      <c r="R105" s="457"/>
    </row>
    <row r="106" spans="1:19" ht="15" hidden="1" customHeight="1" x14ac:dyDescent="0.25">
      <c r="A106" s="389"/>
      <c r="B106" s="2471"/>
      <c r="C106" s="46"/>
      <c r="D106" s="16"/>
      <c r="E106" s="2334"/>
      <c r="F106" s="2334"/>
      <c r="G106" s="2334"/>
      <c r="H106" s="2457"/>
      <c r="I106" s="2435"/>
      <c r="J106" s="2436"/>
      <c r="K106" s="683"/>
      <c r="L106" s="2475"/>
      <c r="M106" s="683"/>
      <c r="N106" s="2458"/>
      <c r="O106" s="2459"/>
      <c r="P106" s="2496"/>
      <c r="Q106" s="2428"/>
      <c r="R106" s="457"/>
    </row>
    <row r="107" spans="1:19" ht="15" hidden="1" customHeight="1" x14ac:dyDescent="0.25">
      <c r="A107" s="389"/>
      <c r="B107" s="2471"/>
      <c r="C107" s="46"/>
      <c r="D107" s="16"/>
      <c r="E107" s="2334"/>
      <c r="F107" s="2334"/>
      <c r="G107" s="2334"/>
      <c r="H107" s="2457"/>
      <c r="I107" s="2435"/>
      <c r="J107" s="2436"/>
      <c r="K107" s="683"/>
      <c r="L107" s="2475"/>
      <c r="M107" s="683"/>
      <c r="N107" s="2458"/>
      <c r="O107" s="2459"/>
      <c r="P107" s="2496"/>
      <c r="Q107" s="2428"/>
      <c r="R107" s="457"/>
    </row>
    <row r="108" spans="1:19" ht="15" hidden="1" customHeight="1" x14ac:dyDescent="0.25">
      <c r="A108" s="389"/>
      <c r="B108" s="2471"/>
      <c r="C108" s="46"/>
      <c r="D108" s="16"/>
      <c r="E108" s="2334"/>
      <c r="F108" s="2334"/>
      <c r="G108" s="2334"/>
      <c r="H108" s="2457"/>
      <c r="I108" s="2435"/>
      <c r="J108" s="2436"/>
      <c r="K108" s="683"/>
      <c r="L108" s="2475"/>
      <c r="M108" s="683"/>
      <c r="N108" s="2458"/>
      <c r="O108" s="2459"/>
      <c r="P108" s="2496"/>
      <c r="Q108" s="2428"/>
      <c r="R108" s="457"/>
    </row>
    <row r="109" spans="1:19" ht="15" hidden="1" customHeight="1" x14ac:dyDescent="0.25">
      <c r="A109" s="389"/>
      <c r="B109" s="2471"/>
      <c r="C109" s="46"/>
      <c r="D109" s="16"/>
      <c r="E109" s="2334"/>
      <c r="F109" s="2334"/>
      <c r="G109" s="2334"/>
      <c r="H109" s="2457"/>
      <c r="I109" s="2435"/>
      <c r="J109" s="2436"/>
      <c r="K109" s="683"/>
      <c r="L109" s="2475"/>
      <c r="M109" s="683"/>
      <c r="N109" s="2458"/>
      <c r="O109" s="2459"/>
      <c r="P109" s="2496"/>
      <c r="Q109" s="2428"/>
      <c r="R109" s="457"/>
    </row>
    <row r="110" spans="1:19" ht="15" hidden="1" customHeight="1" x14ac:dyDescent="0.25">
      <c r="A110" s="389"/>
      <c r="B110" s="2471"/>
      <c r="C110" s="46"/>
      <c r="D110" s="16"/>
      <c r="E110" s="2334"/>
      <c r="F110" s="2334"/>
      <c r="G110" s="2334"/>
      <c r="H110" s="2457"/>
      <c r="I110" s="2435"/>
      <c r="J110" s="2436"/>
      <c r="K110" s="683"/>
      <c r="L110" s="2475"/>
      <c r="M110" s="683"/>
      <c r="N110" s="2458"/>
      <c r="O110" s="2459"/>
      <c r="P110" s="2496"/>
      <c r="Q110" s="2428"/>
      <c r="R110" s="457"/>
    </row>
    <row r="111" spans="1:19" ht="15" hidden="1" customHeight="1" x14ac:dyDescent="0.25">
      <c r="A111" s="389"/>
      <c r="B111" s="2471"/>
      <c r="C111" s="46"/>
      <c r="D111" s="16"/>
      <c r="E111" s="2334"/>
      <c r="F111" s="2334"/>
      <c r="G111" s="2334"/>
      <c r="H111" s="2457"/>
      <c r="I111" s="2435"/>
      <c r="J111" s="2436"/>
      <c r="K111" s="683"/>
      <c r="L111" s="2475"/>
      <c r="M111" s="683"/>
      <c r="N111" s="2458"/>
      <c r="O111" s="2459"/>
      <c r="P111" s="2496"/>
      <c r="Q111" s="2428"/>
      <c r="R111" s="457"/>
    </row>
    <row r="112" spans="1:19" ht="15" hidden="1" customHeight="1" x14ac:dyDescent="0.25">
      <c r="A112" s="389"/>
      <c r="B112" s="2471"/>
      <c r="C112" s="46"/>
      <c r="D112" s="16"/>
      <c r="E112" s="2334"/>
      <c r="F112" s="2334"/>
      <c r="G112" s="2334"/>
      <c r="H112" s="2457"/>
      <c r="I112" s="2435"/>
      <c r="J112" s="2436"/>
      <c r="K112" s="683"/>
      <c r="L112" s="2475"/>
      <c r="M112" s="683"/>
      <c r="N112" s="2458"/>
      <c r="O112" s="2459"/>
      <c r="P112" s="2496"/>
      <c r="Q112" s="2428"/>
      <c r="R112" s="457"/>
    </row>
    <row r="113" spans="1:19" ht="30" customHeight="1" x14ac:dyDescent="0.25">
      <c r="A113" s="389"/>
      <c r="B113" s="2472" t="s">
        <v>2262</v>
      </c>
      <c r="C113" s="2465"/>
      <c r="D113" s="2481"/>
      <c r="E113" s="162"/>
      <c r="F113" s="162"/>
      <c r="G113" s="162"/>
      <c r="H113" s="2508" t="str">
        <f>IF(AND(ISNUMBER(H114), ISNUMBER(H123), ISNUMBER(H132)), H114+H123+H132, "")</f>
        <v/>
      </c>
      <c r="I113" s="2435"/>
      <c r="J113" s="2436"/>
      <c r="K113" s="46"/>
      <c r="L113" s="162"/>
      <c r="M113" s="162"/>
      <c r="N113" s="2508" t="str">
        <f>IF(AND(ISNUMBER(N114), ISNUMBER(N123), ISNUMBER(N132)), N114+N123+N132, "")</f>
        <v/>
      </c>
      <c r="O113" s="2427"/>
      <c r="P113" s="162"/>
      <c r="Q113" s="163"/>
      <c r="R113" s="457"/>
    </row>
    <row r="114" spans="1:19" ht="30" customHeight="1" x14ac:dyDescent="0.25">
      <c r="A114" s="389"/>
      <c r="B114" s="2468" t="s">
        <v>262</v>
      </c>
      <c r="C114" s="2419" t="s">
        <v>1580</v>
      </c>
      <c r="D114" s="2481"/>
      <c r="E114" s="162"/>
      <c r="F114" s="162"/>
      <c r="G114" s="162"/>
      <c r="H114" s="1556" t="str">
        <f>IF(AND(ISNUMBER(H115), ISNUMBER(H116), ISNUMBER(H117), ISNUMBER(H118), ISNUMBER(H119), ISNUMBER(H120)), SUM(H115:H120), "")</f>
        <v/>
      </c>
      <c r="I114" s="2435"/>
      <c r="J114" s="2436"/>
      <c r="K114" s="46"/>
      <c r="L114" s="162"/>
      <c r="M114" s="162"/>
      <c r="N114" s="1556" t="str">
        <f>IF(AND(ISNUMBER(N115), ISNUMBER(N116), ISNUMBER(N117), ISNUMBER(N118), ISNUMBER(N119), ISNUMBER(N120)), SUM(N115:N120), "")</f>
        <v/>
      </c>
      <c r="O114" s="2427"/>
      <c r="P114" s="162"/>
      <c r="Q114" s="163"/>
      <c r="R114" s="457"/>
    </row>
    <row r="115" spans="1:19" ht="15" customHeight="1" x14ac:dyDescent="0.25">
      <c r="A115" s="389"/>
      <c r="B115" s="2470" t="s">
        <v>154</v>
      </c>
      <c r="C115" s="46"/>
      <c r="D115" s="16"/>
      <c r="E115" s="43"/>
      <c r="F115" s="43"/>
      <c r="G115" s="43"/>
      <c r="H115" s="2467" t="str">
        <f t="shared" ref="H115:H120" si="39">IF(AND(ISNUMBER(E115), ISNUMBER(F115), ISNUMBER(G115)), SUM(E115:G115), "")</f>
        <v/>
      </c>
      <c r="I115" s="2435"/>
      <c r="J115" s="2436"/>
      <c r="K115" s="161" t="str">
        <f t="shared" ref="K115:K120" si="40">IF(AND(ISNUMBER(E115), ISNUMBER(O115)), E115*O115, "")</f>
        <v/>
      </c>
      <c r="L115" s="161" t="str">
        <f t="shared" ref="L115:L120" si="41">IF(AND(ISNUMBER(F115), ISNUMBER(P115)), F115*P115, "")</f>
        <v/>
      </c>
      <c r="M115" s="161" t="str">
        <f t="shared" ref="M115:M120" si="42">IF(AND(ISNUMBER(G115), ISNUMBER(Q115)), G115*Q115, "")</f>
        <v/>
      </c>
      <c r="N115" s="2467" t="str">
        <f t="shared" ref="N115:N120" si="43">IF(AND(ISNUMBER(K115), ISNUMBER(L115), ISNUMBER(M115)), SUM(K115:M115), "")</f>
        <v/>
      </c>
      <c r="O115" s="2429">
        <f>Parameters!F82</f>
        <v>0.05</v>
      </c>
      <c r="P115" s="165">
        <f>Parameters!G82</f>
        <v>0.05</v>
      </c>
      <c r="Q115" s="47">
        <f>Parameters!H82</f>
        <v>0.05</v>
      </c>
      <c r="R115" s="457"/>
      <c r="S115" s="316">
        <f>IF(ISNUMBER(N115),1,0)</f>
        <v>0</v>
      </c>
    </row>
    <row r="116" spans="1:19" ht="15" customHeight="1" x14ac:dyDescent="0.25">
      <c r="A116" s="389"/>
      <c r="B116" s="2470" t="s">
        <v>251</v>
      </c>
      <c r="C116" s="46"/>
      <c r="D116" s="16"/>
      <c r="E116" s="43"/>
      <c r="F116" s="43"/>
      <c r="G116" s="43"/>
      <c r="H116" s="2467" t="str">
        <f t="shared" si="39"/>
        <v/>
      </c>
      <c r="I116" s="2435"/>
      <c r="J116" s="2436"/>
      <c r="K116" s="161" t="str">
        <f t="shared" si="40"/>
        <v/>
      </c>
      <c r="L116" s="161" t="str">
        <f t="shared" si="41"/>
        <v/>
      </c>
      <c r="M116" s="161" t="str">
        <f t="shared" si="42"/>
        <v/>
      </c>
      <c r="N116" s="2467" t="str">
        <f t="shared" si="43"/>
        <v/>
      </c>
      <c r="O116" s="2429">
        <f>Parameters!F83</f>
        <v>0.05</v>
      </c>
      <c r="P116" s="165">
        <f>Parameters!G83</f>
        <v>0.05</v>
      </c>
      <c r="Q116" s="47">
        <f>Parameters!H83</f>
        <v>0.05</v>
      </c>
      <c r="R116" s="457"/>
      <c r="S116" s="316">
        <f t="shared" ref="S116:S118" si="44">IF(ISNUMBER(N116),1,0)</f>
        <v>0</v>
      </c>
    </row>
    <row r="117" spans="1:19" ht="15" customHeight="1" x14ac:dyDescent="0.25">
      <c r="A117" s="389"/>
      <c r="B117" s="2470" t="s">
        <v>252</v>
      </c>
      <c r="C117" s="46"/>
      <c r="D117" s="16"/>
      <c r="E117" s="43"/>
      <c r="F117" s="43"/>
      <c r="G117" s="43"/>
      <c r="H117" s="2467" t="str">
        <f t="shared" si="39"/>
        <v/>
      </c>
      <c r="I117" s="2435"/>
      <c r="J117" s="2436"/>
      <c r="K117" s="161" t="str">
        <f t="shared" si="40"/>
        <v/>
      </c>
      <c r="L117" s="161" t="str">
        <f t="shared" si="41"/>
        <v/>
      </c>
      <c r="M117" s="161" t="str">
        <f t="shared" si="42"/>
        <v/>
      </c>
      <c r="N117" s="2467" t="str">
        <f t="shared" si="43"/>
        <v/>
      </c>
      <c r="O117" s="2429">
        <f>Parameters!F84</f>
        <v>0.5</v>
      </c>
      <c r="P117" s="165">
        <f>Parameters!G84</f>
        <v>0.5</v>
      </c>
      <c r="Q117" s="47">
        <f>Parameters!H84</f>
        <v>0.5</v>
      </c>
      <c r="R117" s="457"/>
      <c r="S117" s="316">
        <f t="shared" si="44"/>
        <v>0</v>
      </c>
    </row>
    <row r="118" spans="1:19" ht="15" customHeight="1" x14ac:dyDescent="0.25">
      <c r="A118" s="389"/>
      <c r="B118" s="2470" t="s">
        <v>253</v>
      </c>
      <c r="C118" s="46"/>
      <c r="D118" s="16"/>
      <c r="E118" s="43"/>
      <c r="F118" s="43"/>
      <c r="G118" s="43"/>
      <c r="H118" s="2467" t="str">
        <f t="shared" si="39"/>
        <v/>
      </c>
      <c r="I118" s="2435"/>
      <c r="J118" s="2436"/>
      <c r="K118" s="161" t="str">
        <f t="shared" si="40"/>
        <v/>
      </c>
      <c r="L118" s="161" t="str">
        <f t="shared" si="41"/>
        <v/>
      </c>
      <c r="M118" s="161" t="str">
        <f t="shared" si="42"/>
        <v/>
      </c>
      <c r="N118" s="2467" t="str">
        <f t="shared" si="43"/>
        <v/>
      </c>
      <c r="O118" s="2429">
        <f>Parameters!F85</f>
        <v>1</v>
      </c>
      <c r="P118" s="165">
        <f>Parameters!G85</f>
        <v>1</v>
      </c>
      <c r="Q118" s="47">
        <f>Parameters!H85</f>
        <v>1</v>
      </c>
      <c r="R118" s="457"/>
      <c r="S118" s="316">
        <f t="shared" si="44"/>
        <v>0</v>
      </c>
    </row>
    <row r="119" spans="1:19" ht="15" customHeight="1" x14ac:dyDescent="0.25">
      <c r="A119" s="389"/>
      <c r="B119" s="2470" t="s">
        <v>2260</v>
      </c>
      <c r="C119" s="46"/>
      <c r="D119" s="16"/>
      <c r="E119" s="43"/>
      <c r="F119" s="43"/>
      <c r="G119" s="43"/>
      <c r="H119" s="2467" t="str">
        <f t="shared" si="39"/>
        <v/>
      </c>
      <c r="I119" s="2435"/>
      <c r="J119" s="2436"/>
      <c r="K119" s="161" t="str">
        <f t="shared" si="40"/>
        <v/>
      </c>
      <c r="L119" s="161" t="str">
        <f t="shared" si="41"/>
        <v/>
      </c>
      <c r="M119" s="161" t="str">
        <f t="shared" si="42"/>
        <v/>
      </c>
      <c r="N119" s="2467" t="str">
        <f t="shared" si="43"/>
        <v/>
      </c>
      <c r="O119" s="2429">
        <f>Parameters!F86</f>
        <v>0</v>
      </c>
      <c r="P119" s="165">
        <f>Parameters!G86</f>
        <v>0</v>
      </c>
      <c r="Q119" s="47">
        <f>Parameters!H86</f>
        <v>0</v>
      </c>
      <c r="R119" s="457"/>
    </row>
    <row r="120" spans="1:19" ht="15" customHeight="1" x14ac:dyDescent="0.25">
      <c r="A120" s="389"/>
      <c r="B120" s="2470" t="s">
        <v>2261</v>
      </c>
      <c r="C120" s="46"/>
      <c r="D120" s="16"/>
      <c r="E120" s="43"/>
      <c r="F120" s="43"/>
      <c r="G120" s="43"/>
      <c r="H120" s="2467" t="str">
        <f t="shared" si="39"/>
        <v/>
      </c>
      <c r="I120" s="2435"/>
      <c r="J120" s="2436"/>
      <c r="K120" s="161" t="str">
        <f t="shared" si="40"/>
        <v/>
      </c>
      <c r="L120" s="161" t="str">
        <f t="shared" si="41"/>
        <v/>
      </c>
      <c r="M120" s="161" t="str">
        <f t="shared" si="42"/>
        <v/>
      </c>
      <c r="N120" s="2467" t="str">
        <f t="shared" si="43"/>
        <v/>
      </c>
      <c r="O120" s="2429">
        <f>Parameters!F87</f>
        <v>0</v>
      </c>
      <c r="P120" s="165">
        <f>Parameters!G87</f>
        <v>0</v>
      </c>
      <c r="Q120" s="47">
        <f>Parameters!H87</f>
        <v>0</v>
      </c>
      <c r="R120" s="457"/>
    </row>
    <row r="121" spans="1:19" ht="15" hidden="1" customHeight="1" x14ac:dyDescent="0.25">
      <c r="A121" s="389"/>
      <c r="B121" s="2471"/>
      <c r="C121" s="46"/>
      <c r="D121" s="16"/>
      <c r="E121" s="2334"/>
      <c r="F121" s="2334"/>
      <c r="G121" s="2334"/>
      <c r="H121" s="2457"/>
      <c r="I121" s="2435"/>
      <c r="J121" s="2436"/>
      <c r="K121" s="683"/>
      <c r="L121" s="2475"/>
      <c r="M121" s="683"/>
      <c r="N121" s="2458"/>
      <c r="O121" s="2459"/>
      <c r="P121" s="2496"/>
      <c r="Q121" s="2428"/>
      <c r="R121" s="457"/>
    </row>
    <row r="122" spans="1:19" ht="15" hidden="1" customHeight="1" x14ac:dyDescent="0.25">
      <c r="A122" s="389"/>
      <c r="B122" s="2471"/>
      <c r="C122" s="46"/>
      <c r="D122" s="16"/>
      <c r="E122" s="2334"/>
      <c r="F122" s="2334"/>
      <c r="G122" s="2334"/>
      <c r="H122" s="2457"/>
      <c r="I122" s="2435"/>
      <c r="J122" s="2436"/>
      <c r="K122" s="683"/>
      <c r="L122" s="2475"/>
      <c r="M122" s="683"/>
      <c r="N122" s="2458"/>
      <c r="O122" s="2459"/>
      <c r="P122" s="2496"/>
      <c r="Q122" s="2428"/>
      <c r="R122" s="457"/>
    </row>
    <row r="123" spans="1:19" ht="30" customHeight="1" x14ac:dyDescent="0.25">
      <c r="A123" s="389"/>
      <c r="B123" s="2468" t="s">
        <v>263</v>
      </c>
      <c r="C123" s="2419" t="s">
        <v>1581</v>
      </c>
      <c r="D123" s="2481"/>
      <c r="E123" s="162"/>
      <c r="F123" s="162"/>
      <c r="G123" s="162"/>
      <c r="H123" s="1556" t="str">
        <f>IF(AND(ISNUMBER(H124), ISNUMBER(H125), ISNUMBER(H126), ISNUMBER(H127), ISNUMBER(H128), ISNUMBER(H129)), SUM(H124:H129), "")</f>
        <v/>
      </c>
      <c r="I123" s="2435"/>
      <c r="J123" s="2436"/>
      <c r="K123" s="46"/>
      <c r="L123" s="162"/>
      <c r="M123" s="162"/>
      <c r="N123" s="1556" t="str">
        <f>IF(AND(ISNUMBER(N124), ISNUMBER(N125), ISNUMBER(N126), ISNUMBER(N127), ISNUMBER(N128), ISNUMBER(N129)), SUM(N124:N129), "")</f>
        <v/>
      </c>
      <c r="O123" s="2427"/>
      <c r="P123" s="162"/>
      <c r="Q123" s="163"/>
      <c r="R123" s="457"/>
    </row>
    <row r="124" spans="1:19" ht="15" customHeight="1" x14ac:dyDescent="0.25">
      <c r="A124" s="389"/>
      <c r="B124" s="2470" t="s">
        <v>154</v>
      </c>
      <c r="C124" s="46"/>
      <c r="D124" s="16"/>
      <c r="E124" s="43"/>
      <c r="F124" s="43"/>
      <c r="G124" s="43"/>
      <c r="H124" s="2467" t="str">
        <f t="shared" ref="H124:H129" si="45">IF(AND(ISNUMBER(E124), ISNUMBER(F124), ISNUMBER(G124)), SUM(E124:G124), "")</f>
        <v/>
      </c>
      <c r="I124" s="2435"/>
      <c r="J124" s="2436"/>
      <c r="K124" s="161" t="str">
        <f t="shared" ref="K124:K129" si="46">IF(AND(ISNUMBER(E124), ISNUMBER(O124)), E124*O124, "")</f>
        <v/>
      </c>
      <c r="L124" s="161" t="str">
        <f t="shared" ref="L124:L129" si="47">IF(AND(ISNUMBER(F124), ISNUMBER(P124)), F124*P124, "")</f>
        <v/>
      </c>
      <c r="M124" s="161" t="str">
        <f t="shared" ref="M124:M129" si="48">IF(AND(ISNUMBER(G124), ISNUMBER(Q124)), G124*Q124, "")</f>
        <v/>
      </c>
      <c r="N124" s="2467" t="str">
        <f t="shared" ref="N124:N129" si="49">IF(AND(ISNUMBER(K124), ISNUMBER(L124), ISNUMBER(M124)), SUM(K124:M124), "")</f>
        <v/>
      </c>
      <c r="O124" s="2429">
        <f>Parameters!F91</f>
        <v>0.15</v>
      </c>
      <c r="P124" s="165">
        <f>Parameters!G91</f>
        <v>0.15</v>
      </c>
      <c r="Q124" s="47">
        <f>Parameters!H91</f>
        <v>0.15</v>
      </c>
      <c r="R124" s="457"/>
      <c r="S124" s="316">
        <f>IF(ISNUMBER(N124),1,0)</f>
        <v>0</v>
      </c>
    </row>
    <row r="125" spans="1:19" ht="15" customHeight="1" x14ac:dyDescent="0.25">
      <c r="A125" s="389"/>
      <c r="B125" s="2470" t="s">
        <v>251</v>
      </c>
      <c r="C125" s="46"/>
      <c r="D125" s="16"/>
      <c r="E125" s="43"/>
      <c r="F125" s="43"/>
      <c r="G125" s="43"/>
      <c r="H125" s="2467" t="str">
        <f t="shared" si="45"/>
        <v/>
      </c>
      <c r="I125" s="2435"/>
      <c r="J125" s="2436"/>
      <c r="K125" s="161" t="str">
        <f t="shared" si="46"/>
        <v/>
      </c>
      <c r="L125" s="161" t="str">
        <f t="shared" si="47"/>
        <v/>
      </c>
      <c r="M125" s="161" t="str">
        <f t="shared" si="48"/>
        <v/>
      </c>
      <c r="N125" s="2467" t="str">
        <f t="shared" si="49"/>
        <v/>
      </c>
      <c r="O125" s="2429">
        <f>Parameters!F92</f>
        <v>0.15</v>
      </c>
      <c r="P125" s="165">
        <f>Parameters!G92</f>
        <v>0.15</v>
      </c>
      <c r="Q125" s="47">
        <f>Parameters!H92</f>
        <v>0.15</v>
      </c>
      <c r="R125" s="457"/>
      <c r="S125" s="316">
        <f t="shared" ref="S125:S127" si="50">IF(ISNUMBER(N125),1,0)</f>
        <v>0</v>
      </c>
    </row>
    <row r="126" spans="1:19" ht="15" customHeight="1" x14ac:dyDescent="0.25">
      <c r="A126" s="389"/>
      <c r="B126" s="2470" t="s">
        <v>252</v>
      </c>
      <c r="C126" s="46"/>
      <c r="D126" s="16"/>
      <c r="E126" s="43"/>
      <c r="F126" s="43"/>
      <c r="G126" s="43"/>
      <c r="H126" s="2467" t="str">
        <f t="shared" si="45"/>
        <v/>
      </c>
      <c r="I126" s="2435"/>
      <c r="J126" s="2436"/>
      <c r="K126" s="161" t="str">
        <f t="shared" si="46"/>
        <v/>
      </c>
      <c r="L126" s="161" t="str">
        <f t="shared" si="47"/>
        <v/>
      </c>
      <c r="M126" s="161" t="str">
        <f t="shared" si="48"/>
        <v/>
      </c>
      <c r="N126" s="2467" t="str">
        <f t="shared" si="49"/>
        <v/>
      </c>
      <c r="O126" s="2429">
        <f>Parameters!F93</f>
        <v>0.5</v>
      </c>
      <c r="P126" s="165">
        <f>Parameters!G93</f>
        <v>0.5</v>
      </c>
      <c r="Q126" s="47">
        <f>Parameters!H93</f>
        <v>0.5</v>
      </c>
      <c r="R126" s="457"/>
      <c r="S126" s="316">
        <f t="shared" si="50"/>
        <v>0</v>
      </c>
    </row>
    <row r="127" spans="1:19" ht="15" customHeight="1" x14ac:dyDescent="0.25">
      <c r="A127" s="389"/>
      <c r="B127" s="2470" t="s">
        <v>253</v>
      </c>
      <c r="C127" s="46"/>
      <c r="D127" s="16"/>
      <c r="E127" s="43"/>
      <c r="F127" s="43"/>
      <c r="G127" s="43"/>
      <c r="H127" s="2467" t="str">
        <f t="shared" si="45"/>
        <v/>
      </c>
      <c r="I127" s="2435"/>
      <c r="J127" s="2436"/>
      <c r="K127" s="161" t="str">
        <f t="shared" si="46"/>
        <v/>
      </c>
      <c r="L127" s="161" t="str">
        <f t="shared" si="47"/>
        <v/>
      </c>
      <c r="M127" s="161" t="str">
        <f t="shared" si="48"/>
        <v/>
      </c>
      <c r="N127" s="2467" t="str">
        <f t="shared" si="49"/>
        <v/>
      </c>
      <c r="O127" s="2429">
        <f>Parameters!F94</f>
        <v>1</v>
      </c>
      <c r="P127" s="165">
        <f>Parameters!G94</f>
        <v>1</v>
      </c>
      <c r="Q127" s="47">
        <f>Parameters!H94</f>
        <v>1</v>
      </c>
      <c r="R127" s="457"/>
      <c r="S127" s="316">
        <f t="shared" si="50"/>
        <v>0</v>
      </c>
    </row>
    <row r="128" spans="1:19" ht="15" customHeight="1" x14ac:dyDescent="0.25">
      <c r="A128" s="389"/>
      <c r="B128" s="2470" t="s">
        <v>2260</v>
      </c>
      <c r="C128" s="46"/>
      <c r="D128" s="16"/>
      <c r="E128" s="43"/>
      <c r="F128" s="43"/>
      <c r="G128" s="43"/>
      <c r="H128" s="2467" t="str">
        <f t="shared" si="45"/>
        <v/>
      </c>
      <c r="I128" s="2435"/>
      <c r="J128" s="2436"/>
      <c r="K128" s="161" t="str">
        <f t="shared" si="46"/>
        <v/>
      </c>
      <c r="L128" s="161" t="str">
        <f t="shared" si="47"/>
        <v/>
      </c>
      <c r="M128" s="161" t="str">
        <f t="shared" si="48"/>
        <v/>
      </c>
      <c r="N128" s="2467" t="str">
        <f t="shared" si="49"/>
        <v/>
      </c>
      <c r="O128" s="2429">
        <f>Parameters!F95</f>
        <v>0</v>
      </c>
      <c r="P128" s="165">
        <f>Parameters!G95</f>
        <v>0</v>
      </c>
      <c r="Q128" s="47">
        <f>Parameters!H95</f>
        <v>0</v>
      </c>
      <c r="R128" s="457"/>
    </row>
    <row r="129" spans="1:19" ht="15" customHeight="1" x14ac:dyDescent="0.25">
      <c r="A129" s="389"/>
      <c r="B129" s="2470" t="s">
        <v>2261</v>
      </c>
      <c r="C129" s="46"/>
      <c r="D129" s="16"/>
      <c r="E129" s="43"/>
      <c r="F129" s="43"/>
      <c r="G129" s="43"/>
      <c r="H129" s="2467" t="str">
        <f t="shared" si="45"/>
        <v/>
      </c>
      <c r="I129" s="2435"/>
      <c r="J129" s="2436"/>
      <c r="K129" s="161" t="str">
        <f t="shared" si="46"/>
        <v/>
      </c>
      <c r="L129" s="161" t="str">
        <f t="shared" si="47"/>
        <v/>
      </c>
      <c r="M129" s="161" t="str">
        <f t="shared" si="48"/>
        <v/>
      </c>
      <c r="N129" s="2467" t="str">
        <f t="shared" si="49"/>
        <v/>
      </c>
      <c r="O129" s="2429">
        <f>Parameters!F96</f>
        <v>0</v>
      </c>
      <c r="P129" s="165">
        <f>Parameters!G96</f>
        <v>0</v>
      </c>
      <c r="Q129" s="47">
        <f>Parameters!H96</f>
        <v>0</v>
      </c>
      <c r="R129" s="457"/>
    </row>
    <row r="130" spans="1:19" ht="15" hidden="1" customHeight="1" x14ac:dyDescent="0.25">
      <c r="A130" s="389"/>
      <c r="B130" s="2471"/>
      <c r="C130" s="46"/>
      <c r="D130" s="16"/>
      <c r="E130" s="2334"/>
      <c r="F130" s="2334"/>
      <c r="G130" s="2334"/>
      <c r="H130" s="2457"/>
      <c r="I130" s="2435"/>
      <c r="J130" s="2436"/>
      <c r="K130" s="683"/>
      <c r="L130" s="2475"/>
      <c r="M130" s="683"/>
      <c r="N130" s="2458"/>
      <c r="O130" s="2459"/>
      <c r="P130" s="2496"/>
      <c r="Q130" s="2428"/>
      <c r="R130" s="457"/>
    </row>
    <row r="131" spans="1:19" ht="15" hidden="1" customHeight="1" x14ac:dyDescent="0.25">
      <c r="A131" s="389"/>
      <c r="B131" s="2471"/>
      <c r="C131" s="46"/>
      <c r="D131" s="16"/>
      <c r="E131" s="2334"/>
      <c r="F131" s="2334"/>
      <c r="G131" s="2334"/>
      <c r="H131" s="2457"/>
      <c r="I131" s="2435"/>
      <c r="J131" s="2436"/>
      <c r="K131" s="683"/>
      <c r="L131" s="2475"/>
      <c r="M131" s="683"/>
      <c r="N131" s="2458"/>
      <c r="O131" s="2459"/>
      <c r="P131" s="2496"/>
      <c r="Q131" s="2428"/>
      <c r="R131" s="457"/>
    </row>
    <row r="132" spans="1:19" ht="30" customHeight="1" x14ac:dyDescent="0.25">
      <c r="A132" s="389"/>
      <c r="B132" s="2468" t="s">
        <v>264</v>
      </c>
      <c r="C132" s="2419" t="s">
        <v>1582</v>
      </c>
      <c r="D132" s="2481"/>
      <c r="E132" s="162"/>
      <c r="F132" s="162"/>
      <c r="G132" s="162"/>
      <c r="H132" s="1556" t="str">
        <f>IF(AND(ISNUMBER(H133), ISNUMBER(H134), ISNUMBER(H135), ISNUMBER(H136), ISNUMBER(H137), ISNUMBER(H138)), SUM(H133:H138), "")</f>
        <v/>
      </c>
      <c r="I132" s="2435"/>
      <c r="J132" s="2436"/>
      <c r="K132" s="46"/>
      <c r="L132" s="162"/>
      <c r="M132" s="162"/>
      <c r="N132" s="1556" t="str">
        <f>IF(AND(ISNUMBER(N133), ISNUMBER(N134), ISNUMBER(N135), ISNUMBER(N136), ISNUMBER(N137), ISNUMBER(N138)), SUM(N133:N138), "")</f>
        <v/>
      </c>
      <c r="O132" s="2427"/>
      <c r="P132" s="162"/>
      <c r="Q132" s="163"/>
      <c r="R132" s="457"/>
    </row>
    <row r="133" spans="1:19" ht="15" customHeight="1" x14ac:dyDescent="0.25">
      <c r="A133" s="389"/>
      <c r="B133" s="2470" t="s">
        <v>154</v>
      </c>
      <c r="C133" s="46"/>
      <c r="D133" s="16"/>
      <c r="E133" s="43"/>
      <c r="F133" s="43"/>
      <c r="G133" s="43"/>
      <c r="H133" s="2467" t="str">
        <f t="shared" ref="H133:H138" si="51">IF(AND(ISNUMBER(E133), ISNUMBER(F133), ISNUMBER(G133)), SUM(E133:G133), "")</f>
        <v/>
      </c>
      <c r="I133" s="2435"/>
      <c r="J133" s="2436"/>
      <c r="K133" s="161" t="str">
        <f t="shared" ref="K133:K138" si="52">IF(AND(ISNUMBER(E133), ISNUMBER(O133)), E133*O133, "")</f>
        <v/>
      </c>
      <c r="L133" s="161" t="str">
        <f t="shared" ref="L133:L138" si="53">IF(AND(ISNUMBER(F133), ISNUMBER(P133)), F133*P133, "")</f>
        <v/>
      </c>
      <c r="M133" s="161" t="str">
        <f t="shared" ref="M133:M138" si="54">IF(AND(ISNUMBER(G133), ISNUMBER(Q133)), G133*Q133, "")</f>
        <v/>
      </c>
      <c r="N133" s="2467" t="str">
        <f t="shared" ref="N133:N138" si="55">IF(AND(ISNUMBER(K133), ISNUMBER(L133), ISNUMBER(M133)), SUM(K133:M133), "")</f>
        <v/>
      </c>
      <c r="O133" s="2429">
        <f>Parameters!F100</f>
        <v>0.5</v>
      </c>
      <c r="P133" s="165">
        <f>Parameters!G100</f>
        <v>0.5</v>
      </c>
      <c r="Q133" s="47">
        <f>Parameters!H100</f>
        <v>0.5</v>
      </c>
      <c r="R133" s="457"/>
      <c r="S133" s="316">
        <f>IF(ISNUMBER(N133),1,0)</f>
        <v>0</v>
      </c>
    </row>
    <row r="134" spans="1:19" ht="15" customHeight="1" x14ac:dyDescent="0.25">
      <c r="A134" s="389"/>
      <c r="B134" s="2470" t="s">
        <v>251</v>
      </c>
      <c r="C134" s="46"/>
      <c r="D134" s="16"/>
      <c r="E134" s="43"/>
      <c r="F134" s="43"/>
      <c r="G134" s="43"/>
      <c r="H134" s="2467" t="str">
        <f t="shared" si="51"/>
        <v/>
      </c>
      <c r="I134" s="2435"/>
      <c r="J134" s="2436"/>
      <c r="K134" s="161" t="str">
        <f t="shared" si="52"/>
        <v/>
      </c>
      <c r="L134" s="161" t="str">
        <f t="shared" si="53"/>
        <v/>
      </c>
      <c r="M134" s="161" t="str">
        <f t="shared" si="54"/>
        <v/>
      </c>
      <c r="N134" s="2467" t="str">
        <f t="shared" si="55"/>
        <v/>
      </c>
      <c r="O134" s="2429">
        <f>Parameters!F101</f>
        <v>0.5</v>
      </c>
      <c r="P134" s="165">
        <f>Parameters!G101</f>
        <v>0.5</v>
      </c>
      <c r="Q134" s="47">
        <f>Parameters!H101</f>
        <v>0.5</v>
      </c>
      <c r="R134" s="457"/>
      <c r="S134" s="316">
        <f t="shared" ref="S134:S136" si="56">IF(ISNUMBER(N134),1,0)</f>
        <v>0</v>
      </c>
    </row>
    <row r="135" spans="1:19" ht="15" customHeight="1" x14ac:dyDescent="0.25">
      <c r="A135" s="389"/>
      <c r="B135" s="2470" t="s">
        <v>252</v>
      </c>
      <c r="C135" s="46"/>
      <c r="D135" s="16"/>
      <c r="E135" s="43"/>
      <c r="F135" s="43"/>
      <c r="G135" s="43"/>
      <c r="H135" s="2467" t="str">
        <f t="shared" si="51"/>
        <v/>
      </c>
      <c r="I135" s="2435"/>
      <c r="J135" s="2436"/>
      <c r="K135" s="161" t="str">
        <f t="shared" si="52"/>
        <v/>
      </c>
      <c r="L135" s="161" t="str">
        <f t="shared" si="53"/>
        <v/>
      </c>
      <c r="M135" s="161" t="str">
        <f t="shared" si="54"/>
        <v/>
      </c>
      <c r="N135" s="2467" t="str">
        <f t="shared" si="55"/>
        <v/>
      </c>
      <c r="O135" s="2429">
        <f>Parameters!F102</f>
        <v>0.5</v>
      </c>
      <c r="P135" s="165">
        <f>Parameters!G102</f>
        <v>0.5</v>
      </c>
      <c r="Q135" s="47">
        <f>Parameters!H102</f>
        <v>0.5</v>
      </c>
      <c r="R135" s="457"/>
      <c r="S135" s="316">
        <f t="shared" si="56"/>
        <v>0</v>
      </c>
    </row>
    <row r="136" spans="1:19" ht="15" customHeight="1" x14ac:dyDescent="0.25">
      <c r="A136" s="389"/>
      <c r="B136" s="2470" t="s">
        <v>253</v>
      </c>
      <c r="C136" s="46"/>
      <c r="D136" s="16"/>
      <c r="E136" s="43"/>
      <c r="F136" s="43"/>
      <c r="G136" s="43"/>
      <c r="H136" s="2467" t="str">
        <f t="shared" si="51"/>
        <v/>
      </c>
      <c r="I136" s="2435"/>
      <c r="J136" s="2436"/>
      <c r="K136" s="161" t="str">
        <f t="shared" si="52"/>
        <v/>
      </c>
      <c r="L136" s="161" t="str">
        <f t="shared" si="53"/>
        <v/>
      </c>
      <c r="M136" s="161" t="str">
        <f t="shared" si="54"/>
        <v/>
      </c>
      <c r="N136" s="2467" t="str">
        <f t="shared" si="55"/>
        <v/>
      </c>
      <c r="O136" s="2429">
        <f>Parameters!F103</f>
        <v>1</v>
      </c>
      <c r="P136" s="165">
        <f>Parameters!G103</f>
        <v>1</v>
      </c>
      <c r="Q136" s="47">
        <f>Parameters!H103</f>
        <v>1</v>
      </c>
      <c r="R136" s="457"/>
      <c r="S136" s="316">
        <f t="shared" si="56"/>
        <v>0</v>
      </c>
    </row>
    <row r="137" spans="1:19" ht="15" customHeight="1" x14ac:dyDescent="0.25">
      <c r="A137" s="389"/>
      <c r="B137" s="2470" t="s">
        <v>2260</v>
      </c>
      <c r="C137" s="46"/>
      <c r="D137" s="16"/>
      <c r="E137" s="43"/>
      <c r="F137" s="43"/>
      <c r="G137" s="43"/>
      <c r="H137" s="2467" t="str">
        <f t="shared" si="51"/>
        <v/>
      </c>
      <c r="I137" s="2435"/>
      <c r="J137" s="2436"/>
      <c r="K137" s="161" t="str">
        <f t="shared" si="52"/>
        <v/>
      </c>
      <c r="L137" s="161" t="str">
        <f t="shared" si="53"/>
        <v/>
      </c>
      <c r="M137" s="161" t="str">
        <f t="shared" si="54"/>
        <v/>
      </c>
      <c r="N137" s="2467" t="str">
        <f t="shared" si="55"/>
        <v/>
      </c>
      <c r="O137" s="2429">
        <f>Parameters!F104</f>
        <v>0</v>
      </c>
      <c r="P137" s="165">
        <f>Parameters!G104</f>
        <v>0</v>
      </c>
      <c r="Q137" s="47">
        <f>Parameters!H104</f>
        <v>0</v>
      </c>
      <c r="R137" s="457"/>
    </row>
    <row r="138" spans="1:19" ht="15" customHeight="1" x14ac:dyDescent="0.25">
      <c r="A138" s="389"/>
      <c r="B138" s="2470" t="s">
        <v>2261</v>
      </c>
      <c r="C138" s="46"/>
      <c r="D138" s="16"/>
      <c r="E138" s="43"/>
      <c r="F138" s="43"/>
      <c r="G138" s="43"/>
      <c r="H138" s="2467" t="str">
        <f t="shared" si="51"/>
        <v/>
      </c>
      <c r="I138" s="2435"/>
      <c r="J138" s="2436"/>
      <c r="K138" s="161" t="str">
        <f t="shared" si="52"/>
        <v/>
      </c>
      <c r="L138" s="161" t="str">
        <f t="shared" si="53"/>
        <v/>
      </c>
      <c r="M138" s="161" t="str">
        <f t="shared" si="54"/>
        <v/>
      </c>
      <c r="N138" s="2467" t="str">
        <f t="shared" si="55"/>
        <v/>
      </c>
      <c r="O138" s="2429">
        <f>Parameters!F105</f>
        <v>0</v>
      </c>
      <c r="P138" s="165">
        <f>Parameters!G105</f>
        <v>0</v>
      </c>
      <c r="Q138" s="47">
        <f>Parameters!H105</f>
        <v>0</v>
      </c>
      <c r="R138" s="457"/>
    </row>
    <row r="139" spans="1:19" ht="15" hidden="1" customHeight="1" x14ac:dyDescent="0.25">
      <c r="A139" s="389"/>
      <c r="B139" s="2471"/>
      <c r="C139" s="46"/>
      <c r="D139" s="16"/>
      <c r="E139" s="2334"/>
      <c r="F139" s="2334"/>
      <c r="G139" s="2334"/>
      <c r="H139" s="2457"/>
      <c r="I139" s="2435"/>
      <c r="J139" s="2436"/>
      <c r="K139" s="683"/>
      <c r="L139" s="2475"/>
      <c r="M139" s="683"/>
      <c r="N139" s="2458"/>
      <c r="O139" s="2459"/>
      <c r="P139" s="2496"/>
      <c r="Q139" s="2428"/>
      <c r="R139" s="457"/>
    </row>
    <row r="140" spans="1:19" ht="15" hidden="1" customHeight="1" x14ac:dyDescent="0.25">
      <c r="A140" s="389"/>
      <c r="B140" s="2471"/>
      <c r="C140" s="46"/>
      <c r="D140" s="16"/>
      <c r="E140" s="2334"/>
      <c r="F140" s="2334"/>
      <c r="G140" s="2334"/>
      <c r="H140" s="2457"/>
      <c r="I140" s="2435"/>
      <c r="J140" s="2436"/>
      <c r="K140" s="683"/>
      <c r="L140" s="2475"/>
      <c r="M140" s="683"/>
      <c r="N140" s="2458"/>
      <c r="O140" s="2459"/>
      <c r="P140" s="2496"/>
      <c r="Q140" s="2428"/>
      <c r="R140" s="457"/>
    </row>
    <row r="141" spans="1:19" ht="15" hidden="1" customHeight="1" x14ac:dyDescent="0.25">
      <c r="A141" s="389"/>
      <c r="B141" s="2471"/>
      <c r="C141" s="46"/>
      <c r="D141" s="16"/>
      <c r="E141" s="2334"/>
      <c r="F141" s="2334"/>
      <c r="G141" s="2334"/>
      <c r="H141" s="2457"/>
      <c r="I141" s="2435"/>
      <c r="J141" s="2436"/>
      <c r="K141" s="683"/>
      <c r="L141" s="2475"/>
      <c r="M141" s="683"/>
      <c r="N141" s="2458"/>
      <c r="O141" s="2459"/>
      <c r="P141" s="2496"/>
      <c r="Q141" s="2428"/>
      <c r="R141" s="457"/>
    </row>
    <row r="142" spans="1:19" ht="15" hidden="1" customHeight="1" x14ac:dyDescent="0.25">
      <c r="A142" s="389"/>
      <c r="B142" s="2471"/>
      <c r="C142" s="46"/>
      <c r="D142" s="16"/>
      <c r="E142" s="2334"/>
      <c r="F142" s="2334"/>
      <c r="G142" s="2334"/>
      <c r="H142" s="2457"/>
      <c r="I142" s="2435"/>
      <c r="J142" s="2436"/>
      <c r="K142" s="683"/>
      <c r="L142" s="2475"/>
      <c r="M142" s="683"/>
      <c r="N142" s="2458"/>
      <c r="O142" s="2459"/>
      <c r="P142" s="2496"/>
      <c r="Q142" s="2428"/>
      <c r="R142" s="457"/>
    </row>
    <row r="143" spans="1:19" ht="15" hidden="1" customHeight="1" x14ac:dyDescent="0.25">
      <c r="A143" s="389"/>
      <c r="B143" s="2471"/>
      <c r="C143" s="46"/>
      <c r="D143" s="16"/>
      <c r="E143" s="2334"/>
      <c r="F143" s="2334"/>
      <c r="G143" s="2334"/>
      <c r="H143" s="2457"/>
      <c r="I143" s="2435"/>
      <c r="J143" s="2436"/>
      <c r="K143" s="683"/>
      <c r="L143" s="2475"/>
      <c r="M143" s="683"/>
      <c r="N143" s="2458"/>
      <c r="O143" s="2459"/>
      <c r="P143" s="2496"/>
      <c r="Q143" s="2428"/>
      <c r="R143" s="457"/>
    </row>
    <row r="144" spans="1:19" ht="15" hidden="1" customHeight="1" x14ac:dyDescent="0.25">
      <c r="A144" s="389"/>
      <c r="B144" s="2471"/>
      <c r="C144" s="46"/>
      <c r="D144" s="16"/>
      <c r="E144" s="2334"/>
      <c r="F144" s="2334"/>
      <c r="G144" s="2334"/>
      <c r="H144" s="2457"/>
      <c r="I144" s="2435"/>
      <c r="J144" s="2436"/>
      <c r="K144" s="683"/>
      <c r="L144" s="2475"/>
      <c r="M144" s="683"/>
      <c r="N144" s="2458"/>
      <c r="O144" s="2459"/>
      <c r="P144" s="2496"/>
      <c r="Q144" s="2428"/>
      <c r="R144" s="457"/>
    </row>
    <row r="145" spans="1:19" ht="15" hidden="1" customHeight="1" x14ac:dyDescent="0.25">
      <c r="A145" s="389"/>
      <c r="B145" s="2471"/>
      <c r="C145" s="46"/>
      <c r="D145" s="16"/>
      <c r="E145" s="2334"/>
      <c r="F145" s="2334"/>
      <c r="G145" s="2334"/>
      <c r="H145" s="2457"/>
      <c r="I145" s="2435"/>
      <c r="J145" s="2436"/>
      <c r="K145" s="683"/>
      <c r="L145" s="2475"/>
      <c r="M145" s="683"/>
      <c r="N145" s="2458"/>
      <c r="O145" s="2459"/>
      <c r="P145" s="2496"/>
      <c r="Q145" s="2428"/>
      <c r="R145" s="457"/>
    </row>
    <row r="146" spans="1:19" ht="15" hidden="1" customHeight="1" x14ac:dyDescent="0.25">
      <c r="A146" s="389"/>
      <c r="B146" s="2471"/>
      <c r="C146" s="46"/>
      <c r="D146" s="16"/>
      <c r="E146" s="2334"/>
      <c r="F146" s="2334"/>
      <c r="G146" s="2334"/>
      <c r="H146" s="2457"/>
      <c r="I146" s="2435"/>
      <c r="J146" s="2436"/>
      <c r="K146" s="683"/>
      <c r="L146" s="2475"/>
      <c r="M146" s="683"/>
      <c r="N146" s="2458"/>
      <c r="O146" s="2459"/>
      <c r="P146" s="2496"/>
      <c r="Q146" s="2428"/>
      <c r="R146" s="457"/>
    </row>
    <row r="147" spans="1:19" ht="15" hidden="1" customHeight="1" x14ac:dyDescent="0.25">
      <c r="A147" s="389"/>
      <c r="B147" s="2471"/>
      <c r="C147" s="46"/>
      <c r="D147" s="16"/>
      <c r="E147" s="2334"/>
      <c r="F147" s="2334"/>
      <c r="G147" s="2334"/>
      <c r="H147" s="2457"/>
      <c r="I147" s="2435"/>
      <c r="J147" s="2436"/>
      <c r="K147" s="683"/>
      <c r="L147" s="2475"/>
      <c r="M147" s="683"/>
      <c r="N147" s="2458"/>
      <c r="O147" s="2459"/>
      <c r="P147" s="2496"/>
      <c r="Q147" s="2428"/>
      <c r="R147" s="457"/>
    </row>
    <row r="148" spans="1:19" ht="15" hidden="1" customHeight="1" x14ac:dyDescent="0.25">
      <c r="A148" s="389"/>
      <c r="B148" s="2471"/>
      <c r="C148" s="46"/>
      <c r="D148" s="16"/>
      <c r="E148" s="2334"/>
      <c r="F148" s="2334"/>
      <c r="G148" s="2334"/>
      <c r="H148" s="2457"/>
      <c r="I148" s="2435"/>
      <c r="J148" s="2436"/>
      <c r="K148" s="683"/>
      <c r="L148" s="2475"/>
      <c r="M148" s="683"/>
      <c r="N148" s="2458"/>
      <c r="O148" s="2459"/>
      <c r="P148" s="2496"/>
      <c r="Q148" s="2428"/>
      <c r="R148" s="457"/>
    </row>
    <row r="149" spans="1:19" ht="15" hidden="1" customHeight="1" x14ac:dyDescent="0.25">
      <c r="A149" s="389"/>
      <c r="B149" s="2471"/>
      <c r="C149" s="46"/>
      <c r="D149" s="16"/>
      <c r="E149" s="2334"/>
      <c r="F149" s="2334"/>
      <c r="G149" s="2334"/>
      <c r="H149" s="2457"/>
      <c r="I149" s="2435"/>
      <c r="J149" s="2436"/>
      <c r="K149" s="683"/>
      <c r="L149" s="2475"/>
      <c r="M149" s="683"/>
      <c r="N149" s="2458"/>
      <c r="O149" s="2459"/>
      <c r="P149" s="2496"/>
      <c r="Q149" s="2428"/>
      <c r="R149" s="457"/>
    </row>
    <row r="150" spans="1:19" ht="30" customHeight="1" x14ac:dyDescent="0.25">
      <c r="A150" s="389"/>
      <c r="B150" s="2494" t="s">
        <v>254</v>
      </c>
      <c r="C150" s="2419" t="s">
        <v>1583</v>
      </c>
      <c r="D150" s="2481"/>
      <c r="E150" s="162"/>
      <c r="F150" s="162"/>
      <c r="G150" s="162"/>
      <c r="H150" s="1556" t="str">
        <f>IF(AND(ISNUMBER(H151), ISNUMBER(H152), ISNUMBER(H153), ISNUMBER(H154), ISNUMBER(H155), ISNUMBER(H156)), SUM(H151:H156), "")</f>
        <v/>
      </c>
      <c r="I150" s="2435"/>
      <c r="J150" s="2436"/>
      <c r="K150" s="46"/>
      <c r="L150" s="162"/>
      <c r="M150" s="162"/>
      <c r="N150" s="1556" t="str">
        <f>IF(AND(ISNUMBER(N151), ISNUMBER(N152), ISNUMBER(N153), ISNUMBER(N154), ISNUMBER(N155), ISNUMBER(N156)), SUM(N151:N156), "")</f>
        <v/>
      </c>
      <c r="O150" s="2427"/>
      <c r="P150" s="162"/>
      <c r="Q150" s="163"/>
      <c r="R150" s="457"/>
    </row>
    <row r="151" spans="1:19" ht="15" customHeight="1" x14ac:dyDescent="0.25">
      <c r="A151" s="389"/>
      <c r="B151" s="2468" t="s">
        <v>154</v>
      </c>
      <c r="C151" s="46"/>
      <c r="D151" s="16"/>
      <c r="E151" s="43"/>
      <c r="F151" s="43"/>
      <c r="G151" s="43"/>
      <c r="H151" s="2467" t="str">
        <f t="shared" ref="H151:H156" si="57">IF(AND(ISNUMBER(E151), ISNUMBER(F151), ISNUMBER(G151)), SUM(E151:G151), "")</f>
        <v/>
      </c>
      <c r="I151" s="2435"/>
      <c r="J151" s="2436"/>
      <c r="K151" s="161" t="str">
        <f t="shared" ref="K151:K156" si="58">IF(AND(ISNUMBER(E151), ISNUMBER(O151)), E151*O151, "")</f>
        <v/>
      </c>
      <c r="L151" s="161" t="str">
        <f t="shared" ref="L151:L156" si="59">IF(AND(ISNUMBER(F151), ISNUMBER(P151)), F151*P151, "")</f>
        <v/>
      </c>
      <c r="M151" s="161" t="str">
        <f t="shared" ref="M151:M156" si="60">IF(AND(ISNUMBER(G151), ISNUMBER(Q151)), G151*Q151, "")</f>
        <v/>
      </c>
      <c r="N151" s="2467" t="str">
        <f t="shared" ref="N151:N156" si="61">IF(AND(ISNUMBER(K151), ISNUMBER(L151), ISNUMBER(M151)), SUM(K151:M151), "")</f>
        <v/>
      </c>
      <c r="O151" s="2429">
        <f>Parameters!F118</f>
        <v>0.5</v>
      </c>
      <c r="P151" s="165">
        <f>Parameters!G118</f>
        <v>0.5</v>
      </c>
      <c r="Q151" s="47">
        <f>Parameters!H118</f>
        <v>1</v>
      </c>
      <c r="R151" s="457"/>
      <c r="S151" s="316">
        <f>IF(ISNUMBER(N151),1,0)</f>
        <v>0</v>
      </c>
    </row>
    <row r="152" spans="1:19" ht="15" customHeight="1" x14ac:dyDescent="0.25">
      <c r="A152" s="389"/>
      <c r="B152" s="2468" t="s">
        <v>251</v>
      </c>
      <c r="C152" s="46"/>
      <c r="D152" s="16"/>
      <c r="E152" s="43"/>
      <c r="F152" s="43"/>
      <c r="G152" s="43"/>
      <c r="H152" s="2467" t="str">
        <f t="shared" si="57"/>
        <v/>
      </c>
      <c r="I152" s="2435"/>
      <c r="J152" s="2436"/>
      <c r="K152" s="161" t="str">
        <f t="shared" si="58"/>
        <v/>
      </c>
      <c r="L152" s="161" t="str">
        <f t="shared" si="59"/>
        <v/>
      </c>
      <c r="M152" s="161" t="str">
        <f t="shared" si="60"/>
        <v/>
      </c>
      <c r="N152" s="2467" t="str">
        <f t="shared" si="61"/>
        <v/>
      </c>
      <c r="O152" s="2429">
        <f>Parameters!F119</f>
        <v>0.5</v>
      </c>
      <c r="P152" s="165">
        <f>Parameters!G119</f>
        <v>0.5</v>
      </c>
      <c r="Q152" s="47">
        <f>Parameters!H119</f>
        <v>1</v>
      </c>
      <c r="R152" s="457"/>
      <c r="S152" s="316">
        <f t="shared" ref="S152:S154" si="62">IF(ISNUMBER(N152),1,0)</f>
        <v>0</v>
      </c>
    </row>
    <row r="153" spans="1:19" ht="15" customHeight="1" x14ac:dyDescent="0.25">
      <c r="A153" s="389"/>
      <c r="B153" s="2468" t="s">
        <v>252</v>
      </c>
      <c r="C153" s="46"/>
      <c r="D153" s="16"/>
      <c r="E153" s="43"/>
      <c r="F153" s="43"/>
      <c r="G153" s="43"/>
      <c r="H153" s="2467" t="str">
        <f t="shared" si="57"/>
        <v/>
      </c>
      <c r="I153" s="2435"/>
      <c r="J153" s="2436"/>
      <c r="K153" s="161" t="str">
        <f t="shared" si="58"/>
        <v/>
      </c>
      <c r="L153" s="161" t="str">
        <f t="shared" si="59"/>
        <v/>
      </c>
      <c r="M153" s="161" t="str">
        <f t="shared" si="60"/>
        <v/>
      </c>
      <c r="N153" s="2467" t="str">
        <f t="shared" si="61"/>
        <v/>
      </c>
      <c r="O153" s="2429">
        <f>Parameters!F120</f>
        <v>0.5</v>
      </c>
      <c r="P153" s="165">
        <f>Parameters!G120</f>
        <v>0.5</v>
      </c>
      <c r="Q153" s="47">
        <f>Parameters!H120</f>
        <v>1</v>
      </c>
      <c r="R153" s="457"/>
      <c r="S153" s="316">
        <f t="shared" si="62"/>
        <v>0</v>
      </c>
    </row>
    <row r="154" spans="1:19" ht="15" customHeight="1" x14ac:dyDescent="0.25">
      <c r="A154" s="389"/>
      <c r="B154" s="2468" t="s">
        <v>253</v>
      </c>
      <c r="C154" s="46"/>
      <c r="D154" s="16"/>
      <c r="E154" s="43"/>
      <c r="F154" s="43"/>
      <c r="G154" s="43"/>
      <c r="H154" s="2467" t="str">
        <f t="shared" si="57"/>
        <v/>
      </c>
      <c r="I154" s="2435"/>
      <c r="J154" s="2436"/>
      <c r="K154" s="161" t="str">
        <f t="shared" si="58"/>
        <v/>
      </c>
      <c r="L154" s="161" t="str">
        <f t="shared" si="59"/>
        <v/>
      </c>
      <c r="M154" s="161" t="str">
        <f t="shared" si="60"/>
        <v/>
      </c>
      <c r="N154" s="2467" t="str">
        <f t="shared" si="61"/>
        <v/>
      </c>
      <c r="O154" s="2429">
        <f>Parameters!F121</f>
        <v>1</v>
      </c>
      <c r="P154" s="165">
        <f>Parameters!G121</f>
        <v>1</v>
      </c>
      <c r="Q154" s="47">
        <f>Parameters!H121</f>
        <v>1</v>
      </c>
      <c r="R154" s="457"/>
      <c r="S154" s="316">
        <f t="shared" si="62"/>
        <v>0</v>
      </c>
    </row>
    <row r="155" spans="1:19" ht="15" customHeight="1" x14ac:dyDescent="0.25">
      <c r="A155" s="389"/>
      <c r="B155" s="2468" t="s">
        <v>2260</v>
      </c>
      <c r="C155" s="46"/>
      <c r="D155" s="16"/>
      <c r="E155" s="43"/>
      <c r="F155" s="43"/>
      <c r="G155" s="43"/>
      <c r="H155" s="2467" t="str">
        <f t="shared" si="57"/>
        <v/>
      </c>
      <c r="I155" s="2435"/>
      <c r="J155" s="2436"/>
      <c r="K155" s="161" t="str">
        <f t="shared" si="58"/>
        <v/>
      </c>
      <c r="L155" s="161" t="str">
        <f t="shared" si="59"/>
        <v/>
      </c>
      <c r="M155" s="161" t="str">
        <f t="shared" si="60"/>
        <v/>
      </c>
      <c r="N155" s="2467" t="str">
        <f t="shared" si="61"/>
        <v/>
      </c>
      <c r="O155" s="2429">
        <f>Parameters!F122</f>
        <v>0</v>
      </c>
      <c r="P155" s="165">
        <f>Parameters!G122</f>
        <v>0</v>
      </c>
      <c r="Q155" s="47">
        <f>Parameters!H122</f>
        <v>0</v>
      </c>
      <c r="R155" s="457"/>
    </row>
    <row r="156" spans="1:19" ht="15" customHeight="1" x14ac:dyDescent="0.25">
      <c r="A156" s="389"/>
      <c r="B156" s="2468" t="s">
        <v>2261</v>
      </c>
      <c r="C156" s="46"/>
      <c r="D156" s="16"/>
      <c r="E156" s="43"/>
      <c r="F156" s="43"/>
      <c r="G156" s="43"/>
      <c r="H156" s="2467" t="str">
        <f t="shared" si="57"/>
        <v/>
      </c>
      <c r="I156" s="2435"/>
      <c r="J156" s="2436"/>
      <c r="K156" s="161" t="str">
        <f t="shared" si="58"/>
        <v/>
      </c>
      <c r="L156" s="161" t="str">
        <f t="shared" si="59"/>
        <v/>
      </c>
      <c r="M156" s="161" t="str">
        <f t="shared" si="60"/>
        <v/>
      </c>
      <c r="N156" s="2467" t="str">
        <f t="shared" si="61"/>
        <v/>
      </c>
      <c r="O156" s="2429">
        <f>Parameters!F123</f>
        <v>0</v>
      </c>
      <c r="P156" s="165">
        <f>Parameters!G123</f>
        <v>0</v>
      </c>
      <c r="Q156" s="47">
        <f>Parameters!H123</f>
        <v>0</v>
      </c>
      <c r="R156" s="457"/>
    </row>
    <row r="157" spans="1:19" ht="15" hidden="1" customHeight="1" x14ac:dyDescent="0.25">
      <c r="A157" s="389"/>
      <c r="B157" s="2471"/>
      <c r="C157" s="46"/>
      <c r="D157" s="16"/>
      <c r="E157" s="2334"/>
      <c r="F157" s="2334"/>
      <c r="G157" s="2334"/>
      <c r="H157" s="2457"/>
      <c r="I157" s="2435"/>
      <c r="J157" s="2436"/>
      <c r="K157" s="683"/>
      <c r="L157" s="2475"/>
      <c r="M157" s="683"/>
      <c r="N157" s="2458"/>
      <c r="O157" s="2459"/>
      <c r="P157" s="2496"/>
      <c r="Q157" s="2428"/>
      <c r="R157" s="457"/>
    </row>
    <row r="158" spans="1:19" ht="15" hidden="1" customHeight="1" x14ac:dyDescent="0.25">
      <c r="A158" s="389"/>
      <c r="B158" s="2471"/>
      <c r="C158" s="46"/>
      <c r="D158" s="16"/>
      <c r="E158" s="2334"/>
      <c r="F158" s="2334"/>
      <c r="G158" s="2334"/>
      <c r="H158" s="2457"/>
      <c r="I158" s="2435"/>
      <c r="J158" s="2436"/>
      <c r="K158" s="683"/>
      <c r="L158" s="2475"/>
      <c r="M158" s="683"/>
      <c r="N158" s="2458"/>
      <c r="O158" s="2459"/>
      <c r="P158" s="2496"/>
      <c r="Q158" s="2428"/>
      <c r="R158" s="457"/>
    </row>
    <row r="159" spans="1:19" ht="30" customHeight="1" x14ac:dyDescent="0.25">
      <c r="A159" s="389"/>
      <c r="B159" s="2472" t="s">
        <v>2263</v>
      </c>
      <c r="C159" s="2465"/>
      <c r="D159" s="2481"/>
      <c r="E159" s="162"/>
      <c r="F159" s="162"/>
      <c r="G159" s="162"/>
      <c r="H159" s="2508" t="str">
        <f>IF(AND(ISNUMBER(H160), ISNUMBER(H169), ISNUMBER(H178), ISNUMBER(H187), ISNUMBER(H196), ISNUMBER(H214), ISNUMBER(H223)), H160+H169+H178+H187+H196+H214+H223, "")</f>
        <v/>
      </c>
      <c r="I159" s="2435"/>
      <c r="J159" s="2436"/>
      <c r="K159" s="46"/>
      <c r="L159" s="162"/>
      <c r="M159" s="162"/>
      <c r="N159" s="2508" t="str">
        <f>IF(AND(ISNUMBER(N160), ISNUMBER(N169), ISNUMBER(N178), ISNUMBER(N187), ISNUMBER(N196), ISNUMBER(N214), ISNUMBER(N223)), N160+N169+N178+N187+N196+N214+N223, "")</f>
        <v/>
      </c>
      <c r="O159" s="2427"/>
      <c r="P159" s="162"/>
      <c r="Q159" s="163"/>
      <c r="R159" s="457"/>
    </row>
    <row r="160" spans="1:19" ht="30" customHeight="1" x14ac:dyDescent="0.25">
      <c r="A160" s="389"/>
      <c r="B160" s="2468" t="s">
        <v>2264</v>
      </c>
      <c r="C160" s="2419" t="s">
        <v>1584</v>
      </c>
      <c r="D160" s="2481"/>
      <c r="E160" s="162"/>
      <c r="F160" s="162"/>
      <c r="G160" s="162"/>
      <c r="H160" s="1556" t="str">
        <f>IF(AND(ISNUMBER(H161), ISNUMBER(H162), ISNUMBER(H163), ISNUMBER(H164), ISNUMBER(H165), ISNUMBER(H166)), SUM(H161:H166), "")</f>
        <v/>
      </c>
      <c r="I160" s="2435"/>
      <c r="J160" s="2436"/>
      <c r="K160" s="46"/>
      <c r="L160" s="162"/>
      <c r="M160" s="162"/>
      <c r="N160" s="1556" t="str">
        <f>IF(AND(ISNUMBER(N161), ISNUMBER(N162), ISNUMBER(N163), ISNUMBER(N164), ISNUMBER(N165), ISNUMBER(N166)), SUM(N161:N166), "")</f>
        <v/>
      </c>
      <c r="O160" s="2427"/>
      <c r="P160" s="162"/>
      <c r="Q160" s="163"/>
      <c r="R160" s="457"/>
    </row>
    <row r="161" spans="1:19" ht="15" customHeight="1" x14ac:dyDescent="0.25">
      <c r="A161" s="389"/>
      <c r="B161" s="2470" t="s">
        <v>154</v>
      </c>
      <c r="C161" s="46"/>
      <c r="D161" s="16"/>
      <c r="E161" s="43"/>
      <c r="F161" s="43"/>
      <c r="G161" s="43"/>
      <c r="H161" s="2467" t="str">
        <f t="shared" ref="H161:H166" si="63">IF(AND(ISNUMBER(E161), ISNUMBER(F161), ISNUMBER(G161)), SUM(E161:G161), "")</f>
        <v/>
      </c>
      <c r="I161" s="2435"/>
      <c r="J161" s="2436"/>
      <c r="K161" s="161" t="str">
        <f t="shared" ref="K161:K166" si="64">IF(AND(ISNUMBER(E161), ISNUMBER(O161)), E161*O161, "")</f>
        <v/>
      </c>
      <c r="L161" s="161" t="str">
        <f t="shared" ref="L161:L166" si="65">IF(AND(ISNUMBER(F161), ISNUMBER(P161)), F161*P161, "")</f>
        <v/>
      </c>
      <c r="M161" s="161" t="str">
        <f t="shared" ref="M161:M166" si="66">IF(AND(ISNUMBER(G161), ISNUMBER(Q161)), G161*Q161, "")</f>
        <v/>
      </c>
      <c r="N161" s="2467" t="str">
        <f t="shared" ref="N161:N166" si="67">IF(AND(ISNUMBER(K161), ISNUMBER(L161), ISNUMBER(M161)), SUM(K161:M161), "")</f>
        <v/>
      </c>
      <c r="O161" s="2429">
        <f>Parameters!F128</f>
        <v>0.5</v>
      </c>
      <c r="P161" s="165">
        <f>Parameters!G128</f>
        <v>0.5</v>
      </c>
      <c r="Q161" s="165">
        <f>Parameters!H128</f>
        <v>0</v>
      </c>
      <c r="R161" s="457"/>
      <c r="S161" s="316">
        <f>IF(ISNUMBER(N161),1,0)</f>
        <v>0</v>
      </c>
    </row>
    <row r="162" spans="1:19" ht="15" customHeight="1" x14ac:dyDescent="0.25">
      <c r="A162" s="389"/>
      <c r="B162" s="2470" t="s">
        <v>251</v>
      </c>
      <c r="C162" s="46"/>
      <c r="D162" s="16"/>
      <c r="E162" s="43"/>
      <c r="F162" s="43"/>
      <c r="G162" s="43"/>
      <c r="H162" s="2467" t="str">
        <f t="shared" si="63"/>
        <v/>
      </c>
      <c r="I162" s="2435"/>
      <c r="J162" s="2436"/>
      <c r="K162" s="161" t="str">
        <f t="shared" si="64"/>
        <v/>
      </c>
      <c r="L162" s="161" t="str">
        <f t="shared" si="65"/>
        <v/>
      </c>
      <c r="M162" s="161" t="str">
        <f t="shared" si="66"/>
        <v/>
      </c>
      <c r="N162" s="2467" t="str">
        <f t="shared" si="67"/>
        <v/>
      </c>
      <c r="O162" s="2429">
        <f>Parameters!F129</f>
        <v>0.5</v>
      </c>
      <c r="P162" s="165">
        <f>Parameters!G129</f>
        <v>0.5</v>
      </c>
      <c r="Q162" s="165">
        <f>Parameters!H129</f>
        <v>0</v>
      </c>
      <c r="R162" s="457"/>
      <c r="S162" s="316">
        <f t="shared" ref="S162:S164" si="68">IF(ISNUMBER(N162),1,0)</f>
        <v>0</v>
      </c>
    </row>
    <row r="163" spans="1:19" ht="15" customHeight="1" x14ac:dyDescent="0.25">
      <c r="A163" s="389"/>
      <c r="B163" s="2470" t="s">
        <v>252</v>
      </c>
      <c r="C163" s="46"/>
      <c r="D163" s="16"/>
      <c r="E163" s="43"/>
      <c r="F163" s="43"/>
      <c r="G163" s="43"/>
      <c r="H163" s="2467" t="str">
        <f t="shared" si="63"/>
        <v/>
      </c>
      <c r="I163" s="2435"/>
      <c r="J163" s="2436"/>
      <c r="K163" s="161" t="str">
        <f t="shared" si="64"/>
        <v/>
      </c>
      <c r="L163" s="161" t="str">
        <f t="shared" si="65"/>
        <v/>
      </c>
      <c r="M163" s="161" t="str">
        <f t="shared" si="66"/>
        <v/>
      </c>
      <c r="N163" s="2467" t="str">
        <f t="shared" si="67"/>
        <v/>
      </c>
      <c r="O163" s="2429">
        <f>Parameters!F130</f>
        <v>0.5</v>
      </c>
      <c r="P163" s="165">
        <f>Parameters!G130</f>
        <v>0.5</v>
      </c>
      <c r="Q163" s="165">
        <f>Parameters!H130</f>
        <v>0</v>
      </c>
      <c r="R163" s="457"/>
      <c r="S163" s="316">
        <f t="shared" si="68"/>
        <v>0</v>
      </c>
    </row>
    <row r="164" spans="1:19" ht="15" customHeight="1" x14ac:dyDescent="0.25">
      <c r="A164" s="389"/>
      <c r="B164" s="2470" t="s">
        <v>253</v>
      </c>
      <c r="C164" s="46"/>
      <c r="D164" s="16"/>
      <c r="E164" s="43"/>
      <c r="F164" s="43"/>
      <c r="G164" s="43"/>
      <c r="H164" s="2467" t="str">
        <f t="shared" si="63"/>
        <v/>
      </c>
      <c r="I164" s="2435"/>
      <c r="J164" s="2436"/>
      <c r="K164" s="161" t="str">
        <f t="shared" si="64"/>
        <v/>
      </c>
      <c r="L164" s="161" t="str">
        <f t="shared" si="65"/>
        <v/>
      </c>
      <c r="M164" s="161" t="str">
        <f t="shared" si="66"/>
        <v/>
      </c>
      <c r="N164" s="2467" t="str">
        <f t="shared" si="67"/>
        <v/>
      </c>
      <c r="O164" s="2429">
        <f>Parameters!F131</f>
        <v>1</v>
      </c>
      <c r="P164" s="165">
        <f>Parameters!G131</f>
        <v>1</v>
      </c>
      <c r="Q164" s="165">
        <f>Parameters!H131</f>
        <v>0</v>
      </c>
      <c r="R164" s="457"/>
      <c r="S164" s="316">
        <f t="shared" si="68"/>
        <v>0</v>
      </c>
    </row>
    <row r="165" spans="1:19" ht="15" customHeight="1" x14ac:dyDescent="0.25">
      <c r="A165" s="389"/>
      <c r="B165" s="2470" t="s">
        <v>2260</v>
      </c>
      <c r="C165" s="46"/>
      <c r="D165" s="16"/>
      <c r="E165" s="43"/>
      <c r="F165" s="43"/>
      <c r="G165" s="43"/>
      <c r="H165" s="2467" t="str">
        <f t="shared" si="63"/>
        <v/>
      </c>
      <c r="I165" s="2435"/>
      <c r="J165" s="2436"/>
      <c r="K165" s="161" t="str">
        <f t="shared" si="64"/>
        <v/>
      </c>
      <c r="L165" s="161" t="str">
        <f t="shared" si="65"/>
        <v/>
      </c>
      <c r="M165" s="161" t="str">
        <f t="shared" si="66"/>
        <v/>
      </c>
      <c r="N165" s="2467" t="str">
        <f t="shared" si="67"/>
        <v/>
      </c>
      <c r="O165" s="2429">
        <f>Parameters!F132</f>
        <v>0</v>
      </c>
      <c r="P165" s="165">
        <f>Parameters!G132</f>
        <v>0</v>
      </c>
      <c r="Q165" s="165">
        <f>Parameters!H132</f>
        <v>0</v>
      </c>
      <c r="R165" s="457"/>
    </row>
    <row r="166" spans="1:19" ht="15" customHeight="1" x14ac:dyDescent="0.25">
      <c r="A166" s="389"/>
      <c r="B166" s="2470" t="s">
        <v>2261</v>
      </c>
      <c r="C166" s="46"/>
      <c r="D166" s="16"/>
      <c r="E166" s="43"/>
      <c r="F166" s="43"/>
      <c r="G166" s="43"/>
      <c r="H166" s="2467" t="str">
        <f t="shared" si="63"/>
        <v/>
      </c>
      <c r="I166" s="2435"/>
      <c r="J166" s="2436"/>
      <c r="K166" s="161" t="str">
        <f t="shared" si="64"/>
        <v/>
      </c>
      <c r="L166" s="161" t="str">
        <f t="shared" si="65"/>
        <v/>
      </c>
      <c r="M166" s="161" t="str">
        <f t="shared" si="66"/>
        <v/>
      </c>
      <c r="N166" s="2467" t="str">
        <f t="shared" si="67"/>
        <v/>
      </c>
      <c r="O166" s="2429">
        <f>Parameters!F133</f>
        <v>0</v>
      </c>
      <c r="P166" s="165">
        <f>Parameters!G133</f>
        <v>0</v>
      </c>
      <c r="Q166" s="165">
        <f>Parameters!H133</f>
        <v>0</v>
      </c>
      <c r="R166" s="457"/>
    </row>
    <row r="167" spans="1:19" ht="15" hidden="1" customHeight="1" x14ac:dyDescent="0.25">
      <c r="A167" s="389"/>
      <c r="B167" s="2471"/>
      <c r="C167" s="46"/>
      <c r="D167" s="16"/>
      <c r="E167" s="2334"/>
      <c r="F167" s="2334"/>
      <c r="G167" s="2334"/>
      <c r="H167" s="2457"/>
      <c r="I167" s="2435"/>
      <c r="J167" s="2436"/>
      <c r="K167" s="683"/>
      <c r="L167" s="2475"/>
      <c r="M167" s="683"/>
      <c r="N167" s="2458"/>
      <c r="O167" s="2459"/>
      <c r="P167" s="2496"/>
      <c r="Q167" s="2428"/>
      <c r="R167" s="457"/>
    </row>
    <row r="168" spans="1:19" ht="15" hidden="1" customHeight="1" x14ac:dyDescent="0.25">
      <c r="A168" s="389"/>
      <c r="B168" s="2471"/>
      <c r="C168" s="46"/>
      <c r="D168" s="16"/>
      <c r="E168" s="2334"/>
      <c r="F168" s="2334"/>
      <c r="G168" s="2334"/>
      <c r="H168" s="2457"/>
      <c r="I168" s="2435"/>
      <c r="J168" s="2436"/>
      <c r="K168" s="683"/>
      <c r="L168" s="2475"/>
      <c r="M168" s="683"/>
      <c r="N168" s="2458"/>
      <c r="O168" s="2459"/>
      <c r="P168" s="2496"/>
      <c r="Q168" s="2428"/>
      <c r="R168" s="457"/>
    </row>
    <row r="169" spans="1:19" ht="30" customHeight="1" x14ac:dyDescent="0.25">
      <c r="A169" s="389"/>
      <c r="B169" s="2468" t="s">
        <v>283</v>
      </c>
      <c r="C169" s="2419" t="s">
        <v>1585</v>
      </c>
      <c r="D169" s="2481"/>
      <c r="E169" s="162"/>
      <c r="F169" s="162"/>
      <c r="G169" s="162"/>
      <c r="H169" s="1556" t="str">
        <f>IF(AND(ISNUMBER(H170), ISNUMBER(H171), ISNUMBER(H172), ISNUMBER(H173), ISNUMBER(H174), ISNUMBER(H175)), SUM(H170:H175), "")</f>
        <v/>
      </c>
      <c r="I169" s="2435"/>
      <c r="J169" s="2436"/>
      <c r="K169" s="46"/>
      <c r="L169" s="162"/>
      <c r="M169" s="162"/>
      <c r="N169" s="1556" t="str">
        <f>IF(AND(ISNUMBER(N170), ISNUMBER(N171), ISNUMBER(N172), ISNUMBER(N173), ISNUMBER(N174), ISNUMBER(N175)), SUM(N170:N175), "")</f>
        <v/>
      </c>
      <c r="O169" s="2427"/>
      <c r="P169" s="162"/>
      <c r="Q169" s="163"/>
      <c r="R169" s="457"/>
    </row>
    <row r="170" spans="1:19" ht="15" customHeight="1" x14ac:dyDescent="0.25">
      <c r="A170" s="389"/>
      <c r="B170" s="2470" t="s">
        <v>154</v>
      </c>
      <c r="C170" s="46"/>
      <c r="D170" s="16"/>
      <c r="E170" s="43"/>
      <c r="F170" s="43"/>
      <c r="G170" s="162"/>
      <c r="H170" s="2467" t="str">
        <f>IF(AND(ISNUMBER(E170), ISNUMBER(F170)), SUM(E170:F170), "")</f>
        <v/>
      </c>
      <c r="I170" s="2435"/>
      <c r="J170" s="2436"/>
      <c r="K170" s="161" t="str">
        <f t="shared" ref="K170:K175" si="69">IF(AND(ISNUMBER(E170), ISNUMBER(O170)), E170*O170, "")</f>
        <v/>
      </c>
      <c r="L170" s="161" t="str">
        <f t="shared" ref="L170:L175" si="70">IF(AND(ISNUMBER(F170), ISNUMBER(P170)), F170*P170, "")</f>
        <v/>
      </c>
      <c r="M170" s="162"/>
      <c r="N170" s="2467" t="str">
        <f>IF(AND(ISNUMBER(K170), ISNUMBER(L170)), SUM(K170:L170), "")</f>
        <v/>
      </c>
      <c r="O170" s="2429">
        <f>Parameters!F137</f>
        <v>0</v>
      </c>
      <c r="P170" s="165">
        <f>Parameters!G137</f>
        <v>0.5</v>
      </c>
      <c r="Q170" s="163"/>
      <c r="R170" s="457"/>
      <c r="S170" s="316">
        <f>IF(ISNUMBER(N170),1,0)</f>
        <v>0</v>
      </c>
    </row>
    <row r="171" spans="1:19" ht="15" customHeight="1" x14ac:dyDescent="0.25">
      <c r="A171" s="389"/>
      <c r="B171" s="2470" t="s">
        <v>251</v>
      </c>
      <c r="C171" s="46"/>
      <c r="D171" s="16"/>
      <c r="E171" s="43"/>
      <c r="F171" s="43"/>
      <c r="G171" s="162"/>
      <c r="H171" s="2467" t="str">
        <f t="shared" ref="H171:H175" si="71">IF(AND(ISNUMBER(E171), ISNUMBER(F171)), SUM(E171:F171), "")</f>
        <v/>
      </c>
      <c r="I171" s="2435"/>
      <c r="J171" s="2436"/>
      <c r="K171" s="161" t="str">
        <f t="shared" si="69"/>
        <v/>
      </c>
      <c r="L171" s="161" t="str">
        <f t="shared" si="70"/>
        <v/>
      </c>
      <c r="M171" s="162"/>
      <c r="N171" s="2467" t="str">
        <f t="shared" ref="N171:N175" si="72">IF(AND(ISNUMBER(K171), ISNUMBER(L171)), SUM(K171:L171), "")</f>
        <v/>
      </c>
      <c r="O171" s="2429">
        <f>Parameters!F138</f>
        <v>0</v>
      </c>
      <c r="P171" s="165">
        <f>Parameters!G138</f>
        <v>0.5</v>
      </c>
      <c r="Q171" s="163"/>
      <c r="R171" s="457"/>
      <c r="S171" s="316">
        <f t="shared" ref="S171:S173" si="73">IF(ISNUMBER(N171),1,0)</f>
        <v>0</v>
      </c>
    </row>
    <row r="172" spans="1:19" ht="15" customHeight="1" x14ac:dyDescent="0.25">
      <c r="A172" s="389"/>
      <c r="B172" s="2470" t="s">
        <v>252</v>
      </c>
      <c r="C172" s="46"/>
      <c r="D172" s="16"/>
      <c r="E172" s="43"/>
      <c r="F172" s="43"/>
      <c r="G172" s="162"/>
      <c r="H172" s="2467" t="str">
        <f t="shared" si="71"/>
        <v/>
      </c>
      <c r="I172" s="2435"/>
      <c r="J172" s="2436"/>
      <c r="K172" s="161" t="str">
        <f t="shared" si="69"/>
        <v/>
      </c>
      <c r="L172" s="161" t="str">
        <f t="shared" si="70"/>
        <v/>
      </c>
      <c r="M172" s="162"/>
      <c r="N172" s="2467" t="str">
        <f t="shared" si="72"/>
        <v/>
      </c>
      <c r="O172" s="2429">
        <f>Parameters!F139</f>
        <v>0.5</v>
      </c>
      <c r="P172" s="165">
        <f>Parameters!G139</f>
        <v>0.5</v>
      </c>
      <c r="Q172" s="163"/>
      <c r="R172" s="457"/>
      <c r="S172" s="316">
        <f t="shared" si="73"/>
        <v>0</v>
      </c>
    </row>
    <row r="173" spans="1:19" ht="15" customHeight="1" x14ac:dyDescent="0.25">
      <c r="A173" s="389"/>
      <c r="B173" s="2470" t="s">
        <v>253</v>
      </c>
      <c r="C173" s="46"/>
      <c r="D173" s="16"/>
      <c r="E173" s="43"/>
      <c r="F173" s="43"/>
      <c r="G173" s="162"/>
      <c r="H173" s="2467" t="str">
        <f t="shared" si="71"/>
        <v/>
      </c>
      <c r="I173" s="2435"/>
      <c r="J173" s="2436"/>
      <c r="K173" s="161" t="str">
        <f t="shared" si="69"/>
        <v/>
      </c>
      <c r="L173" s="161" t="str">
        <f t="shared" si="70"/>
        <v/>
      </c>
      <c r="M173" s="162"/>
      <c r="N173" s="2467" t="str">
        <f t="shared" si="72"/>
        <v/>
      </c>
      <c r="O173" s="2429">
        <f>Parameters!F140</f>
        <v>1</v>
      </c>
      <c r="P173" s="165">
        <f>Parameters!G140</f>
        <v>1</v>
      </c>
      <c r="Q173" s="163"/>
      <c r="R173" s="457"/>
      <c r="S173" s="316">
        <f t="shared" si="73"/>
        <v>0</v>
      </c>
    </row>
    <row r="174" spans="1:19" ht="15" customHeight="1" x14ac:dyDescent="0.25">
      <c r="A174" s="389"/>
      <c r="B174" s="2470" t="s">
        <v>2260</v>
      </c>
      <c r="C174" s="46"/>
      <c r="D174" s="16"/>
      <c r="E174" s="43"/>
      <c r="F174" s="43"/>
      <c r="G174" s="162"/>
      <c r="H174" s="2467" t="str">
        <f t="shared" si="71"/>
        <v/>
      </c>
      <c r="I174" s="2435"/>
      <c r="J174" s="2436"/>
      <c r="K174" s="161" t="str">
        <f t="shared" si="69"/>
        <v/>
      </c>
      <c r="L174" s="161" t="str">
        <f t="shared" si="70"/>
        <v/>
      </c>
      <c r="M174" s="162"/>
      <c r="N174" s="2467" t="str">
        <f t="shared" si="72"/>
        <v/>
      </c>
      <c r="O174" s="2429">
        <f>Parameters!F141</f>
        <v>0</v>
      </c>
      <c r="P174" s="165">
        <f>Parameters!G141</f>
        <v>0</v>
      </c>
      <c r="Q174" s="163"/>
      <c r="R174" s="457"/>
    </row>
    <row r="175" spans="1:19" ht="15" customHeight="1" x14ac:dyDescent="0.25">
      <c r="A175" s="389"/>
      <c r="B175" s="2470" t="s">
        <v>2261</v>
      </c>
      <c r="C175" s="46"/>
      <c r="D175" s="16"/>
      <c r="E175" s="43"/>
      <c r="F175" s="43"/>
      <c r="G175" s="162"/>
      <c r="H175" s="2467" t="str">
        <f t="shared" si="71"/>
        <v/>
      </c>
      <c r="I175" s="2435"/>
      <c r="J175" s="2436"/>
      <c r="K175" s="161" t="str">
        <f t="shared" si="69"/>
        <v/>
      </c>
      <c r="L175" s="161" t="str">
        <f t="shared" si="70"/>
        <v/>
      </c>
      <c r="M175" s="162"/>
      <c r="N175" s="2467" t="str">
        <f t="shared" si="72"/>
        <v/>
      </c>
      <c r="O175" s="2429">
        <f>Parameters!F142</f>
        <v>0</v>
      </c>
      <c r="P175" s="165">
        <f>Parameters!G142</f>
        <v>0</v>
      </c>
      <c r="Q175" s="163"/>
      <c r="R175" s="457"/>
    </row>
    <row r="176" spans="1:19" ht="15" hidden="1" customHeight="1" x14ac:dyDescent="0.25">
      <c r="A176" s="389"/>
      <c r="B176" s="2471"/>
      <c r="C176" s="46"/>
      <c r="D176" s="16"/>
      <c r="E176" s="2334"/>
      <c r="F176" s="2334"/>
      <c r="G176" s="2334"/>
      <c r="H176" s="2457"/>
      <c r="I176" s="2435"/>
      <c r="J176" s="2436"/>
      <c r="K176" s="683"/>
      <c r="L176" s="2475"/>
      <c r="M176" s="683"/>
      <c r="N176" s="2458"/>
      <c r="O176" s="2459"/>
      <c r="P176" s="2496"/>
      <c r="Q176" s="2428"/>
      <c r="R176" s="457"/>
    </row>
    <row r="177" spans="1:19" ht="15" hidden="1" customHeight="1" x14ac:dyDescent="0.25">
      <c r="A177" s="389"/>
      <c r="B177" s="2471"/>
      <c r="C177" s="46"/>
      <c r="D177" s="16"/>
      <c r="E177" s="2334"/>
      <c r="F177" s="2334"/>
      <c r="G177" s="2334"/>
      <c r="H177" s="2457"/>
      <c r="I177" s="2435"/>
      <c r="J177" s="2436"/>
      <c r="K177" s="683"/>
      <c r="L177" s="2475"/>
      <c r="M177" s="683"/>
      <c r="N177" s="2458"/>
      <c r="O177" s="2459"/>
      <c r="P177" s="2496"/>
      <c r="Q177" s="2428"/>
      <c r="R177" s="457"/>
    </row>
    <row r="178" spans="1:19" ht="30" customHeight="1" x14ac:dyDescent="0.25">
      <c r="A178" s="389"/>
      <c r="B178" s="2468" t="s">
        <v>255</v>
      </c>
      <c r="C178" s="2419" t="s">
        <v>1586</v>
      </c>
      <c r="D178" s="2481"/>
      <c r="E178" s="162"/>
      <c r="F178" s="162"/>
      <c r="G178" s="162"/>
      <c r="H178" s="1556" t="str">
        <f>IF(AND(ISNUMBER(H179), ISNUMBER(H180), ISNUMBER(H181), ISNUMBER(H182), ISNUMBER(H183), ISNUMBER(H184)), SUM(H179:H184), "")</f>
        <v/>
      </c>
      <c r="I178" s="2435"/>
      <c r="J178" s="2436"/>
      <c r="K178" s="46"/>
      <c r="L178" s="162"/>
      <c r="M178" s="162"/>
      <c r="N178" s="1556" t="str">
        <f>IF(AND(ISNUMBER(N179), ISNUMBER(N180), ISNUMBER(N181), ISNUMBER(N182), ISNUMBER(N183), ISNUMBER(N184)), SUM(N179:N184), "")</f>
        <v/>
      </c>
      <c r="O178" s="2427"/>
      <c r="P178" s="162"/>
      <c r="Q178" s="163"/>
      <c r="R178" s="457"/>
    </row>
    <row r="179" spans="1:19" ht="15" customHeight="1" x14ac:dyDescent="0.25">
      <c r="A179" s="389"/>
      <c r="B179" s="2470" t="s">
        <v>154</v>
      </c>
      <c r="C179" s="46"/>
      <c r="D179" s="16"/>
      <c r="E179" s="43"/>
      <c r="F179" s="43"/>
      <c r="G179" s="162"/>
      <c r="H179" s="2467" t="str">
        <f>IF(AND(ISNUMBER(E179), ISNUMBER(F179)), SUM(E179:F179), "")</f>
        <v/>
      </c>
      <c r="I179" s="2435"/>
      <c r="J179" s="2436"/>
      <c r="K179" s="161" t="str">
        <f t="shared" ref="K179:K184" si="74">IF(AND(ISNUMBER(E179), ISNUMBER(O179)), E179*O179, "")</f>
        <v/>
      </c>
      <c r="L179" s="161" t="str">
        <f t="shared" ref="L179:L184" si="75">IF(AND(ISNUMBER(F179), ISNUMBER(P179)), F179*P179, "")</f>
        <v/>
      </c>
      <c r="M179" s="162"/>
      <c r="N179" s="2467" t="str">
        <f>IF(AND(ISNUMBER(K179), ISNUMBER(L179)), SUM(K179:L179), "")</f>
        <v/>
      </c>
      <c r="O179" s="2429">
        <f>Parameters!F146</f>
        <v>0.5</v>
      </c>
      <c r="P179" s="165">
        <f>Parameters!G146</f>
        <v>0.5</v>
      </c>
      <c r="Q179" s="163"/>
      <c r="R179" s="457"/>
      <c r="S179" s="316">
        <f>IF(ISNUMBER(N179),1,0)</f>
        <v>0</v>
      </c>
    </row>
    <row r="180" spans="1:19" ht="15" customHeight="1" x14ac:dyDescent="0.25">
      <c r="A180" s="389"/>
      <c r="B180" s="2470" t="s">
        <v>251</v>
      </c>
      <c r="C180" s="46"/>
      <c r="D180" s="16"/>
      <c r="E180" s="43"/>
      <c r="F180" s="43"/>
      <c r="G180" s="162"/>
      <c r="H180" s="2467" t="str">
        <f t="shared" ref="H180:H184" si="76">IF(AND(ISNUMBER(E180), ISNUMBER(F180)), SUM(E180:F180), "")</f>
        <v/>
      </c>
      <c r="I180" s="2435"/>
      <c r="J180" s="2436"/>
      <c r="K180" s="161" t="str">
        <f t="shared" si="74"/>
        <v/>
      </c>
      <c r="L180" s="161" t="str">
        <f t="shared" si="75"/>
        <v/>
      </c>
      <c r="M180" s="162"/>
      <c r="N180" s="2467" t="str">
        <f t="shared" ref="N180:N184" si="77">IF(AND(ISNUMBER(K180), ISNUMBER(L180)), SUM(K180:L180), "")</f>
        <v/>
      </c>
      <c r="O180" s="2429">
        <f>Parameters!F147</f>
        <v>0.5</v>
      </c>
      <c r="P180" s="165">
        <f>Parameters!G147</f>
        <v>0.5</v>
      </c>
      <c r="Q180" s="163"/>
      <c r="R180" s="457"/>
      <c r="S180" s="316">
        <f t="shared" ref="S180:S182" si="78">IF(ISNUMBER(N180),1,0)</f>
        <v>0</v>
      </c>
    </row>
    <row r="181" spans="1:19" ht="15" customHeight="1" x14ac:dyDescent="0.25">
      <c r="A181" s="389"/>
      <c r="B181" s="2470" t="s">
        <v>252</v>
      </c>
      <c r="C181" s="46"/>
      <c r="D181" s="16"/>
      <c r="E181" s="43"/>
      <c r="F181" s="43"/>
      <c r="G181" s="162"/>
      <c r="H181" s="2467" t="str">
        <f t="shared" si="76"/>
        <v/>
      </c>
      <c r="I181" s="2435"/>
      <c r="J181" s="2436"/>
      <c r="K181" s="161" t="str">
        <f t="shared" si="74"/>
        <v/>
      </c>
      <c r="L181" s="161" t="str">
        <f t="shared" si="75"/>
        <v/>
      </c>
      <c r="M181" s="162"/>
      <c r="N181" s="2467" t="str">
        <f t="shared" si="77"/>
        <v/>
      </c>
      <c r="O181" s="2429">
        <f>Parameters!F148</f>
        <v>0.5</v>
      </c>
      <c r="P181" s="165">
        <f>Parameters!G148</f>
        <v>0.5</v>
      </c>
      <c r="Q181" s="163"/>
      <c r="R181" s="457"/>
      <c r="S181" s="316">
        <f t="shared" si="78"/>
        <v>0</v>
      </c>
    </row>
    <row r="182" spans="1:19" ht="15" customHeight="1" x14ac:dyDescent="0.25">
      <c r="A182" s="389"/>
      <c r="B182" s="2470" t="s">
        <v>253</v>
      </c>
      <c r="C182" s="46"/>
      <c r="D182" s="16"/>
      <c r="E182" s="43"/>
      <c r="F182" s="43"/>
      <c r="G182" s="162"/>
      <c r="H182" s="2467" t="str">
        <f t="shared" si="76"/>
        <v/>
      </c>
      <c r="I182" s="2435"/>
      <c r="J182" s="2436"/>
      <c r="K182" s="161" t="str">
        <f t="shared" si="74"/>
        <v/>
      </c>
      <c r="L182" s="161" t="str">
        <f t="shared" si="75"/>
        <v/>
      </c>
      <c r="M182" s="162"/>
      <c r="N182" s="2467" t="str">
        <f t="shared" si="77"/>
        <v/>
      </c>
      <c r="O182" s="2429">
        <f>Parameters!F149</f>
        <v>1</v>
      </c>
      <c r="P182" s="165">
        <f>Parameters!G149</f>
        <v>1</v>
      </c>
      <c r="Q182" s="163"/>
      <c r="R182" s="457"/>
      <c r="S182" s="316">
        <f t="shared" si="78"/>
        <v>0</v>
      </c>
    </row>
    <row r="183" spans="1:19" ht="15" customHeight="1" x14ac:dyDescent="0.25">
      <c r="A183" s="389"/>
      <c r="B183" s="2470" t="s">
        <v>2260</v>
      </c>
      <c r="C183" s="46"/>
      <c r="D183" s="16"/>
      <c r="E183" s="43"/>
      <c r="F183" s="43"/>
      <c r="G183" s="162"/>
      <c r="H183" s="2467" t="str">
        <f t="shared" si="76"/>
        <v/>
      </c>
      <c r="I183" s="2435"/>
      <c r="J183" s="2436"/>
      <c r="K183" s="161" t="str">
        <f t="shared" si="74"/>
        <v/>
      </c>
      <c r="L183" s="161" t="str">
        <f t="shared" si="75"/>
        <v/>
      </c>
      <c r="M183" s="162"/>
      <c r="N183" s="2467" t="str">
        <f t="shared" si="77"/>
        <v/>
      </c>
      <c r="O183" s="2429">
        <f>Parameters!F150</f>
        <v>0</v>
      </c>
      <c r="P183" s="165">
        <f>Parameters!G150</f>
        <v>0</v>
      </c>
      <c r="Q183" s="163"/>
      <c r="R183" s="457"/>
    </row>
    <row r="184" spans="1:19" ht="15" customHeight="1" x14ac:dyDescent="0.25">
      <c r="A184" s="389"/>
      <c r="B184" s="2470" t="s">
        <v>2261</v>
      </c>
      <c r="C184" s="46"/>
      <c r="D184" s="16"/>
      <c r="E184" s="43"/>
      <c r="F184" s="43"/>
      <c r="G184" s="162"/>
      <c r="H184" s="2467" t="str">
        <f t="shared" si="76"/>
        <v/>
      </c>
      <c r="I184" s="2435"/>
      <c r="J184" s="2436"/>
      <c r="K184" s="161" t="str">
        <f t="shared" si="74"/>
        <v/>
      </c>
      <c r="L184" s="161" t="str">
        <f t="shared" si="75"/>
        <v/>
      </c>
      <c r="M184" s="162"/>
      <c r="N184" s="2467" t="str">
        <f t="shared" si="77"/>
        <v/>
      </c>
      <c r="O184" s="2429">
        <f>Parameters!F151</f>
        <v>0</v>
      </c>
      <c r="P184" s="165">
        <f>Parameters!G151</f>
        <v>0</v>
      </c>
      <c r="Q184" s="163"/>
      <c r="R184" s="457"/>
    </row>
    <row r="185" spans="1:19" ht="15" hidden="1" customHeight="1" x14ac:dyDescent="0.25">
      <c r="A185" s="389"/>
      <c r="B185" s="2471"/>
      <c r="C185" s="46"/>
      <c r="D185" s="16"/>
      <c r="E185" s="2334"/>
      <c r="F185" s="2334"/>
      <c r="G185" s="2334"/>
      <c r="H185" s="2457"/>
      <c r="I185" s="2435"/>
      <c r="J185" s="2436"/>
      <c r="K185" s="683"/>
      <c r="L185" s="2475"/>
      <c r="M185" s="683"/>
      <c r="N185" s="2458"/>
      <c r="O185" s="2459"/>
      <c r="P185" s="2496"/>
      <c r="Q185" s="2428"/>
      <c r="R185" s="457"/>
    </row>
    <row r="186" spans="1:19" ht="15" hidden="1" customHeight="1" x14ac:dyDescent="0.25">
      <c r="A186" s="389"/>
      <c r="B186" s="2471"/>
      <c r="C186" s="46"/>
      <c r="D186" s="16"/>
      <c r="E186" s="2334"/>
      <c r="F186" s="2334"/>
      <c r="G186" s="2334"/>
      <c r="H186" s="2457"/>
      <c r="I186" s="2435"/>
      <c r="J186" s="2436"/>
      <c r="K186" s="683"/>
      <c r="L186" s="2475"/>
      <c r="M186" s="683"/>
      <c r="N186" s="2458"/>
      <c r="O186" s="2459"/>
      <c r="P186" s="2496"/>
      <c r="Q186" s="2428"/>
      <c r="R186" s="457"/>
    </row>
    <row r="187" spans="1:19" ht="30" customHeight="1" x14ac:dyDescent="0.25">
      <c r="A187" s="389"/>
      <c r="B187" s="2468" t="s">
        <v>256</v>
      </c>
      <c r="C187" s="2419" t="s">
        <v>1587</v>
      </c>
      <c r="D187" s="2481"/>
      <c r="E187" s="162"/>
      <c r="F187" s="162"/>
      <c r="G187" s="162"/>
      <c r="H187" s="1556" t="str">
        <f>IF(AND(ISNUMBER(H188), ISNUMBER(H189), ISNUMBER(H190), ISNUMBER(H191), ISNUMBER(H192), ISNUMBER(H193)), SUM(H188:H193), "")</f>
        <v/>
      </c>
      <c r="I187" s="2435"/>
      <c r="J187" s="2436"/>
      <c r="K187" s="46"/>
      <c r="L187" s="162"/>
      <c r="M187" s="162"/>
      <c r="N187" s="1556" t="str">
        <f>IF(AND(ISNUMBER(N188), ISNUMBER(N189), ISNUMBER(N190), ISNUMBER(N191), ISNUMBER(N192), ISNUMBER(N193)), SUM(N188:N193), "")</f>
        <v/>
      </c>
      <c r="O187" s="2427"/>
      <c r="P187" s="162"/>
      <c r="Q187" s="163"/>
      <c r="R187" s="457"/>
    </row>
    <row r="188" spans="1:19" ht="15" customHeight="1" x14ac:dyDescent="0.25">
      <c r="A188" s="389"/>
      <c r="B188" s="2470" t="s">
        <v>154</v>
      </c>
      <c r="C188" s="46"/>
      <c r="D188" s="16"/>
      <c r="E188" s="43"/>
      <c r="F188" s="43"/>
      <c r="G188" s="43"/>
      <c r="H188" s="2467" t="str">
        <f t="shared" ref="H188:H193" si="79">IF(AND(ISNUMBER(E188), ISNUMBER(F188), ISNUMBER(G188)), SUM(E188:G188), "")</f>
        <v/>
      </c>
      <c r="I188" s="2435"/>
      <c r="J188" s="2436"/>
      <c r="K188" s="161" t="str">
        <f t="shared" ref="K188:K193" si="80">IF(AND(ISNUMBER(E188), ISNUMBER(O188)), E188*O188, "")</f>
        <v/>
      </c>
      <c r="L188" s="161" t="str">
        <f t="shared" ref="L188:L193" si="81">IF(AND(ISNUMBER(F188), ISNUMBER(P188)), F188*P188, "")</f>
        <v/>
      </c>
      <c r="M188" s="161" t="str">
        <f t="shared" ref="M188:M193" si="82">IF(AND(ISNUMBER(G188), ISNUMBER(Q188)), G188*Q188, "")</f>
        <v/>
      </c>
      <c r="N188" s="2467" t="str">
        <f t="shared" ref="N188:N193" si="83">IF(AND(ISNUMBER(K188), ISNUMBER(L188), ISNUMBER(M188)), SUM(K188:M188), "")</f>
        <v/>
      </c>
      <c r="O188" s="2429">
        <f>Parameters!F155</f>
        <v>0.5</v>
      </c>
      <c r="P188" s="165">
        <f>Parameters!G155</f>
        <v>0.5</v>
      </c>
      <c r="Q188" s="47">
        <f>Parameters!H155</f>
        <v>0.65</v>
      </c>
      <c r="R188" s="457"/>
      <c r="S188" s="316">
        <f>IF(ISNUMBER(N188),1,0)</f>
        <v>0</v>
      </c>
    </row>
    <row r="189" spans="1:19" ht="15" customHeight="1" x14ac:dyDescent="0.25">
      <c r="A189" s="389"/>
      <c r="B189" s="2470" t="s">
        <v>251</v>
      </c>
      <c r="C189" s="46"/>
      <c r="D189" s="16"/>
      <c r="E189" s="43"/>
      <c r="F189" s="43"/>
      <c r="G189" s="43"/>
      <c r="H189" s="2467" t="str">
        <f t="shared" si="79"/>
        <v/>
      </c>
      <c r="I189" s="2435"/>
      <c r="J189" s="2436"/>
      <c r="K189" s="161" t="str">
        <f t="shared" si="80"/>
        <v/>
      </c>
      <c r="L189" s="161" t="str">
        <f t="shared" si="81"/>
        <v/>
      </c>
      <c r="M189" s="161" t="str">
        <f t="shared" si="82"/>
        <v/>
      </c>
      <c r="N189" s="2467" t="str">
        <f t="shared" si="83"/>
        <v/>
      </c>
      <c r="O189" s="2429">
        <f>Parameters!F156</f>
        <v>0.5</v>
      </c>
      <c r="P189" s="165">
        <f>Parameters!G156</f>
        <v>0.5</v>
      </c>
      <c r="Q189" s="47">
        <f>Parameters!H156</f>
        <v>0.65</v>
      </c>
      <c r="R189" s="457"/>
      <c r="S189" s="316">
        <f t="shared" ref="S189:S191" si="84">IF(ISNUMBER(N189),1,0)</f>
        <v>0</v>
      </c>
    </row>
    <row r="190" spans="1:19" ht="15" customHeight="1" x14ac:dyDescent="0.25">
      <c r="A190" s="389"/>
      <c r="B190" s="2470" t="s">
        <v>252</v>
      </c>
      <c r="C190" s="46"/>
      <c r="D190" s="16"/>
      <c r="E190" s="43"/>
      <c r="F190" s="43"/>
      <c r="G190" s="43"/>
      <c r="H190" s="2467" t="str">
        <f t="shared" si="79"/>
        <v/>
      </c>
      <c r="I190" s="2435"/>
      <c r="J190" s="2436"/>
      <c r="K190" s="161" t="str">
        <f t="shared" si="80"/>
        <v/>
      </c>
      <c r="L190" s="161" t="str">
        <f t="shared" si="81"/>
        <v/>
      </c>
      <c r="M190" s="161" t="str">
        <f t="shared" si="82"/>
        <v/>
      </c>
      <c r="N190" s="2467" t="str">
        <f t="shared" si="83"/>
        <v/>
      </c>
      <c r="O190" s="2429">
        <f>Parameters!F157</f>
        <v>0.5</v>
      </c>
      <c r="P190" s="165">
        <f>Parameters!G157</f>
        <v>0.5</v>
      </c>
      <c r="Q190" s="47">
        <f>Parameters!H157</f>
        <v>0.65</v>
      </c>
      <c r="R190" s="457"/>
      <c r="S190" s="316">
        <f t="shared" si="84"/>
        <v>0</v>
      </c>
    </row>
    <row r="191" spans="1:19" ht="15" customHeight="1" x14ac:dyDescent="0.25">
      <c r="A191" s="389"/>
      <c r="B191" s="2470" t="s">
        <v>253</v>
      </c>
      <c r="C191" s="46"/>
      <c r="D191" s="16"/>
      <c r="E191" s="43"/>
      <c r="F191" s="43"/>
      <c r="G191" s="43"/>
      <c r="H191" s="2467" t="str">
        <f t="shared" si="79"/>
        <v/>
      </c>
      <c r="I191" s="2435"/>
      <c r="J191" s="2436"/>
      <c r="K191" s="161" t="str">
        <f t="shared" si="80"/>
        <v/>
      </c>
      <c r="L191" s="161" t="str">
        <f t="shared" si="81"/>
        <v/>
      </c>
      <c r="M191" s="161" t="str">
        <f t="shared" si="82"/>
        <v/>
      </c>
      <c r="N191" s="2467" t="str">
        <f t="shared" si="83"/>
        <v/>
      </c>
      <c r="O191" s="2429">
        <f>Parameters!F158</f>
        <v>1</v>
      </c>
      <c r="P191" s="165">
        <f>Parameters!G158</f>
        <v>1</v>
      </c>
      <c r="Q191" s="47">
        <f>Parameters!H158</f>
        <v>1</v>
      </c>
      <c r="R191" s="457"/>
      <c r="S191" s="316">
        <f t="shared" si="84"/>
        <v>0</v>
      </c>
    </row>
    <row r="192" spans="1:19" ht="15" customHeight="1" x14ac:dyDescent="0.25">
      <c r="A192" s="389"/>
      <c r="B192" s="2470" t="s">
        <v>2260</v>
      </c>
      <c r="C192" s="46"/>
      <c r="D192" s="16"/>
      <c r="E192" s="43"/>
      <c r="F192" s="43"/>
      <c r="G192" s="43"/>
      <c r="H192" s="2467" t="str">
        <f t="shared" si="79"/>
        <v/>
      </c>
      <c r="I192" s="2435"/>
      <c r="J192" s="2436"/>
      <c r="K192" s="161" t="str">
        <f t="shared" si="80"/>
        <v/>
      </c>
      <c r="L192" s="161" t="str">
        <f t="shared" si="81"/>
        <v/>
      </c>
      <c r="M192" s="161" t="str">
        <f t="shared" si="82"/>
        <v/>
      </c>
      <c r="N192" s="2467" t="str">
        <f t="shared" si="83"/>
        <v/>
      </c>
      <c r="O192" s="2429">
        <f>Parameters!F159</f>
        <v>0</v>
      </c>
      <c r="P192" s="165">
        <f>Parameters!G159</f>
        <v>0</v>
      </c>
      <c r="Q192" s="47">
        <f>Parameters!H159</f>
        <v>0</v>
      </c>
      <c r="R192" s="457"/>
    </row>
    <row r="193" spans="1:19" ht="15" customHeight="1" x14ac:dyDescent="0.25">
      <c r="A193" s="389"/>
      <c r="B193" s="2470" t="s">
        <v>2261</v>
      </c>
      <c r="C193" s="46"/>
      <c r="D193" s="16"/>
      <c r="E193" s="43"/>
      <c r="F193" s="43"/>
      <c r="G193" s="43"/>
      <c r="H193" s="2467" t="str">
        <f t="shared" si="79"/>
        <v/>
      </c>
      <c r="I193" s="2435"/>
      <c r="J193" s="2436"/>
      <c r="K193" s="161" t="str">
        <f t="shared" si="80"/>
        <v/>
      </c>
      <c r="L193" s="161" t="str">
        <f t="shared" si="81"/>
        <v/>
      </c>
      <c r="M193" s="161" t="str">
        <f t="shared" si="82"/>
        <v/>
      </c>
      <c r="N193" s="2467" t="str">
        <f t="shared" si="83"/>
        <v/>
      </c>
      <c r="O193" s="2429">
        <f>Parameters!F160</f>
        <v>0</v>
      </c>
      <c r="P193" s="165">
        <f>Parameters!G160</f>
        <v>0</v>
      </c>
      <c r="Q193" s="47">
        <f>Parameters!H160</f>
        <v>0</v>
      </c>
      <c r="R193" s="457"/>
    </row>
    <row r="194" spans="1:19" ht="15" hidden="1" customHeight="1" x14ac:dyDescent="0.25">
      <c r="A194" s="389"/>
      <c r="B194" s="2471"/>
      <c r="C194" s="46"/>
      <c r="D194" s="16"/>
      <c r="E194" s="2334"/>
      <c r="F194" s="2334"/>
      <c r="G194" s="2334"/>
      <c r="H194" s="2457"/>
      <c r="I194" s="2435"/>
      <c r="J194" s="2436"/>
      <c r="K194" s="683"/>
      <c r="L194" s="2475"/>
      <c r="M194" s="683"/>
      <c r="N194" s="2458"/>
      <c r="O194" s="2459"/>
      <c r="P194" s="2496"/>
      <c r="Q194" s="2428"/>
      <c r="R194" s="457"/>
    </row>
    <row r="195" spans="1:19" ht="15" hidden="1" customHeight="1" x14ac:dyDescent="0.25">
      <c r="A195" s="389"/>
      <c r="B195" s="2471"/>
      <c r="C195" s="46"/>
      <c r="D195" s="16"/>
      <c r="E195" s="2334"/>
      <c r="F195" s="2334"/>
      <c r="G195" s="2334"/>
      <c r="H195" s="2457"/>
      <c r="I195" s="2435"/>
      <c r="J195" s="2436"/>
      <c r="K195" s="683"/>
      <c r="L195" s="2475"/>
      <c r="M195" s="683"/>
      <c r="N195" s="2458"/>
      <c r="O195" s="2459"/>
      <c r="P195" s="2496"/>
      <c r="Q195" s="2428"/>
      <c r="R195" s="457"/>
    </row>
    <row r="196" spans="1:19" ht="42.75" x14ac:dyDescent="0.25">
      <c r="A196" s="389"/>
      <c r="B196" s="2468" t="s">
        <v>2265</v>
      </c>
      <c r="C196" s="2419" t="s">
        <v>1588</v>
      </c>
      <c r="D196" s="2481"/>
      <c r="E196" s="162"/>
      <c r="F196" s="162"/>
      <c r="G196" s="162"/>
      <c r="H196" s="1556" t="str">
        <f>IF(AND(ISNUMBER(H197), ISNUMBER(H198), ISNUMBER(H199), ISNUMBER(H200), ISNUMBER(H201), ISNUMBER(H202)), SUM(H197:H202), "")</f>
        <v/>
      </c>
      <c r="I196" s="2435"/>
      <c r="J196" s="2436"/>
      <c r="K196" s="46"/>
      <c r="L196" s="162"/>
      <c r="M196" s="162"/>
      <c r="N196" s="1556" t="str">
        <f>IF(AND(ISNUMBER(N197), ISNUMBER(N198), ISNUMBER(N199), ISNUMBER(N200), ISNUMBER(N201), ISNUMBER(N202)), SUM(N197:N202), "")</f>
        <v/>
      </c>
      <c r="O196" s="2427"/>
      <c r="P196" s="162"/>
      <c r="Q196" s="163"/>
      <c r="R196" s="457"/>
    </row>
    <row r="197" spans="1:19" ht="15" customHeight="1" x14ac:dyDescent="0.25">
      <c r="A197" s="1533"/>
      <c r="B197" s="2470" t="s">
        <v>154</v>
      </c>
      <c r="C197" s="46"/>
      <c r="D197" s="16"/>
      <c r="E197" s="15"/>
      <c r="F197" s="15"/>
      <c r="G197" s="43"/>
      <c r="H197" s="2467" t="str">
        <f>IF(ISNUMBER(G197), SUM(E197:G197), "")</f>
        <v/>
      </c>
      <c r="I197" s="2435"/>
      <c r="J197" s="2436"/>
      <c r="K197" s="161" t="str">
        <f t="shared" ref="K197:K202" si="85">IF(AND(ISNUMBER(E197), ISNUMBER(O197)), E197*O197, "")</f>
        <v/>
      </c>
      <c r="L197" s="161" t="str">
        <f t="shared" ref="L197:L202" si="86">IF(AND(ISNUMBER(F197), ISNUMBER(P197)), F197*P197, "")</f>
        <v/>
      </c>
      <c r="M197" s="161" t="str">
        <f t="shared" ref="M197:M202" si="87">IF(AND(ISNUMBER(G197), ISNUMBER(Q197)), G197*Q197, "")</f>
        <v/>
      </c>
      <c r="N197" s="2467" t="str">
        <f>IF(ISNUMBER(M197), SUM(K197:M197), "")</f>
        <v/>
      </c>
      <c r="O197" s="2429">
        <f>Parameters!F164</f>
        <v>0</v>
      </c>
      <c r="P197" s="165">
        <f>Parameters!G164</f>
        <v>0</v>
      </c>
      <c r="Q197" s="47">
        <f>Parameters!H164</f>
        <v>0.65</v>
      </c>
      <c r="R197" s="457"/>
      <c r="S197" s="316">
        <f>IF(ISNUMBER(N197),1,0)</f>
        <v>0</v>
      </c>
    </row>
    <row r="198" spans="1:19" ht="15" customHeight="1" x14ac:dyDescent="0.25">
      <c r="A198" s="1533"/>
      <c r="B198" s="2470" t="s">
        <v>251</v>
      </c>
      <c r="C198" s="46"/>
      <c r="D198" s="16"/>
      <c r="E198" s="15"/>
      <c r="F198" s="15"/>
      <c r="G198" s="43"/>
      <c r="H198" s="2467" t="str">
        <f t="shared" ref="H198:H202" si="88">IF(ISNUMBER(G198), SUM(E198:G198), "")</f>
        <v/>
      </c>
      <c r="I198" s="2435"/>
      <c r="J198" s="2436"/>
      <c r="K198" s="161" t="str">
        <f t="shared" si="85"/>
        <v/>
      </c>
      <c r="L198" s="161" t="str">
        <f t="shared" si="86"/>
        <v/>
      </c>
      <c r="M198" s="161" t="str">
        <f t="shared" si="87"/>
        <v/>
      </c>
      <c r="N198" s="2467" t="str">
        <f t="shared" ref="N198:N202" si="89">IF(ISNUMBER(M198), SUM(K198:M198), "")</f>
        <v/>
      </c>
      <c r="O198" s="2429">
        <f>Parameters!F165</f>
        <v>0</v>
      </c>
      <c r="P198" s="165">
        <f>Parameters!G165</f>
        <v>0</v>
      </c>
      <c r="Q198" s="47">
        <f>Parameters!H165</f>
        <v>0.65</v>
      </c>
      <c r="R198" s="457"/>
      <c r="S198" s="316">
        <f t="shared" ref="S198:S200" si="90">IF(ISNUMBER(N198),1,0)</f>
        <v>0</v>
      </c>
    </row>
    <row r="199" spans="1:19" ht="15" customHeight="1" x14ac:dyDescent="0.25">
      <c r="A199" s="1533"/>
      <c r="B199" s="2470" t="s">
        <v>252</v>
      </c>
      <c r="C199" s="46"/>
      <c r="D199" s="16"/>
      <c r="E199" s="15"/>
      <c r="F199" s="15"/>
      <c r="G199" s="43"/>
      <c r="H199" s="2467" t="str">
        <f t="shared" si="88"/>
        <v/>
      </c>
      <c r="I199" s="2435"/>
      <c r="J199" s="2436"/>
      <c r="K199" s="161" t="str">
        <f t="shared" si="85"/>
        <v/>
      </c>
      <c r="L199" s="161" t="str">
        <f t="shared" si="86"/>
        <v/>
      </c>
      <c r="M199" s="161" t="str">
        <f t="shared" si="87"/>
        <v/>
      </c>
      <c r="N199" s="2467" t="str">
        <f t="shared" si="89"/>
        <v/>
      </c>
      <c r="O199" s="2429">
        <f>Parameters!F166</f>
        <v>0</v>
      </c>
      <c r="P199" s="165">
        <f>Parameters!G166</f>
        <v>0</v>
      </c>
      <c r="Q199" s="47">
        <f>Parameters!H166</f>
        <v>0.65</v>
      </c>
      <c r="R199" s="457"/>
      <c r="S199" s="316">
        <f t="shared" si="90"/>
        <v>0</v>
      </c>
    </row>
    <row r="200" spans="1:19" ht="15" customHeight="1" x14ac:dyDescent="0.25">
      <c r="A200" s="1533"/>
      <c r="B200" s="2470" t="s">
        <v>253</v>
      </c>
      <c r="C200" s="46"/>
      <c r="D200" s="16"/>
      <c r="E200" s="15"/>
      <c r="F200" s="15"/>
      <c r="G200" s="43"/>
      <c r="H200" s="2467" t="str">
        <f t="shared" si="88"/>
        <v/>
      </c>
      <c r="I200" s="2435"/>
      <c r="J200" s="2436"/>
      <c r="K200" s="161" t="str">
        <f t="shared" si="85"/>
        <v/>
      </c>
      <c r="L200" s="161" t="str">
        <f t="shared" si="86"/>
        <v/>
      </c>
      <c r="M200" s="161" t="str">
        <f t="shared" si="87"/>
        <v/>
      </c>
      <c r="N200" s="2467" t="str">
        <f t="shared" si="89"/>
        <v/>
      </c>
      <c r="O200" s="2429">
        <f>Parameters!F167</f>
        <v>0</v>
      </c>
      <c r="P200" s="165">
        <f>Parameters!G167</f>
        <v>0</v>
      </c>
      <c r="Q200" s="47">
        <f>Parameters!H167</f>
        <v>1</v>
      </c>
      <c r="R200" s="457"/>
      <c r="S200" s="316">
        <f t="shared" si="90"/>
        <v>0</v>
      </c>
    </row>
    <row r="201" spans="1:19" ht="15" customHeight="1" x14ac:dyDescent="0.25">
      <c r="A201" s="389"/>
      <c r="B201" s="2470" t="s">
        <v>2260</v>
      </c>
      <c r="C201" s="46"/>
      <c r="D201" s="16"/>
      <c r="E201" s="15"/>
      <c r="F201" s="15"/>
      <c r="G201" s="43"/>
      <c r="H201" s="2467" t="str">
        <f t="shared" si="88"/>
        <v/>
      </c>
      <c r="I201" s="2435"/>
      <c r="J201" s="2436"/>
      <c r="K201" s="161" t="str">
        <f t="shared" si="85"/>
        <v/>
      </c>
      <c r="L201" s="161" t="str">
        <f t="shared" si="86"/>
        <v/>
      </c>
      <c r="M201" s="161" t="str">
        <f t="shared" si="87"/>
        <v/>
      </c>
      <c r="N201" s="2467" t="str">
        <f t="shared" si="89"/>
        <v/>
      </c>
      <c r="O201" s="2429">
        <f>Parameters!F168</f>
        <v>0</v>
      </c>
      <c r="P201" s="165">
        <f>Parameters!G168</f>
        <v>0</v>
      </c>
      <c r="Q201" s="47">
        <f>Parameters!H168</f>
        <v>0</v>
      </c>
      <c r="R201" s="457"/>
    </row>
    <row r="202" spans="1:19" ht="15" customHeight="1" x14ac:dyDescent="0.25">
      <c r="A202" s="389"/>
      <c r="B202" s="2470" t="s">
        <v>2261</v>
      </c>
      <c r="C202" s="46"/>
      <c r="D202" s="16"/>
      <c r="E202" s="15"/>
      <c r="F202" s="15"/>
      <c r="G202" s="43"/>
      <c r="H202" s="2467" t="str">
        <f t="shared" si="88"/>
        <v/>
      </c>
      <c r="I202" s="2435"/>
      <c r="J202" s="2436"/>
      <c r="K202" s="161" t="str">
        <f t="shared" si="85"/>
        <v/>
      </c>
      <c r="L202" s="161" t="str">
        <f t="shared" si="86"/>
        <v/>
      </c>
      <c r="M202" s="161" t="str">
        <f t="shared" si="87"/>
        <v/>
      </c>
      <c r="N202" s="2467" t="str">
        <f t="shared" si="89"/>
        <v/>
      </c>
      <c r="O202" s="2429">
        <f>Parameters!F169</f>
        <v>0</v>
      </c>
      <c r="P202" s="165">
        <f>Parameters!G169</f>
        <v>0</v>
      </c>
      <c r="Q202" s="47">
        <f>Parameters!H169</f>
        <v>0</v>
      </c>
      <c r="R202" s="457"/>
    </row>
    <row r="203" spans="1:19" ht="15" hidden="1" customHeight="1" x14ac:dyDescent="0.25">
      <c r="A203" s="389"/>
      <c r="B203" s="2471"/>
      <c r="C203" s="46"/>
      <c r="D203" s="16"/>
      <c r="E203" s="2334"/>
      <c r="F203" s="2334"/>
      <c r="G203" s="2334"/>
      <c r="H203" s="2457"/>
      <c r="I203" s="2435"/>
      <c r="J203" s="2436"/>
      <c r="K203" s="683"/>
      <c r="L203" s="2475"/>
      <c r="M203" s="683"/>
      <c r="N203" s="2458"/>
      <c r="O203" s="2459"/>
      <c r="P203" s="2496"/>
      <c r="Q203" s="2428"/>
      <c r="R203" s="457"/>
    </row>
    <row r="204" spans="1:19" ht="15" hidden="1" customHeight="1" x14ac:dyDescent="0.25">
      <c r="A204" s="389"/>
      <c r="B204" s="2471"/>
      <c r="C204" s="46"/>
      <c r="D204" s="16"/>
      <c r="E204" s="2334"/>
      <c r="F204" s="2334"/>
      <c r="G204" s="2334"/>
      <c r="H204" s="2457"/>
      <c r="I204" s="2435"/>
      <c r="J204" s="2436"/>
      <c r="K204" s="683"/>
      <c r="L204" s="2475"/>
      <c r="M204" s="683"/>
      <c r="N204" s="2458"/>
      <c r="O204" s="2459"/>
      <c r="P204" s="2496"/>
      <c r="Q204" s="2428"/>
      <c r="R204" s="457"/>
    </row>
    <row r="205" spans="1:19" ht="15" hidden="1" customHeight="1" x14ac:dyDescent="0.25">
      <c r="A205" s="389"/>
      <c r="B205" s="2471"/>
      <c r="C205" s="46"/>
      <c r="D205" s="16"/>
      <c r="E205" s="2334"/>
      <c r="F205" s="2334"/>
      <c r="G205" s="2334"/>
      <c r="H205" s="2457"/>
      <c r="I205" s="2435"/>
      <c r="J205" s="2436"/>
      <c r="K205" s="683"/>
      <c r="L205" s="2475"/>
      <c r="M205" s="683"/>
      <c r="N205" s="2458"/>
      <c r="O205" s="2459"/>
      <c r="P205" s="2496"/>
      <c r="Q205" s="2428"/>
      <c r="R205" s="457"/>
    </row>
    <row r="206" spans="1:19" ht="15" hidden="1" customHeight="1" x14ac:dyDescent="0.25">
      <c r="A206" s="389"/>
      <c r="B206" s="2471"/>
      <c r="C206" s="46"/>
      <c r="D206" s="16"/>
      <c r="E206" s="2334"/>
      <c r="F206" s="2334"/>
      <c r="G206" s="2334"/>
      <c r="H206" s="2457"/>
      <c r="I206" s="2435"/>
      <c r="J206" s="2436"/>
      <c r="K206" s="683"/>
      <c r="L206" s="2475"/>
      <c r="M206" s="683"/>
      <c r="N206" s="2458"/>
      <c r="O206" s="2459"/>
      <c r="P206" s="2496"/>
      <c r="Q206" s="2428"/>
      <c r="R206" s="457"/>
    </row>
    <row r="207" spans="1:19" ht="15" hidden="1" customHeight="1" x14ac:dyDescent="0.25">
      <c r="A207" s="389"/>
      <c r="B207" s="2471"/>
      <c r="C207" s="46"/>
      <c r="D207" s="16"/>
      <c r="E207" s="2334"/>
      <c r="F207" s="2334"/>
      <c r="G207" s="2334"/>
      <c r="H207" s="2457"/>
      <c r="I207" s="2435"/>
      <c r="J207" s="2436"/>
      <c r="K207" s="683"/>
      <c r="L207" s="2475"/>
      <c r="M207" s="683"/>
      <c r="N207" s="2458"/>
      <c r="O207" s="2459"/>
      <c r="P207" s="2496"/>
      <c r="Q207" s="2428"/>
      <c r="R207" s="457"/>
    </row>
    <row r="208" spans="1:19" ht="15" hidden="1" customHeight="1" x14ac:dyDescent="0.25">
      <c r="A208" s="389"/>
      <c r="B208" s="2471"/>
      <c r="C208" s="46"/>
      <c r="D208" s="16"/>
      <c r="E208" s="2334"/>
      <c r="F208" s="2334"/>
      <c r="G208" s="2334"/>
      <c r="H208" s="2457"/>
      <c r="I208" s="2435"/>
      <c r="J208" s="2436"/>
      <c r="K208" s="683"/>
      <c r="L208" s="2475"/>
      <c r="M208" s="683"/>
      <c r="N208" s="2458"/>
      <c r="O208" s="2459"/>
      <c r="P208" s="2496"/>
      <c r="Q208" s="2428"/>
      <c r="R208" s="457"/>
    </row>
    <row r="209" spans="1:19" ht="15" hidden="1" customHeight="1" x14ac:dyDescent="0.25">
      <c r="A209" s="389"/>
      <c r="B209" s="2471"/>
      <c r="C209" s="46"/>
      <c r="D209" s="16"/>
      <c r="E209" s="2334"/>
      <c r="F209" s="2334"/>
      <c r="G209" s="2334"/>
      <c r="H209" s="2457"/>
      <c r="I209" s="2435"/>
      <c r="J209" s="2436"/>
      <c r="K209" s="683"/>
      <c r="L209" s="2475"/>
      <c r="M209" s="683"/>
      <c r="N209" s="2458"/>
      <c r="O209" s="2459"/>
      <c r="P209" s="2496"/>
      <c r="Q209" s="2428"/>
      <c r="R209" s="457"/>
    </row>
    <row r="210" spans="1:19" ht="15" hidden="1" customHeight="1" x14ac:dyDescent="0.25">
      <c r="A210" s="389"/>
      <c r="B210" s="2471"/>
      <c r="C210" s="46"/>
      <c r="D210" s="16"/>
      <c r="E210" s="2334"/>
      <c r="F210" s="2334"/>
      <c r="G210" s="2334"/>
      <c r="H210" s="2457"/>
      <c r="I210" s="2435"/>
      <c r="J210" s="2436"/>
      <c r="K210" s="683"/>
      <c r="L210" s="2475"/>
      <c r="M210" s="683"/>
      <c r="N210" s="2458"/>
      <c r="O210" s="2459"/>
      <c r="P210" s="2496"/>
      <c r="Q210" s="2428"/>
      <c r="R210" s="457"/>
    </row>
    <row r="211" spans="1:19" ht="15" hidden="1" customHeight="1" x14ac:dyDescent="0.25">
      <c r="A211" s="389"/>
      <c r="B211" s="2471"/>
      <c r="C211" s="46"/>
      <c r="D211" s="16"/>
      <c r="E211" s="2334"/>
      <c r="F211" s="2334"/>
      <c r="G211" s="2334"/>
      <c r="H211" s="2457"/>
      <c r="I211" s="2435"/>
      <c r="J211" s="2436"/>
      <c r="K211" s="683"/>
      <c r="L211" s="2475"/>
      <c r="M211" s="683"/>
      <c r="N211" s="2458"/>
      <c r="O211" s="2459"/>
      <c r="P211" s="2496"/>
      <c r="Q211" s="2428"/>
      <c r="R211" s="457"/>
    </row>
    <row r="212" spans="1:19" ht="15" hidden="1" customHeight="1" x14ac:dyDescent="0.25">
      <c r="A212" s="389"/>
      <c r="B212" s="2471"/>
      <c r="C212" s="46"/>
      <c r="D212" s="16"/>
      <c r="E212" s="2334"/>
      <c r="F212" s="2334"/>
      <c r="G212" s="2334"/>
      <c r="H212" s="2457"/>
      <c r="I212" s="2435"/>
      <c r="J212" s="2436"/>
      <c r="K212" s="683"/>
      <c r="L212" s="2475"/>
      <c r="M212" s="683"/>
      <c r="N212" s="2458"/>
      <c r="O212" s="2459"/>
      <c r="P212" s="2496"/>
      <c r="Q212" s="2428"/>
      <c r="R212" s="457"/>
    </row>
    <row r="213" spans="1:19" ht="15" hidden="1" customHeight="1" x14ac:dyDescent="0.25">
      <c r="A213" s="389"/>
      <c r="B213" s="2471"/>
      <c r="C213" s="46"/>
      <c r="D213" s="16"/>
      <c r="E213" s="2334"/>
      <c r="F213" s="2334"/>
      <c r="G213" s="2334"/>
      <c r="H213" s="2457"/>
      <c r="I213" s="2435"/>
      <c r="J213" s="2436"/>
      <c r="K213" s="683"/>
      <c r="L213" s="2475"/>
      <c r="M213" s="683"/>
      <c r="N213" s="2458"/>
      <c r="O213" s="2459"/>
      <c r="P213" s="2496"/>
      <c r="Q213" s="2428"/>
      <c r="R213" s="457"/>
    </row>
    <row r="214" spans="1:19" ht="30" customHeight="1" x14ac:dyDescent="0.25">
      <c r="A214" s="1533"/>
      <c r="B214" s="2468" t="s">
        <v>257</v>
      </c>
      <c r="C214" s="2419" t="s">
        <v>1584</v>
      </c>
      <c r="D214" s="2481"/>
      <c r="E214" s="162"/>
      <c r="F214" s="162"/>
      <c r="G214" s="162"/>
      <c r="H214" s="1556" t="str">
        <f>IF(AND(ISNUMBER(H215), ISNUMBER(H216), ISNUMBER(H217), ISNUMBER(H218), ISNUMBER(H219), ISNUMBER(H220)), SUM(H215:H220), "")</f>
        <v/>
      </c>
      <c r="I214" s="2435"/>
      <c r="J214" s="2436"/>
      <c r="K214" s="46"/>
      <c r="L214" s="162"/>
      <c r="M214" s="162"/>
      <c r="N214" s="1556" t="str">
        <f>IF(AND(ISNUMBER(N215), ISNUMBER(N216), ISNUMBER(N217), ISNUMBER(N218), ISNUMBER(N219), ISNUMBER(N220)), SUM(N215:N220), "")</f>
        <v/>
      </c>
      <c r="O214" s="2427"/>
      <c r="P214" s="162"/>
      <c r="Q214" s="163"/>
      <c r="R214" s="457"/>
    </row>
    <row r="215" spans="1:19" ht="15" customHeight="1" x14ac:dyDescent="0.25">
      <c r="A215" s="1533"/>
      <c r="B215" s="2470" t="s">
        <v>154</v>
      </c>
      <c r="C215" s="46"/>
      <c r="D215" s="16"/>
      <c r="E215" s="43"/>
      <c r="F215" s="43"/>
      <c r="G215" s="162"/>
      <c r="H215" s="2467" t="str">
        <f>IF(AND(ISNUMBER(E215), ISNUMBER(F215)), SUM(E215:F215), "")</f>
        <v/>
      </c>
      <c r="I215" s="2435"/>
      <c r="J215" s="2436"/>
      <c r="K215" s="161" t="str">
        <f t="shared" ref="K215:K220" si="91">IF(AND(ISNUMBER(E215), ISNUMBER(O215)), E215*O215, "")</f>
        <v/>
      </c>
      <c r="L215" s="161" t="str">
        <f t="shared" ref="L215:L220" si="92">IF(AND(ISNUMBER(F215), ISNUMBER(P215)), F215*P215, "")</f>
        <v/>
      </c>
      <c r="M215" s="162"/>
      <c r="N215" s="2467" t="str">
        <f>IF(AND(ISNUMBER(K215), ISNUMBER(L215)), SUM(K215:L215), "")</f>
        <v/>
      </c>
      <c r="O215" s="2429">
        <f>Parameters!F182</f>
        <v>0.5</v>
      </c>
      <c r="P215" s="165">
        <f>Parameters!G182</f>
        <v>0.5</v>
      </c>
      <c r="Q215" s="163"/>
      <c r="R215" s="457"/>
      <c r="S215" s="316">
        <f>IF(ISNUMBER(N215),1,0)</f>
        <v>0</v>
      </c>
    </row>
    <row r="216" spans="1:19" ht="15" customHeight="1" x14ac:dyDescent="0.25">
      <c r="A216" s="1533"/>
      <c r="B216" s="2470" t="s">
        <v>251</v>
      </c>
      <c r="C216" s="46"/>
      <c r="D216" s="16"/>
      <c r="E216" s="43"/>
      <c r="F216" s="43"/>
      <c r="G216" s="162"/>
      <c r="H216" s="2467" t="str">
        <f t="shared" ref="H216:H220" si="93">IF(AND(ISNUMBER(E216), ISNUMBER(F216)), SUM(E216:F216), "")</f>
        <v/>
      </c>
      <c r="I216" s="2435"/>
      <c r="J216" s="2436"/>
      <c r="K216" s="161" t="str">
        <f t="shared" si="91"/>
        <v/>
      </c>
      <c r="L216" s="161" t="str">
        <f t="shared" si="92"/>
        <v/>
      </c>
      <c r="M216" s="162"/>
      <c r="N216" s="2467" t="str">
        <f t="shared" ref="N216:N220" si="94">IF(AND(ISNUMBER(K216), ISNUMBER(L216)), SUM(K216:L216), "")</f>
        <v/>
      </c>
      <c r="O216" s="2429">
        <f>Parameters!F183</f>
        <v>0.5</v>
      </c>
      <c r="P216" s="165">
        <f>Parameters!G183</f>
        <v>0.5</v>
      </c>
      <c r="Q216" s="163"/>
      <c r="R216" s="457"/>
      <c r="S216" s="316">
        <f t="shared" ref="S216:S218" si="95">IF(ISNUMBER(N216),1,0)</f>
        <v>0</v>
      </c>
    </row>
    <row r="217" spans="1:19" ht="15" customHeight="1" x14ac:dyDescent="0.25">
      <c r="A217" s="1533"/>
      <c r="B217" s="2470" t="s">
        <v>252</v>
      </c>
      <c r="C217" s="46"/>
      <c r="D217" s="16"/>
      <c r="E217" s="43"/>
      <c r="F217" s="43"/>
      <c r="G217" s="162"/>
      <c r="H217" s="2467" t="str">
        <f t="shared" si="93"/>
        <v/>
      </c>
      <c r="I217" s="2435"/>
      <c r="J217" s="2436"/>
      <c r="K217" s="161" t="str">
        <f t="shared" si="91"/>
        <v/>
      </c>
      <c r="L217" s="161" t="str">
        <f t="shared" si="92"/>
        <v/>
      </c>
      <c r="M217" s="162"/>
      <c r="N217" s="2467" t="str">
        <f t="shared" si="94"/>
        <v/>
      </c>
      <c r="O217" s="2429">
        <f>Parameters!F184</f>
        <v>0.5</v>
      </c>
      <c r="P217" s="165">
        <f>Parameters!G184</f>
        <v>0.5</v>
      </c>
      <c r="Q217" s="163"/>
      <c r="R217" s="457"/>
      <c r="S217" s="316">
        <f t="shared" si="95"/>
        <v>0</v>
      </c>
    </row>
    <row r="218" spans="1:19" ht="15" customHeight="1" x14ac:dyDescent="0.25">
      <c r="A218" s="1533"/>
      <c r="B218" s="2470" t="s">
        <v>253</v>
      </c>
      <c r="C218" s="46"/>
      <c r="D218" s="16"/>
      <c r="E218" s="43"/>
      <c r="F218" s="43"/>
      <c r="G218" s="162"/>
      <c r="H218" s="2467" t="str">
        <f t="shared" si="93"/>
        <v/>
      </c>
      <c r="I218" s="2435"/>
      <c r="J218" s="2436"/>
      <c r="K218" s="161" t="str">
        <f t="shared" si="91"/>
        <v/>
      </c>
      <c r="L218" s="161" t="str">
        <f t="shared" si="92"/>
        <v/>
      </c>
      <c r="M218" s="162"/>
      <c r="N218" s="2467" t="str">
        <f t="shared" si="94"/>
        <v/>
      </c>
      <c r="O218" s="2429">
        <f>Parameters!F185</f>
        <v>1</v>
      </c>
      <c r="P218" s="165">
        <f>Parameters!G185</f>
        <v>1</v>
      </c>
      <c r="Q218" s="163"/>
      <c r="R218" s="457"/>
      <c r="S218" s="316">
        <f t="shared" si="95"/>
        <v>0</v>
      </c>
    </row>
    <row r="219" spans="1:19" ht="15" customHeight="1" x14ac:dyDescent="0.25">
      <c r="A219" s="389"/>
      <c r="B219" s="2470" t="s">
        <v>2260</v>
      </c>
      <c r="C219" s="46"/>
      <c r="D219" s="16"/>
      <c r="E219" s="43"/>
      <c r="F219" s="43"/>
      <c r="G219" s="162"/>
      <c r="H219" s="2467" t="str">
        <f t="shared" si="93"/>
        <v/>
      </c>
      <c r="I219" s="2435"/>
      <c r="J219" s="2436"/>
      <c r="K219" s="161" t="str">
        <f t="shared" si="91"/>
        <v/>
      </c>
      <c r="L219" s="161" t="str">
        <f t="shared" si="92"/>
        <v/>
      </c>
      <c r="M219" s="162"/>
      <c r="N219" s="2467" t="str">
        <f t="shared" si="94"/>
        <v/>
      </c>
      <c r="O219" s="2429">
        <f>Parameters!F186</f>
        <v>0</v>
      </c>
      <c r="P219" s="165">
        <f>Parameters!G186</f>
        <v>0</v>
      </c>
      <c r="Q219" s="163"/>
      <c r="R219" s="457"/>
    </row>
    <row r="220" spans="1:19" ht="15" customHeight="1" x14ac:dyDescent="0.25">
      <c r="A220" s="389"/>
      <c r="B220" s="2470" t="s">
        <v>2261</v>
      </c>
      <c r="C220" s="46"/>
      <c r="D220" s="16"/>
      <c r="E220" s="43"/>
      <c r="F220" s="43"/>
      <c r="G220" s="162"/>
      <c r="H220" s="2467" t="str">
        <f t="shared" si="93"/>
        <v/>
      </c>
      <c r="I220" s="2435"/>
      <c r="J220" s="2436"/>
      <c r="K220" s="161" t="str">
        <f t="shared" si="91"/>
        <v/>
      </c>
      <c r="L220" s="161" t="str">
        <f t="shared" si="92"/>
        <v/>
      </c>
      <c r="M220" s="162"/>
      <c r="N220" s="2467" t="str">
        <f t="shared" si="94"/>
        <v/>
      </c>
      <c r="O220" s="2429">
        <f>Parameters!F187</f>
        <v>0</v>
      </c>
      <c r="P220" s="165">
        <f>Parameters!G187</f>
        <v>0</v>
      </c>
      <c r="Q220" s="163"/>
      <c r="R220" s="457"/>
    </row>
    <row r="221" spans="1:19" ht="15" hidden="1" customHeight="1" x14ac:dyDescent="0.25">
      <c r="A221" s="389"/>
      <c r="B221" s="2471"/>
      <c r="C221" s="46"/>
      <c r="D221" s="16"/>
      <c r="E221" s="2334"/>
      <c r="F221" s="2334"/>
      <c r="G221" s="2334"/>
      <c r="H221" s="2457"/>
      <c r="I221" s="2435"/>
      <c r="J221" s="2436"/>
      <c r="K221" s="683"/>
      <c r="L221" s="2475"/>
      <c r="M221" s="683"/>
      <c r="N221" s="2458"/>
      <c r="O221" s="2459"/>
      <c r="P221" s="2496"/>
      <c r="Q221" s="2428"/>
      <c r="R221" s="457"/>
    </row>
    <row r="222" spans="1:19" ht="15" hidden="1" customHeight="1" x14ac:dyDescent="0.25">
      <c r="A222" s="389"/>
      <c r="B222" s="2471"/>
      <c r="C222" s="46"/>
      <c r="D222" s="16"/>
      <c r="E222" s="2334"/>
      <c r="F222" s="2334"/>
      <c r="G222" s="2334"/>
      <c r="H222" s="2457"/>
      <c r="I222" s="2435"/>
      <c r="J222" s="2436"/>
      <c r="K222" s="683"/>
      <c r="L222" s="2475"/>
      <c r="M222" s="683"/>
      <c r="N222" s="2458"/>
      <c r="O222" s="2459"/>
      <c r="P222" s="2496"/>
      <c r="Q222" s="2428"/>
      <c r="R222" s="457"/>
    </row>
    <row r="223" spans="1:19" ht="45" customHeight="1" x14ac:dyDescent="0.25">
      <c r="A223" s="1533"/>
      <c r="B223" s="2468" t="s">
        <v>2266</v>
      </c>
      <c r="C223" s="2419" t="s">
        <v>1607</v>
      </c>
      <c r="D223" s="2481"/>
      <c r="E223" s="162"/>
      <c r="F223" s="162"/>
      <c r="G223" s="162"/>
      <c r="H223" s="1556" t="str">
        <f>IF(AND(ISNUMBER(H224), ISNUMBER(H225), ISNUMBER(H226), ISNUMBER(H227), ISNUMBER(H228), ISNUMBER(H229)), SUM(H224:H229), "")</f>
        <v/>
      </c>
      <c r="I223" s="2435"/>
      <c r="J223" s="2436"/>
      <c r="K223" s="46"/>
      <c r="L223" s="162"/>
      <c r="M223" s="162"/>
      <c r="N223" s="1556" t="str">
        <f>IF(AND(ISNUMBER(N224), ISNUMBER(N225), ISNUMBER(N226), ISNUMBER(N227), ISNUMBER(N228), ISNUMBER(N229)), SUM(N224:N229), "")</f>
        <v/>
      </c>
      <c r="O223" s="2427"/>
      <c r="P223" s="162"/>
      <c r="Q223" s="163"/>
      <c r="R223" s="457"/>
    </row>
    <row r="224" spans="1:19" ht="15" customHeight="1" x14ac:dyDescent="0.25">
      <c r="A224" s="1533"/>
      <c r="B224" s="2470" t="s">
        <v>154</v>
      </c>
      <c r="C224" s="46"/>
      <c r="D224" s="16"/>
      <c r="E224" s="43"/>
      <c r="F224" s="43"/>
      <c r="G224" s="43"/>
      <c r="H224" s="2467" t="str">
        <f t="shared" ref="H224:H229" si="96">IF(AND(ISNUMBER(E224), ISNUMBER(F224), ISNUMBER(G224)), SUM(E224:G224), "")</f>
        <v/>
      </c>
      <c r="I224" s="2435"/>
      <c r="J224" s="2436"/>
      <c r="K224" s="161" t="str">
        <f t="shared" ref="K224:K229" si="97">IF(AND(ISNUMBER(E224), ISNUMBER(O224)), E224*O224, "")</f>
        <v/>
      </c>
      <c r="L224" s="161" t="str">
        <f t="shared" ref="L224:L229" si="98">IF(AND(ISNUMBER(F224), ISNUMBER(P224)), F224*P224, "")</f>
        <v/>
      </c>
      <c r="M224" s="161" t="str">
        <f t="shared" ref="M224:M229" si="99">IF(AND(ISNUMBER(G224), ISNUMBER(Q224)), G224*Q224, "")</f>
        <v/>
      </c>
      <c r="N224" s="2467" t="str">
        <f t="shared" ref="N224:N229" si="100">IF(AND(ISNUMBER(K224), ISNUMBER(L224), ISNUMBER(M224)), SUM(K224:M224), "")</f>
        <v/>
      </c>
      <c r="O224" s="2429">
        <f>Parameters!F191</f>
        <v>0.5</v>
      </c>
      <c r="P224" s="165">
        <f>Parameters!G191</f>
        <v>0.5</v>
      </c>
      <c r="Q224" s="47">
        <f>Parameters!H191</f>
        <v>0.85</v>
      </c>
      <c r="R224" s="457"/>
      <c r="S224" s="316">
        <f>IF(ISNUMBER(N224),1,0)</f>
        <v>0</v>
      </c>
    </row>
    <row r="225" spans="1:19" ht="15" customHeight="1" x14ac:dyDescent="0.25">
      <c r="A225" s="1533"/>
      <c r="B225" s="2470" t="s">
        <v>251</v>
      </c>
      <c r="C225" s="46"/>
      <c r="D225" s="16"/>
      <c r="E225" s="43"/>
      <c r="F225" s="43"/>
      <c r="G225" s="43"/>
      <c r="H225" s="2467" t="str">
        <f t="shared" si="96"/>
        <v/>
      </c>
      <c r="I225" s="2435"/>
      <c r="J225" s="2436"/>
      <c r="K225" s="161" t="str">
        <f t="shared" si="97"/>
        <v/>
      </c>
      <c r="L225" s="161" t="str">
        <f t="shared" si="98"/>
        <v/>
      </c>
      <c r="M225" s="161" t="str">
        <f t="shared" si="99"/>
        <v/>
      </c>
      <c r="N225" s="2467" t="str">
        <f t="shared" si="100"/>
        <v/>
      </c>
      <c r="O225" s="2429">
        <f>Parameters!F192</f>
        <v>0.5</v>
      </c>
      <c r="P225" s="165">
        <f>Parameters!G192</f>
        <v>0.5</v>
      </c>
      <c r="Q225" s="47">
        <f>Parameters!H192</f>
        <v>0.85</v>
      </c>
      <c r="R225" s="457"/>
      <c r="S225" s="316">
        <f t="shared" ref="S225:S227" si="101">IF(ISNUMBER(N225),1,0)</f>
        <v>0</v>
      </c>
    </row>
    <row r="226" spans="1:19" ht="15" customHeight="1" x14ac:dyDescent="0.25">
      <c r="A226" s="1533"/>
      <c r="B226" s="2470" t="s">
        <v>252</v>
      </c>
      <c r="C226" s="46"/>
      <c r="D226" s="16"/>
      <c r="E226" s="43"/>
      <c r="F226" s="43"/>
      <c r="G226" s="43"/>
      <c r="H226" s="2467" t="str">
        <f t="shared" si="96"/>
        <v/>
      </c>
      <c r="I226" s="2435"/>
      <c r="J226" s="2436"/>
      <c r="K226" s="161" t="str">
        <f t="shared" si="97"/>
        <v/>
      </c>
      <c r="L226" s="161" t="str">
        <f t="shared" si="98"/>
        <v/>
      </c>
      <c r="M226" s="161" t="str">
        <f t="shared" si="99"/>
        <v/>
      </c>
      <c r="N226" s="2467" t="str">
        <f t="shared" si="100"/>
        <v/>
      </c>
      <c r="O226" s="2429">
        <f>Parameters!F193</f>
        <v>0.5</v>
      </c>
      <c r="P226" s="165">
        <f>Parameters!G193</f>
        <v>0.5</v>
      </c>
      <c r="Q226" s="47">
        <f>Parameters!H193</f>
        <v>0.85</v>
      </c>
      <c r="R226" s="457"/>
      <c r="S226" s="316">
        <f t="shared" si="101"/>
        <v>0</v>
      </c>
    </row>
    <row r="227" spans="1:19" ht="15" customHeight="1" x14ac:dyDescent="0.25">
      <c r="A227" s="1533"/>
      <c r="B227" s="2470" t="s">
        <v>253</v>
      </c>
      <c r="C227" s="46"/>
      <c r="D227" s="16"/>
      <c r="E227" s="43"/>
      <c r="F227" s="43"/>
      <c r="G227" s="43"/>
      <c r="H227" s="2467" t="str">
        <f t="shared" si="96"/>
        <v/>
      </c>
      <c r="I227" s="2435"/>
      <c r="J227" s="2436"/>
      <c r="K227" s="161" t="str">
        <f t="shared" si="97"/>
        <v/>
      </c>
      <c r="L227" s="161" t="str">
        <f t="shared" si="98"/>
        <v/>
      </c>
      <c r="M227" s="161" t="str">
        <f t="shared" si="99"/>
        <v/>
      </c>
      <c r="N227" s="2467" t="str">
        <f t="shared" si="100"/>
        <v/>
      </c>
      <c r="O227" s="2429">
        <f>Parameters!F194</f>
        <v>1</v>
      </c>
      <c r="P227" s="165">
        <f>Parameters!G194</f>
        <v>1</v>
      </c>
      <c r="Q227" s="47">
        <f>Parameters!H194</f>
        <v>1</v>
      </c>
      <c r="R227" s="457"/>
      <c r="S227" s="316">
        <f t="shared" si="101"/>
        <v>0</v>
      </c>
    </row>
    <row r="228" spans="1:19" ht="15" customHeight="1" x14ac:dyDescent="0.25">
      <c r="A228" s="389"/>
      <c r="B228" s="2470" t="s">
        <v>2260</v>
      </c>
      <c r="C228" s="46"/>
      <c r="D228" s="16"/>
      <c r="E228" s="43"/>
      <c r="F228" s="43"/>
      <c r="G228" s="43"/>
      <c r="H228" s="2467" t="str">
        <f t="shared" si="96"/>
        <v/>
      </c>
      <c r="I228" s="2435"/>
      <c r="J228" s="2436"/>
      <c r="K228" s="161" t="str">
        <f t="shared" si="97"/>
        <v/>
      </c>
      <c r="L228" s="161" t="str">
        <f t="shared" si="98"/>
        <v/>
      </c>
      <c r="M228" s="161" t="str">
        <f t="shared" si="99"/>
        <v/>
      </c>
      <c r="N228" s="2467" t="str">
        <f t="shared" si="100"/>
        <v/>
      </c>
      <c r="O228" s="2429">
        <f>Parameters!F195</f>
        <v>0</v>
      </c>
      <c r="P228" s="165">
        <f>Parameters!G195</f>
        <v>0</v>
      </c>
      <c r="Q228" s="47">
        <f>Parameters!H195</f>
        <v>0</v>
      </c>
      <c r="R228" s="457"/>
    </row>
    <row r="229" spans="1:19" ht="15" customHeight="1" x14ac:dyDescent="0.25">
      <c r="A229" s="389"/>
      <c r="B229" s="2470" t="s">
        <v>2261</v>
      </c>
      <c r="C229" s="46"/>
      <c r="D229" s="16"/>
      <c r="E229" s="43"/>
      <c r="F229" s="43"/>
      <c r="G229" s="43"/>
      <c r="H229" s="2467" t="str">
        <f t="shared" si="96"/>
        <v/>
      </c>
      <c r="I229" s="2435"/>
      <c r="J229" s="2436"/>
      <c r="K229" s="161" t="str">
        <f t="shared" si="97"/>
        <v/>
      </c>
      <c r="L229" s="161" t="str">
        <f t="shared" si="98"/>
        <v/>
      </c>
      <c r="M229" s="161" t="str">
        <f t="shared" si="99"/>
        <v/>
      </c>
      <c r="N229" s="2467" t="str">
        <f t="shared" si="100"/>
        <v/>
      </c>
      <c r="O229" s="2429">
        <f>Parameters!F196</f>
        <v>0</v>
      </c>
      <c r="P229" s="165">
        <f>Parameters!G196</f>
        <v>0</v>
      </c>
      <c r="Q229" s="47">
        <f>Parameters!H196</f>
        <v>0</v>
      </c>
      <c r="R229" s="457"/>
    </row>
    <row r="230" spans="1:19" ht="15" hidden="1" customHeight="1" x14ac:dyDescent="0.25">
      <c r="A230" s="389"/>
      <c r="B230" s="2471"/>
      <c r="C230" s="46"/>
      <c r="D230" s="16"/>
      <c r="E230" s="2334"/>
      <c r="F230" s="2334"/>
      <c r="G230" s="2334"/>
      <c r="H230" s="2457"/>
      <c r="I230" s="2435"/>
      <c r="J230" s="2436"/>
      <c r="K230" s="683"/>
      <c r="L230" s="2475"/>
      <c r="M230" s="683"/>
      <c r="N230" s="2458"/>
      <c r="O230" s="2459"/>
      <c r="P230" s="2496"/>
      <c r="Q230" s="2428"/>
      <c r="R230" s="457"/>
    </row>
    <row r="231" spans="1:19" ht="15" hidden="1" customHeight="1" x14ac:dyDescent="0.25">
      <c r="A231" s="389"/>
      <c r="B231" s="2471"/>
      <c r="C231" s="46"/>
      <c r="D231" s="16"/>
      <c r="E231" s="2334"/>
      <c r="F231" s="2334"/>
      <c r="G231" s="2334"/>
      <c r="H231" s="2457"/>
      <c r="I231" s="2435"/>
      <c r="J231" s="2436"/>
      <c r="K231" s="683"/>
      <c r="L231" s="2475"/>
      <c r="M231" s="683"/>
      <c r="N231" s="2458"/>
      <c r="O231" s="2459"/>
      <c r="P231" s="2496"/>
      <c r="Q231" s="2428"/>
      <c r="R231" s="457"/>
    </row>
    <row r="232" spans="1:19" ht="15" hidden="1" customHeight="1" x14ac:dyDescent="0.25">
      <c r="A232" s="389"/>
      <c r="B232" s="2471"/>
      <c r="C232" s="46"/>
      <c r="D232" s="16"/>
      <c r="E232" s="2334"/>
      <c r="F232" s="2334"/>
      <c r="G232" s="2334"/>
      <c r="H232" s="2457"/>
      <c r="I232" s="2435"/>
      <c r="J232" s="2436"/>
      <c r="K232" s="683"/>
      <c r="L232" s="2475"/>
      <c r="M232" s="683"/>
      <c r="N232" s="2458"/>
      <c r="O232" s="2459"/>
      <c r="P232" s="2496"/>
      <c r="Q232" s="2428"/>
      <c r="R232" s="457"/>
    </row>
    <row r="233" spans="1:19" ht="15" hidden="1" customHeight="1" x14ac:dyDescent="0.25">
      <c r="A233" s="389"/>
      <c r="B233" s="2471"/>
      <c r="C233" s="46"/>
      <c r="D233" s="16"/>
      <c r="E233" s="2334"/>
      <c r="F233" s="2334"/>
      <c r="G233" s="2334"/>
      <c r="H233" s="2457"/>
      <c r="I233" s="2435"/>
      <c r="J233" s="2436"/>
      <c r="K233" s="683"/>
      <c r="L233" s="2475"/>
      <c r="M233" s="683"/>
      <c r="N233" s="2458"/>
      <c r="O233" s="2459"/>
      <c r="P233" s="2496"/>
      <c r="Q233" s="2428"/>
      <c r="R233" s="457"/>
    </row>
    <row r="234" spans="1:19" ht="15" hidden="1" customHeight="1" x14ac:dyDescent="0.25">
      <c r="A234" s="389"/>
      <c r="B234" s="2471"/>
      <c r="C234" s="46"/>
      <c r="D234" s="16"/>
      <c r="E234" s="2334"/>
      <c r="F234" s="2334"/>
      <c r="G234" s="2334"/>
      <c r="H234" s="2457"/>
      <c r="I234" s="2435"/>
      <c r="J234" s="2436"/>
      <c r="K234" s="683"/>
      <c r="L234" s="2475"/>
      <c r="M234" s="683"/>
      <c r="N234" s="2458"/>
      <c r="O234" s="2459"/>
      <c r="P234" s="2496"/>
      <c r="Q234" s="2428"/>
      <c r="R234" s="457"/>
    </row>
    <row r="235" spans="1:19" ht="15" hidden="1" customHeight="1" x14ac:dyDescent="0.25">
      <c r="A235" s="389"/>
      <c r="B235" s="2471"/>
      <c r="C235" s="46"/>
      <c r="D235" s="16"/>
      <c r="E235" s="2334"/>
      <c r="F235" s="2334"/>
      <c r="G235" s="2334"/>
      <c r="H235" s="2457"/>
      <c r="I235" s="2435"/>
      <c r="J235" s="2436"/>
      <c r="K235" s="683"/>
      <c r="L235" s="2475"/>
      <c r="M235" s="683"/>
      <c r="N235" s="2458"/>
      <c r="O235" s="2459"/>
      <c r="P235" s="2496"/>
      <c r="Q235" s="2428"/>
      <c r="R235" s="457"/>
    </row>
    <row r="236" spans="1:19" ht="15" hidden="1" customHeight="1" x14ac:dyDescent="0.25">
      <c r="A236" s="389"/>
      <c r="B236" s="2471"/>
      <c r="C236" s="46"/>
      <c r="D236" s="16"/>
      <c r="E236" s="2334"/>
      <c r="F236" s="2334"/>
      <c r="G236" s="2334"/>
      <c r="H236" s="2457"/>
      <c r="I236" s="2435"/>
      <c r="J236" s="2436"/>
      <c r="K236" s="683"/>
      <c r="L236" s="2475"/>
      <c r="M236" s="683"/>
      <c r="N236" s="2458"/>
      <c r="O236" s="2459"/>
      <c r="P236" s="2496"/>
      <c r="Q236" s="2428"/>
      <c r="R236" s="457"/>
    </row>
    <row r="237" spans="1:19" ht="15" hidden="1" customHeight="1" x14ac:dyDescent="0.25">
      <c r="A237" s="389"/>
      <c r="B237" s="2471"/>
      <c r="C237" s="46"/>
      <c r="D237" s="16"/>
      <c r="E237" s="2334"/>
      <c r="F237" s="2334"/>
      <c r="G237" s="2334"/>
      <c r="H237" s="2457"/>
      <c r="I237" s="2435"/>
      <c r="J237" s="2436"/>
      <c r="K237" s="683"/>
      <c r="L237" s="2475"/>
      <c r="M237" s="683"/>
      <c r="N237" s="2458"/>
      <c r="O237" s="2459"/>
      <c r="P237" s="2496"/>
      <c r="Q237" s="2428"/>
      <c r="R237" s="457"/>
    </row>
    <row r="238" spans="1:19" ht="15" hidden="1" customHeight="1" x14ac:dyDescent="0.25">
      <c r="A238" s="389"/>
      <c r="B238" s="2471"/>
      <c r="C238" s="46"/>
      <c r="D238" s="16"/>
      <c r="E238" s="2334"/>
      <c r="F238" s="2334"/>
      <c r="G238" s="2334"/>
      <c r="H238" s="2457"/>
      <c r="I238" s="2435"/>
      <c r="J238" s="2436"/>
      <c r="K238" s="683"/>
      <c r="L238" s="2475"/>
      <c r="M238" s="683"/>
      <c r="N238" s="2458"/>
      <c r="O238" s="2459"/>
      <c r="P238" s="2496"/>
      <c r="Q238" s="2428"/>
      <c r="R238" s="457"/>
    </row>
    <row r="239" spans="1:19" ht="15" hidden="1" customHeight="1" x14ac:dyDescent="0.25">
      <c r="A239" s="389"/>
      <c r="B239" s="2471"/>
      <c r="C239" s="46"/>
      <c r="D239" s="16"/>
      <c r="E239" s="2334"/>
      <c r="F239" s="2334"/>
      <c r="G239" s="2334"/>
      <c r="H239" s="2457"/>
      <c r="I239" s="2435"/>
      <c r="J239" s="2436"/>
      <c r="K239" s="683"/>
      <c r="L239" s="2475"/>
      <c r="M239" s="683"/>
      <c r="N239" s="2458"/>
      <c r="O239" s="2459"/>
      <c r="P239" s="2496"/>
      <c r="Q239" s="2428"/>
      <c r="R239" s="457"/>
    </row>
    <row r="240" spans="1:19" ht="15" hidden="1" customHeight="1" x14ac:dyDescent="0.25">
      <c r="A240" s="389"/>
      <c r="B240" s="2471"/>
      <c r="C240" s="46"/>
      <c r="D240" s="16"/>
      <c r="E240" s="2334"/>
      <c r="F240" s="2334"/>
      <c r="G240" s="2334"/>
      <c r="H240" s="2457"/>
      <c r="I240" s="2435"/>
      <c r="J240" s="2436"/>
      <c r="K240" s="683"/>
      <c r="L240" s="2475"/>
      <c r="M240" s="683"/>
      <c r="N240" s="2458"/>
      <c r="O240" s="2459"/>
      <c r="P240" s="2496"/>
      <c r="Q240" s="2428"/>
      <c r="R240" s="457"/>
    </row>
    <row r="241" spans="1:19" ht="30" customHeight="1" x14ac:dyDescent="0.25">
      <c r="A241" s="1533"/>
      <c r="B241" s="2494" t="s">
        <v>258</v>
      </c>
      <c r="C241" s="2419" t="s">
        <v>1589</v>
      </c>
      <c r="D241" s="2481"/>
      <c r="E241" s="162"/>
      <c r="F241" s="162"/>
      <c r="G241" s="162"/>
      <c r="H241" s="1556" t="str">
        <f>IF(AND(ISNUMBER(H242), ISNUMBER(H243), ISNUMBER(H244), ISNUMBER(H245), ISNUMBER(H246), ISNUMBER(H247)), SUM(H242:H247), "")</f>
        <v/>
      </c>
      <c r="I241" s="2435"/>
      <c r="J241" s="2436"/>
      <c r="K241" s="46"/>
      <c r="L241" s="162"/>
      <c r="M241" s="162"/>
      <c r="N241" s="1556" t="str">
        <f>IF(AND(ISNUMBER(N242), ISNUMBER(N243), ISNUMBER(N244), ISNUMBER(N245), ISNUMBER(N246), ISNUMBER(N247)), SUM(N242:N247), "")</f>
        <v/>
      </c>
      <c r="O241" s="2427"/>
      <c r="P241" s="162"/>
      <c r="Q241" s="163"/>
      <c r="R241" s="457"/>
    </row>
    <row r="242" spans="1:19" ht="15" customHeight="1" x14ac:dyDescent="0.25">
      <c r="A242" s="1533"/>
      <c r="B242" s="2468" t="s">
        <v>154</v>
      </c>
      <c r="C242" s="46"/>
      <c r="D242" s="16"/>
      <c r="E242" s="15"/>
      <c r="F242" s="15"/>
      <c r="G242" s="43"/>
      <c r="H242" s="2467" t="str">
        <f t="shared" ref="H242:H247" si="102">IF(ISNUMBER(G242), SUM(E242:G242), "")</f>
        <v/>
      </c>
      <c r="I242" s="2435"/>
      <c r="J242" s="2436"/>
      <c r="K242" s="161" t="str">
        <f t="shared" ref="K242:K247" si="103">IF(AND(ISNUMBER(E242), ISNUMBER(O242)), E242*O242, "")</f>
        <v/>
      </c>
      <c r="L242" s="161" t="str">
        <f t="shared" ref="L242:L247" si="104">IF(AND(ISNUMBER(F242), ISNUMBER(P242)), F242*P242, "")</f>
        <v/>
      </c>
      <c r="M242" s="161" t="str">
        <f t="shared" ref="M242:M247" si="105">IF(AND(ISNUMBER(G242), ISNUMBER(Q242)), G242*Q242, "")</f>
        <v/>
      </c>
      <c r="N242" s="2467" t="str">
        <f t="shared" ref="N242:N247" si="106">IF(ISNUMBER(M242), SUM(K242:M242), "")</f>
        <v/>
      </c>
      <c r="O242" s="2429">
        <f>Parameters!F209</f>
        <v>0</v>
      </c>
      <c r="P242" s="165">
        <f>Parameters!G209</f>
        <v>0</v>
      </c>
      <c r="Q242" s="47">
        <f>Parameters!H209</f>
        <v>0.85</v>
      </c>
      <c r="R242" s="457"/>
      <c r="S242" s="316">
        <f>IF(ISNUMBER(N242),1,0)</f>
        <v>0</v>
      </c>
    </row>
    <row r="243" spans="1:19" ht="15" customHeight="1" x14ac:dyDescent="0.25">
      <c r="A243" s="1533"/>
      <c r="B243" s="2468" t="s">
        <v>251</v>
      </c>
      <c r="C243" s="46"/>
      <c r="D243" s="16"/>
      <c r="E243" s="15"/>
      <c r="F243" s="15"/>
      <c r="G243" s="43"/>
      <c r="H243" s="2467" t="str">
        <f t="shared" si="102"/>
        <v/>
      </c>
      <c r="I243" s="2435"/>
      <c r="J243" s="2436"/>
      <c r="K243" s="161" t="str">
        <f t="shared" si="103"/>
        <v/>
      </c>
      <c r="L243" s="161" t="str">
        <f t="shared" si="104"/>
        <v/>
      </c>
      <c r="M243" s="161" t="str">
        <f t="shared" si="105"/>
        <v/>
      </c>
      <c r="N243" s="2467" t="str">
        <f t="shared" si="106"/>
        <v/>
      </c>
      <c r="O243" s="2429">
        <f>Parameters!F210</f>
        <v>0</v>
      </c>
      <c r="P243" s="165">
        <f>Parameters!G210</f>
        <v>0</v>
      </c>
      <c r="Q243" s="47">
        <f>Parameters!H210</f>
        <v>0.85</v>
      </c>
      <c r="R243" s="457"/>
      <c r="S243" s="316">
        <f t="shared" ref="S243:S245" si="107">IF(ISNUMBER(N243),1,0)</f>
        <v>0</v>
      </c>
    </row>
    <row r="244" spans="1:19" ht="15" customHeight="1" x14ac:dyDescent="0.25">
      <c r="A244" s="1533"/>
      <c r="B244" s="2468" t="s">
        <v>252</v>
      </c>
      <c r="C244" s="46"/>
      <c r="D244" s="16"/>
      <c r="E244" s="15"/>
      <c r="F244" s="15"/>
      <c r="G244" s="43"/>
      <c r="H244" s="2467" t="str">
        <f t="shared" si="102"/>
        <v/>
      </c>
      <c r="I244" s="2435"/>
      <c r="J244" s="2436"/>
      <c r="K244" s="161" t="str">
        <f t="shared" si="103"/>
        <v/>
      </c>
      <c r="L244" s="161" t="str">
        <f t="shared" si="104"/>
        <v/>
      </c>
      <c r="M244" s="161" t="str">
        <f t="shared" si="105"/>
        <v/>
      </c>
      <c r="N244" s="2467" t="str">
        <f t="shared" si="106"/>
        <v/>
      </c>
      <c r="O244" s="2429">
        <f>Parameters!F211</f>
        <v>0</v>
      </c>
      <c r="P244" s="165">
        <f>Parameters!G211</f>
        <v>0</v>
      </c>
      <c r="Q244" s="47">
        <f>Parameters!H211</f>
        <v>0.85</v>
      </c>
      <c r="R244" s="457"/>
      <c r="S244" s="316">
        <f t="shared" si="107"/>
        <v>0</v>
      </c>
    </row>
    <row r="245" spans="1:19" ht="15" customHeight="1" x14ac:dyDescent="0.25">
      <c r="A245" s="1533"/>
      <c r="B245" s="2468" t="s">
        <v>253</v>
      </c>
      <c r="C245" s="46"/>
      <c r="D245" s="16"/>
      <c r="E245" s="15"/>
      <c r="F245" s="15"/>
      <c r="G245" s="43"/>
      <c r="H245" s="2467" t="str">
        <f t="shared" si="102"/>
        <v/>
      </c>
      <c r="I245" s="2435"/>
      <c r="J245" s="2436"/>
      <c r="K245" s="161" t="str">
        <f t="shared" si="103"/>
        <v/>
      </c>
      <c r="L245" s="161" t="str">
        <f t="shared" si="104"/>
        <v/>
      </c>
      <c r="M245" s="161" t="str">
        <f t="shared" si="105"/>
        <v/>
      </c>
      <c r="N245" s="2467" t="str">
        <f t="shared" si="106"/>
        <v/>
      </c>
      <c r="O245" s="2429">
        <f>Parameters!F212</f>
        <v>0</v>
      </c>
      <c r="P245" s="165">
        <f>Parameters!G212</f>
        <v>0</v>
      </c>
      <c r="Q245" s="47">
        <f>Parameters!H212</f>
        <v>1</v>
      </c>
      <c r="R245" s="457"/>
      <c r="S245" s="316">
        <f t="shared" si="107"/>
        <v>0</v>
      </c>
    </row>
    <row r="246" spans="1:19" ht="15" customHeight="1" x14ac:dyDescent="0.25">
      <c r="A246" s="389"/>
      <c r="B246" s="2468" t="s">
        <v>2260</v>
      </c>
      <c r="C246" s="46"/>
      <c r="D246" s="16"/>
      <c r="E246" s="15"/>
      <c r="F246" s="15"/>
      <c r="G246" s="43"/>
      <c r="H246" s="2467" t="str">
        <f t="shared" si="102"/>
        <v/>
      </c>
      <c r="I246" s="2435"/>
      <c r="J246" s="2436"/>
      <c r="K246" s="161" t="str">
        <f t="shared" si="103"/>
        <v/>
      </c>
      <c r="L246" s="161" t="str">
        <f t="shared" si="104"/>
        <v/>
      </c>
      <c r="M246" s="161" t="str">
        <f t="shared" si="105"/>
        <v/>
      </c>
      <c r="N246" s="2467" t="str">
        <f t="shared" si="106"/>
        <v/>
      </c>
      <c r="O246" s="2429">
        <f>Parameters!F213</f>
        <v>0</v>
      </c>
      <c r="P246" s="165">
        <f>Parameters!G213</f>
        <v>0</v>
      </c>
      <c r="Q246" s="47">
        <f>Parameters!H213</f>
        <v>0</v>
      </c>
      <c r="R246" s="457"/>
    </row>
    <row r="247" spans="1:19" ht="15" customHeight="1" x14ac:dyDescent="0.25">
      <c r="A247" s="389"/>
      <c r="B247" s="2468" t="s">
        <v>2261</v>
      </c>
      <c r="C247" s="46"/>
      <c r="D247" s="16"/>
      <c r="E247" s="15"/>
      <c r="F247" s="15"/>
      <c r="G247" s="43"/>
      <c r="H247" s="2467" t="str">
        <f t="shared" si="102"/>
        <v/>
      </c>
      <c r="I247" s="2435"/>
      <c r="J247" s="2436"/>
      <c r="K247" s="161" t="str">
        <f t="shared" si="103"/>
        <v/>
      </c>
      <c r="L247" s="161" t="str">
        <f t="shared" si="104"/>
        <v/>
      </c>
      <c r="M247" s="161" t="str">
        <f t="shared" si="105"/>
        <v/>
      </c>
      <c r="N247" s="2467" t="str">
        <f t="shared" si="106"/>
        <v/>
      </c>
      <c r="O247" s="2429">
        <f>Parameters!F214</f>
        <v>0</v>
      </c>
      <c r="P247" s="165">
        <f>Parameters!G214</f>
        <v>0</v>
      </c>
      <c r="Q247" s="47">
        <f>Parameters!H214</f>
        <v>0</v>
      </c>
      <c r="R247" s="457"/>
    </row>
    <row r="248" spans="1:19" ht="15" hidden="1" customHeight="1" x14ac:dyDescent="0.25">
      <c r="A248" s="389"/>
      <c r="B248" s="2471"/>
      <c r="C248" s="46"/>
      <c r="D248" s="16"/>
      <c r="E248" s="2334"/>
      <c r="F248" s="2334"/>
      <c r="G248" s="2334"/>
      <c r="H248" s="2457"/>
      <c r="I248" s="2435"/>
      <c r="J248" s="2436"/>
      <c r="K248" s="683"/>
      <c r="L248" s="2475"/>
      <c r="M248" s="683"/>
      <c r="N248" s="2458"/>
      <c r="O248" s="2459"/>
      <c r="P248" s="2496"/>
      <c r="Q248" s="2428"/>
      <c r="R248" s="457"/>
    </row>
    <row r="249" spans="1:19" ht="15" hidden="1" customHeight="1" x14ac:dyDescent="0.25">
      <c r="A249" s="389"/>
      <c r="B249" s="2471"/>
      <c r="C249" s="46"/>
      <c r="D249" s="16"/>
      <c r="E249" s="2334"/>
      <c r="F249" s="2334"/>
      <c r="G249" s="2334"/>
      <c r="H249" s="2457"/>
      <c r="I249" s="2435"/>
      <c r="J249" s="2436"/>
      <c r="K249" s="683"/>
      <c r="L249" s="2475"/>
      <c r="M249" s="683"/>
      <c r="N249" s="2458"/>
      <c r="O249" s="2459"/>
      <c r="P249" s="2496"/>
      <c r="Q249" s="2428"/>
      <c r="R249" s="457"/>
    </row>
    <row r="250" spans="1:19" ht="30" customHeight="1" x14ac:dyDescent="0.25">
      <c r="A250" s="389"/>
      <c r="B250" s="2494" t="s">
        <v>259</v>
      </c>
      <c r="C250" s="2419" t="s">
        <v>1590</v>
      </c>
      <c r="D250" s="2481"/>
      <c r="E250" s="162"/>
      <c r="F250" s="162"/>
      <c r="G250" s="162"/>
      <c r="H250" s="1556" t="str">
        <f>IF(AND(ISNUMBER(H251), ISNUMBER(H252), ISNUMBER(H253), ISNUMBER(H254), ISNUMBER(H255), ISNUMBER(H256)), SUM(H251:H256), "")</f>
        <v/>
      </c>
      <c r="I250" s="2435"/>
      <c r="J250" s="2436"/>
      <c r="K250" s="46"/>
      <c r="L250" s="162"/>
      <c r="M250" s="162"/>
      <c r="N250" s="1556" t="str">
        <f>IF(AND(ISNUMBER(N251), ISNUMBER(N252), ISNUMBER(N253), ISNUMBER(N254), ISNUMBER(N255), ISNUMBER(N256)), SUM(N251:N256), "")</f>
        <v/>
      </c>
      <c r="O250" s="2427"/>
      <c r="P250" s="162"/>
      <c r="Q250" s="163"/>
      <c r="R250" s="457"/>
    </row>
    <row r="251" spans="1:19" ht="15" customHeight="1" x14ac:dyDescent="0.25">
      <c r="A251" s="389"/>
      <c r="B251" s="2468" t="s">
        <v>154</v>
      </c>
      <c r="C251" s="46"/>
      <c r="D251" s="16"/>
      <c r="E251" s="43"/>
      <c r="F251" s="43"/>
      <c r="G251" s="43"/>
      <c r="H251" s="2467" t="str">
        <f t="shared" ref="H251:H256" si="108">IF(AND(ISNUMBER(E251), ISNUMBER(F251), ISNUMBER(G251)), SUM(E251:G251), "")</f>
        <v/>
      </c>
      <c r="I251" s="2435"/>
      <c r="J251" s="2436"/>
      <c r="K251" s="161" t="str">
        <f t="shared" ref="K251:K256" si="109">IF(AND(ISNUMBER(E251), ISNUMBER(O251)), E251*O251, "")</f>
        <v/>
      </c>
      <c r="L251" s="161" t="str">
        <f t="shared" ref="L251:L256" si="110">IF(AND(ISNUMBER(F251), ISNUMBER(P251)), F251*P251, "")</f>
        <v/>
      </c>
      <c r="M251" s="161" t="str">
        <f t="shared" ref="M251:M256" si="111">IF(AND(ISNUMBER(G251), ISNUMBER(Q251)), G251*Q251, "")</f>
        <v/>
      </c>
      <c r="N251" s="2467" t="str">
        <f t="shared" ref="N251:N256" si="112">IF(AND(ISNUMBER(K251), ISNUMBER(L251), ISNUMBER(M251)), SUM(K251:M251), "")</f>
        <v/>
      </c>
      <c r="O251" s="2429">
        <f>Parameters!F218</f>
        <v>0.5</v>
      </c>
      <c r="P251" s="165">
        <f>Parameters!G218</f>
        <v>0.5</v>
      </c>
      <c r="Q251" s="47">
        <f>Parameters!H218</f>
        <v>0.85</v>
      </c>
      <c r="R251" s="457"/>
      <c r="S251" s="316">
        <f>IF(ISNUMBER(N251),1,0)</f>
        <v>0</v>
      </c>
    </row>
    <row r="252" spans="1:19" ht="15" customHeight="1" x14ac:dyDescent="0.25">
      <c r="A252" s="389"/>
      <c r="B252" s="2468" t="s">
        <v>251</v>
      </c>
      <c r="C252" s="46"/>
      <c r="D252" s="16"/>
      <c r="E252" s="43"/>
      <c r="F252" s="43"/>
      <c r="G252" s="43"/>
      <c r="H252" s="2467" t="str">
        <f t="shared" si="108"/>
        <v/>
      </c>
      <c r="I252" s="2435"/>
      <c r="J252" s="2436"/>
      <c r="K252" s="161" t="str">
        <f t="shared" si="109"/>
        <v/>
      </c>
      <c r="L252" s="161" t="str">
        <f t="shared" si="110"/>
        <v/>
      </c>
      <c r="M252" s="161" t="str">
        <f t="shared" si="111"/>
        <v/>
      </c>
      <c r="N252" s="2467" t="str">
        <f t="shared" si="112"/>
        <v/>
      </c>
      <c r="O252" s="2429">
        <f>Parameters!F219</f>
        <v>0.5</v>
      </c>
      <c r="P252" s="165">
        <f>Parameters!G219</f>
        <v>0.5</v>
      </c>
      <c r="Q252" s="47">
        <f>Parameters!H219</f>
        <v>0.85</v>
      </c>
      <c r="R252" s="457"/>
      <c r="S252" s="316">
        <f t="shared" ref="S252:S254" si="113">IF(ISNUMBER(N252),1,0)</f>
        <v>0</v>
      </c>
    </row>
    <row r="253" spans="1:19" ht="15" customHeight="1" x14ac:dyDescent="0.25">
      <c r="A253" s="389"/>
      <c r="B253" s="2468" t="s">
        <v>252</v>
      </c>
      <c r="C253" s="46"/>
      <c r="D253" s="16"/>
      <c r="E253" s="43"/>
      <c r="F253" s="43"/>
      <c r="G253" s="43"/>
      <c r="H253" s="2467" t="str">
        <f t="shared" si="108"/>
        <v/>
      </c>
      <c r="I253" s="2435"/>
      <c r="J253" s="2436"/>
      <c r="K253" s="161" t="str">
        <f t="shared" si="109"/>
        <v/>
      </c>
      <c r="L253" s="161" t="str">
        <f t="shared" si="110"/>
        <v/>
      </c>
      <c r="M253" s="161" t="str">
        <f t="shared" si="111"/>
        <v/>
      </c>
      <c r="N253" s="2467" t="str">
        <f t="shared" si="112"/>
        <v/>
      </c>
      <c r="O253" s="2429">
        <f>Parameters!F220</f>
        <v>0.5</v>
      </c>
      <c r="P253" s="165">
        <f>Parameters!G220</f>
        <v>0.5</v>
      </c>
      <c r="Q253" s="47">
        <f>Parameters!H220</f>
        <v>0.85</v>
      </c>
      <c r="R253" s="457"/>
      <c r="S253" s="316">
        <f t="shared" si="113"/>
        <v>0</v>
      </c>
    </row>
    <row r="254" spans="1:19" ht="15" customHeight="1" x14ac:dyDescent="0.25">
      <c r="A254" s="389"/>
      <c r="B254" s="2468" t="s">
        <v>253</v>
      </c>
      <c r="C254" s="46"/>
      <c r="D254" s="16"/>
      <c r="E254" s="43"/>
      <c r="F254" s="43"/>
      <c r="G254" s="43"/>
      <c r="H254" s="2467" t="str">
        <f t="shared" si="108"/>
        <v/>
      </c>
      <c r="I254" s="2435"/>
      <c r="J254" s="2436"/>
      <c r="K254" s="161" t="str">
        <f t="shared" si="109"/>
        <v/>
      </c>
      <c r="L254" s="161" t="str">
        <f t="shared" si="110"/>
        <v/>
      </c>
      <c r="M254" s="161" t="str">
        <f t="shared" si="111"/>
        <v/>
      </c>
      <c r="N254" s="2467" t="str">
        <f t="shared" si="112"/>
        <v/>
      </c>
      <c r="O254" s="2429">
        <f>Parameters!F221</f>
        <v>1</v>
      </c>
      <c r="P254" s="165">
        <f>Parameters!G221</f>
        <v>1</v>
      </c>
      <c r="Q254" s="47">
        <f>Parameters!H221</f>
        <v>1</v>
      </c>
      <c r="R254" s="457"/>
      <c r="S254" s="316">
        <f t="shared" si="113"/>
        <v>0</v>
      </c>
    </row>
    <row r="255" spans="1:19" ht="15" customHeight="1" x14ac:dyDescent="0.25">
      <c r="A255" s="389"/>
      <c r="B255" s="2468" t="s">
        <v>2260</v>
      </c>
      <c r="C255" s="46"/>
      <c r="D255" s="16"/>
      <c r="E255" s="43"/>
      <c r="F255" s="43"/>
      <c r="G255" s="43"/>
      <c r="H255" s="2467" t="str">
        <f t="shared" si="108"/>
        <v/>
      </c>
      <c r="I255" s="2435"/>
      <c r="J255" s="2436"/>
      <c r="K255" s="161" t="str">
        <f t="shared" si="109"/>
        <v/>
      </c>
      <c r="L255" s="161" t="str">
        <f t="shared" si="110"/>
        <v/>
      </c>
      <c r="M255" s="161" t="str">
        <f t="shared" si="111"/>
        <v/>
      </c>
      <c r="N255" s="2467" t="str">
        <f t="shared" si="112"/>
        <v/>
      </c>
      <c r="O255" s="2429">
        <f>Parameters!F222</f>
        <v>0</v>
      </c>
      <c r="P255" s="165">
        <f>Parameters!G222</f>
        <v>0</v>
      </c>
      <c r="Q255" s="47">
        <f>Parameters!H222</f>
        <v>0</v>
      </c>
      <c r="R255" s="457"/>
    </row>
    <row r="256" spans="1:19" ht="15" customHeight="1" x14ac:dyDescent="0.25">
      <c r="A256" s="389"/>
      <c r="B256" s="2468" t="s">
        <v>2261</v>
      </c>
      <c r="C256" s="46"/>
      <c r="D256" s="16"/>
      <c r="E256" s="43"/>
      <c r="F256" s="43"/>
      <c r="G256" s="43"/>
      <c r="H256" s="2467" t="str">
        <f t="shared" si="108"/>
        <v/>
      </c>
      <c r="I256" s="2435"/>
      <c r="J256" s="2436"/>
      <c r="K256" s="161" t="str">
        <f t="shared" si="109"/>
        <v/>
      </c>
      <c r="L256" s="161" t="str">
        <f t="shared" si="110"/>
        <v/>
      </c>
      <c r="M256" s="161" t="str">
        <f t="shared" si="111"/>
        <v/>
      </c>
      <c r="N256" s="2467" t="str">
        <f t="shared" si="112"/>
        <v/>
      </c>
      <c r="O256" s="2429">
        <f>Parameters!F223</f>
        <v>0</v>
      </c>
      <c r="P256" s="165">
        <f>Parameters!G223</f>
        <v>0</v>
      </c>
      <c r="Q256" s="47">
        <f>Parameters!H223</f>
        <v>0</v>
      </c>
      <c r="R256" s="457"/>
    </row>
    <row r="257" spans="1:19" ht="15" hidden="1" customHeight="1" x14ac:dyDescent="0.25">
      <c r="A257" s="389"/>
      <c r="B257" s="2471"/>
      <c r="C257" s="46"/>
      <c r="D257" s="16"/>
      <c r="E257" s="2334"/>
      <c r="F257" s="2334"/>
      <c r="G257" s="2334"/>
      <c r="H257" s="2457"/>
      <c r="I257" s="2435"/>
      <c r="J257" s="2436"/>
      <c r="K257" s="683"/>
      <c r="L257" s="2475"/>
      <c r="M257" s="683"/>
      <c r="N257" s="2458"/>
      <c r="O257" s="2459"/>
      <c r="P257" s="2496"/>
      <c r="Q257" s="2428"/>
      <c r="R257" s="457"/>
    </row>
    <row r="258" spans="1:19" ht="15" hidden="1" customHeight="1" x14ac:dyDescent="0.25">
      <c r="A258" s="389"/>
      <c r="B258" s="2471"/>
      <c r="C258" s="46"/>
      <c r="D258" s="16"/>
      <c r="E258" s="2334"/>
      <c r="F258" s="2334"/>
      <c r="G258" s="2334"/>
      <c r="H258" s="2457"/>
      <c r="I258" s="2435"/>
      <c r="J258" s="2436"/>
      <c r="K258" s="683"/>
      <c r="L258" s="2475"/>
      <c r="M258" s="683"/>
      <c r="N258" s="2458"/>
      <c r="O258" s="2459"/>
      <c r="P258" s="2496"/>
      <c r="Q258" s="2428"/>
      <c r="R258" s="457"/>
    </row>
    <row r="259" spans="1:19" ht="30" customHeight="1" x14ac:dyDescent="0.25">
      <c r="A259" s="389"/>
      <c r="B259" s="2494" t="s">
        <v>265</v>
      </c>
      <c r="C259" s="2419" t="s">
        <v>1591</v>
      </c>
      <c r="D259" s="2481"/>
      <c r="E259" s="162"/>
      <c r="F259" s="162"/>
      <c r="G259" s="162"/>
      <c r="H259" s="1556" t="str">
        <f>IF(AND(ISNUMBER(H260), ISNUMBER(H261), ISNUMBER(H262), ISNUMBER(H263), ISNUMBER(H264), ISNUMBER(H265)), SUM(H260:H265), "")</f>
        <v/>
      </c>
      <c r="I259" s="2435"/>
      <c r="J259" s="2436"/>
      <c r="K259" s="46"/>
      <c r="L259" s="162"/>
      <c r="M259" s="162"/>
      <c r="N259" s="1556" t="str">
        <f>IF(AND(ISNUMBER(N260), ISNUMBER(N261), ISNUMBER(N262), ISNUMBER(N263), ISNUMBER(N264), ISNUMBER(N265)), SUM(N260:N265), "")</f>
        <v/>
      </c>
      <c r="O259" s="2427"/>
      <c r="P259" s="162"/>
      <c r="Q259" s="163"/>
      <c r="R259" s="457"/>
    </row>
    <row r="260" spans="1:19" ht="15" customHeight="1" x14ac:dyDescent="0.25">
      <c r="A260" s="389"/>
      <c r="B260" s="2468" t="s">
        <v>154</v>
      </c>
      <c r="C260" s="46"/>
      <c r="D260" s="16"/>
      <c r="E260" s="162"/>
      <c r="F260" s="162"/>
      <c r="G260" s="162"/>
      <c r="H260" s="43"/>
      <c r="I260" s="2435"/>
      <c r="J260" s="2436"/>
      <c r="K260" s="46"/>
      <c r="L260" s="46"/>
      <c r="M260" s="46"/>
      <c r="N260" s="1556" t="str">
        <f>IF(AND(ISNUMBER(H260), ISNUMBER(Q260)), H260*Q260, "")</f>
        <v/>
      </c>
      <c r="O260" s="2427"/>
      <c r="P260" s="162"/>
      <c r="Q260" s="47">
        <f>Parameters!H227</f>
        <v>0.85</v>
      </c>
      <c r="R260" s="457"/>
      <c r="S260" s="316">
        <f>IF(ISNUMBER(N260),1,0)</f>
        <v>0</v>
      </c>
    </row>
    <row r="261" spans="1:19" ht="15" customHeight="1" x14ac:dyDescent="0.25">
      <c r="A261" s="389"/>
      <c r="B261" s="2468" t="s">
        <v>251</v>
      </c>
      <c r="C261" s="46"/>
      <c r="D261" s="16"/>
      <c r="E261" s="162"/>
      <c r="F261" s="162"/>
      <c r="G261" s="162"/>
      <c r="H261" s="43"/>
      <c r="I261" s="2435"/>
      <c r="J261" s="2436"/>
      <c r="K261" s="46"/>
      <c r="L261" s="46"/>
      <c r="M261" s="46"/>
      <c r="N261" s="1556" t="str">
        <f t="shared" ref="N261:N265" si="114">IF(AND(ISNUMBER(H261), ISNUMBER(Q261)), H261*Q261, "")</f>
        <v/>
      </c>
      <c r="O261" s="2427"/>
      <c r="P261" s="162"/>
      <c r="Q261" s="47">
        <f>Parameters!H228</f>
        <v>0.85</v>
      </c>
      <c r="R261" s="457"/>
      <c r="S261" s="316">
        <f t="shared" ref="S261:S263" si="115">IF(ISNUMBER(N261),1,0)</f>
        <v>0</v>
      </c>
    </row>
    <row r="262" spans="1:19" ht="15" customHeight="1" x14ac:dyDescent="0.25">
      <c r="A262" s="389"/>
      <c r="B262" s="2468" t="s">
        <v>252</v>
      </c>
      <c r="C262" s="46"/>
      <c r="D262" s="16"/>
      <c r="E262" s="162"/>
      <c r="F262" s="162"/>
      <c r="G262" s="162"/>
      <c r="H262" s="43"/>
      <c r="I262" s="2435"/>
      <c r="J262" s="2436"/>
      <c r="K262" s="46"/>
      <c r="L262" s="46"/>
      <c r="M262" s="46"/>
      <c r="N262" s="1556" t="str">
        <f t="shared" si="114"/>
        <v/>
      </c>
      <c r="O262" s="2427"/>
      <c r="P262" s="162"/>
      <c r="Q262" s="47">
        <f>Parameters!H229</f>
        <v>0.85</v>
      </c>
      <c r="R262" s="457"/>
      <c r="S262" s="316">
        <f t="shared" si="115"/>
        <v>0</v>
      </c>
    </row>
    <row r="263" spans="1:19" ht="15" customHeight="1" x14ac:dyDescent="0.25">
      <c r="A263" s="389"/>
      <c r="B263" s="2468" t="s">
        <v>253</v>
      </c>
      <c r="C263" s="46"/>
      <c r="D263" s="16"/>
      <c r="E263" s="162"/>
      <c r="F263" s="162"/>
      <c r="G263" s="162"/>
      <c r="H263" s="43"/>
      <c r="I263" s="2435"/>
      <c r="J263" s="2436"/>
      <c r="K263" s="46"/>
      <c r="L263" s="46"/>
      <c r="M263" s="46"/>
      <c r="N263" s="1556" t="str">
        <f t="shared" si="114"/>
        <v/>
      </c>
      <c r="O263" s="2427"/>
      <c r="P263" s="162"/>
      <c r="Q263" s="47">
        <f>Parameters!H230</f>
        <v>1</v>
      </c>
      <c r="R263" s="457"/>
      <c r="S263" s="316">
        <f t="shared" si="115"/>
        <v>0</v>
      </c>
    </row>
    <row r="264" spans="1:19" ht="15" customHeight="1" x14ac:dyDescent="0.25">
      <c r="A264" s="389"/>
      <c r="B264" s="2468" t="s">
        <v>2260</v>
      </c>
      <c r="C264" s="46"/>
      <c r="D264" s="16"/>
      <c r="E264" s="162"/>
      <c r="F264" s="162"/>
      <c r="G264" s="162"/>
      <c r="H264" s="43"/>
      <c r="I264" s="2435"/>
      <c r="J264" s="2436"/>
      <c r="K264" s="46"/>
      <c r="L264" s="46"/>
      <c r="M264" s="46"/>
      <c r="N264" s="1556" t="str">
        <f t="shared" si="114"/>
        <v/>
      </c>
      <c r="O264" s="2427"/>
      <c r="P264" s="162"/>
      <c r="Q264" s="47">
        <f>Parameters!H231</f>
        <v>0</v>
      </c>
      <c r="R264" s="457"/>
    </row>
    <row r="265" spans="1:19" ht="15" customHeight="1" x14ac:dyDescent="0.25">
      <c r="A265" s="389"/>
      <c r="B265" s="2468" t="s">
        <v>2261</v>
      </c>
      <c r="C265" s="46"/>
      <c r="D265" s="16"/>
      <c r="E265" s="162"/>
      <c r="F265" s="162"/>
      <c r="G265" s="162"/>
      <c r="H265" s="43"/>
      <c r="I265" s="2435"/>
      <c r="J265" s="2436"/>
      <c r="K265" s="46"/>
      <c r="L265" s="46"/>
      <c r="M265" s="46"/>
      <c r="N265" s="1556" t="str">
        <f t="shared" si="114"/>
        <v/>
      </c>
      <c r="O265" s="2427"/>
      <c r="P265" s="162"/>
      <c r="Q265" s="47">
        <f>Parameters!H232</f>
        <v>0</v>
      </c>
      <c r="R265" s="457"/>
    </row>
    <row r="266" spans="1:19" ht="15" hidden="1" customHeight="1" x14ac:dyDescent="0.25">
      <c r="A266" s="389"/>
      <c r="B266" s="2471"/>
      <c r="C266" s="46"/>
      <c r="D266" s="16"/>
      <c r="E266" s="2334"/>
      <c r="F266" s="2334"/>
      <c r="G266" s="2334"/>
      <c r="H266" s="2457"/>
      <c r="I266" s="2435"/>
      <c r="J266" s="2436"/>
      <c r="K266" s="683"/>
      <c r="L266" s="2475"/>
      <c r="M266" s="683"/>
      <c r="N266" s="2458"/>
      <c r="O266" s="2459"/>
      <c r="P266" s="2496"/>
      <c r="Q266" s="2428"/>
      <c r="R266" s="457"/>
    </row>
    <row r="267" spans="1:19" ht="15" hidden="1" customHeight="1" x14ac:dyDescent="0.25">
      <c r="A267" s="389"/>
      <c r="B267" s="2471"/>
      <c r="C267" s="46"/>
      <c r="D267" s="16"/>
      <c r="E267" s="2334"/>
      <c r="F267" s="2334"/>
      <c r="G267" s="2334"/>
      <c r="H267" s="2457"/>
      <c r="I267" s="2435"/>
      <c r="J267" s="2436"/>
      <c r="K267" s="683"/>
      <c r="L267" s="2475"/>
      <c r="M267" s="683"/>
      <c r="N267" s="2458"/>
      <c r="O267" s="2459"/>
      <c r="P267" s="2496"/>
      <c r="Q267" s="2428"/>
      <c r="R267" s="457"/>
    </row>
    <row r="268" spans="1:19" ht="30" customHeight="1" x14ac:dyDescent="0.25">
      <c r="A268" s="389"/>
      <c r="B268" s="2494" t="s">
        <v>284</v>
      </c>
      <c r="C268" s="2419" t="s">
        <v>1584</v>
      </c>
      <c r="D268" s="2481"/>
      <c r="E268" s="162"/>
      <c r="F268" s="162"/>
      <c r="G268" s="162"/>
      <c r="H268" s="1556" t="str">
        <f>IF(AND(ISNUMBER(H269), ISNUMBER(H270), ISNUMBER(H271), ISNUMBER(H272), ISNUMBER(H273), ISNUMBER(H274)), SUM(H269:H274), "")</f>
        <v/>
      </c>
      <c r="I268" s="2435"/>
      <c r="J268" s="2436"/>
      <c r="K268" s="46"/>
      <c r="L268" s="162"/>
      <c r="M268" s="162"/>
      <c r="N268" s="1556" t="str">
        <f>IF(AND(ISNUMBER(N269), ISNUMBER(N270), ISNUMBER(N271), ISNUMBER(N272), ISNUMBER(N273), ISNUMBER(N274)), SUM(N269:N274), "")</f>
        <v/>
      </c>
      <c r="O268" s="2427"/>
      <c r="P268" s="162"/>
      <c r="Q268" s="163"/>
      <c r="R268" s="457"/>
    </row>
    <row r="269" spans="1:19" ht="15" customHeight="1" x14ac:dyDescent="0.25">
      <c r="A269" s="389"/>
      <c r="B269" s="2468" t="s">
        <v>154</v>
      </c>
      <c r="C269" s="46"/>
      <c r="D269" s="16"/>
      <c r="E269" s="43"/>
      <c r="F269" s="43"/>
      <c r="G269" s="162"/>
      <c r="H269" s="2467" t="str">
        <f t="shared" ref="H269:H274" si="116">IF(AND(ISNUMBER(E269), ISNUMBER(F269)), SUM(E269:F269), "")</f>
        <v/>
      </c>
      <c r="I269" s="2435"/>
      <c r="J269" s="2436"/>
      <c r="K269" s="161" t="str">
        <f>IF(AND(ISNUMBER(E269),ISNUMBER(O269)), E269*O269, "")</f>
        <v/>
      </c>
      <c r="L269" s="32" t="str">
        <f>IF(AND(ISNUMBER(F269),ISNUMBER(P269)), F269*P269, "")</f>
        <v/>
      </c>
      <c r="M269" s="162"/>
      <c r="N269" s="2467" t="str">
        <f t="shared" ref="N269:N274" si="117">IF(AND(ISNUMBER(K269), ISNUMBER(L269)), SUM(K269:L269), "")</f>
        <v/>
      </c>
      <c r="O269" s="1053">
        <f>Parameters!F236</f>
        <v>0.5</v>
      </c>
      <c r="P269" s="47">
        <f>Parameters!G236</f>
        <v>0.5</v>
      </c>
      <c r="Q269" s="99"/>
      <c r="R269" s="457"/>
      <c r="S269" s="316">
        <f>IF(ISNUMBER(N269),1,0)</f>
        <v>0</v>
      </c>
    </row>
    <row r="270" spans="1:19" ht="15" customHeight="1" x14ac:dyDescent="0.25">
      <c r="A270" s="389"/>
      <c r="B270" s="2468" t="s">
        <v>251</v>
      </c>
      <c r="C270" s="46"/>
      <c r="D270" s="16"/>
      <c r="E270" s="43"/>
      <c r="F270" s="43"/>
      <c r="G270" s="162"/>
      <c r="H270" s="2467" t="str">
        <f t="shared" si="116"/>
        <v/>
      </c>
      <c r="I270" s="2435"/>
      <c r="J270" s="2436"/>
      <c r="K270" s="161" t="str">
        <f t="shared" ref="K270:L277" si="118">IF(AND(ISNUMBER(E270),ISNUMBER(O270)), E270*O270, "")</f>
        <v/>
      </c>
      <c r="L270" s="32" t="str">
        <f t="shared" si="118"/>
        <v/>
      </c>
      <c r="M270" s="162"/>
      <c r="N270" s="2467" t="str">
        <f t="shared" si="117"/>
        <v/>
      </c>
      <c r="O270" s="1053">
        <f>Parameters!F237</f>
        <v>0.5</v>
      </c>
      <c r="P270" s="47">
        <f>Parameters!G237</f>
        <v>0.5</v>
      </c>
      <c r="Q270" s="99"/>
      <c r="R270" s="457"/>
      <c r="S270" s="316">
        <f t="shared" ref="S270:S272" si="119">IF(ISNUMBER(N270),1,0)</f>
        <v>0</v>
      </c>
    </row>
    <row r="271" spans="1:19" ht="15" customHeight="1" x14ac:dyDescent="0.25">
      <c r="A271" s="389"/>
      <c r="B271" s="2468" t="s">
        <v>252</v>
      </c>
      <c r="C271" s="46"/>
      <c r="D271" s="16"/>
      <c r="E271" s="43"/>
      <c r="F271" s="43"/>
      <c r="G271" s="162"/>
      <c r="H271" s="2467" t="str">
        <f t="shared" si="116"/>
        <v/>
      </c>
      <c r="I271" s="2435"/>
      <c r="J271" s="2436"/>
      <c r="K271" s="161" t="str">
        <f t="shared" si="118"/>
        <v/>
      </c>
      <c r="L271" s="32" t="str">
        <f t="shared" si="118"/>
        <v/>
      </c>
      <c r="M271" s="162"/>
      <c r="N271" s="2467" t="str">
        <f t="shared" si="117"/>
        <v/>
      </c>
      <c r="O271" s="1053">
        <f>Parameters!F238</f>
        <v>0.5</v>
      </c>
      <c r="P271" s="47">
        <f>Parameters!G238</f>
        <v>0.5</v>
      </c>
      <c r="Q271" s="99"/>
      <c r="R271" s="457"/>
      <c r="S271" s="316">
        <f t="shared" si="119"/>
        <v>0</v>
      </c>
    </row>
    <row r="272" spans="1:19" ht="15" customHeight="1" x14ac:dyDescent="0.25">
      <c r="A272" s="389"/>
      <c r="B272" s="2468" t="s">
        <v>253</v>
      </c>
      <c r="C272" s="46"/>
      <c r="D272" s="16"/>
      <c r="E272" s="43"/>
      <c r="F272" s="43"/>
      <c r="G272" s="162"/>
      <c r="H272" s="2467" t="str">
        <f t="shared" si="116"/>
        <v/>
      </c>
      <c r="I272" s="2435"/>
      <c r="J272" s="2436"/>
      <c r="K272" s="161" t="str">
        <f t="shared" si="118"/>
        <v/>
      </c>
      <c r="L272" s="32" t="str">
        <f t="shared" si="118"/>
        <v/>
      </c>
      <c r="M272" s="162"/>
      <c r="N272" s="2467" t="str">
        <f t="shared" si="117"/>
        <v/>
      </c>
      <c r="O272" s="1053">
        <f>Parameters!F239</f>
        <v>1</v>
      </c>
      <c r="P272" s="47">
        <f>Parameters!G239</f>
        <v>1</v>
      </c>
      <c r="Q272" s="99"/>
      <c r="R272" s="457"/>
      <c r="S272" s="316">
        <f t="shared" si="119"/>
        <v>0</v>
      </c>
    </row>
    <row r="273" spans="1:19" ht="15" customHeight="1" x14ac:dyDescent="0.25">
      <c r="A273" s="389"/>
      <c r="B273" s="2468" t="s">
        <v>2260</v>
      </c>
      <c r="C273" s="46"/>
      <c r="D273" s="16"/>
      <c r="E273" s="43"/>
      <c r="F273" s="43"/>
      <c r="G273" s="162"/>
      <c r="H273" s="2467" t="str">
        <f t="shared" si="116"/>
        <v/>
      </c>
      <c r="I273" s="2435"/>
      <c r="J273" s="2436"/>
      <c r="K273" s="161" t="str">
        <f t="shared" ref="K273:K276" si="120">IF(AND(ISNUMBER(E273),ISNUMBER(O273)), E273*O273, "")</f>
        <v/>
      </c>
      <c r="L273" s="32" t="str">
        <f t="shared" ref="L273:L276" si="121">IF(AND(ISNUMBER(F273),ISNUMBER(P273)), F273*P273, "")</f>
        <v/>
      </c>
      <c r="M273" s="162"/>
      <c r="N273" s="2467" t="str">
        <f t="shared" si="117"/>
        <v/>
      </c>
      <c r="O273" s="1053">
        <f>Parameters!F240</f>
        <v>0</v>
      </c>
      <c r="P273" s="47">
        <f>Parameters!G240</f>
        <v>0</v>
      </c>
      <c r="Q273" s="99"/>
      <c r="R273" s="457"/>
    </row>
    <row r="274" spans="1:19" ht="15" customHeight="1" x14ac:dyDescent="0.25">
      <c r="A274" s="389"/>
      <c r="B274" s="2468" t="s">
        <v>2261</v>
      </c>
      <c r="C274" s="46"/>
      <c r="D274" s="16"/>
      <c r="E274" s="43"/>
      <c r="F274" s="43"/>
      <c r="G274" s="162"/>
      <c r="H274" s="2467" t="str">
        <f t="shared" si="116"/>
        <v/>
      </c>
      <c r="I274" s="2435"/>
      <c r="J274" s="2436"/>
      <c r="K274" s="161" t="str">
        <f t="shared" si="120"/>
        <v/>
      </c>
      <c r="L274" s="32" t="str">
        <f t="shared" si="121"/>
        <v/>
      </c>
      <c r="M274" s="162"/>
      <c r="N274" s="2467" t="str">
        <f t="shared" si="117"/>
        <v/>
      </c>
      <c r="O274" s="1053">
        <f>Parameters!F241</f>
        <v>0</v>
      </c>
      <c r="P274" s="47">
        <f>Parameters!G241</f>
        <v>0</v>
      </c>
      <c r="Q274" s="99"/>
      <c r="R274" s="457"/>
    </row>
    <row r="275" spans="1:19" ht="15" hidden="1" customHeight="1" x14ac:dyDescent="0.25">
      <c r="A275" s="389"/>
      <c r="B275" s="2471"/>
      <c r="C275" s="46"/>
      <c r="D275" s="16"/>
      <c r="E275" s="43"/>
      <c r="F275" s="43"/>
      <c r="G275" s="2334"/>
      <c r="H275" s="2457"/>
      <c r="I275" s="2435"/>
      <c r="J275" s="2436"/>
      <c r="K275" s="161" t="str">
        <f t="shared" si="120"/>
        <v/>
      </c>
      <c r="L275" s="32" t="str">
        <f t="shared" si="121"/>
        <v/>
      </c>
      <c r="M275" s="683"/>
      <c r="N275" s="2458"/>
      <c r="O275" s="2459"/>
      <c r="P275" s="2496"/>
      <c r="Q275" s="2428"/>
      <c r="R275" s="457"/>
    </row>
    <row r="276" spans="1:19" ht="15" hidden="1" customHeight="1" x14ac:dyDescent="0.25">
      <c r="A276" s="389"/>
      <c r="B276" s="2471"/>
      <c r="C276" s="46"/>
      <c r="D276" s="16"/>
      <c r="E276" s="43"/>
      <c r="F276" s="43"/>
      <c r="G276" s="2334"/>
      <c r="H276" s="2457"/>
      <c r="I276" s="2435"/>
      <c r="J276" s="2436"/>
      <c r="K276" s="161" t="str">
        <f t="shared" si="120"/>
        <v/>
      </c>
      <c r="L276" s="32" t="str">
        <f t="shared" si="121"/>
        <v/>
      </c>
      <c r="M276" s="683"/>
      <c r="N276" s="2458"/>
      <c r="O276" s="2459"/>
      <c r="P276" s="2496"/>
      <c r="Q276" s="2428"/>
      <c r="R276" s="457"/>
    </row>
    <row r="277" spans="1:19" ht="30" customHeight="1" x14ac:dyDescent="0.25">
      <c r="A277" s="389"/>
      <c r="B277" s="2472" t="s">
        <v>172</v>
      </c>
      <c r="C277" s="2419" t="s">
        <v>1608</v>
      </c>
      <c r="D277" s="2481"/>
      <c r="E277" s="43"/>
      <c r="F277" s="43"/>
      <c r="G277" s="43"/>
      <c r="H277" s="2467" t="str">
        <f>IF(AND(ISNUMBER(E277), ISNUMBER(F277), ISNUMBER(G277)), SUM(E277:G277), "")</f>
        <v/>
      </c>
      <c r="I277" s="2435"/>
      <c r="J277" s="2436"/>
      <c r="K277" s="161" t="str">
        <f t="shared" si="118"/>
        <v/>
      </c>
      <c r="L277" s="32" t="str">
        <f t="shared" si="118"/>
        <v/>
      </c>
      <c r="M277" s="161" t="str">
        <f>IF(AND(ISNUMBER(G277),ISNUMBER(Q277)),G277*Q277,"")</f>
        <v/>
      </c>
      <c r="N277" s="2467" t="str">
        <f>IF(AND(ISNUMBER(K277), ISNUMBER(L277), ISNUMBER(M277)), SUM(K277:M277), "")</f>
        <v/>
      </c>
      <c r="O277" s="2505">
        <f>Parameters!F244</f>
        <v>1</v>
      </c>
      <c r="P277" s="56">
        <f>Parameters!G244</f>
        <v>1</v>
      </c>
      <c r="Q277" s="2425">
        <f>Parameters!H244</f>
        <v>1</v>
      </c>
      <c r="R277" s="457"/>
      <c r="S277" s="316">
        <f>IF(ISNUMBER(N277),1,0)</f>
        <v>0</v>
      </c>
    </row>
    <row r="278" spans="1:19" ht="30" customHeight="1" x14ac:dyDescent="0.25">
      <c r="A278" s="389"/>
      <c r="B278" s="2472" t="s">
        <v>2301</v>
      </c>
      <c r="C278" s="2419" t="s">
        <v>1609</v>
      </c>
      <c r="D278" s="2481"/>
      <c r="E278" s="162"/>
      <c r="F278" s="162"/>
      <c r="G278" s="162"/>
      <c r="H278" s="2551"/>
      <c r="I278" s="2435"/>
      <c r="J278" s="2436"/>
      <c r="K278" s="46"/>
      <c r="L278" s="99"/>
      <c r="M278" s="99"/>
      <c r="N278" s="1556" t="str">
        <f>IF(AND(ISNUMBER(H278), ISNUMBER(Q278)), H278*Q278,"")</f>
        <v/>
      </c>
      <c r="O278" s="2427"/>
      <c r="P278" s="55"/>
      <c r="Q278" s="2425">
        <f>Parameters!H245</f>
        <v>1</v>
      </c>
      <c r="R278" s="457"/>
      <c r="S278" s="316">
        <f>IF(ISNUMBER(N278),1,0)</f>
        <v>0</v>
      </c>
    </row>
    <row r="279" spans="1:19" ht="15" customHeight="1" x14ac:dyDescent="0.25">
      <c r="A279" s="389"/>
      <c r="B279" s="2497" t="s">
        <v>248</v>
      </c>
      <c r="C279" s="2419" t="s">
        <v>1664</v>
      </c>
      <c r="D279" s="2481"/>
      <c r="E279" s="162"/>
      <c r="F279" s="162"/>
      <c r="G279" s="162"/>
      <c r="H279" s="2551"/>
      <c r="I279" s="2435"/>
      <c r="J279" s="2436"/>
      <c r="K279" s="46"/>
      <c r="L279" s="99"/>
      <c r="M279" s="99"/>
      <c r="N279" s="1556" t="str">
        <f>IF(AND(ISNUMBER(H279), ISNUMBER(Q279)), H279*Q279,"")</f>
        <v/>
      </c>
      <c r="O279" s="2427"/>
      <c r="P279" s="55"/>
      <c r="Q279" s="2425">
        <f>Parameters!H246</f>
        <v>0.2</v>
      </c>
      <c r="R279" s="457"/>
      <c r="S279" s="316">
        <f>IF(ISNUMBER(N279),1,0)</f>
        <v>0</v>
      </c>
    </row>
    <row r="280" spans="1:19" ht="30" customHeight="1" x14ac:dyDescent="0.25">
      <c r="A280" s="389"/>
      <c r="B280" s="2472" t="s">
        <v>245</v>
      </c>
      <c r="C280" s="2419" t="s">
        <v>1592</v>
      </c>
      <c r="D280" s="2481"/>
      <c r="E280" s="43"/>
      <c r="F280" s="43"/>
      <c r="G280" s="43"/>
      <c r="H280" s="2467" t="str">
        <f t="shared" ref="H280:H285" si="122">IF(AND(ISNUMBER(E280), ISNUMBER(F280), ISNUMBER(G280)), SUM(E280:G280), "")</f>
        <v/>
      </c>
      <c r="I280" s="2435"/>
      <c r="J280" s="2436"/>
      <c r="K280" s="161" t="str">
        <f t="shared" ref="K280" si="123">IF(AND(ISNUMBER(E280),ISNUMBER(O280)), E280*O280, "")</f>
        <v/>
      </c>
      <c r="L280" s="32" t="str">
        <f t="shared" ref="L280" si="124">IF(AND(ISNUMBER(F280),ISNUMBER(P280)), F280*P280, "")</f>
        <v/>
      </c>
      <c r="M280" s="161" t="str">
        <f>IF(AND(ISNUMBER(G280),ISNUMBER(Q280)),G280*Q280,"")</f>
        <v/>
      </c>
      <c r="N280" s="2467" t="str">
        <f>IF(AND(ISNUMBER(K280), ISNUMBER(L280), ISNUMBER(M280)), SUM(K280:M280), "")</f>
        <v/>
      </c>
      <c r="O280" s="2348">
        <f>Parameters!F247</f>
        <v>0</v>
      </c>
      <c r="P280" s="2425">
        <f>Parameters!G247</f>
        <v>0</v>
      </c>
      <c r="Q280" s="2425">
        <f>Parameters!H247</f>
        <v>0.85</v>
      </c>
      <c r="R280" s="457"/>
      <c r="S280" s="316">
        <f t="shared" ref="S280:S285" si="125">IF(ISNUMBER(N280),1,0)</f>
        <v>0</v>
      </c>
    </row>
    <row r="281" spans="1:19" ht="15" customHeight="1" x14ac:dyDescent="0.25">
      <c r="A281" s="389"/>
      <c r="B281" s="2472" t="s">
        <v>246</v>
      </c>
      <c r="C281" s="2419" t="s">
        <v>1593</v>
      </c>
      <c r="D281" s="2481"/>
      <c r="E281" s="43"/>
      <c r="F281" s="43"/>
      <c r="G281" s="43"/>
      <c r="H281" s="2467" t="str">
        <f t="shared" si="122"/>
        <v/>
      </c>
      <c r="I281" s="2435"/>
      <c r="J281" s="2436"/>
      <c r="K281" s="161" t="str">
        <f>IF(AND(ISNUMBER(E281),ISNUMBER(O281)), E281*O281, "")</f>
        <v/>
      </c>
      <c r="L281" s="32" t="str">
        <f>IF(AND(ISNUMBER(F281),ISNUMBER(P281)), F281*P281, "")</f>
        <v/>
      </c>
      <c r="M281" s="161" t="str">
        <f>IF(AND(ISNUMBER(G281),ISNUMBER(Q281)),G281*Q281,"")</f>
        <v/>
      </c>
      <c r="N281" s="2467" t="str">
        <f t="shared" ref="N281:N285" si="126">IF(AND(ISNUMBER(K281), ISNUMBER(L281), ISNUMBER(M281)), SUM(K281:M281), "")</f>
        <v/>
      </c>
      <c r="O281" s="2505">
        <f>Parameters!F248</f>
        <v>1</v>
      </c>
      <c r="P281" s="56">
        <f>Parameters!G248</f>
        <v>1</v>
      </c>
      <c r="Q281" s="2425">
        <f>Parameters!H248</f>
        <v>1</v>
      </c>
      <c r="R281" s="457"/>
      <c r="S281" s="316">
        <f t="shared" si="125"/>
        <v>0</v>
      </c>
    </row>
    <row r="282" spans="1:19" ht="15" customHeight="1" x14ac:dyDescent="0.25">
      <c r="A282" s="389"/>
      <c r="B282" s="2472" t="s">
        <v>260</v>
      </c>
      <c r="C282" s="2419" t="s">
        <v>1594</v>
      </c>
      <c r="D282" s="2481"/>
      <c r="E282" s="162"/>
      <c r="F282" s="162"/>
      <c r="G282" s="162"/>
      <c r="H282" s="43"/>
      <c r="I282" s="2435"/>
      <c r="J282" s="2436"/>
      <c r="K282" s="162"/>
      <c r="L282" s="162"/>
      <c r="M282" s="162"/>
      <c r="N282" s="1556" t="str">
        <f>IF(AND(ISNUMBER(H282), ISNUMBER(O282)), H282*O282,"")</f>
        <v/>
      </c>
      <c r="O282" s="2429">
        <f>Parameters!H249</f>
        <v>0</v>
      </c>
      <c r="P282" s="162"/>
      <c r="Q282" s="163"/>
      <c r="R282" s="457"/>
      <c r="S282" s="316">
        <f t="shared" si="125"/>
        <v>0</v>
      </c>
    </row>
    <row r="283" spans="1:19" ht="15" customHeight="1" x14ac:dyDescent="0.25">
      <c r="A283" s="389"/>
      <c r="B283" s="2472" t="s">
        <v>247</v>
      </c>
      <c r="C283" s="2419">
        <v>30.35</v>
      </c>
      <c r="D283" s="2481"/>
      <c r="E283" s="43"/>
      <c r="F283" s="43"/>
      <c r="G283" s="43"/>
      <c r="H283" s="2467" t="str">
        <f t="shared" si="122"/>
        <v/>
      </c>
      <c r="I283" s="2435"/>
      <c r="J283" s="2436"/>
      <c r="K283" s="161" t="str">
        <f>IF(AND(ISNUMBER(E283),ISNUMBER(O283)), E283*O283, "")</f>
        <v/>
      </c>
      <c r="L283" s="32" t="str">
        <f>IF(AND(ISNUMBER(F283),ISNUMBER(P283)), F283*P283, "")</f>
        <v/>
      </c>
      <c r="M283" s="161" t="str">
        <f>IF(AND(ISNUMBER(G283),ISNUMBER(Q283)),G283*Q283,"")</f>
        <v/>
      </c>
      <c r="N283" s="2467" t="str">
        <f t="shared" si="126"/>
        <v/>
      </c>
      <c r="O283" s="2505">
        <f>Parameters!F250</f>
        <v>0</v>
      </c>
      <c r="P283" s="56">
        <f>Parameters!G250</f>
        <v>0</v>
      </c>
      <c r="Q283" s="2425">
        <f>Parameters!H250</f>
        <v>0</v>
      </c>
      <c r="R283" s="457"/>
      <c r="S283" s="316">
        <f t="shared" si="125"/>
        <v>0</v>
      </c>
    </row>
    <row r="284" spans="1:19" ht="30" customHeight="1" x14ac:dyDescent="0.25">
      <c r="A284" s="389"/>
      <c r="B284" s="98" t="str">
        <f>CONCATENATE("Check: interdependent assets in row ", ROW(B283), " = interdependent liabilities above in row ", ROW(B43))</f>
        <v>Check: interdependent assets in row 283 = interdependent liabilities above in row 43</v>
      </c>
      <c r="C284" s="46"/>
      <c r="D284" s="16"/>
      <c r="E284" s="553" t="str">
        <f>IF(AND(ISNUMBER(E43), ISNUMBER(E283)), IF(E283=E43, "Pass", "Fail"), "")</f>
        <v/>
      </c>
      <c r="F284" s="553" t="str">
        <f>IF(AND(ISNUMBER(F43), ISNUMBER(F283)), IF(F283=F43, "Pass", "Fail"), "")</f>
        <v/>
      </c>
      <c r="G284" s="553" t="str">
        <f>IF(AND(ISNUMBER(G43), ISNUMBER(G283)), IF(G283=G43, "Pass", "Fail"), "")</f>
        <v/>
      </c>
      <c r="H284" s="1052"/>
      <c r="I284" s="2435"/>
      <c r="J284" s="2436"/>
      <c r="K284" s="46"/>
      <c r="L284" s="55"/>
      <c r="M284" s="55"/>
      <c r="N284" s="1052"/>
      <c r="O284" s="2427"/>
      <c r="P284" s="55"/>
      <c r="Q284" s="102"/>
      <c r="R284" s="457"/>
    </row>
    <row r="285" spans="1:19" ht="15" customHeight="1" x14ac:dyDescent="0.25">
      <c r="A285" s="389"/>
      <c r="B285" s="2416" t="s">
        <v>173</v>
      </c>
      <c r="C285" s="2419" t="s">
        <v>1593</v>
      </c>
      <c r="D285" s="2481"/>
      <c r="E285" s="43"/>
      <c r="F285" s="43"/>
      <c r="G285" s="43"/>
      <c r="H285" s="2467" t="str">
        <f t="shared" si="122"/>
        <v/>
      </c>
      <c r="I285" s="2435"/>
      <c r="J285" s="2436"/>
      <c r="K285" s="154" t="str">
        <f>IF(AND(ISNUMBER(E285),ISNUMBER(O285)), E285*O285, "")</f>
        <v/>
      </c>
      <c r="L285" s="151" t="str">
        <f>IF(AND(ISNUMBER(F285),ISNUMBER(P285)), F285*P285, "")</f>
        <v/>
      </c>
      <c r="M285" s="154" t="str">
        <f>IF(AND(ISNUMBER(G285),ISNUMBER(Q285)),G285*Q285,"")</f>
        <v/>
      </c>
      <c r="N285" s="2533" t="str">
        <f t="shared" si="126"/>
        <v/>
      </c>
      <c r="O285" s="1054">
        <f>Parameters!F252</f>
        <v>1</v>
      </c>
      <c r="P285" s="101">
        <f>Parameters!G252</f>
        <v>1</v>
      </c>
      <c r="Q285" s="2426">
        <f>Parameters!H252</f>
        <v>1</v>
      </c>
      <c r="R285" s="457"/>
      <c r="S285" s="316">
        <f t="shared" si="125"/>
        <v>0</v>
      </c>
    </row>
    <row r="286" spans="1:19" ht="15" hidden="1" customHeight="1" x14ac:dyDescent="0.25">
      <c r="A286" s="389"/>
      <c r="B286" s="2471"/>
      <c r="C286" s="46"/>
      <c r="D286" s="16"/>
      <c r="E286" s="2334"/>
      <c r="F286" s="2334"/>
      <c r="G286" s="2334"/>
      <c r="H286" s="2457"/>
      <c r="I286" s="2435"/>
      <c r="J286" s="2436"/>
      <c r="K286" s="683"/>
      <c r="L286" s="2475"/>
      <c r="M286" s="683"/>
      <c r="N286" s="2549"/>
      <c r="O286" s="2459"/>
      <c r="P286" s="2496"/>
      <c r="Q286" s="2428"/>
      <c r="R286" s="457"/>
    </row>
    <row r="287" spans="1:19" ht="15" hidden="1" customHeight="1" x14ac:dyDescent="0.25">
      <c r="A287" s="389"/>
      <c r="B287" s="633"/>
      <c r="C287" s="57"/>
      <c r="D287" s="21"/>
      <c r="E287" s="2507"/>
      <c r="F287" s="2507"/>
      <c r="G287" s="2507"/>
      <c r="H287" s="2574"/>
      <c r="I287" s="2437"/>
      <c r="J287" s="2438"/>
      <c r="K287" s="683"/>
      <c r="L287" s="2475"/>
      <c r="M287" s="683"/>
      <c r="N287" s="2575"/>
      <c r="O287" s="2511"/>
      <c r="P287" s="2512"/>
      <c r="Q287" s="2513"/>
      <c r="R287" s="457"/>
    </row>
    <row r="288" spans="1:19" s="316" customFormat="1" ht="15" customHeight="1" x14ac:dyDescent="0.25">
      <c r="A288" s="392"/>
      <c r="B288" s="2576" t="s">
        <v>2272</v>
      </c>
      <c r="C288" s="1896"/>
      <c r="D288" s="1897"/>
      <c r="E288" s="1897"/>
      <c r="F288" s="1897"/>
      <c r="G288" s="2498"/>
      <c r="H288" s="2577"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2431"/>
      <c r="J288" s="2432"/>
      <c r="K288" s="1896"/>
      <c r="L288" s="1897"/>
      <c r="M288" s="2498"/>
      <c r="N288" s="2577"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2534"/>
      <c r="P288" s="2535"/>
      <c r="Q288" s="2536"/>
      <c r="R288" s="833"/>
    </row>
    <row r="289" spans="1:19" ht="60" customHeight="1" x14ac:dyDescent="0.3">
      <c r="A289" s="2004" t="s">
        <v>2267</v>
      </c>
      <c r="B289" s="40"/>
      <c r="C289" s="40"/>
      <c r="D289" s="40"/>
      <c r="E289" s="41"/>
      <c r="F289" s="42"/>
      <c r="G289" s="160"/>
      <c r="H289" s="160"/>
      <c r="I289" s="160"/>
      <c r="J289" s="160"/>
      <c r="K289" s="160"/>
      <c r="L289" s="160"/>
      <c r="M289" s="160"/>
      <c r="N289" s="160"/>
      <c r="O289" s="160"/>
      <c r="P289" s="160"/>
      <c r="Q289" s="160"/>
      <c r="R289" s="457"/>
    </row>
    <row r="290" spans="1:19" ht="30" customHeight="1" x14ac:dyDescent="0.25">
      <c r="A290" s="389"/>
      <c r="B290" s="1328"/>
      <c r="C290" s="2477" t="s">
        <v>1638</v>
      </c>
      <c r="D290" s="2535"/>
      <c r="E290" s="2535"/>
      <c r="F290" s="2535"/>
      <c r="G290" s="2535"/>
      <c r="H290" s="2054" t="s">
        <v>135</v>
      </c>
      <c r="I290" s="2431"/>
      <c r="J290" s="2432"/>
      <c r="K290" s="2534"/>
      <c r="L290" s="2535"/>
      <c r="M290" s="2535"/>
      <c r="N290" s="2486" t="s">
        <v>165</v>
      </c>
      <c r="O290" s="2477" t="s">
        <v>164</v>
      </c>
      <c r="P290" s="2515"/>
      <c r="Q290" s="2516"/>
      <c r="R290" s="457"/>
    </row>
    <row r="291" spans="1:19" ht="15" customHeight="1" x14ac:dyDescent="0.25">
      <c r="A291" s="389"/>
      <c r="B291" s="2501" t="s">
        <v>155</v>
      </c>
      <c r="C291" s="2539" t="s">
        <v>1595</v>
      </c>
      <c r="D291" s="773"/>
      <c r="E291" s="773"/>
      <c r="F291" s="773"/>
      <c r="G291" s="773"/>
      <c r="H291" s="58"/>
      <c r="I291" s="2433"/>
      <c r="J291" s="2434"/>
      <c r="K291" s="2504"/>
      <c r="L291" s="50"/>
      <c r="M291" s="50"/>
      <c r="N291" s="2542" t="str">
        <f t="shared" ref="N291:N296" si="127">IF(AND(ISNUMBER(H291), ISNUMBER(O291)), H291*O291,"")</f>
        <v/>
      </c>
      <c r="O291" s="2347">
        <f>Parameters!F255</f>
        <v>0.05</v>
      </c>
      <c r="P291" s="2537"/>
      <c r="Q291" s="2538"/>
      <c r="R291" s="457"/>
      <c r="S291" s="316">
        <f t="shared" ref="S291:S296" si="128">IF(ISNUMBER(N291),1,0)</f>
        <v>0</v>
      </c>
    </row>
    <row r="292" spans="1:19" ht="15" customHeight="1" x14ac:dyDescent="0.25">
      <c r="A292" s="389"/>
      <c r="B292" s="1964" t="s">
        <v>156</v>
      </c>
      <c r="C292" s="2539" t="s">
        <v>1595</v>
      </c>
      <c r="D292" s="261"/>
      <c r="E292" s="261"/>
      <c r="F292" s="261"/>
      <c r="G292" s="261"/>
      <c r="H292" s="164"/>
      <c r="I292" s="2435"/>
      <c r="J292" s="2436"/>
      <c r="K292" s="2427"/>
      <c r="L292" s="162"/>
      <c r="M292" s="162"/>
      <c r="N292" s="1225" t="str">
        <f t="shared" si="127"/>
        <v/>
      </c>
      <c r="O292" s="2348">
        <f>Parameters!F256</f>
        <v>0.05</v>
      </c>
      <c r="P292" s="2496"/>
      <c r="Q292" s="2428"/>
      <c r="R292" s="457"/>
      <c r="S292" s="316">
        <f t="shared" si="128"/>
        <v>0</v>
      </c>
    </row>
    <row r="293" spans="1:19" ht="15" customHeight="1" x14ac:dyDescent="0.25">
      <c r="A293" s="389"/>
      <c r="B293" s="1964" t="s">
        <v>176</v>
      </c>
      <c r="C293" s="2539" t="s">
        <v>1595</v>
      </c>
      <c r="D293" s="261"/>
      <c r="E293" s="261"/>
      <c r="F293" s="261"/>
      <c r="G293" s="261"/>
      <c r="H293" s="164"/>
      <c r="I293" s="2435"/>
      <c r="J293" s="2436"/>
      <c r="K293" s="2427"/>
      <c r="L293" s="162"/>
      <c r="M293" s="162"/>
      <c r="N293" s="1225" t="str">
        <f t="shared" si="127"/>
        <v/>
      </c>
      <c r="O293" s="2348">
        <f>Parameters!F257</f>
        <v>0</v>
      </c>
      <c r="P293" s="2496"/>
      <c r="Q293" s="2428"/>
      <c r="R293" s="457"/>
      <c r="S293" s="316">
        <f t="shared" si="128"/>
        <v>0</v>
      </c>
    </row>
    <row r="294" spans="1:19" ht="15" customHeight="1" x14ac:dyDescent="0.25">
      <c r="A294" s="389"/>
      <c r="B294" s="1964" t="s">
        <v>177</v>
      </c>
      <c r="C294" s="2539" t="s">
        <v>1595</v>
      </c>
      <c r="D294" s="261"/>
      <c r="E294" s="261"/>
      <c r="F294" s="261"/>
      <c r="G294" s="261"/>
      <c r="H294" s="164"/>
      <c r="I294" s="2435"/>
      <c r="J294" s="2436"/>
      <c r="K294" s="2427"/>
      <c r="L294" s="162"/>
      <c r="M294" s="162"/>
      <c r="N294" s="1225" t="str">
        <f t="shared" si="127"/>
        <v/>
      </c>
      <c r="O294" s="2348">
        <f>Parameters!F258</f>
        <v>0</v>
      </c>
      <c r="P294" s="2496"/>
      <c r="Q294" s="2428"/>
      <c r="R294" s="457"/>
      <c r="S294" s="316">
        <f t="shared" si="128"/>
        <v>0</v>
      </c>
    </row>
    <row r="295" spans="1:19" ht="15" customHeight="1" x14ac:dyDescent="0.25">
      <c r="A295" s="389"/>
      <c r="B295" s="1964" t="s">
        <v>146</v>
      </c>
      <c r="C295" s="2539" t="s">
        <v>1595</v>
      </c>
      <c r="D295" s="261"/>
      <c r="E295" s="261"/>
      <c r="F295" s="261"/>
      <c r="G295" s="261"/>
      <c r="H295" s="164"/>
      <c r="I295" s="2435"/>
      <c r="J295" s="2436"/>
      <c r="K295" s="2427"/>
      <c r="L295" s="162"/>
      <c r="M295" s="162"/>
      <c r="N295" s="1225" t="str">
        <f t="shared" si="127"/>
        <v/>
      </c>
      <c r="O295" s="2348">
        <f>Parameters!F259</f>
        <v>0</v>
      </c>
      <c r="P295" s="2496"/>
      <c r="Q295" s="2428"/>
      <c r="R295" s="457"/>
      <c r="S295" s="316">
        <f t="shared" si="128"/>
        <v>0</v>
      </c>
    </row>
    <row r="296" spans="1:19" ht="15" customHeight="1" x14ac:dyDescent="0.25">
      <c r="A296" s="389"/>
      <c r="B296" s="1964" t="s">
        <v>147</v>
      </c>
      <c r="C296" s="2539" t="s">
        <v>1595</v>
      </c>
      <c r="D296" s="261"/>
      <c r="E296" s="261"/>
      <c r="F296" s="261"/>
      <c r="G296" s="261"/>
      <c r="H296" s="164"/>
      <c r="I296" s="2435"/>
      <c r="J296" s="2436"/>
      <c r="K296" s="2427"/>
      <c r="L296" s="162"/>
      <c r="M296" s="162"/>
      <c r="N296" s="1225" t="str">
        <f t="shared" si="127"/>
        <v/>
      </c>
      <c r="O296" s="2348">
        <f>Parameters!F260</f>
        <v>0</v>
      </c>
      <c r="P296" s="2496"/>
      <c r="Q296" s="2428"/>
      <c r="R296" s="457"/>
      <c r="S296" s="316">
        <f t="shared" si="128"/>
        <v>0</v>
      </c>
    </row>
    <row r="297" spans="1:19" ht="15" customHeight="1" x14ac:dyDescent="0.25">
      <c r="A297" s="389"/>
      <c r="B297" s="1964" t="s">
        <v>143</v>
      </c>
      <c r="C297" s="2539" t="s">
        <v>1595</v>
      </c>
      <c r="D297" s="261"/>
      <c r="E297" s="261"/>
      <c r="F297" s="261"/>
      <c r="G297" s="261"/>
      <c r="H297" s="1225" t="str">
        <f>IF(AND(ISNUMBER(H298), ISNUMBER(H299), ISNUMBER(H300), ISNUMBER(H301)), SUM(H298:H301), "")</f>
        <v/>
      </c>
      <c r="I297" s="2435"/>
      <c r="J297" s="2436"/>
      <c r="K297" s="2427"/>
      <c r="L297" s="162"/>
      <c r="M297" s="162"/>
      <c r="N297" s="1225" t="str">
        <f>IF(AND(ISNUMBER(N298), ISNUMBER(N299), ISNUMBER(N300), ISNUMBER(N301)), SUM(N298:N301), "")</f>
        <v/>
      </c>
      <c r="O297" s="99"/>
      <c r="P297" s="2496"/>
      <c r="Q297" s="2428"/>
      <c r="R297" s="457"/>
    </row>
    <row r="298" spans="1:19" ht="15" customHeight="1" x14ac:dyDescent="0.25">
      <c r="A298" s="389"/>
      <c r="B298" s="2335" t="s">
        <v>111</v>
      </c>
      <c r="C298" s="2539" t="s">
        <v>1595</v>
      </c>
      <c r="D298" s="261"/>
      <c r="E298" s="261"/>
      <c r="F298" s="261"/>
      <c r="G298" s="261"/>
      <c r="H298" s="164"/>
      <c r="I298" s="2435"/>
      <c r="J298" s="2436"/>
      <c r="K298" s="2427"/>
      <c r="L298" s="162"/>
      <c r="M298" s="162"/>
      <c r="N298" s="1225" t="str">
        <f>IF(AND(ISNUMBER(H298), ISNUMBER(O298)), H298*O298,"")</f>
        <v/>
      </c>
      <c r="O298" s="2348">
        <f>Parameters!F262</f>
        <v>0</v>
      </c>
      <c r="P298" s="2496"/>
      <c r="Q298" s="2428"/>
      <c r="R298" s="457"/>
      <c r="S298" s="316">
        <f t="shared" ref="S298:S302" si="129">IF(ISNUMBER(N298),1,0)</f>
        <v>0</v>
      </c>
    </row>
    <row r="299" spans="1:19" ht="15" customHeight="1" x14ac:dyDescent="0.25">
      <c r="A299" s="389"/>
      <c r="B299" s="2335" t="s">
        <v>0</v>
      </c>
      <c r="C299" s="2539" t="s">
        <v>1595</v>
      </c>
      <c r="D299" s="261"/>
      <c r="E299" s="261"/>
      <c r="F299" s="261"/>
      <c r="G299" s="261"/>
      <c r="H299" s="164"/>
      <c r="I299" s="2435"/>
      <c r="J299" s="2436"/>
      <c r="K299" s="2427"/>
      <c r="L299" s="162"/>
      <c r="M299" s="162"/>
      <c r="N299" s="1225" t="str">
        <f>IF(AND(ISNUMBER(H299), ISNUMBER(O299)), H299*O299,"")</f>
        <v/>
      </c>
      <c r="O299" s="2348">
        <f>Parameters!F263</f>
        <v>0</v>
      </c>
      <c r="P299" s="2496"/>
      <c r="Q299" s="2428"/>
      <c r="R299" s="457"/>
      <c r="S299" s="316">
        <f t="shared" si="129"/>
        <v>0</v>
      </c>
    </row>
    <row r="300" spans="1:19" ht="15" customHeight="1" x14ac:dyDescent="0.25">
      <c r="A300" s="389"/>
      <c r="B300" s="2335" t="s">
        <v>144</v>
      </c>
      <c r="C300" s="2539" t="s">
        <v>1595</v>
      </c>
      <c r="D300" s="261"/>
      <c r="E300" s="261"/>
      <c r="F300" s="261"/>
      <c r="G300" s="261"/>
      <c r="H300" s="164"/>
      <c r="I300" s="2435"/>
      <c r="J300" s="2436"/>
      <c r="K300" s="2427"/>
      <c r="L300" s="162"/>
      <c r="M300" s="162"/>
      <c r="N300" s="1225" t="str">
        <f>IF(AND(ISNUMBER(H300), ISNUMBER(O300)), H300*O300,"")</f>
        <v/>
      </c>
      <c r="O300" s="2348">
        <f>Parameters!F264</f>
        <v>0</v>
      </c>
      <c r="P300" s="2496"/>
      <c r="Q300" s="2428"/>
      <c r="R300" s="457"/>
      <c r="S300" s="316">
        <f t="shared" si="129"/>
        <v>0</v>
      </c>
    </row>
    <row r="301" spans="1:19" ht="15" customHeight="1" x14ac:dyDescent="0.25">
      <c r="A301" s="389"/>
      <c r="B301" s="2335" t="s">
        <v>1</v>
      </c>
      <c r="C301" s="2539" t="s">
        <v>1595</v>
      </c>
      <c r="D301" s="261"/>
      <c r="E301" s="261"/>
      <c r="F301" s="261"/>
      <c r="G301" s="261"/>
      <c r="H301" s="164"/>
      <c r="I301" s="2435"/>
      <c r="J301" s="2436"/>
      <c r="K301" s="2427"/>
      <c r="L301" s="162"/>
      <c r="M301" s="162"/>
      <c r="N301" s="1225" t="str">
        <f>IF(AND(ISNUMBER(H301), ISNUMBER(O301)), H301*O301,"")</f>
        <v/>
      </c>
      <c r="O301" s="2348">
        <f>Parameters!F265</f>
        <v>0</v>
      </c>
      <c r="P301" s="2496"/>
      <c r="Q301" s="2428"/>
      <c r="R301" s="457"/>
      <c r="S301" s="316">
        <f t="shared" si="129"/>
        <v>0</v>
      </c>
    </row>
    <row r="302" spans="1:19" ht="15" customHeight="1" x14ac:dyDescent="0.25">
      <c r="A302" s="389"/>
      <c r="B302" s="1964" t="s">
        <v>60</v>
      </c>
      <c r="C302" s="2540" t="s">
        <v>1595</v>
      </c>
      <c r="D302" s="261"/>
      <c r="E302" s="261"/>
      <c r="F302" s="261"/>
      <c r="G302" s="261"/>
      <c r="H302" s="941"/>
      <c r="I302" s="2435"/>
      <c r="J302" s="2436"/>
      <c r="K302" s="2543"/>
      <c r="L302" s="44"/>
      <c r="M302" s="44"/>
      <c r="N302" s="1225" t="str">
        <f>IF(AND(ISNUMBER(H302), ISNUMBER(O302)), H302*O302,"")</f>
        <v/>
      </c>
      <c r="O302" s="2348">
        <f>Parameters!F266</f>
        <v>0</v>
      </c>
      <c r="P302" s="2496"/>
      <c r="Q302" s="2428"/>
      <c r="R302" s="457"/>
      <c r="S302" s="316">
        <f t="shared" si="129"/>
        <v>0</v>
      </c>
    </row>
    <row r="303" spans="1:19" ht="15" hidden="1" customHeight="1" x14ac:dyDescent="0.25">
      <c r="A303" s="389"/>
      <c r="B303" s="2471"/>
      <c r="C303" s="99"/>
      <c r="D303" s="261"/>
      <c r="E303" s="261"/>
      <c r="F303" s="261"/>
      <c r="G303" s="261"/>
      <c r="H303" s="2495"/>
      <c r="I303" s="2435"/>
      <c r="J303" s="2436"/>
      <c r="K303" s="2487"/>
      <c r="L303" s="2488"/>
      <c r="M303" s="2488"/>
      <c r="N303" s="1223"/>
      <c r="O303" s="2459"/>
      <c r="P303" s="2496"/>
      <c r="Q303" s="2428"/>
      <c r="R303" s="457"/>
    </row>
    <row r="304" spans="1:19" ht="15" hidden="1" customHeight="1" x14ac:dyDescent="0.25">
      <c r="A304" s="389"/>
      <c r="B304" s="633"/>
      <c r="C304" s="2541"/>
      <c r="D304" s="551"/>
      <c r="E304" s="551"/>
      <c r="F304" s="551"/>
      <c r="G304" s="551"/>
      <c r="H304" s="2510"/>
      <c r="I304" s="2437"/>
      <c r="J304" s="2438"/>
      <c r="K304" s="1732"/>
      <c r="L304" s="184"/>
      <c r="M304" s="184"/>
      <c r="N304" s="1228"/>
      <c r="O304" s="2511"/>
      <c r="P304" s="2512"/>
      <c r="Q304" s="2513"/>
      <c r="R304" s="457"/>
    </row>
    <row r="305" spans="1:19" s="316" customFormat="1" ht="15" customHeight="1" x14ac:dyDescent="0.25">
      <c r="A305" s="392"/>
      <c r="B305" s="2576" t="s">
        <v>2296</v>
      </c>
      <c r="C305" s="1896"/>
      <c r="D305" s="1897"/>
      <c r="E305" s="1897"/>
      <c r="F305" s="1897"/>
      <c r="G305" s="2498"/>
      <c r="H305" s="2577" t="str">
        <f>IF(AND(ISNUMBER(H291), ISNUMBER(H292), ISNUMBER(H293), ISNUMBER(H294), ISNUMBER(H295), ISNUMBER(H296), ISNUMBER(H297), ISNUMBER(H302)), SUM(H291:H297, H302), "")</f>
        <v/>
      </c>
      <c r="I305" s="2431"/>
      <c r="J305" s="2432"/>
      <c r="K305" s="1896"/>
      <c r="L305" s="1897"/>
      <c r="M305" s="2498"/>
      <c r="N305" s="2577" t="str">
        <f>IF(AND(ISNUMBER(N291), ISNUMBER(N292), ISNUMBER(N293), ISNUMBER(N294), ISNUMBER(N295), ISNUMBER(N296), ISNUMBER(N297), ISNUMBER(N302)), SUM(N291:N297, N302), "")</f>
        <v/>
      </c>
      <c r="O305" s="2534"/>
      <c r="P305" s="2535"/>
      <c r="Q305" s="2536"/>
      <c r="R305" s="833"/>
    </row>
    <row r="306" spans="1:19" ht="60" customHeight="1" x14ac:dyDescent="0.3">
      <c r="A306" s="2004" t="s">
        <v>2268</v>
      </c>
      <c r="B306" s="40"/>
      <c r="C306" s="40"/>
      <c r="D306" s="40"/>
      <c r="E306" s="41"/>
      <c r="F306" s="42"/>
      <c r="G306" s="160"/>
      <c r="H306" s="160"/>
      <c r="I306" s="160"/>
      <c r="J306" s="160"/>
      <c r="K306" s="160"/>
      <c r="L306" s="160"/>
      <c r="M306" s="160"/>
      <c r="N306" s="160"/>
      <c r="O306" s="160"/>
      <c r="P306" s="160"/>
      <c r="Q306" s="160"/>
      <c r="R306" s="457"/>
    </row>
    <row r="307" spans="1:19" ht="30" customHeight="1" x14ac:dyDescent="0.25">
      <c r="A307" s="389"/>
      <c r="B307" s="2520"/>
      <c r="C307" s="2509"/>
      <c r="D307" s="2535"/>
      <c r="E307" s="2535"/>
      <c r="F307" s="2535"/>
      <c r="G307" s="2535"/>
      <c r="H307" s="2544" t="s">
        <v>135</v>
      </c>
      <c r="I307" s="2431"/>
      <c r="J307" s="2432"/>
      <c r="K307" s="2534"/>
      <c r="L307" s="2535"/>
      <c r="M307" s="2535"/>
      <c r="N307" s="2477" t="s">
        <v>165</v>
      </c>
      <c r="O307" s="2545" t="s">
        <v>164</v>
      </c>
      <c r="P307" s="2546"/>
      <c r="Q307" s="2516"/>
      <c r="R307" s="457"/>
    </row>
    <row r="308" spans="1:19" ht="15" customHeight="1" x14ac:dyDescent="0.25">
      <c r="A308" s="389"/>
      <c r="B308" s="2522" t="s">
        <v>2271</v>
      </c>
      <c r="C308" s="773"/>
      <c r="D308" s="773"/>
      <c r="E308" s="773"/>
      <c r="F308" s="773"/>
      <c r="G308" s="773"/>
      <c r="H308" s="2523" t="str">
        <f>IF(AND(ISNUMBER(H288), ISNUMBER(H305)), H288+H305, "")</f>
        <v/>
      </c>
      <c r="I308" s="2518"/>
      <c r="J308" s="2519"/>
      <c r="K308" s="683"/>
      <c r="L308" s="2488"/>
      <c r="M308" s="683"/>
      <c r="N308" s="2523" t="str">
        <f>IF(AND(ISNUMBER(N288), ISNUMBER(N305)), N288+N305, "")</f>
        <v/>
      </c>
      <c r="O308" s="2459"/>
      <c r="P308" s="2496"/>
      <c r="Q308" s="2428"/>
      <c r="R308" s="457"/>
    </row>
    <row r="309" spans="1:19" ht="15" hidden="1" customHeight="1" x14ac:dyDescent="0.25">
      <c r="A309" s="389"/>
      <c r="B309" s="46"/>
      <c r="C309" s="162"/>
      <c r="D309" s="16"/>
      <c r="E309" s="2334"/>
      <c r="F309" s="2334"/>
      <c r="G309" s="2334"/>
      <c r="H309" s="2457"/>
      <c r="I309" s="2435"/>
      <c r="J309" s="2436"/>
      <c r="K309" s="683"/>
      <c r="L309" s="2475"/>
      <c r="M309" s="683"/>
      <c r="N309" s="2476"/>
      <c r="O309" s="2459"/>
      <c r="P309" s="2496"/>
      <c r="Q309" s="2428"/>
      <c r="R309" s="457"/>
    </row>
    <row r="310" spans="1:19" ht="15" hidden="1" customHeight="1" x14ac:dyDescent="0.25">
      <c r="A310" s="389"/>
      <c r="B310" s="57"/>
      <c r="C310" s="156"/>
      <c r="D310" s="21"/>
      <c r="E310" s="2507"/>
      <c r="F310" s="2507"/>
      <c r="G310" s="2507"/>
      <c r="H310" s="2524"/>
      <c r="I310" s="2499"/>
      <c r="J310" s="2500"/>
      <c r="K310" s="684"/>
      <c r="L310" s="184"/>
      <c r="M310" s="684"/>
      <c r="N310" s="563"/>
      <c r="O310" s="2511"/>
      <c r="P310" s="2512"/>
      <c r="Q310" s="2513"/>
      <c r="R310" s="457"/>
    </row>
    <row r="311" spans="1:19" ht="15" customHeight="1" x14ac:dyDescent="0.25">
      <c r="A311" s="389"/>
      <c r="B311" s="2442" t="s">
        <v>157</v>
      </c>
      <c r="C311" s="1896"/>
      <c r="D311" s="1897"/>
      <c r="E311" s="1897"/>
      <c r="F311" s="1897"/>
      <c r="G311" s="1897"/>
      <c r="H311" s="2521" t="str">
        <f>IF(ISNUMBER(H308), H308, "")</f>
        <v/>
      </c>
      <c r="I311" s="2431"/>
      <c r="J311" s="2432"/>
      <c r="K311" s="1896"/>
      <c r="L311" s="1897"/>
      <c r="M311" s="1897"/>
      <c r="N311" s="2521" t="str">
        <f>IF(ISNUMBER(N308), N308, "")</f>
        <v/>
      </c>
      <c r="O311" s="2514"/>
      <c r="P311" s="2515"/>
      <c r="Q311" s="2516"/>
      <c r="R311" s="457"/>
    </row>
    <row r="312" spans="1:19" ht="15" customHeight="1" x14ac:dyDescent="0.25">
      <c r="A312" s="389"/>
      <c r="B312" s="160"/>
      <c r="C312" s="160"/>
      <c r="D312" s="160"/>
      <c r="E312" s="160"/>
      <c r="F312" s="160"/>
      <c r="G312" s="160"/>
      <c r="H312" s="160"/>
      <c r="I312" s="160"/>
      <c r="J312" s="160"/>
      <c r="K312" s="160"/>
      <c r="L312" s="160"/>
      <c r="M312" s="160"/>
      <c r="N312" s="160"/>
      <c r="O312" s="160"/>
      <c r="P312" s="160"/>
      <c r="Q312" s="160"/>
      <c r="R312" s="457"/>
    </row>
    <row r="313" spans="1:19" s="316" customFormat="1" ht="45" customHeight="1" x14ac:dyDescent="0.35">
      <c r="A313" s="1049" t="s">
        <v>2269</v>
      </c>
      <c r="B313" s="2502"/>
      <c r="C313" s="2502"/>
      <c r="D313" s="2502"/>
      <c r="E313" s="2502"/>
      <c r="F313" s="2502"/>
      <c r="G313" s="2502"/>
      <c r="H313" s="2502"/>
      <c r="I313" s="2502"/>
      <c r="J313" s="2502"/>
      <c r="K313" s="2502"/>
      <c r="L313" s="2502"/>
      <c r="M313" s="2502"/>
      <c r="N313" s="2502"/>
      <c r="O313" s="1097"/>
      <c r="P313" s="1097"/>
      <c r="Q313" s="1097"/>
      <c r="R313" s="2503"/>
    </row>
    <row r="314" spans="1:19" s="316" customFormat="1" ht="15" customHeight="1" x14ac:dyDescent="0.25">
      <c r="A314" s="2482"/>
      <c r="B314" s="175"/>
      <c r="C314" s="175"/>
      <c r="D314" s="175"/>
      <c r="E314" s="175"/>
      <c r="F314" s="175"/>
      <c r="G314" s="175"/>
      <c r="H314" s="175"/>
      <c r="I314" s="175"/>
      <c r="J314" s="175"/>
      <c r="K314" s="175"/>
      <c r="L314" s="175"/>
      <c r="M314" s="175"/>
      <c r="N314" s="175"/>
      <c r="O314" s="155"/>
      <c r="P314" s="155"/>
      <c r="Q314" s="155"/>
      <c r="R314" s="833"/>
    </row>
    <row r="315" spans="1:19" s="316" customFormat="1" ht="15" customHeight="1" x14ac:dyDescent="0.25">
      <c r="A315" s="2482"/>
      <c r="B315" s="2688" t="s">
        <v>2270</v>
      </c>
      <c r="C315" s="2688"/>
      <c r="D315" s="2688"/>
      <c r="E315" s="2688"/>
      <c r="F315" s="2688"/>
      <c r="G315" s="2688"/>
      <c r="H315" s="2688"/>
      <c r="I315" s="2688"/>
      <c r="J315" s="2688"/>
      <c r="K315" s="2688"/>
      <c r="L315" s="2688"/>
      <c r="M315" s="2689"/>
      <c r="N315" s="2550" t="str">
        <f>IF(AND(ISNUMBER(N311), ISNUMBER(N46)), IF(N311&gt;0, N46/N311, ""), "")</f>
        <v/>
      </c>
      <c r="O315" s="2514"/>
      <c r="P315" s="2515"/>
      <c r="Q315" s="2516"/>
      <c r="R315" s="833"/>
    </row>
    <row r="316" spans="1:19" ht="15" customHeight="1" x14ac:dyDescent="0.25">
      <c r="A316" s="1051"/>
      <c r="B316" s="1327"/>
      <c r="C316" s="1327"/>
      <c r="D316" s="1327"/>
      <c r="E316" s="1327"/>
      <c r="F316" s="1327"/>
      <c r="G316" s="1327"/>
      <c r="H316" s="1327"/>
      <c r="I316" s="1327"/>
      <c r="J316" s="1327"/>
      <c r="K316" s="1327"/>
      <c r="L316" s="1327"/>
      <c r="M316" s="1327"/>
      <c r="N316" s="1327"/>
      <c r="O316" s="1327"/>
      <c r="P316" s="1327"/>
      <c r="Q316" s="1327"/>
      <c r="R316" s="2506"/>
      <c r="S316" s="428"/>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R3 R4 A5:B5 D5:G5 A4:E4 I4:K4 O4 A6 H6:I6 I5 A7:I7 A8:F8 H8:I8 S1:S12 C17:S18 C13:S14 A9:A18 J37:L37 N37:S37 J38:S38 J45 R45:S45 A47:I47 A46 C46:I46 A23:A27 A21:B22 A33 C9:I9 D21:S22 A30:D30 A19:D20 H10:I10 C25:G25 I25:M25 A31:B32 D31:S32 H20:J20 O20:S20 O25:S25 J16:S16 C15:G15 I15:M15 O15:S15 H30:J30 N30:S30 J46:S50 J5:R12 A35:S36 A51:A52 O52:S52 O51 R51:S51 A50:I50 B48:I49 A59:A67 A69:A73 A76:A81 A86:A90 A95:A99 A106 C106:S106 A114:A118 A123:A127 A132:A136 C123:G123 C132:G132 A150:A154 C150:G150 A160:A164 C160:G160 C161:D164 I160:M160 I150:M150 I132:M132 I123:M123 A169:A173 A178:A182 C178:G178 I178:M178 A196 A187:A191 C214:G214 I214:M214 C223:G223 I223:M223 I241:M241 A250:A254 C250:G250 I250:M250 A259:A263 C259:G263 E260:G265 A268:A272 C268:G268 I268:M272 A277:A283 B289:S289 A291:A302 A316:S1048576 A312:S312 A54:H56 A68:D68 C69:G69 C86:G86 C95:G95 C114:G114 C169:G169 C187:G187 C196:G196 C241:G241 C277:D277 I277:M277 C280:D281 I281:M281 I283:M283 C59:G59 C76:G77 I86:M86 I95:M95 I114:M114 I169:M169 I187:M187 I196:M196 A290:C290 C291:C304 H303:S304 H290:H296 H298:H302 A311 A58:S58 I59:M59 O59:S59 O54:S56 K54:M56 I60:S68 I69:M69 O69:S69 I76:M81 O76:S81 I87:J90 O86:S90 I96:J99 O95:S99 O114:S118 I115:J118 I124:J127 O123:S127 O132:S136 I133:J136 I151:J154 O150:S154 I161:J164 O160:S161 R162:S164 O162:Q166 O174:P175 I170:J173 M170:M173 O169:S173 I179:J182 M179:M182 O178:S182 O183:P184 O187:S191 I188:J191 O192:Q193 I197:J200 O196:S200 O201:Q202 O214:S218 I215:J218 M215:M218 O219:P220 I224:J227 O223:S227 O228:Q229 I242:J245 O241:S245 I251:J254 O250:S254 O255:Q256 I259:M263 O259:S263 O273:P274 O268:S272 A285:D285 I285:M285 O277:S277 O283:S283 O285:S285 C278:S279 C282:G282 I280:J280 O280:S281 N290:O290 K291:O296 K298:O302 K297:M297 O297 R290:S302 R311:S311 C311:N311 A284:S284 C11:I14 C16:I18 C23:S24 C26:S27 C33:S33 A37:I38 A40:I45 A39:D39 J40:S44 H39:J39 O39:S39 H19:S19 C60:H60 C61:D67 E61:H68 C70:S73 C78:D81 C87:D90 C96:D99 C115:D118 C124:D127 C133:D136 C151:D154 C170:D173 G170:G173 C179:D182 G179:G182 C188:D191 C197:F200 C215:D218 G215:G218 C224:D227 C242:F245 C251:D254 C269:D272 G269:G272 I282:S282 C283:D283 K273:L276">
    <cfRule type="cellIs" dxfId="1632" priority="1812" stopIfTrue="1" operator="equal">
      <formula>"Please check"</formula>
    </cfRule>
    <cfRule type="cellIs" dxfId="1631" priority="1843" stopIfTrue="1" operator="equal">
      <formula>"Pass"</formula>
    </cfRule>
    <cfRule type="cellIs" dxfId="1630" priority="1847" stopIfTrue="1" operator="equal">
      <formula>"Fail"</formula>
    </cfRule>
  </conditionalFormatting>
  <conditionalFormatting sqref="A197:A200 A214:A218 A223:A227 A241:A245">
    <cfRule type="cellIs" dxfId="1629" priority="1810" stopIfTrue="1" operator="equal">
      <formula>"Pass"</formula>
    </cfRule>
    <cfRule type="cellIs" dxfId="1628" priority="1811" stopIfTrue="1" operator="equal">
      <formula>"Fail"</formula>
    </cfRule>
  </conditionalFormatting>
  <conditionalFormatting sqref="B6">
    <cfRule type="cellIs" dxfId="1627" priority="1804" stopIfTrue="1" operator="equal">
      <formula>"Please check"</formula>
    </cfRule>
    <cfRule type="cellIs" dxfId="1626" priority="1805" stopIfTrue="1" operator="equal">
      <formula>"Pass"</formula>
    </cfRule>
    <cfRule type="cellIs" dxfId="1625" priority="1806" stopIfTrue="1" operator="equal">
      <formula>"Fail"</formula>
    </cfRule>
  </conditionalFormatting>
  <conditionalFormatting sqref="E6:G6 C6">
    <cfRule type="cellIs" dxfId="1624" priority="1801" stopIfTrue="1" operator="equal">
      <formula>"Please check"</formula>
    </cfRule>
    <cfRule type="cellIs" dxfId="1623" priority="1802" stopIfTrue="1" operator="equal">
      <formula>"Pass"</formula>
    </cfRule>
    <cfRule type="cellIs" dxfId="1622" priority="1803" stopIfTrue="1" operator="equal">
      <formula>"Fail"</formula>
    </cfRule>
  </conditionalFormatting>
  <conditionalFormatting sqref="D6">
    <cfRule type="cellIs" dxfId="1621" priority="1798" stopIfTrue="1" operator="equal">
      <formula>"Please check"</formula>
    </cfRule>
    <cfRule type="cellIs" dxfId="1620" priority="1799" stopIfTrue="1" operator="equal">
      <formula>"Pass"</formula>
    </cfRule>
    <cfRule type="cellIs" dxfId="1619" priority="1800" stopIfTrue="1" operator="equal">
      <formula>"Fail"</formula>
    </cfRule>
  </conditionalFormatting>
  <conditionalFormatting sqref="B9">
    <cfRule type="cellIs" dxfId="1618" priority="1795" stopIfTrue="1" operator="equal">
      <formula>"Please check"</formula>
    </cfRule>
    <cfRule type="cellIs" dxfId="1617" priority="1796" stopIfTrue="1" operator="equal">
      <formula>"Pass"</formula>
    </cfRule>
    <cfRule type="cellIs" dxfId="1616" priority="1797" stopIfTrue="1" operator="equal">
      <formula>"Fail"</formula>
    </cfRule>
  </conditionalFormatting>
  <conditionalFormatting sqref="E10:G10 B10:C10">
    <cfRule type="cellIs" dxfId="1615" priority="1792" stopIfTrue="1" operator="equal">
      <formula>"Please check"</formula>
    </cfRule>
    <cfRule type="cellIs" dxfId="1614" priority="1793" stopIfTrue="1" operator="equal">
      <formula>"Pass"</formula>
    </cfRule>
    <cfRule type="cellIs" dxfId="1613" priority="1794" stopIfTrue="1" operator="equal">
      <formula>"Fail"</formula>
    </cfRule>
  </conditionalFormatting>
  <conditionalFormatting sqref="D10">
    <cfRule type="cellIs" dxfId="1612" priority="1789" stopIfTrue="1" operator="equal">
      <formula>"Please check"</formula>
    </cfRule>
    <cfRule type="cellIs" dxfId="1611" priority="1790" stopIfTrue="1" operator="equal">
      <formula>"Pass"</formula>
    </cfRule>
    <cfRule type="cellIs" dxfId="1610" priority="1791" stopIfTrue="1" operator="equal">
      <formula>"Fail"</formula>
    </cfRule>
  </conditionalFormatting>
  <conditionalFormatting sqref="H5">
    <cfRule type="cellIs" dxfId="1609" priority="1786" stopIfTrue="1" operator="equal">
      <formula>"Please check"</formula>
    </cfRule>
    <cfRule type="cellIs" dxfId="1608" priority="1787" stopIfTrue="1" operator="equal">
      <formula>"Pass"</formula>
    </cfRule>
    <cfRule type="cellIs" dxfId="1607" priority="1788" stopIfTrue="1" operator="equal">
      <formula>"Fail"</formula>
    </cfRule>
  </conditionalFormatting>
  <conditionalFormatting sqref="B15">
    <cfRule type="cellIs" dxfId="1606" priority="1780" stopIfTrue="1" operator="equal">
      <formula>"Please check"</formula>
    </cfRule>
    <cfRule type="cellIs" dxfId="1605" priority="1781" stopIfTrue="1" operator="equal">
      <formula>"Pass"</formula>
    </cfRule>
    <cfRule type="cellIs" dxfId="1604" priority="1782" stopIfTrue="1" operator="equal">
      <formula>"Fail"</formula>
    </cfRule>
  </conditionalFormatting>
  <conditionalFormatting sqref="B11:B14">
    <cfRule type="cellIs" dxfId="1603" priority="1768" stopIfTrue="1" operator="equal">
      <formula>"Please check"</formula>
    </cfRule>
    <cfRule type="cellIs" dxfId="1602" priority="1769" stopIfTrue="1" operator="equal">
      <formula>"Pass"</formula>
    </cfRule>
    <cfRule type="cellIs" dxfId="1601" priority="1770" stopIfTrue="1" operator="equal">
      <formula>"Fail"</formula>
    </cfRule>
  </conditionalFormatting>
  <conditionalFormatting sqref="B16:B18">
    <cfRule type="cellIs" dxfId="1600" priority="1774" stopIfTrue="1" operator="equal">
      <formula>"Please check"</formula>
    </cfRule>
    <cfRule type="cellIs" dxfId="1599" priority="1775" stopIfTrue="1" operator="equal">
      <formula>"Pass"</formula>
    </cfRule>
    <cfRule type="cellIs" dxfId="1598" priority="1776" stopIfTrue="1" operator="equal">
      <formula>"Fail"</formula>
    </cfRule>
  </conditionalFormatting>
  <conditionalFormatting sqref="B25:B27">
    <cfRule type="cellIs" dxfId="1597" priority="1765" stopIfTrue="1" operator="equal">
      <formula>"Please check"</formula>
    </cfRule>
    <cfRule type="cellIs" dxfId="1596" priority="1766" stopIfTrue="1" operator="equal">
      <formula>"Pass"</formula>
    </cfRule>
    <cfRule type="cellIs" dxfId="1595" priority="1767" stopIfTrue="1" operator="equal">
      <formula>"Fail"</formula>
    </cfRule>
  </conditionalFormatting>
  <conditionalFormatting sqref="M37">
    <cfRule type="cellIs" dxfId="1594" priority="1762" stopIfTrue="1" operator="equal">
      <formula>"Please check"</formula>
    </cfRule>
    <cfRule type="cellIs" dxfId="1593" priority="1763" stopIfTrue="1" operator="equal">
      <formula>"Pass"</formula>
    </cfRule>
    <cfRule type="cellIs" dxfId="1592" priority="1764" stopIfTrue="1" operator="equal">
      <formula>"Fail"</formula>
    </cfRule>
  </conditionalFormatting>
  <conditionalFormatting sqref="B46">
    <cfRule type="cellIs" dxfId="1591" priority="1759" stopIfTrue="1" operator="equal">
      <formula>"Please check"</formula>
    </cfRule>
    <cfRule type="cellIs" dxfId="1590" priority="1760" stopIfTrue="1" operator="equal">
      <formula>"Pass"</formula>
    </cfRule>
    <cfRule type="cellIs" dxfId="1589" priority="1761" stopIfTrue="1" operator="equal">
      <formula>"Fail"</formula>
    </cfRule>
  </conditionalFormatting>
  <conditionalFormatting sqref="G8">
    <cfRule type="cellIs" dxfId="1588" priority="1717" stopIfTrue="1" operator="equal">
      <formula>"Please check"</formula>
    </cfRule>
    <cfRule type="cellIs" dxfId="1587" priority="1718" stopIfTrue="1" operator="equal">
      <formula>"Pass"</formula>
    </cfRule>
    <cfRule type="cellIs" dxfId="1586" priority="1719" stopIfTrue="1" operator="equal">
      <formula>"Fail"</formula>
    </cfRule>
  </conditionalFormatting>
  <conditionalFormatting sqref="B23:B24">
    <cfRule type="cellIs" dxfId="1585" priority="1753" stopIfTrue="1" operator="equal">
      <formula>"Please check"</formula>
    </cfRule>
    <cfRule type="cellIs" dxfId="1584" priority="1754" stopIfTrue="1" operator="equal">
      <formula>"Pass"</formula>
    </cfRule>
    <cfRule type="cellIs" dxfId="1583" priority="1755" stopIfTrue="1" operator="equal">
      <formula>"Fail"</formula>
    </cfRule>
  </conditionalFormatting>
  <conditionalFormatting sqref="A28:A29 C28:S28 O29:S29">
    <cfRule type="cellIs" dxfId="1582" priority="1750" stopIfTrue="1" operator="equal">
      <formula>"Please check"</formula>
    </cfRule>
    <cfRule type="cellIs" dxfId="1581" priority="1751" stopIfTrue="1" operator="equal">
      <formula>"Pass"</formula>
    </cfRule>
    <cfRule type="cellIs" dxfId="1580" priority="1752" stopIfTrue="1" operator="equal">
      <formula>"Fail"</formula>
    </cfRule>
  </conditionalFormatting>
  <conditionalFormatting sqref="B28">
    <cfRule type="cellIs" dxfId="1579" priority="1747" stopIfTrue="1" operator="equal">
      <formula>"Please check"</formula>
    </cfRule>
    <cfRule type="cellIs" dxfId="1578" priority="1748" stopIfTrue="1" operator="equal">
      <formula>"Pass"</formula>
    </cfRule>
    <cfRule type="cellIs" dxfId="1577" priority="1749" stopIfTrue="1" operator="equal">
      <formula>"Fail"</formula>
    </cfRule>
  </conditionalFormatting>
  <conditionalFormatting sqref="I29:M29">
    <cfRule type="cellIs" dxfId="1576" priority="1744" stopIfTrue="1" operator="equal">
      <formula>"Please check"</formula>
    </cfRule>
    <cfRule type="cellIs" dxfId="1575" priority="1745" stopIfTrue="1" operator="equal">
      <formula>"Pass"</formula>
    </cfRule>
    <cfRule type="cellIs" dxfId="1574" priority="1746" stopIfTrue="1" operator="equal">
      <formula>"Fail"</formula>
    </cfRule>
  </conditionalFormatting>
  <conditionalFormatting sqref="C29 E29:G29">
    <cfRule type="cellIs" dxfId="1573" priority="1741" stopIfTrue="1" operator="equal">
      <formula>"Please check"</formula>
    </cfRule>
    <cfRule type="cellIs" dxfId="1572" priority="1742" stopIfTrue="1" operator="equal">
      <formula>"Pass"</formula>
    </cfRule>
    <cfRule type="cellIs" dxfId="1571" priority="1743" stopIfTrue="1" operator="equal">
      <formula>"Fail"</formula>
    </cfRule>
  </conditionalFormatting>
  <conditionalFormatting sqref="D29">
    <cfRule type="cellIs" dxfId="1570" priority="1738" stopIfTrue="1" operator="equal">
      <formula>"Please check"</formula>
    </cfRule>
    <cfRule type="cellIs" dxfId="1569" priority="1739" stopIfTrue="1" operator="equal">
      <formula>"Pass"</formula>
    </cfRule>
    <cfRule type="cellIs" dxfId="1568" priority="1740" stopIfTrue="1" operator="equal">
      <formula>"Fail"</formula>
    </cfRule>
  </conditionalFormatting>
  <conditionalFormatting sqref="A34 C34:S34">
    <cfRule type="cellIs" dxfId="1567" priority="1723" stopIfTrue="1" operator="equal">
      <formula>"Please check"</formula>
    </cfRule>
    <cfRule type="cellIs" dxfId="1566" priority="1724" stopIfTrue="1" operator="equal">
      <formula>"Pass"</formula>
    </cfRule>
    <cfRule type="cellIs" dxfId="1565" priority="1725" stopIfTrue="1" operator="equal">
      <formula>"Fail"</formula>
    </cfRule>
  </conditionalFormatting>
  <conditionalFormatting sqref="N25">
    <cfRule type="cellIs" dxfId="1564" priority="1675" stopIfTrue="1" operator="equal">
      <formula>"Please check"</formula>
    </cfRule>
    <cfRule type="cellIs" dxfId="1563" priority="1676" stopIfTrue="1" operator="equal">
      <formula>"Pass"</formula>
    </cfRule>
    <cfRule type="cellIs" dxfId="1562" priority="1677" stopIfTrue="1" operator="equal">
      <formula>"Fail"</formula>
    </cfRule>
  </conditionalFormatting>
  <conditionalFormatting sqref="B29">
    <cfRule type="cellIs" dxfId="1561" priority="1729" stopIfTrue="1" operator="equal">
      <formula>"Please check"</formula>
    </cfRule>
    <cfRule type="cellIs" dxfId="1560" priority="1730" stopIfTrue="1" operator="equal">
      <formula>"Pass"</formula>
    </cfRule>
    <cfRule type="cellIs" dxfId="1559" priority="1731" stopIfTrue="1" operator="equal">
      <formula>"Fail"</formula>
    </cfRule>
  </conditionalFormatting>
  <conditionalFormatting sqref="B33">
    <cfRule type="cellIs" dxfId="1558" priority="1726" stopIfTrue="1" operator="equal">
      <formula>"Please check"</formula>
    </cfRule>
    <cfRule type="cellIs" dxfId="1557" priority="1727" stopIfTrue="1" operator="equal">
      <formula>"Pass"</formula>
    </cfRule>
    <cfRule type="cellIs" dxfId="1556" priority="1728" stopIfTrue="1" operator="equal">
      <formula>"Fail"</formula>
    </cfRule>
  </conditionalFormatting>
  <conditionalFormatting sqref="M30">
    <cfRule type="cellIs" dxfId="1555" priority="1657" stopIfTrue="1" operator="equal">
      <formula>"Please check"</formula>
    </cfRule>
    <cfRule type="cellIs" dxfId="1554" priority="1658" stopIfTrue="1" operator="equal">
      <formula>"Pass"</formula>
    </cfRule>
    <cfRule type="cellIs" dxfId="1553" priority="1659" stopIfTrue="1" operator="equal">
      <formula>"Fail"</formula>
    </cfRule>
  </conditionalFormatting>
  <conditionalFormatting sqref="B34">
    <cfRule type="cellIs" dxfId="1552" priority="1720" stopIfTrue="1" operator="equal">
      <formula>"Please check"</formula>
    </cfRule>
    <cfRule type="cellIs" dxfId="1551" priority="1721" stopIfTrue="1" operator="equal">
      <formula>"Pass"</formula>
    </cfRule>
    <cfRule type="cellIs" dxfId="1550" priority="1722" stopIfTrue="1" operator="equal">
      <formula>"Fail"</formula>
    </cfRule>
  </conditionalFormatting>
  <conditionalFormatting sqref="H25">
    <cfRule type="cellIs" dxfId="1549" priority="1708" stopIfTrue="1" operator="equal">
      <formula>"Please check"</formula>
    </cfRule>
    <cfRule type="cellIs" dxfId="1548" priority="1709" stopIfTrue="1" operator="equal">
      <formula>"Pass"</formula>
    </cfRule>
    <cfRule type="cellIs" dxfId="1547" priority="1710" stopIfTrue="1" operator="equal">
      <formula>"Fail"</formula>
    </cfRule>
  </conditionalFormatting>
  <conditionalFormatting sqref="E19:G19">
    <cfRule type="cellIs" dxfId="1546" priority="1714" stopIfTrue="1" operator="equal">
      <formula>"Please check"</formula>
    </cfRule>
    <cfRule type="cellIs" dxfId="1545" priority="1715" stopIfTrue="1" operator="equal">
      <formula>"Pass"</formula>
    </cfRule>
    <cfRule type="cellIs" dxfId="1544" priority="1716" stopIfTrue="1" operator="equal">
      <formula>"Fail"</formula>
    </cfRule>
  </conditionalFormatting>
  <conditionalFormatting sqref="H29">
    <cfRule type="cellIs" dxfId="1543" priority="1711" stopIfTrue="1" operator="equal">
      <formula>"Please check"</formula>
    </cfRule>
    <cfRule type="cellIs" dxfId="1542" priority="1712" stopIfTrue="1" operator="equal">
      <formula>"Pass"</formula>
    </cfRule>
    <cfRule type="cellIs" dxfId="1541" priority="1713" stopIfTrue="1" operator="equal">
      <formula>"Fail"</formula>
    </cfRule>
  </conditionalFormatting>
  <conditionalFormatting sqref="E20">
    <cfRule type="cellIs" dxfId="1540" priority="1705" stopIfTrue="1" operator="equal">
      <formula>"Please check"</formula>
    </cfRule>
    <cfRule type="cellIs" dxfId="1539" priority="1706" stopIfTrue="1" operator="equal">
      <formula>"Pass"</formula>
    </cfRule>
    <cfRule type="cellIs" dxfId="1538" priority="1707" stopIfTrue="1" operator="equal">
      <formula>"Fail"</formula>
    </cfRule>
  </conditionalFormatting>
  <conditionalFormatting sqref="F20">
    <cfRule type="cellIs" dxfId="1537" priority="1702" stopIfTrue="1" operator="equal">
      <formula>"Please check"</formula>
    </cfRule>
    <cfRule type="cellIs" dxfId="1536" priority="1703" stopIfTrue="1" operator="equal">
      <formula>"Pass"</formula>
    </cfRule>
    <cfRule type="cellIs" dxfId="1535" priority="1704" stopIfTrue="1" operator="equal">
      <formula>"Fail"</formula>
    </cfRule>
  </conditionalFormatting>
  <conditionalFormatting sqref="G20">
    <cfRule type="cellIs" dxfId="1534" priority="1699" stopIfTrue="1" operator="equal">
      <formula>"Please check"</formula>
    </cfRule>
    <cfRule type="cellIs" dxfId="1533" priority="1700" stopIfTrue="1" operator="equal">
      <formula>"Pass"</formula>
    </cfRule>
    <cfRule type="cellIs" dxfId="1532" priority="1701" stopIfTrue="1" operator="equal">
      <formula>"Fail"</formula>
    </cfRule>
  </conditionalFormatting>
  <conditionalFormatting sqref="E30">
    <cfRule type="cellIs" dxfId="1531" priority="1696" stopIfTrue="1" operator="equal">
      <formula>"Please check"</formula>
    </cfRule>
    <cfRule type="cellIs" dxfId="1530" priority="1697" stopIfTrue="1" operator="equal">
      <formula>"Pass"</formula>
    </cfRule>
    <cfRule type="cellIs" dxfId="1529" priority="1698" stopIfTrue="1" operator="equal">
      <formula>"Fail"</formula>
    </cfRule>
  </conditionalFormatting>
  <conditionalFormatting sqref="F30">
    <cfRule type="cellIs" dxfId="1528" priority="1693" stopIfTrue="1" operator="equal">
      <formula>"Please check"</formula>
    </cfRule>
    <cfRule type="cellIs" dxfId="1527" priority="1694" stopIfTrue="1" operator="equal">
      <formula>"Pass"</formula>
    </cfRule>
    <cfRule type="cellIs" dxfId="1526" priority="1695" stopIfTrue="1" operator="equal">
      <formula>"Fail"</formula>
    </cfRule>
  </conditionalFormatting>
  <conditionalFormatting sqref="G30">
    <cfRule type="cellIs" dxfId="1525" priority="1690" stopIfTrue="1" operator="equal">
      <formula>"Please check"</formula>
    </cfRule>
    <cfRule type="cellIs" dxfId="1524" priority="1691" stopIfTrue="1" operator="equal">
      <formula>"Pass"</formula>
    </cfRule>
    <cfRule type="cellIs" dxfId="1523" priority="1692" stopIfTrue="1" operator="equal">
      <formula>"Fail"</formula>
    </cfRule>
  </conditionalFormatting>
  <conditionalFormatting sqref="N20">
    <cfRule type="cellIs" dxfId="1522" priority="1687" stopIfTrue="1" operator="equal">
      <formula>"Please check"</formula>
    </cfRule>
    <cfRule type="cellIs" dxfId="1521" priority="1688" stopIfTrue="1" operator="equal">
      <formula>"Pass"</formula>
    </cfRule>
    <cfRule type="cellIs" dxfId="1520" priority="1689" stopIfTrue="1" operator="equal">
      <formula>"Fail"</formula>
    </cfRule>
  </conditionalFormatting>
  <conditionalFormatting sqref="K20">
    <cfRule type="cellIs" dxfId="1519" priority="1684" stopIfTrue="1" operator="equal">
      <formula>"Please check"</formula>
    </cfRule>
    <cfRule type="cellIs" dxfId="1518" priority="1685" stopIfTrue="1" operator="equal">
      <formula>"Pass"</formula>
    </cfRule>
    <cfRule type="cellIs" dxfId="1517" priority="1686" stopIfTrue="1" operator="equal">
      <formula>"Fail"</formula>
    </cfRule>
  </conditionalFormatting>
  <conditionalFormatting sqref="L20">
    <cfRule type="cellIs" dxfId="1516" priority="1681" stopIfTrue="1" operator="equal">
      <formula>"Please check"</formula>
    </cfRule>
    <cfRule type="cellIs" dxfId="1515" priority="1682" stopIfTrue="1" operator="equal">
      <formula>"Pass"</formula>
    </cfRule>
    <cfRule type="cellIs" dxfId="1514" priority="1683" stopIfTrue="1" operator="equal">
      <formula>"Fail"</formula>
    </cfRule>
  </conditionalFormatting>
  <conditionalFormatting sqref="M20">
    <cfRule type="cellIs" dxfId="1513" priority="1678" stopIfTrue="1" operator="equal">
      <formula>"Please check"</formula>
    </cfRule>
    <cfRule type="cellIs" dxfId="1512" priority="1679" stopIfTrue="1" operator="equal">
      <formula>"Pass"</formula>
    </cfRule>
    <cfRule type="cellIs" dxfId="1511" priority="1680" stopIfTrue="1" operator="equal">
      <formula>"Fail"</formula>
    </cfRule>
  </conditionalFormatting>
  <conditionalFormatting sqref="H15">
    <cfRule type="cellIs" dxfId="1510" priority="1672" stopIfTrue="1" operator="equal">
      <formula>"Please check"</formula>
    </cfRule>
    <cfRule type="cellIs" dxfId="1509" priority="1673" stopIfTrue="1" operator="equal">
      <formula>"Pass"</formula>
    </cfRule>
    <cfRule type="cellIs" dxfId="1508" priority="1674" stopIfTrue="1" operator="equal">
      <formula>"Fail"</formula>
    </cfRule>
  </conditionalFormatting>
  <conditionalFormatting sqref="N15">
    <cfRule type="cellIs" dxfId="1507" priority="1669" stopIfTrue="1" operator="equal">
      <formula>"Please check"</formula>
    </cfRule>
    <cfRule type="cellIs" dxfId="1506" priority="1670" stopIfTrue="1" operator="equal">
      <formula>"Pass"</formula>
    </cfRule>
    <cfRule type="cellIs" dxfId="1505" priority="1671" stopIfTrue="1" operator="equal">
      <formula>"Fail"</formula>
    </cfRule>
  </conditionalFormatting>
  <conditionalFormatting sqref="N29">
    <cfRule type="cellIs" dxfId="1504" priority="1666" stopIfTrue="1" operator="equal">
      <formula>"Please check"</formula>
    </cfRule>
    <cfRule type="cellIs" dxfId="1503" priority="1667" stopIfTrue="1" operator="equal">
      <formula>"Pass"</formula>
    </cfRule>
    <cfRule type="cellIs" dxfId="1502" priority="1668" stopIfTrue="1" operator="equal">
      <formula>"Fail"</formula>
    </cfRule>
  </conditionalFormatting>
  <conditionalFormatting sqref="K30">
    <cfRule type="cellIs" dxfId="1501" priority="1663" stopIfTrue="1" operator="equal">
      <formula>"Please check"</formula>
    </cfRule>
    <cfRule type="cellIs" dxfId="1500" priority="1664" stopIfTrue="1" operator="equal">
      <formula>"Pass"</formula>
    </cfRule>
    <cfRule type="cellIs" dxfId="1499" priority="1665" stopIfTrue="1" operator="equal">
      <formula>"Fail"</formula>
    </cfRule>
  </conditionalFormatting>
  <conditionalFormatting sqref="L30">
    <cfRule type="cellIs" dxfId="1498" priority="1660" stopIfTrue="1" operator="equal">
      <formula>"Please check"</formula>
    </cfRule>
    <cfRule type="cellIs" dxfId="1497" priority="1661" stopIfTrue="1" operator="equal">
      <formula>"Pass"</formula>
    </cfRule>
    <cfRule type="cellIs" dxfId="1496" priority="1662" stopIfTrue="1" operator="equal">
      <formula>"Fail"</formula>
    </cfRule>
  </conditionalFormatting>
  <conditionalFormatting sqref="K52:N52 B51:B52 E52:G52">
    <cfRule type="cellIs" dxfId="1495" priority="1654" stopIfTrue="1" operator="equal">
      <formula>"Please check"</formula>
    </cfRule>
    <cfRule type="cellIs" dxfId="1494" priority="1655" stopIfTrue="1" operator="equal">
      <formula>"Pass"</formula>
    </cfRule>
    <cfRule type="cellIs" dxfId="1493" priority="1656" stopIfTrue="1" operator="equal">
      <formula>"Fail"</formula>
    </cfRule>
  </conditionalFormatting>
  <conditionalFormatting sqref="D51:D52">
    <cfRule type="cellIs" dxfId="1492" priority="1624" stopIfTrue="1" operator="equal">
      <formula>"Please check"</formula>
    </cfRule>
    <cfRule type="cellIs" dxfId="1491" priority="1625" stopIfTrue="1" operator="equal">
      <formula>"Pass"</formula>
    </cfRule>
    <cfRule type="cellIs" dxfId="1490" priority="1626" stopIfTrue="1" operator="equal">
      <formula>"Fail"</formula>
    </cfRule>
  </conditionalFormatting>
  <conditionalFormatting sqref="H52">
    <cfRule type="cellIs" dxfId="1489" priority="1639" stopIfTrue="1" operator="equal">
      <formula>"Please check"</formula>
    </cfRule>
    <cfRule type="cellIs" dxfId="1488" priority="1640" stopIfTrue="1" operator="equal">
      <formula>"Pass"</formula>
    </cfRule>
    <cfRule type="cellIs" dxfId="1487" priority="1641" stopIfTrue="1" operator="equal">
      <formula>"Fail"</formula>
    </cfRule>
  </conditionalFormatting>
  <conditionalFormatting sqref="E51">
    <cfRule type="cellIs" dxfId="1486" priority="1630" stopIfTrue="1" operator="equal">
      <formula>"Please check"</formula>
    </cfRule>
    <cfRule type="cellIs" dxfId="1485" priority="1631" stopIfTrue="1" operator="equal">
      <formula>"Pass"</formula>
    </cfRule>
    <cfRule type="cellIs" dxfId="1484" priority="1632" stopIfTrue="1" operator="equal">
      <formula>"Fail"</formula>
    </cfRule>
  </conditionalFormatting>
  <conditionalFormatting sqref="C51">
    <cfRule type="cellIs" dxfId="1483" priority="1627" stopIfTrue="1" operator="equal">
      <formula>"Please check"</formula>
    </cfRule>
    <cfRule type="cellIs" dxfId="1482" priority="1628" stopIfTrue="1" operator="equal">
      <formula>"Pass"</formula>
    </cfRule>
    <cfRule type="cellIs" dxfId="1481" priority="1629" stopIfTrue="1" operator="equal">
      <formula>"Fail"</formula>
    </cfRule>
  </conditionalFormatting>
  <conditionalFormatting sqref="K51">
    <cfRule type="cellIs" dxfId="1480" priority="1636" stopIfTrue="1" operator="equal">
      <formula>"Please check"</formula>
    </cfRule>
    <cfRule type="cellIs" dxfId="1479" priority="1637" stopIfTrue="1" operator="equal">
      <formula>"Pass"</formula>
    </cfRule>
    <cfRule type="cellIs" dxfId="1478" priority="1638" stopIfTrue="1" operator="equal">
      <formula>"Fail"</formula>
    </cfRule>
  </conditionalFormatting>
  <conditionalFormatting sqref="I51:J52">
    <cfRule type="cellIs" dxfId="1477" priority="1633" stopIfTrue="1" operator="equal">
      <formula>"Please check"</formula>
    </cfRule>
    <cfRule type="cellIs" dxfId="1476" priority="1634" stopIfTrue="1" operator="equal">
      <formula>"Pass"</formula>
    </cfRule>
    <cfRule type="cellIs" dxfId="1475" priority="1635" stopIfTrue="1" operator="equal">
      <formula>"Fail"</formula>
    </cfRule>
  </conditionalFormatting>
  <conditionalFormatting sqref="A48:A49">
    <cfRule type="cellIs" dxfId="1474" priority="1618" stopIfTrue="1" operator="equal">
      <formula>"Please check"</formula>
    </cfRule>
    <cfRule type="cellIs" dxfId="1473" priority="1619" stopIfTrue="1" operator="equal">
      <formula>"Pass"</formula>
    </cfRule>
    <cfRule type="cellIs" dxfId="1472" priority="1620" stopIfTrue="1" operator="equal">
      <formula>"Fail"</formula>
    </cfRule>
  </conditionalFormatting>
  <conditionalFormatting sqref="I53:M53 A53:G53 O53:XFD53">
    <cfRule type="cellIs" dxfId="1471" priority="1615" stopIfTrue="1" operator="equal">
      <formula>"Please check"</formula>
    </cfRule>
    <cfRule type="cellIs" dxfId="1470" priority="1616" stopIfTrue="1" operator="equal">
      <formula>"Pass"</formula>
    </cfRule>
    <cfRule type="cellIs" dxfId="1469" priority="1617" stopIfTrue="1" operator="equal">
      <formula>"Fail"</formula>
    </cfRule>
  </conditionalFormatting>
  <conditionalFormatting sqref="I54:J56">
    <cfRule type="cellIs" dxfId="1468" priority="1621" stopIfTrue="1" operator="equal">
      <formula>"Please check"</formula>
    </cfRule>
    <cfRule type="cellIs" dxfId="1467" priority="1622" stopIfTrue="1" operator="equal">
      <formula>"Pass"</formula>
    </cfRule>
    <cfRule type="cellIs" dxfId="1466" priority="1623" stopIfTrue="1" operator="equal">
      <formula>"Fail"</formula>
    </cfRule>
  </conditionalFormatting>
  <conditionalFormatting sqref="E57:G57">
    <cfRule type="cellIs" dxfId="1465" priority="1603" stopIfTrue="1" operator="equal">
      <formula>"Please check"</formula>
    </cfRule>
    <cfRule type="cellIs" dxfId="1464" priority="1604" stopIfTrue="1" operator="equal">
      <formula>"Pass"</formula>
    </cfRule>
    <cfRule type="cellIs" dxfId="1463" priority="1605" stopIfTrue="1" operator="equal">
      <formula>"Fail"</formula>
    </cfRule>
  </conditionalFormatting>
  <conditionalFormatting sqref="A104:A105 C104:S105">
    <cfRule type="cellIs" dxfId="1462" priority="1474" stopIfTrue="1" operator="equal">
      <formula>"Please check"</formula>
    </cfRule>
    <cfRule type="cellIs" dxfId="1461" priority="1475" stopIfTrue="1" operator="equal">
      <formula>"Pass"</formula>
    </cfRule>
    <cfRule type="cellIs" dxfId="1460" priority="1476" stopIfTrue="1" operator="equal">
      <formula>"Fail"</formula>
    </cfRule>
  </conditionalFormatting>
  <conditionalFormatting sqref="A57:B57 R57:XFD57 E57:G57">
    <cfRule type="cellIs" dxfId="1459" priority="1606" stopIfTrue="1" operator="equal">
      <formula>"Please check"</formula>
    </cfRule>
    <cfRule type="cellIs" dxfId="1458" priority="1607" stopIfTrue="1" operator="equal">
      <formula>"Pass"</formula>
    </cfRule>
    <cfRule type="cellIs" dxfId="1457" priority="1608" stopIfTrue="1" operator="equal">
      <formula>"Fail"</formula>
    </cfRule>
  </conditionalFormatting>
  <conditionalFormatting sqref="C57:D57">
    <cfRule type="cellIs" dxfId="1456" priority="1582" stopIfTrue="1" operator="equal">
      <formula>"Please check"</formula>
    </cfRule>
    <cfRule type="cellIs" dxfId="1455" priority="1583" stopIfTrue="1" operator="equal">
      <formula>"Pass"</formula>
    </cfRule>
    <cfRule type="cellIs" dxfId="1454" priority="1584" stopIfTrue="1" operator="equal">
      <formula>"Fail"</formula>
    </cfRule>
  </conditionalFormatting>
  <conditionalFormatting sqref="I57:J57">
    <cfRule type="cellIs" dxfId="1453" priority="1585" stopIfTrue="1" operator="equal">
      <formula>"Please check"</formula>
    </cfRule>
    <cfRule type="cellIs" dxfId="1452" priority="1586" stopIfTrue="1" operator="equal">
      <formula>"Pass"</formula>
    </cfRule>
    <cfRule type="cellIs" dxfId="1451" priority="1587" stopIfTrue="1" operator="equal">
      <formula>"Fail"</formula>
    </cfRule>
  </conditionalFormatting>
  <conditionalFormatting sqref="O57:Q57">
    <cfRule type="cellIs" dxfId="1450" priority="1579" stopIfTrue="1" operator="equal">
      <formula>"Please check"</formula>
    </cfRule>
    <cfRule type="cellIs" dxfId="1449" priority="1580" stopIfTrue="1" operator="equal">
      <formula>"Pass"</formula>
    </cfRule>
    <cfRule type="cellIs" dxfId="1448" priority="1581" stopIfTrue="1" operator="equal">
      <formula>"Fail"</formula>
    </cfRule>
  </conditionalFormatting>
  <conditionalFormatting sqref="B59:B65">
    <cfRule type="cellIs" dxfId="1447" priority="1576" stopIfTrue="1" operator="equal">
      <formula>"Please check"</formula>
    </cfRule>
    <cfRule type="cellIs" dxfId="1446" priority="1577" stopIfTrue="1" operator="equal">
      <formula>"Pass"</formula>
    </cfRule>
    <cfRule type="cellIs" dxfId="1445" priority="1578" stopIfTrue="1" operator="equal">
      <formula>"Fail"</formula>
    </cfRule>
  </conditionalFormatting>
  <conditionalFormatting sqref="B67">
    <cfRule type="cellIs" dxfId="1444" priority="1570" stopIfTrue="1" operator="equal">
      <formula>"Please check"</formula>
    </cfRule>
    <cfRule type="cellIs" dxfId="1443" priority="1571" stopIfTrue="1" operator="equal">
      <formula>"Pass"</formula>
    </cfRule>
    <cfRule type="cellIs" dxfId="1442" priority="1572" stopIfTrue="1" operator="equal">
      <formula>"Fail"</formula>
    </cfRule>
  </conditionalFormatting>
  <conditionalFormatting sqref="B66">
    <cfRule type="cellIs" dxfId="1441" priority="1573" stopIfTrue="1" operator="equal">
      <formula>"Please check"</formula>
    </cfRule>
    <cfRule type="cellIs" dxfId="1440" priority="1574" stopIfTrue="1" operator="equal">
      <formula>"Pass"</formula>
    </cfRule>
    <cfRule type="cellIs" dxfId="1439" priority="1575" stopIfTrue="1" operator="equal">
      <formula>"Fail"</formula>
    </cfRule>
  </conditionalFormatting>
  <conditionalFormatting sqref="A74:A75 C74:S75">
    <cfRule type="cellIs" dxfId="1438" priority="1567" stopIfTrue="1" operator="equal">
      <formula>"Please check"</formula>
    </cfRule>
    <cfRule type="cellIs" dxfId="1437" priority="1568" stopIfTrue="1" operator="equal">
      <formula>"Pass"</formula>
    </cfRule>
    <cfRule type="cellIs" dxfId="1436" priority="1569" stopIfTrue="1" operator="equal">
      <formula>"Fail"</formula>
    </cfRule>
  </conditionalFormatting>
  <conditionalFormatting sqref="B75">
    <cfRule type="cellIs" dxfId="1435" priority="1552" stopIfTrue="1" operator="equal">
      <formula>"Please check"</formula>
    </cfRule>
    <cfRule type="cellIs" dxfId="1434" priority="1553" stopIfTrue="1" operator="equal">
      <formula>"Pass"</formula>
    </cfRule>
    <cfRule type="cellIs" dxfId="1433" priority="1554" stopIfTrue="1" operator="equal">
      <formula>"Fail"</formula>
    </cfRule>
  </conditionalFormatting>
  <conditionalFormatting sqref="B74">
    <cfRule type="cellIs" dxfId="1432" priority="1555" stopIfTrue="1" operator="equal">
      <formula>"Please check"</formula>
    </cfRule>
    <cfRule type="cellIs" dxfId="1431" priority="1556" stopIfTrue="1" operator="equal">
      <formula>"Pass"</formula>
    </cfRule>
    <cfRule type="cellIs" dxfId="1430" priority="1557" stopIfTrue="1" operator="equal">
      <formula>"Fail"</formula>
    </cfRule>
  </conditionalFormatting>
  <conditionalFormatting sqref="B69:B73">
    <cfRule type="cellIs" dxfId="1429" priority="1558" stopIfTrue="1" operator="equal">
      <formula>"Please check"</formula>
    </cfRule>
    <cfRule type="cellIs" dxfId="1428" priority="1559" stopIfTrue="1" operator="equal">
      <formula>"Pass"</formula>
    </cfRule>
    <cfRule type="cellIs" dxfId="1427" priority="1560" stopIfTrue="1" operator="equal">
      <formula>"Fail"</formula>
    </cfRule>
  </conditionalFormatting>
  <conditionalFormatting sqref="A82:A83 C82:D83 I82:J83 R82:S83">
    <cfRule type="cellIs" dxfId="1426" priority="1549" stopIfTrue="1" operator="equal">
      <formula>"Please check"</formula>
    </cfRule>
    <cfRule type="cellIs" dxfId="1425" priority="1550" stopIfTrue="1" operator="equal">
      <formula>"Pass"</formula>
    </cfRule>
    <cfRule type="cellIs" dxfId="1424" priority="1551" stopIfTrue="1" operator="equal">
      <formula>"Fail"</formula>
    </cfRule>
  </conditionalFormatting>
  <conditionalFormatting sqref="A84:A85 C84:S85">
    <cfRule type="cellIs" dxfId="1423" priority="1543" stopIfTrue="1" operator="equal">
      <formula>"Please check"</formula>
    </cfRule>
    <cfRule type="cellIs" dxfId="1422" priority="1544" stopIfTrue="1" operator="equal">
      <formula>"Pass"</formula>
    </cfRule>
    <cfRule type="cellIs" dxfId="1421" priority="1545" stopIfTrue="1" operator="equal">
      <formula>"Fail"</formula>
    </cfRule>
  </conditionalFormatting>
  <conditionalFormatting sqref="B85">
    <cfRule type="cellIs" dxfId="1420" priority="1537" stopIfTrue="1" operator="equal">
      <formula>"Please check"</formula>
    </cfRule>
    <cfRule type="cellIs" dxfId="1419" priority="1538" stopIfTrue="1" operator="equal">
      <formula>"Pass"</formula>
    </cfRule>
    <cfRule type="cellIs" dxfId="1418" priority="1539" stopIfTrue="1" operator="equal">
      <formula>"Fail"</formula>
    </cfRule>
  </conditionalFormatting>
  <conditionalFormatting sqref="B84">
    <cfRule type="cellIs" dxfId="1417" priority="1540" stopIfTrue="1" operator="equal">
      <formula>"Please check"</formula>
    </cfRule>
    <cfRule type="cellIs" dxfId="1416" priority="1541" stopIfTrue="1" operator="equal">
      <formula>"Pass"</formula>
    </cfRule>
    <cfRule type="cellIs" dxfId="1415" priority="1542" stopIfTrue="1" operator="equal">
      <formula>"Fail"</formula>
    </cfRule>
  </conditionalFormatting>
  <conditionalFormatting sqref="B76:B83">
    <cfRule type="cellIs" dxfId="1414" priority="1534" stopIfTrue="1" operator="equal">
      <formula>"Please check"</formula>
    </cfRule>
    <cfRule type="cellIs" dxfId="1413" priority="1535" stopIfTrue="1" operator="equal">
      <formula>"Pass"</formula>
    </cfRule>
    <cfRule type="cellIs" dxfId="1412" priority="1536" stopIfTrue="1" operator="equal">
      <formula>"Fail"</formula>
    </cfRule>
  </conditionalFormatting>
  <conditionalFormatting sqref="A91:A92 C91:D92 I91:J92 R91:S92">
    <cfRule type="cellIs" dxfId="1411" priority="1531" stopIfTrue="1" operator="equal">
      <formula>"Please check"</formula>
    </cfRule>
    <cfRule type="cellIs" dxfId="1410" priority="1532" stopIfTrue="1" operator="equal">
      <formula>"Pass"</formula>
    </cfRule>
    <cfRule type="cellIs" dxfId="1409" priority="1533" stopIfTrue="1" operator="equal">
      <formula>"Fail"</formula>
    </cfRule>
  </conditionalFormatting>
  <conditionalFormatting sqref="A93:A94 C93:S94">
    <cfRule type="cellIs" dxfId="1408" priority="1528" stopIfTrue="1" operator="equal">
      <formula>"Please check"</formula>
    </cfRule>
    <cfRule type="cellIs" dxfId="1407" priority="1529" stopIfTrue="1" operator="equal">
      <formula>"Pass"</formula>
    </cfRule>
    <cfRule type="cellIs" dxfId="1406" priority="1530" stopIfTrue="1" operator="equal">
      <formula>"Fail"</formula>
    </cfRule>
  </conditionalFormatting>
  <conditionalFormatting sqref="B94">
    <cfRule type="cellIs" dxfId="1405" priority="1522" stopIfTrue="1" operator="equal">
      <formula>"Please check"</formula>
    </cfRule>
    <cfRule type="cellIs" dxfId="1404" priority="1523" stopIfTrue="1" operator="equal">
      <formula>"Pass"</formula>
    </cfRule>
    <cfRule type="cellIs" dxfId="1403" priority="1524" stopIfTrue="1" operator="equal">
      <formula>"Fail"</formula>
    </cfRule>
  </conditionalFormatting>
  <conditionalFormatting sqref="B93">
    <cfRule type="cellIs" dxfId="1402" priority="1525" stopIfTrue="1" operator="equal">
      <formula>"Please check"</formula>
    </cfRule>
    <cfRule type="cellIs" dxfId="1401" priority="1526" stopIfTrue="1" operator="equal">
      <formula>"Pass"</formula>
    </cfRule>
    <cfRule type="cellIs" dxfId="1400" priority="1527" stopIfTrue="1" operator="equal">
      <formula>"Fail"</formula>
    </cfRule>
  </conditionalFormatting>
  <conditionalFormatting sqref="B91:B92">
    <cfRule type="cellIs" dxfId="1399" priority="1519" stopIfTrue="1" operator="equal">
      <formula>"Please check"</formula>
    </cfRule>
    <cfRule type="cellIs" dxfId="1398" priority="1520" stopIfTrue="1" operator="equal">
      <formula>"Pass"</formula>
    </cfRule>
    <cfRule type="cellIs" dxfId="1397" priority="1521" stopIfTrue="1" operator="equal">
      <formula>"Fail"</formula>
    </cfRule>
  </conditionalFormatting>
  <conditionalFormatting sqref="B86:B90">
    <cfRule type="cellIs" dxfId="1396" priority="1516" stopIfTrue="1" operator="equal">
      <formula>"Please check"</formula>
    </cfRule>
    <cfRule type="cellIs" dxfId="1395" priority="1517" stopIfTrue="1" operator="equal">
      <formula>"Pass"</formula>
    </cfRule>
    <cfRule type="cellIs" dxfId="1394" priority="1518" stopIfTrue="1" operator="equal">
      <formula>"Fail"</formula>
    </cfRule>
  </conditionalFormatting>
  <conditionalFormatting sqref="A100:A101 C100:D101 I100:J101 R100:S101">
    <cfRule type="cellIs" dxfId="1393" priority="1513" stopIfTrue="1" operator="equal">
      <formula>"Please check"</formula>
    </cfRule>
    <cfRule type="cellIs" dxfId="1392" priority="1514" stopIfTrue="1" operator="equal">
      <formula>"Pass"</formula>
    </cfRule>
    <cfRule type="cellIs" dxfId="1391" priority="1515" stopIfTrue="1" operator="equal">
      <formula>"Fail"</formula>
    </cfRule>
  </conditionalFormatting>
  <conditionalFormatting sqref="A109:A110 C109:S110">
    <cfRule type="cellIs" dxfId="1390" priority="1510" stopIfTrue="1" operator="equal">
      <formula>"Please check"</formula>
    </cfRule>
    <cfRule type="cellIs" dxfId="1389" priority="1511" stopIfTrue="1" operator="equal">
      <formula>"Pass"</formula>
    </cfRule>
    <cfRule type="cellIs" dxfId="1388" priority="1512" stopIfTrue="1" operator="equal">
      <formula>"Fail"</formula>
    </cfRule>
  </conditionalFormatting>
  <conditionalFormatting sqref="B110">
    <cfRule type="cellIs" dxfId="1387" priority="1504" stopIfTrue="1" operator="equal">
      <formula>"Please check"</formula>
    </cfRule>
    <cfRule type="cellIs" dxfId="1386" priority="1505" stopIfTrue="1" operator="equal">
      <formula>"Pass"</formula>
    </cfRule>
    <cfRule type="cellIs" dxfId="1385" priority="1506" stopIfTrue="1" operator="equal">
      <formula>"Fail"</formula>
    </cfRule>
  </conditionalFormatting>
  <conditionalFormatting sqref="B109">
    <cfRule type="cellIs" dxfId="1384" priority="1507" stopIfTrue="1" operator="equal">
      <formula>"Please check"</formula>
    </cfRule>
    <cfRule type="cellIs" dxfId="1383" priority="1508" stopIfTrue="1" operator="equal">
      <formula>"Pass"</formula>
    </cfRule>
    <cfRule type="cellIs" dxfId="1382" priority="1509" stopIfTrue="1" operator="equal">
      <formula>"Fail"</formula>
    </cfRule>
  </conditionalFormatting>
  <conditionalFormatting sqref="B100:B101">
    <cfRule type="cellIs" dxfId="1381" priority="1495" stopIfTrue="1" operator="equal">
      <formula>"Please check"</formula>
    </cfRule>
    <cfRule type="cellIs" dxfId="1380" priority="1496" stopIfTrue="1" operator="equal">
      <formula>"Pass"</formula>
    </cfRule>
    <cfRule type="cellIs" dxfId="1379" priority="1497" stopIfTrue="1" operator="equal">
      <formula>"Fail"</formula>
    </cfRule>
  </conditionalFormatting>
  <conditionalFormatting sqref="B95:B99">
    <cfRule type="cellIs" dxfId="1378" priority="1498" stopIfTrue="1" operator="equal">
      <formula>"Please check"</formula>
    </cfRule>
    <cfRule type="cellIs" dxfId="1377" priority="1499" stopIfTrue="1" operator="equal">
      <formula>"Pass"</formula>
    </cfRule>
    <cfRule type="cellIs" dxfId="1376" priority="1500" stopIfTrue="1" operator="equal">
      <formula>"Fail"</formula>
    </cfRule>
  </conditionalFormatting>
  <conditionalFormatting sqref="B112">
    <cfRule type="cellIs" dxfId="1375" priority="1486" stopIfTrue="1" operator="equal">
      <formula>"Please check"</formula>
    </cfRule>
    <cfRule type="cellIs" dxfId="1374" priority="1487" stopIfTrue="1" operator="equal">
      <formula>"Pass"</formula>
    </cfRule>
    <cfRule type="cellIs" dxfId="1373" priority="1488" stopIfTrue="1" operator="equal">
      <formula>"Fail"</formula>
    </cfRule>
  </conditionalFormatting>
  <conditionalFormatting sqref="A111:A112 C111:S112">
    <cfRule type="cellIs" dxfId="1372" priority="1492" stopIfTrue="1" operator="equal">
      <formula>"Please check"</formula>
    </cfRule>
    <cfRule type="cellIs" dxfId="1371" priority="1493" stopIfTrue="1" operator="equal">
      <formula>"Pass"</formula>
    </cfRule>
    <cfRule type="cellIs" dxfId="1370" priority="1494" stopIfTrue="1" operator="equal">
      <formula>"Fail"</formula>
    </cfRule>
  </conditionalFormatting>
  <conditionalFormatting sqref="B105">
    <cfRule type="cellIs" dxfId="1369" priority="1468" stopIfTrue="1" operator="equal">
      <formula>"Please check"</formula>
    </cfRule>
    <cfRule type="cellIs" dxfId="1368" priority="1469" stopIfTrue="1" operator="equal">
      <formula>"Pass"</formula>
    </cfRule>
    <cfRule type="cellIs" dxfId="1367" priority="1470" stopIfTrue="1" operator="equal">
      <formula>"Fail"</formula>
    </cfRule>
  </conditionalFormatting>
  <conditionalFormatting sqref="B111">
    <cfRule type="cellIs" dxfId="1366" priority="1489" stopIfTrue="1" operator="equal">
      <formula>"Please check"</formula>
    </cfRule>
    <cfRule type="cellIs" dxfId="1365" priority="1490" stopIfTrue="1" operator="equal">
      <formula>"Pass"</formula>
    </cfRule>
    <cfRule type="cellIs" dxfId="1364" priority="1491" stopIfTrue="1" operator="equal">
      <formula>"Fail"</formula>
    </cfRule>
  </conditionalFormatting>
  <conditionalFormatting sqref="A102:A103 C102:S103">
    <cfRule type="cellIs" dxfId="1363" priority="1483" stopIfTrue="1" operator="equal">
      <formula>"Please check"</formula>
    </cfRule>
    <cfRule type="cellIs" dxfId="1362" priority="1484" stopIfTrue="1" operator="equal">
      <formula>"Pass"</formula>
    </cfRule>
    <cfRule type="cellIs" dxfId="1361" priority="1485" stopIfTrue="1" operator="equal">
      <formula>"Fail"</formula>
    </cfRule>
  </conditionalFormatting>
  <conditionalFormatting sqref="B103">
    <cfRule type="cellIs" dxfId="1360" priority="1477" stopIfTrue="1" operator="equal">
      <formula>"Please check"</formula>
    </cfRule>
    <cfRule type="cellIs" dxfId="1359" priority="1478" stopIfTrue="1" operator="equal">
      <formula>"Pass"</formula>
    </cfRule>
    <cfRule type="cellIs" dxfId="1358" priority="1479" stopIfTrue="1" operator="equal">
      <formula>"Fail"</formula>
    </cfRule>
  </conditionalFormatting>
  <conditionalFormatting sqref="B102">
    <cfRule type="cellIs" dxfId="1357" priority="1480" stopIfTrue="1" operator="equal">
      <formula>"Please check"</formula>
    </cfRule>
    <cfRule type="cellIs" dxfId="1356" priority="1481" stopIfTrue="1" operator="equal">
      <formula>"Pass"</formula>
    </cfRule>
    <cfRule type="cellIs" dxfId="1355" priority="1482" stopIfTrue="1" operator="equal">
      <formula>"Fail"</formula>
    </cfRule>
  </conditionalFormatting>
  <conditionalFormatting sqref="B108">
    <cfRule type="cellIs" dxfId="1354" priority="1450" stopIfTrue="1" operator="equal">
      <formula>"Please check"</formula>
    </cfRule>
    <cfRule type="cellIs" dxfId="1353" priority="1451" stopIfTrue="1" operator="equal">
      <formula>"Pass"</formula>
    </cfRule>
    <cfRule type="cellIs" dxfId="1352" priority="1452" stopIfTrue="1" operator="equal">
      <formula>"Fail"</formula>
    </cfRule>
  </conditionalFormatting>
  <conditionalFormatting sqref="B104">
    <cfRule type="cellIs" dxfId="1351" priority="1471" stopIfTrue="1" operator="equal">
      <formula>"Please check"</formula>
    </cfRule>
    <cfRule type="cellIs" dxfId="1350" priority="1472" stopIfTrue="1" operator="equal">
      <formula>"Pass"</formula>
    </cfRule>
    <cfRule type="cellIs" dxfId="1349" priority="1473" stopIfTrue="1" operator="equal">
      <formula>"Fail"</formula>
    </cfRule>
  </conditionalFormatting>
  <conditionalFormatting sqref="B106">
    <cfRule type="cellIs" dxfId="1348" priority="1459" stopIfTrue="1" operator="equal">
      <formula>"Please check"</formula>
    </cfRule>
    <cfRule type="cellIs" dxfId="1347" priority="1460" stopIfTrue="1" operator="equal">
      <formula>"Pass"</formula>
    </cfRule>
    <cfRule type="cellIs" dxfId="1346" priority="1461" stopIfTrue="1" operator="equal">
      <formula>"Fail"</formula>
    </cfRule>
  </conditionalFormatting>
  <conditionalFormatting sqref="A107:A108 C107:S108">
    <cfRule type="cellIs" dxfId="1345" priority="1456" stopIfTrue="1" operator="equal">
      <formula>"Please check"</formula>
    </cfRule>
    <cfRule type="cellIs" dxfId="1344" priority="1457" stopIfTrue="1" operator="equal">
      <formula>"Pass"</formula>
    </cfRule>
    <cfRule type="cellIs" dxfId="1343" priority="1458" stopIfTrue="1" operator="equal">
      <formula>"Fail"</formula>
    </cfRule>
  </conditionalFormatting>
  <conditionalFormatting sqref="B107">
    <cfRule type="cellIs" dxfId="1342" priority="1453" stopIfTrue="1" operator="equal">
      <formula>"Please check"</formula>
    </cfRule>
    <cfRule type="cellIs" dxfId="1341" priority="1454" stopIfTrue="1" operator="equal">
      <formula>"Pass"</formula>
    </cfRule>
    <cfRule type="cellIs" dxfId="1340" priority="1455" stopIfTrue="1" operator="equal">
      <formula>"Fail"</formula>
    </cfRule>
  </conditionalFormatting>
  <conditionalFormatting sqref="A113 C113:G113 I113:M113 O113:S113">
    <cfRule type="cellIs" dxfId="1339" priority="1447" stopIfTrue="1" operator="equal">
      <formula>"Please check"</formula>
    </cfRule>
    <cfRule type="cellIs" dxfId="1338" priority="1448" stopIfTrue="1" operator="equal">
      <formula>"Pass"</formula>
    </cfRule>
    <cfRule type="cellIs" dxfId="1337" priority="1449" stopIfTrue="1" operator="equal">
      <formula>"Fail"</formula>
    </cfRule>
  </conditionalFormatting>
  <conditionalFormatting sqref="A119:A120 C119:D120 I119:J120 R119:S120">
    <cfRule type="cellIs" dxfId="1336" priority="1444" stopIfTrue="1" operator="equal">
      <formula>"Please check"</formula>
    </cfRule>
    <cfRule type="cellIs" dxfId="1335" priority="1445" stopIfTrue="1" operator="equal">
      <formula>"Pass"</formula>
    </cfRule>
    <cfRule type="cellIs" dxfId="1334" priority="1446" stopIfTrue="1" operator="equal">
      <formula>"Fail"</formula>
    </cfRule>
  </conditionalFormatting>
  <conditionalFormatting sqref="B122">
    <cfRule type="cellIs" dxfId="1333" priority="1432" stopIfTrue="1" operator="equal">
      <formula>"Please check"</formula>
    </cfRule>
    <cfRule type="cellIs" dxfId="1332" priority="1433" stopIfTrue="1" operator="equal">
      <formula>"Pass"</formula>
    </cfRule>
    <cfRule type="cellIs" dxfId="1331" priority="1434" stopIfTrue="1" operator="equal">
      <formula>"Fail"</formula>
    </cfRule>
  </conditionalFormatting>
  <conditionalFormatting sqref="A121:A122 C121:S122">
    <cfRule type="cellIs" dxfId="1330" priority="1438" stopIfTrue="1" operator="equal">
      <formula>"Please check"</formula>
    </cfRule>
    <cfRule type="cellIs" dxfId="1329" priority="1439" stopIfTrue="1" operator="equal">
      <formula>"Pass"</formula>
    </cfRule>
    <cfRule type="cellIs" dxfId="1328" priority="1440" stopIfTrue="1" operator="equal">
      <formula>"Fail"</formula>
    </cfRule>
  </conditionalFormatting>
  <conditionalFormatting sqref="A130:A131 C130:S131">
    <cfRule type="cellIs" dxfId="1327" priority="1417" stopIfTrue="1" operator="equal">
      <formula>"Please check"</formula>
    </cfRule>
    <cfRule type="cellIs" dxfId="1326" priority="1418" stopIfTrue="1" operator="equal">
      <formula>"Pass"</formula>
    </cfRule>
    <cfRule type="cellIs" dxfId="1325" priority="1419" stopIfTrue="1" operator="equal">
      <formula>"Fail"</formula>
    </cfRule>
  </conditionalFormatting>
  <conditionalFormatting sqref="B121">
    <cfRule type="cellIs" dxfId="1324" priority="1435" stopIfTrue="1" operator="equal">
      <formula>"Please check"</formula>
    </cfRule>
    <cfRule type="cellIs" dxfId="1323" priority="1436" stopIfTrue="1" operator="equal">
      <formula>"Pass"</formula>
    </cfRule>
    <cfRule type="cellIs" dxfId="1322" priority="1437" stopIfTrue="1" operator="equal">
      <formula>"Fail"</formula>
    </cfRule>
  </conditionalFormatting>
  <conditionalFormatting sqref="B114:B118">
    <cfRule type="cellIs" dxfId="1321" priority="1429" stopIfTrue="1" operator="equal">
      <formula>"Please check"</formula>
    </cfRule>
    <cfRule type="cellIs" dxfId="1320" priority="1430" stopIfTrue="1" operator="equal">
      <formula>"Pass"</formula>
    </cfRule>
    <cfRule type="cellIs" dxfId="1319" priority="1431" stopIfTrue="1" operator="equal">
      <formula>"Fail"</formula>
    </cfRule>
  </conditionalFormatting>
  <conditionalFormatting sqref="B113">
    <cfRule type="cellIs" dxfId="1318" priority="1426" stopIfTrue="1" operator="equal">
      <formula>"Please check"</formula>
    </cfRule>
    <cfRule type="cellIs" dxfId="1317" priority="1427" stopIfTrue="1" operator="equal">
      <formula>"Pass"</formula>
    </cfRule>
    <cfRule type="cellIs" dxfId="1316" priority="1428" stopIfTrue="1" operator="equal">
      <formula>"Fail"</formula>
    </cfRule>
  </conditionalFormatting>
  <conditionalFormatting sqref="B119:B120">
    <cfRule type="cellIs" dxfId="1315" priority="1423" stopIfTrue="1" operator="equal">
      <formula>"Please check"</formula>
    </cfRule>
    <cfRule type="cellIs" dxfId="1314" priority="1424" stopIfTrue="1" operator="equal">
      <formula>"Pass"</formula>
    </cfRule>
    <cfRule type="cellIs" dxfId="1313" priority="1425" stopIfTrue="1" operator="equal">
      <formula>"Fail"</formula>
    </cfRule>
  </conditionalFormatting>
  <conditionalFormatting sqref="A128:A129 C128:D129 I128:J129 R128:S129">
    <cfRule type="cellIs" dxfId="1312" priority="1420" stopIfTrue="1" operator="equal">
      <formula>"Please check"</formula>
    </cfRule>
    <cfRule type="cellIs" dxfId="1311" priority="1421" stopIfTrue="1" operator="equal">
      <formula>"Pass"</formula>
    </cfRule>
    <cfRule type="cellIs" dxfId="1310" priority="1422" stopIfTrue="1" operator="equal">
      <formula>"Fail"</formula>
    </cfRule>
  </conditionalFormatting>
  <conditionalFormatting sqref="B131">
    <cfRule type="cellIs" dxfId="1309" priority="1411" stopIfTrue="1" operator="equal">
      <formula>"Please check"</formula>
    </cfRule>
    <cfRule type="cellIs" dxfId="1308" priority="1412" stopIfTrue="1" operator="equal">
      <formula>"Pass"</formula>
    </cfRule>
    <cfRule type="cellIs" dxfId="1307" priority="1413" stopIfTrue="1" operator="equal">
      <formula>"Fail"</formula>
    </cfRule>
  </conditionalFormatting>
  <conditionalFormatting sqref="B130">
    <cfRule type="cellIs" dxfId="1306" priority="1414" stopIfTrue="1" operator="equal">
      <formula>"Please check"</formula>
    </cfRule>
    <cfRule type="cellIs" dxfId="1305" priority="1415" stopIfTrue="1" operator="equal">
      <formula>"Pass"</formula>
    </cfRule>
    <cfRule type="cellIs" dxfId="1304" priority="1416" stopIfTrue="1" operator="equal">
      <formula>"Fail"</formula>
    </cfRule>
  </conditionalFormatting>
  <conditionalFormatting sqref="B140">
    <cfRule type="cellIs" dxfId="1303" priority="1396" stopIfTrue="1" operator="equal">
      <formula>"Please check"</formula>
    </cfRule>
    <cfRule type="cellIs" dxfId="1302" priority="1397" stopIfTrue="1" operator="equal">
      <formula>"Pass"</formula>
    </cfRule>
    <cfRule type="cellIs" dxfId="1301" priority="1398" stopIfTrue="1" operator="equal">
      <formula>"Fail"</formula>
    </cfRule>
  </conditionalFormatting>
  <conditionalFormatting sqref="A139:A140 C139:S140">
    <cfRule type="cellIs" dxfId="1300" priority="1402" stopIfTrue="1" operator="equal">
      <formula>"Please check"</formula>
    </cfRule>
    <cfRule type="cellIs" dxfId="1299" priority="1403" stopIfTrue="1" operator="equal">
      <formula>"Pass"</formula>
    </cfRule>
    <cfRule type="cellIs" dxfId="1298" priority="1404" stopIfTrue="1" operator="equal">
      <formula>"Fail"</formula>
    </cfRule>
  </conditionalFormatting>
  <conditionalFormatting sqref="A137:A138 C137:D138 I137:J138 R137:S138">
    <cfRule type="cellIs" dxfId="1297" priority="1405" stopIfTrue="1" operator="equal">
      <formula>"Please check"</formula>
    </cfRule>
    <cfRule type="cellIs" dxfId="1296" priority="1406" stopIfTrue="1" operator="equal">
      <formula>"Pass"</formula>
    </cfRule>
    <cfRule type="cellIs" dxfId="1295" priority="1407" stopIfTrue="1" operator="equal">
      <formula>"Fail"</formula>
    </cfRule>
  </conditionalFormatting>
  <conditionalFormatting sqref="B141">
    <cfRule type="cellIs" dxfId="1294" priority="1354" stopIfTrue="1" operator="equal">
      <formula>"Please check"</formula>
    </cfRule>
    <cfRule type="cellIs" dxfId="1293" priority="1355" stopIfTrue="1" operator="equal">
      <formula>"Pass"</formula>
    </cfRule>
    <cfRule type="cellIs" dxfId="1292" priority="1356" stopIfTrue="1" operator="equal">
      <formula>"Fail"</formula>
    </cfRule>
  </conditionalFormatting>
  <conditionalFormatting sqref="B139">
    <cfRule type="cellIs" dxfId="1291" priority="1399" stopIfTrue="1" operator="equal">
      <formula>"Please check"</formula>
    </cfRule>
    <cfRule type="cellIs" dxfId="1290" priority="1400" stopIfTrue="1" operator="equal">
      <formula>"Pass"</formula>
    </cfRule>
    <cfRule type="cellIs" dxfId="1289" priority="1401" stopIfTrue="1" operator="equal">
      <formula>"Fail"</formula>
    </cfRule>
  </conditionalFormatting>
  <conditionalFormatting sqref="B128:B129">
    <cfRule type="cellIs" dxfId="1288" priority="1387" stopIfTrue="1" operator="equal">
      <formula>"Please check"</formula>
    </cfRule>
    <cfRule type="cellIs" dxfId="1287" priority="1388" stopIfTrue="1" operator="equal">
      <formula>"Pass"</formula>
    </cfRule>
    <cfRule type="cellIs" dxfId="1286" priority="1389" stopIfTrue="1" operator="equal">
      <formula>"Fail"</formula>
    </cfRule>
  </conditionalFormatting>
  <conditionalFormatting sqref="B123:B127">
    <cfRule type="cellIs" dxfId="1285" priority="1390" stopIfTrue="1" operator="equal">
      <formula>"Please check"</formula>
    </cfRule>
    <cfRule type="cellIs" dxfId="1284" priority="1391" stopIfTrue="1" operator="equal">
      <formula>"Pass"</formula>
    </cfRule>
    <cfRule type="cellIs" dxfId="1283" priority="1392" stopIfTrue="1" operator="equal">
      <formula>"Fail"</formula>
    </cfRule>
  </conditionalFormatting>
  <conditionalFormatting sqref="A144:A145 C144:S145">
    <cfRule type="cellIs" dxfId="1282" priority="1345" stopIfTrue="1" operator="equal">
      <formula>"Please check"</formula>
    </cfRule>
    <cfRule type="cellIs" dxfId="1281" priority="1346" stopIfTrue="1" operator="equal">
      <formula>"Pass"</formula>
    </cfRule>
    <cfRule type="cellIs" dxfId="1280" priority="1347" stopIfTrue="1" operator="equal">
      <formula>"Fail"</formula>
    </cfRule>
  </conditionalFormatting>
  <conditionalFormatting sqref="B132:B136">
    <cfRule type="cellIs" dxfId="1279" priority="1384" stopIfTrue="1" operator="equal">
      <formula>"Please check"</formula>
    </cfRule>
    <cfRule type="cellIs" dxfId="1278" priority="1385" stopIfTrue="1" operator="equal">
      <formula>"Pass"</formula>
    </cfRule>
    <cfRule type="cellIs" dxfId="1277" priority="1386" stopIfTrue="1" operator="equal">
      <formula>"Fail"</formula>
    </cfRule>
  </conditionalFormatting>
  <conditionalFormatting sqref="B137:B138">
    <cfRule type="cellIs" dxfId="1276" priority="1381" stopIfTrue="1" operator="equal">
      <formula>"Please check"</formula>
    </cfRule>
    <cfRule type="cellIs" dxfId="1275" priority="1382" stopIfTrue="1" operator="equal">
      <formula>"Pass"</formula>
    </cfRule>
    <cfRule type="cellIs" dxfId="1274" priority="1383" stopIfTrue="1" operator="equal">
      <formula>"Fail"</formula>
    </cfRule>
  </conditionalFormatting>
  <conditionalFormatting sqref="A143 C143:S143">
    <cfRule type="cellIs" dxfId="1273" priority="1378" stopIfTrue="1" operator="equal">
      <formula>"Please check"</formula>
    </cfRule>
    <cfRule type="cellIs" dxfId="1272" priority="1379" stopIfTrue="1" operator="equal">
      <formula>"Pass"</formula>
    </cfRule>
    <cfRule type="cellIs" dxfId="1271" priority="1380" stopIfTrue="1" operator="equal">
      <formula>"Fail"</formula>
    </cfRule>
  </conditionalFormatting>
  <conditionalFormatting sqref="A146:A147 C146:S147">
    <cfRule type="cellIs" dxfId="1270" priority="1375" stopIfTrue="1" operator="equal">
      <formula>"Please check"</formula>
    </cfRule>
    <cfRule type="cellIs" dxfId="1269" priority="1376" stopIfTrue="1" operator="equal">
      <formula>"Pass"</formula>
    </cfRule>
    <cfRule type="cellIs" dxfId="1268" priority="1377" stopIfTrue="1" operator="equal">
      <formula>"Fail"</formula>
    </cfRule>
  </conditionalFormatting>
  <conditionalFormatting sqref="B147">
    <cfRule type="cellIs" dxfId="1267" priority="1369" stopIfTrue="1" operator="equal">
      <formula>"Please check"</formula>
    </cfRule>
    <cfRule type="cellIs" dxfId="1266" priority="1370" stopIfTrue="1" operator="equal">
      <formula>"Pass"</formula>
    </cfRule>
    <cfRule type="cellIs" dxfId="1265" priority="1371" stopIfTrue="1" operator="equal">
      <formula>"Fail"</formula>
    </cfRule>
  </conditionalFormatting>
  <conditionalFormatting sqref="B146">
    <cfRule type="cellIs" dxfId="1264" priority="1372" stopIfTrue="1" operator="equal">
      <formula>"Please check"</formula>
    </cfRule>
    <cfRule type="cellIs" dxfId="1263" priority="1373" stopIfTrue="1" operator="equal">
      <formula>"Pass"</formula>
    </cfRule>
    <cfRule type="cellIs" dxfId="1262" priority="1374" stopIfTrue="1" operator="equal">
      <formula>"Fail"</formula>
    </cfRule>
  </conditionalFormatting>
  <conditionalFormatting sqref="B149">
    <cfRule type="cellIs" dxfId="1261" priority="1360" stopIfTrue="1" operator="equal">
      <formula>"Please check"</formula>
    </cfRule>
    <cfRule type="cellIs" dxfId="1260" priority="1361" stopIfTrue="1" operator="equal">
      <formula>"Pass"</formula>
    </cfRule>
    <cfRule type="cellIs" dxfId="1259" priority="1362" stopIfTrue="1" operator="equal">
      <formula>"Fail"</formula>
    </cfRule>
  </conditionalFormatting>
  <conditionalFormatting sqref="A148:A149 C148:S149">
    <cfRule type="cellIs" dxfId="1258" priority="1366" stopIfTrue="1" operator="equal">
      <formula>"Please check"</formula>
    </cfRule>
    <cfRule type="cellIs" dxfId="1257" priority="1367" stopIfTrue="1" operator="equal">
      <formula>"Pass"</formula>
    </cfRule>
    <cfRule type="cellIs" dxfId="1256" priority="1368" stopIfTrue="1" operator="equal">
      <formula>"Fail"</formula>
    </cfRule>
  </conditionalFormatting>
  <conditionalFormatting sqref="B142">
    <cfRule type="cellIs" dxfId="1255" priority="1351" stopIfTrue="1" operator="equal">
      <formula>"Please check"</formula>
    </cfRule>
    <cfRule type="cellIs" dxfId="1254" priority="1352" stopIfTrue="1" operator="equal">
      <formula>"Pass"</formula>
    </cfRule>
    <cfRule type="cellIs" dxfId="1253" priority="1353" stopIfTrue="1" operator="equal">
      <formula>"Fail"</formula>
    </cfRule>
  </conditionalFormatting>
  <conditionalFormatting sqref="B148">
    <cfRule type="cellIs" dxfId="1252" priority="1363" stopIfTrue="1" operator="equal">
      <formula>"Please check"</formula>
    </cfRule>
    <cfRule type="cellIs" dxfId="1251" priority="1364" stopIfTrue="1" operator="equal">
      <formula>"Pass"</formula>
    </cfRule>
    <cfRule type="cellIs" dxfId="1250" priority="1365" stopIfTrue="1" operator="equal">
      <formula>"Fail"</formula>
    </cfRule>
  </conditionalFormatting>
  <conditionalFormatting sqref="B145">
    <cfRule type="cellIs" dxfId="1249" priority="1339" stopIfTrue="1" operator="equal">
      <formula>"Please check"</formula>
    </cfRule>
    <cfRule type="cellIs" dxfId="1248" priority="1340" stopIfTrue="1" operator="equal">
      <formula>"Pass"</formula>
    </cfRule>
    <cfRule type="cellIs" dxfId="1247" priority="1341" stopIfTrue="1" operator="equal">
      <formula>"Fail"</formula>
    </cfRule>
  </conditionalFormatting>
  <conditionalFormatting sqref="A141:A142 C141:S142">
    <cfRule type="cellIs" dxfId="1246" priority="1357" stopIfTrue="1" operator="equal">
      <formula>"Please check"</formula>
    </cfRule>
    <cfRule type="cellIs" dxfId="1245" priority="1358" stopIfTrue="1" operator="equal">
      <formula>"Pass"</formula>
    </cfRule>
    <cfRule type="cellIs" dxfId="1244" priority="1359" stopIfTrue="1" operator="equal">
      <formula>"Fail"</formula>
    </cfRule>
  </conditionalFormatting>
  <conditionalFormatting sqref="B143">
    <cfRule type="cellIs" dxfId="1243" priority="1348" stopIfTrue="1" operator="equal">
      <formula>"Please check"</formula>
    </cfRule>
    <cfRule type="cellIs" dxfId="1242" priority="1349" stopIfTrue="1" operator="equal">
      <formula>"Pass"</formula>
    </cfRule>
    <cfRule type="cellIs" dxfId="1241" priority="1350" stopIfTrue="1" operator="equal">
      <formula>"Fail"</formula>
    </cfRule>
  </conditionalFormatting>
  <conditionalFormatting sqref="B157">
    <cfRule type="cellIs" dxfId="1240" priority="1330" stopIfTrue="1" operator="equal">
      <formula>"Please check"</formula>
    </cfRule>
    <cfRule type="cellIs" dxfId="1239" priority="1331" stopIfTrue="1" operator="equal">
      <formula>"Pass"</formula>
    </cfRule>
    <cfRule type="cellIs" dxfId="1238" priority="1332" stopIfTrue="1" operator="equal">
      <formula>"Fail"</formula>
    </cfRule>
  </conditionalFormatting>
  <conditionalFormatting sqref="B144">
    <cfRule type="cellIs" dxfId="1237" priority="1342" stopIfTrue="1" operator="equal">
      <formula>"Please check"</formula>
    </cfRule>
    <cfRule type="cellIs" dxfId="1236" priority="1343" stopIfTrue="1" operator="equal">
      <formula>"Pass"</formula>
    </cfRule>
    <cfRule type="cellIs" dxfId="1235" priority="1344" stopIfTrue="1" operator="equal">
      <formula>"Fail"</formula>
    </cfRule>
  </conditionalFormatting>
  <conditionalFormatting sqref="B158">
    <cfRule type="cellIs" dxfId="1234" priority="1327" stopIfTrue="1" operator="equal">
      <formula>"Please check"</formula>
    </cfRule>
    <cfRule type="cellIs" dxfId="1233" priority="1328" stopIfTrue="1" operator="equal">
      <formula>"Pass"</formula>
    </cfRule>
    <cfRule type="cellIs" dxfId="1232" priority="1329" stopIfTrue="1" operator="equal">
      <formula>"Fail"</formula>
    </cfRule>
  </conditionalFormatting>
  <conditionalFormatting sqref="A157:A158 C157:S158">
    <cfRule type="cellIs" dxfId="1231" priority="1333" stopIfTrue="1" operator="equal">
      <formula>"Please check"</formula>
    </cfRule>
    <cfRule type="cellIs" dxfId="1230" priority="1334" stopIfTrue="1" operator="equal">
      <formula>"Pass"</formula>
    </cfRule>
    <cfRule type="cellIs" dxfId="1229" priority="1335" stopIfTrue="1" operator="equal">
      <formula>"Fail"</formula>
    </cfRule>
  </conditionalFormatting>
  <conditionalFormatting sqref="A155:A156 C155:D156 I155:J156 R155:S156">
    <cfRule type="cellIs" dxfId="1228" priority="1336" stopIfTrue="1" operator="equal">
      <formula>"Please check"</formula>
    </cfRule>
    <cfRule type="cellIs" dxfId="1227" priority="1337" stopIfTrue="1" operator="equal">
      <formula>"Pass"</formula>
    </cfRule>
    <cfRule type="cellIs" dxfId="1226" priority="1338" stopIfTrue="1" operator="equal">
      <formula>"Fail"</formula>
    </cfRule>
  </conditionalFormatting>
  <conditionalFormatting sqref="B155:B156">
    <cfRule type="cellIs" dxfId="1225" priority="1318" stopIfTrue="1" operator="equal">
      <formula>"Please check"</formula>
    </cfRule>
    <cfRule type="cellIs" dxfId="1224" priority="1319" stopIfTrue="1" operator="equal">
      <formula>"Pass"</formula>
    </cfRule>
    <cfRule type="cellIs" dxfId="1223" priority="1320" stopIfTrue="1" operator="equal">
      <formula>"Fail"</formula>
    </cfRule>
  </conditionalFormatting>
  <conditionalFormatting sqref="B150:B154">
    <cfRule type="cellIs" dxfId="1222" priority="1321" stopIfTrue="1" operator="equal">
      <formula>"Please check"</formula>
    </cfRule>
    <cfRule type="cellIs" dxfId="1221" priority="1322" stopIfTrue="1" operator="equal">
      <formula>"Pass"</formula>
    </cfRule>
    <cfRule type="cellIs" dxfId="1220" priority="1323" stopIfTrue="1" operator="equal">
      <formula>"Fail"</formula>
    </cfRule>
  </conditionalFormatting>
  <conditionalFormatting sqref="B159">
    <cfRule type="cellIs" dxfId="1219" priority="1309" stopIfTrue="1" operator="equal">
      <formula>"Please check"</formula>
    </cfRule>
    <cfRule type="cellIs" dxfId="1218" priority="1310" stopIfTrue="1" operator="equal">
      <formula>"Pass"</formula>
    </cfRule>
    <cfRule type="cellIs" dxfId="1217" priority="1311" stopIfTrue="1" operator="equal">
      <formula>"Fail"</formula>
    </cfRule>
  </conditionalFormatting>
  <conditionalFormatting sqref="A159 C159:G159 I159:M159 O159:S159">
    <cfRule type="cellIs" dxfId="1216" priority="1315" stopIfTrue="1" operator="equal">
      <formula>"Please check"</formula>
    </cfRule>
    <cfRule type="cellIs" dxfId="1215" priority="1316" stopIfTrue="1" operator="equal">
      <formula>"Pass"</formula>
    </cfRule>
    <cfRule type="cellIs" dxfId="1214" priority="1317" stopIfTrue="1" operator="equal">
      <formula>"Fail"</formula>
    </cfRule>
  </conditionalFormatting>
  <conditionalFormatting sqref="B167">
    <cfRule type="cellIs" dxfId="1213" priority="1300" stopIfTrue="1" operator="equal">
      <formula>"Please check"</formula>
    </cfRule>
    <cfRule type="cellIs" dxfId="1212" priority="1301" stopIfTrue="1" operator="equal">
      <formula>"Pass"</formula>
    </cfRule>
    <cfRule type="cellIs" dxfId="1211" priority="1302" stopIfTrue="1" operator="equal">
      <formula>"Fail"</formula>
    </cfRule>
  </conditionalFormatting>
  <conditionalFormatting sqref="B168">
    <cfRule type="cellIs" dxfId="1210" priority="1297" stopIfTrue="1" operator="equal">
      <formula>"Please check"</formula>
    </cfRule>
    <cfRule type="cellIs" dxfId="1209" priority="1298" stopIfTrue="1" operator="equal">
      <formula>"Pass"</formula>
    </cfRule>
    <cfRule type="cellIs" dxfId="1208" priority="1299" stopIfTrue="1" operator="equal">
      <formula>"Fail"</formula>
    </cfRule>
  </conditionalFormatting>
  <conditionalFormatting sqref="A167:A168 C167:S168">
    <cfRule type="cellIs" dxfId="1207" priority="1303" stopIfTrue="1" operator="equal">
      <formula>"Please check"</formula>
    </cfRule>
    <cfRule type="cellIs" dxfId="1206" priority="1304" stopIfTrue="1" operator="equal">
      <formula>"Pass"</formula>
    </cfRule>
    <cfRule type="cellIs" dxfId="1205" priority="1305" stopIfTrue="1" operator="equal">
      <formula>"Fail"</formula>
    </cfRule>
  </conditionalFormatting>
  <conditionalFormatting sqref="A165:A166 C165:D166 I165:J166 R165:S166">
    <cfRule type="cellIs" dxfId="1204" priority="1306" stopIfTrue="1" operator="equal">
      <formula>"Please check"</formula>
    </cfRule>
    <cfRule type="cellIs" dxfId="1203" priority="1307" stopIfTrue="1" operator="equal">
      <formula>"Pass"</formula>
    </cfRule>
    <cfRule type="cellIs" dxfId="1202" priority="1308" stopIfTrue="1" operator="equal">
      <formula>"Fail"</formula>
    </cfRule>
  </conditionalFormatting>
  <conditionalFormatting sqref="B160:B164">
    <cfRule type="cellIs" dxfId="1201" priority="1291" stopIfTrue="1" operator="equal">
      <formula>"Please check"</formula>
    </cfRule>
    <cfRule type="cellIs" dxfId="1200" priority="1292" stopIfTrue="1" operator="equal">
      <formula>"Pass"</formula>
    </cfRule>
    <cfRule type="cellIs" dxfId="1199" priority="1293" stopIfTrue="1" operator="equal">
      <formula>"Fail"</formula>
    </cfRule>
  </conditionalFormatting>
  <conditionalFormatting sqref="B165:B166">
    <cfRule type="cellIs" dxfId="1198" priority="1288" stopIfTrue="1" operator="equal">
      <formula>"Please check"</formula>
    </cfRule>
    <cfRule type="cellIs" dxfId="1197" priority="1289" stopIfTrue="1" operator="equal">
      <formula>"Pass"</formula>
    </cfRule>
    <cfRule type="cellIs" dxfId="1196" priority="1290" stopIfTrue="1" operator="equal">
      <formula>"Fail"</formula>
    </cfRule>
  </conditionalFormatting>
  <conditionalFormatting sqref="A185:A186 C185:S186">
    <cfRule type="cellIs" dxfId="1195" priority="1240" stopIfTrue="1" operator="equal">
      <formula>"Please check"</formula>
    </cfRule>
    <cfRule type="cellIs" dxfId="1194" priority="1241" stopIfTrue="1" operator="equal">
      <formula>"Pass"</formula>
    </cfRule>
    <cfRule type="cellIs" dxfId="1193" priority="1242" stopIfTrue="1" operator="equal">
      <formula>"Fail"</formula>
    </cfRule>
  </conditionalFormatting>
  <conditionalFormatting sqref="B178:B182">
    <cfRule type="cellIs" dxfId="1192" priority="1225" stopIfTrue="1" operator="equal">
      <formula>"Please check"</formula>
    </cfRule>
    <cfRule type="cellIs" dxfId="1191" priority="1226" stopIfTrue="1" operator="equal">
      <formula>"Pass"</formula>
    </cfRule>
    <cfRule type="cellIs" dxfId="1190" priority="1227" stopIfTrue="1" operator="equal">
      <formula>"Fail"</formula>
    </cfRule>
  </conditionalFormatting>
  <conditionalFormatting sqref="B176">
    <cfRule type="cellIs" dxfId="1189" priority="1261" stopIfTrue="1" operator="equal">
      <formula>"Please check"</formula>
    </cfRule>
    <cfRule type="cellIs" dxfId="1188" priority="1262" stopIfTrue="1" operator="equal">
      <formula>"Pass"</formula>
    </cfRule>
    <cfRule type="cellIs" dxfId="1187" priority="1263" stopIfTrue="1" operator="equal">
      <formula>"Fail"</formula>
    </cfRule>
  </conditionalFormatting>
  <conditionalFormatting sqref="B177">
    <cfRule type="cellIs" dxfId="1186" priority="1258" stopIfTrue="1" operator="equal">
      <formula>"Please check"</formula>
    </cfRule>
    <cfRule type="cellIs" dxfId="1185" priority="1259" stopIfTrue="1" operator="equal">
      <formula>"Pass"</formula>
    </cfRule>
    <cfRule type="cellIs" dxfId="1184" priority="1260" stopIfTrue="1" operator="equal">
      <formula>"Fail"</formula>
    </cfRule>
  </conditionalFormatting>
  <conditionalFormatting sqref="A176:A177 C176:S177">
    <cfRule type="cellIs" dxfId="1183" priority="1264" stopIfTrue="1" operator="equal">
      <formula>"Please check"</formula>
    </cfRule>
    <cfRule type="cellIs" dxfId="1182" priority="1265" stopIfTrue="1" operator="equal">
      <formula>"Pass"</formula>
    </cfRule>
    <cfRule type="cellIs" dxfId="1181" priority="1266" stopIfTrue="1" operator="equal">
      <formula>"Fail"</formula>
    </cfRule>
  </conditionalFormatting>
  <conditionalFormatting sqref="A174:A175 C174:D175 I174:J175 R174:S175">
    <cfRule type="cellIs" dxfId="1180" priority="1267" stopIfTrue="1" operator="equal">
      <formula>"Please check"</formula>
    </cfRule>
    <cfRule type="cellIs" dxfId="1179" priority="1268" stopIfTrue="1" operator="equal">
      <formula>"Pass"</formula>
    </cfRule>
    <cfRule type="cellIs" dxfId="1178" priority="1269" stopIfTrue="1" operator="equal">
      <formula>"Fail"</formula>
    </cfRule>
  </conditionalFormatting>
  <conditionalFormatting sqref="G174:G175">
    <cfRule type="cellIs" dxfId="1177" priority="1246" stopIfTrue="1" operator="equal">
      <formula>"Please check"</formula>
    </cfRule>
    <cfRule type="cellIs" dxfId="1176" priority="1247" stopIfTrue="1" operator="equal">
      <formula>"Pass"</formula>
    </cfRule>
    <cfRule type="cellIs" dxfId="1175" priority="1248" stopIfTrue="1" operator="equal">
      <formula>"Fail"</formula>
    </cfRule>
  </conditionalFormatting>
  <conditionalFormatting sqref="B169:B173">
    <cfRule type="cellIs" dxfId="1174" priority="1252" stopIfTrue="1" operator="equal">
      <formula>"Please check"</formula>
    </cfRule>
    <cfRule type="cellIs" dxfId="1173" priority="1253" stopIfTrue="1" operator="equal">
      <formula>"Pass"</formula>
    </cfRule>
    <cfRule type="cellIs" dxfId="1172" priority="1254" stopIfTrue="1" operator="equal">
      <formula>"Fail"</formula>
    </cfRule>
  </conditionalFormatting>
  <conditionalFormatting sqref="B174:B175">
    <cfRule type="cellIs" dxfId="1171" priority="1249" stopIfTrue="1" operator="equal">
      <formula>"Please check"</formula>
    </cfRule>
    <cfRule type="cellIs" dxfId="1170" priority="1250" stopIfTrue="1" operator="equal">
      <formula>"Pass"</formula>
    </cfRule>
    <cfRule type="cellIs" dxfId="1169" priority="1251" stopIfTrue="1" operator="equal">
      <formula>"Fail"</formula>
    </cfRule>
  </conditionalFormatting>
  <conditionalFormatting sqref="G183:G184">
    <cfRule type="cellIs" dxfId="1168" priority="1228" stopIfTrue="1" operator="equal">
      <formula>"Please check"</formula>
    </cfRule>
    <cfRule type="cellIs" dxfId="1167" priority="1229" stopIfTrue="1" operator="equal">
      <formula>"Pass"</formula>
    </cfRule>
    <cfRule type="cellIs" dxfId="1166" priority="1230" stopIfTrue="1" operator="equal">
      <formula>"Fail"</formula>
    </cfRule>
  </conditionalFormatting>
  <conditionalFormatting sqref="B185">
    <cfRule type="cellIs" dxfId="1165" priority="1237" stopIfTrue="1" operator="equal">
      <formula>"Please check"</formula>
    </cfRule>
    <cfRule type="cellIs" dxfId="1164" priority="1238" stopIfTrue="1" operator="equal">
      <formula>"Pass"</formula>
    </cfRule>
    <cfRule type="cellIs" dxfId="1163" priority="1239" stopIfTrue="1" operator="equal">
      <formula>"Fail"</formula>
    </cfRule>
  </conditionalFormatting>
  <conditionalFormatting sqref="B186">
    <cfRule type="cellIs" dxfId="1162" priority="1234" stopIfTrue="1" operator="equal">
      <formula>"Please check"</formula>
    </cfRule>
    <cfRule type="cellIs" dxfId="1161" priority="1235" stopIfTrue="1" operator="equal">
      <formula>"Pass"</formula>
    </cfRule>
    <cfRule type="cellIs" dxfId="1160" priority="1236" stopIfTrue="1" operator="equal">
      <formula>"Fail"</formula>
    </cfRule>
  </conditionalFormatting>
  <conditionalFormatting sqref="A183:A184 C183:D184 I183:J184 R183:S184">
    <cfRule type="cellIs" dxfId="1159" priority="1243" stopIfTrue="1" operator="equal">
      <formula>"Please check"</formula>
    </cfRule>
    <cfRule type="cellIs" dxfId="1158" priority="1244" stopIfTrue="1" operator="equal">
      <formula>"Pass"</formula>
    </cfRule>
    <cfRule type="cellIs" dxfId="1157" priority="1245" stopIfTrue="1" operator="equal">
      <formula>"Fail"</formula>
    </cfRule>
  </conditionalFormatting>
  <conditionalFormatting sqref="A201:A202 C201:D202 I201:J202 R201:S202">
    <cfRule type="cellIs" dxfId="1156" priority="1183" stopIfTrue="1" operator="equal">
      <formula>"Please check"</formula>
    </cfRule>
    <cfRule type="cellIs" dxfId="1155" priority="1184" stopIfTrue="1" operator="equal">
      <formula>"Pass"</formula>
    </cfRule>
    <cfRule type="cellIs" dxfId="1154" priority="1185" stopIfTrue="1" operator="equal">
      <formula>"Fail"</formula>
    </cfRule>
  </conditionalFormatting>
  <conditionalFormatting sqref="B183:B184">
    <cfRule type="cellIs" dxfId="1153" priority="1222" stopIfTrue="1" operator="equal">
      <formula>"Please check"</formula>
    </cfRule>
    <cfRule type="cellIs" dxfId="1152" priority="1223" stopIfTrue="1" operator="equal">
      <formula>"Pass"</formula>
    </cfRule>
    <cfRule type="cellIs" dxfId="1151" priority="1224" stopIfTrue="1" operator="equal">
      <formula>"Fail"</formula>
    </cfRule>
  </conditionalFormatting>
  <conditionalFormatting sqref="A203:A204 C203:S204">
    <cfRule type="cellIs" dxfId="1150" priority="1180" stopIfTrue="1" operator="equal">
      <formula>"Please check"</formula>
    </cfRule>
    <cfRule type="cellIs" dxfId="1149" priority="1181" stopIfTrue="1" operator="equal">
      <formula>"Pass"</formula>
    </cfRule>
    <cfRule type="cellIs" dxfId="1148" priority="1182" stopIfTrue="1" operator="equal">
      <formula>"Fail"</formula>
    </cfRule>
  </conditionalFormatting>
  <conditionalFormatting sqref="B230">
    <cfRule type="cellIs" dxfId="1147" priority="1072" stopIfTrue="1" operator="equal">
      <formula>"Please check"</formula>
    </cfRule>
    <cfRule type="cellIs" dxfId="1146" priority="1073" stopIfTrue="1" operator="equal">
      <formula>"Pass"</formula>
    </cfRule>
    <cfRule type="cellIs" dxfId="1145" priority="1074" stopIfTrue="1" operator="equal">
      <formula>"Fail"</formula>
    </cfRule>
  </conditionalFormatting>
  <conditionalFormatting sqref="B194">
    <cfRule type="cellIs" dxfId="1144" priority="1207" stopIfTrue="1" operator="equal">
      <formula>"Please check"</formula>
    </cfRule>
    <cfRule type="cellIs" dxfId="1143" priority="1208" stopIfTrue="1" operator="equal">
      <formula>"Pass"</formula>
    </cfRule>
    <cfRule type="cellIs" dxfId="1142" priority="1209" stopIfTrue="1" operator="equal">
      <formula>"Fail"</formula>
    </cfRule>
  </conditionalFormatting>
  <conditionalFormatting sqref="B195">
    <cfRule type="cellIs" dxfId="1141" priority="1204" stopIfTrue="1" operator="equal">
      <formula>"Please check"</formula>
    </cfRule>
    <cfRule type="cellIs" dxfId="1140" priority="1205" stopIfTrue="1" operator="equal">
      <formula>"Pass"</formula>
    </cfRule>
    <cfRule type="cellIs" dxfId="1139" priority="1206" stopIfTrue="1" operator="equal">
      <formula>"Fail"</formula>
    </cfRule>
  </conditionalFormatting>
  <conditionalFormatting sqref="A194:A195 C194:S195">
    <cfRule type="cellIs" dxfId="1138" priority="1210" stopIfTrue="1" operator="equal">
      <formula>"Please check"</formula>
    </cfRule>
    <cfRule type="cellIs" dxfId="1137" priority="1211" stopIfTrue="1" operator="equal">
      <formula>"Pass"</formula>
    </cfRule>
    <cfRule type="cellIs" dxfId="1136" priority="1212" stopIfTrue="1" operator="equal">
      <formula>"Fail"</formula>
    </cfRule>
  </conditionalFormatting>
  <conditionalFormatting sqref="A192:A193 C192:D193 I192:J193 R192:S193">
    <cfRule type="cellIs" dxfId="1135" priority="1213" stopIfTrue="1" operator="equal">
      <formula>"Please check"</formula>
    </cfRule>
    <cfRule type="cellIs" dxfId="1134" priority="1214" stopIfTrue="1" operator="equal">
      <formula>"Pass"</formula>
    </cfRule>
    <cfRule type="cellIs" dxfId="1133" priority="1215" stopIfTrue="1" operator="equal">
      <formula>"Fail"</formula>
    </cfRule>
  </conditionalFormatting>
  <conditionalFormatting sqref="B187:B191">
    <cfRule type="cellIs" dxfId="1132" priority="1189" stopIfTrue="1" operator="equal">
      <formula>"Please check"</formula>
    </cfRule>
    <cfRule type="cellIs" dxfId="1131" priority="1190" stopIfTrue="1" operator="equal">
      <formula>"Pass"</formula>
    </cfRule>
    <cfRule type="cellIs" dxfId="1130" priority="1191" stopIfTrue="1" operator="equal">
      <formula>"Fail"</formula>
    </cfRule>
  </conditionalFormatting>
  <conditionalFormatting sqref="B192:B193">
    <cfRule type="cellIs" dxfId="1129" priority="1186" stopIfTrue="1" operator="equal">
      <formula>"Please check"</formula>
    </cfRule>
    <cfRule type="cellIs" dxfId="1128" priority="1187" stopIfTrue="1" operator="equal">
      <formula>"Pass"</formula>
    </cfRule>
    <cfRule type="cellIs" dxfId="1127" priority="1188" stopIfTrue="1" operator="equal">
      <formula>"Fail"</formula>
    </cfRule>
  </conditionalFormatting>
  <conditionalFormatting sqref="B203">
    <cfRule type="cellIs" dxfId="1126" priority="1177" stopIfTrue="1" operator="equal">
      <formula>"Please check"</formula>
    </cfRule>
    <cfRule type="cellIs" dxfId="1125" priority="1178" stopIfTrue="1" operator="equal">
      <formula>"Pass"</formula>
    </cfRule>
    <cfRule type="cellIs" dxfId="1124" priority="1179" stopIfTrue="1" operator="equal">
      <formula>"Fail"</formula>
    </cfRule>
  </conditionalFormatting>
  <conditionalFormatting sqref="B204">
    <cfRule type="cellIs" dxfId="1123" priority="1174" stopIfTrue="1" operator="equal">
      <formula>"Please check"</formula>
    </cfRule>
    <cfRule type="cellIs" dxfId="1122" priority="1175" stopIfTrue="1" operator="equal">
      <formula>"Pass"</formula>
    </cfRule>
    <cfRule type="cellIs" dxfId="1121" priority="1176" stopIfTrue="1" operator="equal">
      <formula>"Fail"</formula>
    </cfRule>
  </conditionalFormatting>
  <conditionalFormatting sqref="B196:B200">
    <cfRule type="cellIs" dxfId="1120" priority="1159" stopIfTrue="1" operator="equal">
      <formula>"Please check"</formula>
    </cfRule>
    <cfRule type="cellIs" dxfId="1119" priority="1160" stopIfTrue="1" operator="equal">
      <formula>"Pass"</formula>
    </cfRule>
    <cfRule type="cellIs" dxfId="1118" priority="1161" stopIfTrue="1" operator="equal">
      <formula>"Fail"</formula>
    </cfRule>
  </conditionalFormatting>
  <conditionalFormatting sqref="E201:F202">
    <cfRule type="cellIs" dxfId="1117" priority="1162" stopIfTrue="1" operator="equal">
      <formula>"Please check"</formula>
    </cfRule>
    <cfRule type="cellIs" dxfId="1116" priority="1163" stopIfTrue="1" operator="equal">
      <formula>"Pass"</formula>
    </cfRule>
    <cfRule type="cellIs" dxfId="1115" priority="1164" stopIfTrue="1" operator="equal">
      <formula>"Fail"</formula>
    </cfRule>
  </conditionalFormatting>
  <conditionalFormatting sqref="B208">
    <cfRule type="cellIs" dxfId="1114" priority="1117" stopIfTrue="1" operator="equal">
      <formula>"Please check"</formula>
    </cfRule>
    <cfRule type="cellIs" dxfId="1113" priority="1118" stopIfTrue="1" operator="equal">
      <formula>"Pass"</formula>
    </cfRule>
    <cfRule type="cellIs" dxfId="1112" priority="1119" stopIfTrue="1" operator="equal">
      <formula>"Fail"</formula>
    </cfRule>
  </conditionalFormatting>
  <conditionalFormatting sqref="B201:B202">
    <cfRule type="cellIs" dxfId="1111" priority="1156" stopIfTrue="1" operator="equal">
      <formula>"Please check"</formula>
    </cfRule>
    <cfRule type="cellIs" dxfId="1110" priority="1157" stopIfTrue="1" operator="equal">
      <formula>"Pass"</formula>
    </cfRule>
    <cfRule type="cellIs" dxfId="1109" priority="1158" stopIfTrue="1" operator="equal">
      <formula>"Fail"</formula>
    </cfRule>
  </conditionalFormatting>
  <conditionalFormatting sqref="B205">
    <cfRule type="cellIs" dxfId="1108" priority="1129" stopIfTrue="1" operator="equal">
      <formula>"Please check"</formula>
    </cfRule>
    <cfRule type="cellIs" dxfId="1107" priority="1130" stopIfTrue="1" operator="equal">
      <formula>"Pass"</formula>
    </cfRule>
    <cfRule type="cellIs" dxfId="1106" priority="1131" stopIfTrue="1" operator="equal">
      <formula>"Fail"</formula>
    </cfRule>
  </conditionalFormatting>
  <conditionalFormatting sqref="A208:A209 C208:S209">
    <cfRule type="cellIs" dxfId="1105" priority="1120" stopIfTrue="1" operator="equal">
      <formula>"Please check"</formula>
    </cfRule>
    <cfRule type="cellIs" dxfId="1104" priority="1121" stopIfTrue="1" operator="equal">
      <formula>"Pass"</formula>
    </cfRule>
    <cfRule type="cellIs" dxfId="1103" priority="1122" stopIfTrue="1" operator="equal">
      <formula>"Fail"</formula>
    </cfRule>
  </conditionalFormatting>
  <conditionalFormatting sqref="A207 C207:S207">
    <cfRule type="cellIs" dxfId="1102" priority="1153" stopIfTrue="1" operator="equal">
      <formula>"Please check"</formula>
    </cfRule>
    <cfRule type="cellIs" dxfId="1101" priority="1154" stopIfTrue="1" operator="equal">
      <formula>"Pass"</formula>
    </cfRule>
    <cfRule type="cellIs" dxfId="1100" priority="1155" stopIfTrue="1" operator="equal">
      <formula>"Fail"</formula>
    </cfRule>
  </conditionalFormatting>
  <conditionalFormatting sqref="A210:A211 C210:S211">
    <cfRule type="cellIs" dxfId="1099" priority="1150" stopIfTrue="1" operator="equal">
      <formula>"Please check"</formula>
    </cfRule>
    <cfRule type="cellIs" dxfId="1098" priority="1151" stopIfTrue="1" operator="equal">
      <formula>"Pass"</formula>
    </cfRule>
    <cfRule type="cellIs" dxfId="1097" priority="1152" stopIfTrue="1" operator="equal">
      <formula>"Fail"</formula>
    </cfRule>
  </conditionalFormatting>
  <conditionalFormatting sqref="B211">
    <cfRule type="cellIs" dxfId="1096" priority="1144" stopIfTrue="1" operator="equal">
      <formula>"Please check"</formula>
    </cfRule>
    <cfRule type="cellIs" dxfId="1095" priority="1145" stopIfTrue="1" operator="equal">
      <formula>"Pass"</formula>
    </cfRule>
    <cfRule type="cellIs" dxfId="1094" priority="1146" stopIfTrue="1" operator="equal">
      <formula>"Fail"</formula>
    </cfRule>
  </conditionalFormatting>
  <conditionalFormatting sqref="B210">
    <cfRule type="cellIs" dxfId="1093" priority="1147" stopIfTrue="1" operator="equal">
      <formula>"Please check"</formula>
    </cfRule>
    <cfRule type="cellIs" dxfId="1092" priority="1148" stopIfTrue="1" operator="equal">
      <formula>"Pass"</formula>
    </cfRule>
    <cfRule type="cellIs" dxfId="1091" priority="1149" stopIfTrue="1" operator="equal">
      <formula>"Fail"</formula>
    </cfRule>
  </conditionalFormatting>
  <conditionalFormatting sqref="B213">
    <cfRule type="cellIs" dxfId="1090" priority="1135" stopIfTrue="1" operator="equal">
      <formula>"Please check"</formula>
    </cfRule>
    <cfRule type="cellIs" dxfId="1089" priority="1136" stopIfTrue="1" operator="equal">
      <formula>"Pass"</formula>
    </cfRule>
    <cfRule type="cellIs" dxfId="1088" priority="1137" stopIfTrue="1" operator="equal">
      <formula>"Fail"</formula>
    </cfRule>
  </conditionalFormatting>
  <conditionalFormatting sqref="A212:A213 C212:S213">
    <cfRule type="cellIs" dxfId="1087" priority="1141" stopIfTrue="1" operator="equal">
      <formula>"Please check"</formula>
    </cfRule>
    <cfRule type="cellIs" dxfId="1086" priority="1142" stopIfTrue="1" operator="equal">
      <formula>"Pass"</formula>
    </cfRule>
    <cfRule type="cellIs" dxfId="1085" priority="1143" stopIfTrue="1" operator="equal">
      <formula>"Fail"</formula>
    </cfRule>
  </conditionalFormatting>
  <conditionalFormatting sqref="B206">
    <cfRule type="cellIs" dxfId="1084" priority="1126" stopIfTrue="1" operator="equal">
      <formula>"Please check"</formula>
    </cfRule>
    <cfRule type="cellIs" dxfId="1083" priority="1127" stopIfTrue="1" operator="equal">
      <formula>"Pass"</formula>
    </cfRule>
    <cfRule type="cellIs" dxfId="1082" priority="1128" stopIfTrue="1" operator="equal">
      <formula>"Fail"</formula>
    </cfRule>
  </conditionalFormatting>
  <conditionalFormatting sqref="B212">
    <cfRule type="cellIs" dxfId="1081" priority="1138" stopIfTrue="1" operator="equal">
      <formula>"Please check"</formula>
    </cfRule>
    <cfRule type="cellIs" dxfId="1080" priority="1139" stopIfTrue="1" operator="equal">
      <formula>"Pass"</formula>
    </cfRule>
    <cfRule type="cellIs" dxfId="1079" priority="1140" stopIfTrue="1" operator="equal">
      <formula>"Fail"</formula>
    </cfRule>
  </conditionalFormatting>
  <conditionalFormatting sqref="B209">
    <cfRule type="cellIs" dxfId="1078" priority="1114" stopIfTrue="1" operator="equal">
      <formula>"Please check"</formula>
    </cfRule>
    <cfRule type="cellIs" dxfId="1077" priority="1115" stopIfTrue="1" operator="equal">
      <formula>"Pass"</formula>
    </cfRule>
    <cfRule type="cellIs" dxfId="1076" priority="1116" stopIfTrue="1" operator="equal">
      <formula>"Fail"</formula>
    </cfRule>
  </conditionalFormatting>
  <conditionalFormatting sqref="A205:A206 C205:S206">
    <cfRule type="cellIs" dxfId="1075" priority="1132" stopIfTrue="1" operator="equal">
      <formula>"Please check"</formula>
    </cfRule>
    <cfRule type="cellIs" dxfId="1074" priority="1133" stopIfTrue="1" operator="equal">
      <formula>"Pass"</formula>
    </cfRule>
    <cfRule type="cellIs" dxfId="1073" priority="1134" stopIfTrue="1" operator="equal">
      <formula>"Fail"</formula>
    </cfRule>
  </conditionalFormatting>
  <conditionalFormatting sqref="B207">
    <cfRule type="cellIs" dxfId="1072" priority="1123" stopIfTrue="1" operator="equal">
      <formula>"Please check"</formula>
    </cfRule>
    <cfRule type="cellIs" dxfId="1071" priority="1124" stopIfTrue="1" operator="equal">
      <formula>"Pass"</formula>
    </cfRule>
    <cfRule type="cellIs" dxfId="1070" priority="1125" stopIfTrue="1" operator="equal">
      <formula>"Fail"</formula>
    </cfRule>
  </conditionalFormatting>
  <conditionalFormatting sqref="B219:B220">
    <cfRule type="cellIs" dxfId="1069" priority="1084" stopIfTrue="1" operator="equal">
      <formula>"Please check"</formula>
    </cfRule>
    <cfRule type="cellIs" dxfId="1068" priority="1085" stopIfTrue="1" operator="equal">
      <formula>"Pass"</formula>
    </cfRule>
    <cfRule type="cellIs" dxfId="1067" priority="1086" stopIfTrue="1" operator="equal">
      <formula>"Fail"</formula>
    </cfRule>
  </conditionalFormatting>
  <conditionalFormatting sqref="G219:G220">
    <cfRule type="cellIs" dxfId="1066" priority="1099" stopIfTrue="1" operator="equal">
      <formula>"Please check"</formula>
    </cfRule>
    <cfRule type="cellIs" dxfId="1065" priority="1100" stopIfTrue="1" operator="equal">
      <formula>"Pass"</formula>
    </cfRule>
    <cfRule type="cellIs" dxfId="1064" priority="1101" stopIfTrue="1" operator="equal">
      <formula>"Fail"</formula>
    </cfRule>
  </conditionalFormatting>
  <conditionalFormatting sqref="B221">
    <cfRule type="cellIs" dxfId="1063" priority="1105" stopIfTrue="1" operator="equal">
      <formula>"Please check"</formula>
    </cfRule>
    <cfRule type="cellIs" dxfId="1062" priority="1106" stopIfTrue="1" operator="equal">
      <formula>"Pass"</formula>
    </cfRule>
    <cfRule type="cellIs" dxfId="1061" priority="1107" stopIfTrue="1" operator="equal">
      <formula>"Fail"</formula>
    </cfRule>
  </conditionalFormatting>
  <conditionalFormatting sqref="B222">
    <cfRule type="cellIs" dxfId="1060" priority="1102" stopIfTrue="1" operator="equal">
      <formula>"Please check"</formula>
    </cfRule>
    <cfRule type="cellIs" dxfId="1059" priority="1103" stopIfTrue="1" operator="equal">
      <formula>"Pass"</formula>
    </cfRule>
    <cfRule type="cellIs" dxfId="1058" priority="1104" stopIfTrue="1" operator="equal">
      <formula>"Fail"</formula>
    </cfRule>
  </conditionalFormatting>
  <conditionalFormatting sqref="A221:A222 C221:S222">
    <cfRule type="cellIs" dxfId="1057" priority="1108" stopIfTrue="1" operator="equal">
      <formula>"Please check"</formula>
    </cfRule>
    <cfRule type="cellIs" dxfId="1056" priority="1109" stopIfTrue="1" operator="equal">
      <formula>"Pass"</formula>
    </cfRule>
    <cfRule type="cellIs" dxfId="1055" priority="1110" stopIfTrue="1" operator="equal">
      <formula>"Fail"</formula>
    </cfRule>
  </conditionalFormatting>
  <conditionalFormatting sqref="A219:A220 C219:D220 I219:J220 R219:S220">
    <cfRule type="cellIs" dxfId="1054" priority="1111" stopIfTrue="1" operator="equal">
      <formula>"Please check"</formula>
    </cfRule>
    <cfRule type="cellIs" dxfId="1053" priority="1112" stopIfTrue="1" operator="equal">
      <formula>"Pass"</formula>
    </cfRule>
    <cfRule type="cellIs" dxfId="1052" priority="1113" stopIfTrue="1" operator="equal">
      <formula>"Fail"</formula>
    </cfRule>
  </conditionalFormatting>
  <conditionalFormatting sqref="B249">
    <cfRule type="cellIs" dxfId="1051" priority="997" stopIfTrue="1" operator="equal">
      <formula>"Please check"</formula>
    </cfRule>
    <cfRule type="cellIs" dxfId="1050" priority="998" stopIfTrue="1" operator="equal">
      <formula>"Pass"</formula>
    </cfRule>
    <cfRule type="cellIs" dxfId="1049" priority="999" stopIfTrue="1" operator="equal">
      <formula>"Fail"</formula>
    </cfRule>
  </conditionalFormatting>
  <conditionalFormatting sqref="B214">
    <cfRule type="cellIs" dxfId="1048" priority="1090" stopIfTrue="1" operator="equal">
      <formula>"Please check"</formula>
    </cfRule>
    <cfRule type="cellIs" dxfId="1047" priority="1091" stopIfTrue="1" operator="equal">
      <formula>"Pass"</formula>
    </cfRule>
    <cfRule type="cellIs" dxfId="1046" priority="1092" stopIfTrue="1" operator="equal">
      <formula>"Fail"</formula>
    </cfRule>
  </conditionalFormatting>
  <conditionalFormatting sqref="B215:B218">
    <cfRule type="cellIs" dxfId="1045" priority="1087" stopIfTrue="1" operator="equal">
      <formula>"Please check"</formula>
    </cfRule>
    <cfRule type="cellIs" dxfId="1044" priority="1088" stopIfTrue="1" operator="equal">
      <formula>"Pass"</formula>
    </cfRule>
    <cfRule type="cellIs" dxfId="1043" priority="1089" stopIfTrue="1" operator="equal">
      <formula>"Fail"</formula>
    </cfRule>
  </conditionalFormatting>
  <conditionalFormatting sqref="B228:B229">
    <cfRule type="cellIs" dxfId="1042" priority="1054" stopIfTrue="1" operator="equal">
      <formula>"Please check"</formula>
    </cfRule>
    <cfRule type="cellIs" dxfId="1041" priority="1055" stopIfTrue="1" operator="equal">
      <formula>"Pass"</formula>
    </cfRule>
    <cfRule type="cellIs" dxfId="1040" priority="1056" stopIfTrue="1" operator="equal">
      <formula>"Fail"</formula>
    </cfRule>
  </conditionalFormatting>
  <conditionalFormatting sqref="B231">
    <cfRule type="cellIs" dxfId="1039" priority="1069" stopIfTrue="1" operator="equal">
      <formula>"Please check"</formula>
    </cfRule>
    <cfRule type="cellIs" dxfId="1038" priority="1070" stopIfTrue="1" operator="equal">
      <formula>"Pass"</formula>
    </cfRule>
    <cfRule type="cellIs" dxfId="1037" priority="1071" stopIfTrue="1" operator="equal">
      <formula>"Fail"</formula>
    </cfRule>
  </conditionalFormatting>
  <conditionalFormatting sqref="A230:A231 C230:S231">
    <cfRule type="cellIs" dxfId="1036" priority="1075" stopIfTrue="1" operator="equal">
      <formula>"Please check"</formula>
    </cfRule>
    <cfRule type="cellIs" dxfId="1035" priority="1076" stopIfTrue="1" operator="equal">
      <formula>"Pass"</formula>
    </cfRule>
    <cfRule type="cellIs" dxfId="1034" priority="1077" stopIfTrue="1" operator="equal">
      <formula>"Fail"</formula>
    </cfRule>
  </conditionalFormatting>
  <conditionalFormatting sqref="A228:A229 C228:D229 I228:J229 R228:S229">
    <cfRule type="cellIs" dxfId="1033" priority="1078" stopIfTrue="1" operator="equal">
      <formula>"Please check"</formula>
    </cfRule>
    <cfRule type="cellIs" dxfId="1032" priority="1079" stopIfTrue="1" operator="equal">
      <formula>"Pass"</formula>
    </cfRule>
    <cfRule type="cellIs" dxfId="1031" priority="1080" stopIfTrue="1" operator="equal">
      <formula>"Fail"</formula>
    </cfRule>
  </conditionalFormatting>
  <conditionalFormatting sqref="A234:A235 C234:S235">
    <cfRule type="cellIs" dxfId="1030" priority="1027" stopIfTrue="1" operator="equal">
      <formula>"Please check"</formula>
    </cfRule>
    <cfRule type="cellIs" dxfId="1029" priority="1028" stopIfTrue="1" operator="equal">
      <formula>"Pass"</formula>
    </cfRule>
    <cfRule type="cellIs" dxfId="1028" priority="1029" stopIfTrue="1" operator="equal">
      <formula>"Fail"</formula>
    </cfRule>
  </conditionalFormatting>
  <conditionalFormatting sqref="B223:B227">
    <cfRule type="cellIs" dxfId="1027" priority="1057" stopIfTrue="1" operator="equal">
      <formula>"Please check"</formula>
    </cfRule>
    <cfRule type="cellIs" dxfId="1026" priority="1058" stopIfTrue="1" operator="equal">
      <formula>"Pass"</formula>
    </cfRule>
    <cfRule type="cellIs" dxfId="1025" priority="1059" stopIfTrue="1" operator="equal">
      <formula>"Fail"</formula>
    </cfRule>
  </conditionalFormatting>
  <conditionalFormatting sqref="B238">
    <cfRule type="cellIs" dxfId="1024" priority="1009" stopIfTrue="1" operator="equal">
      <formula>"Please check"</formula>
    </cfRule>
    <cfRule type="cellIs" dxfId="1023" priority="1010" stopIfTrue="1" operator="equal">
      <formula>"Pass"</formula>
    </cfRule>
    <cfRule type="cellIs" dxfId="1022" priority="1011" stopIfTrue="1" operator="equal">
      <formula>"Fail"</formula>
    </cfRule>
  </conditionalFormatting>
  <conditionalFormatting sqref="B232">
    <cfRule type="cellIs" dxfId="1021" priority="1045" stopIfTrue="1" operator="equal">
      <formula>"Please check"</formula>
    </cfRule>
    <cfRule type="cellIs" dxfId="1020" priority="1046" stopIfTrue="1" operator="equal">
      <formula>"Pass"</formula>
    </cfRule>
    <cfRule type="cellIs" dxfId="1019" priority="1047" stopIfTrue="1" operator="equal">
      <formula>"Fail"</formula>
    </cfRule>
  </conditionalFormatting>
  <conditionalFormatting sqref="B233">
    <cfRule type="cellIs" dxfId="1018" priority="1042" stopIfTrue="1" operator="equal">
      <formula>"Please check"</formula>
    </cfRule>
    <cfRule type="cellIs" dxfId="1017" priority="1043" stopIfTrue="1" operator="equal">
      <formula>"Pass"</formula>
    </cfRule>
    <cfRule type="cellIs" dxfId="1016" priority="1044" stopIfTrue="1" operator="equal">
      <formula>"Fail"</formula>
    </cfRule>
  </conditionalFormatting>
  <conditionalFormatting sqref="A232:A233 C232:S233">
    <cfRule type="cellIs" dxfId="1015" priority="1048" stopIfTrue="1" operator="equal">
      <formula>"Please check"</formula>
    </cfRule>
    <cfRule type="cellIs" dxfId="1014" priority="1049" stopIfTrue="1" operator="equal">
      <formula>"Pass"</formula>
    </cfRule>
    <cfRule type="cellIs" dxfId="1013" priority="1050" stopIfTrue="1" operator="equal">
      <formula>"Fail"</formula>
    </cfRule>
  </conditionalFormatting>
  <conditionalFormatting sqref="B237">
    <cfRule type="cellIs" dxfId="1012" priority="1012" stopIfTrue="1" operator="equal">
      <formula>"Please check"</formula>
    </cfRule>
    <cfRule type="cellIs" dxfId="1011" priority="1013" stopIfTrue="1" operator="equal">
      <formula>"Pass"</formula>
    </cfRule>
    <cfRule type="cellIs" dxfId="1010" priority="1014" stopIfTrue="1" operator="equal">
      <formula>"Fail"</formula>
    </cfRule>
  </conditionalFormatting>
  <conditionalFormatting sqref="B234">
    <cfRule type="cellIs" dxfId="1009" priority="1024" stopIfTrue="1" operator="equal">
      <formula>"Please check"</formula>
    </cfRule>
    <cfRule type="cellIs" dxfId="1008" priority="1025" stopIfTrue="1" operator="equal">
      <formula>"Pass"</formula>
    </cfRule>
    <cfRule type="cellIs" dxfId="1007" priority="1026" stopIfTrue="1" operator="equal">
      <formula>"Fail"</formula>
    </cfRule>
  </conditionalFormatting>
  <conditionalFormatting sqref="A237:A238 C237:S238">
    <cfRule type="cellIs" dxfId="1006" priority="1015" stopIfTrue="1" operator="equal">
      <formula>"Please check"</formula>
    </cfRule>
    <cfRule type="cellIs" dxfId="1005" priority="1016" stopIfTrue="1" operator="equal">
      <formula>"Pass"</formula>
    </cfRule>
    <cfRule type="cellIs" dxfId="1004" priority="1017" stopIfTrue="1" operator="equal">
      <formula>"Fail"</formula>
    </cfRule>
  </conditionalFormatting>
  <conditionalFormatting sqref="A236 C236:S236">
    <cfRule type="cellIs" dxfId="1003" priority="1039" stopIfTrue="1" operator="equal">
      <formula>"Please check"</formula>
    </cfRule>
    <cfRule type="cellIs" dxfId="1002" priority="1040" stopIfTrue="1" operator="equal">
      <formula>"Pass"</formula>
    </cfRule>
    <cfRule type="cellIs" dxfId="1001" priority="1041" stopIfTrue="1" operator="equal">
      <formula>"Fail"</formula>
    </cfRule>
  </conditionalFormatting>
  <conditionalFormatting sqref="A239:A240 C239:S240">
    <cfRule type="cellIs" dxfId="1000" priority="1036" stopIfTrue="1" operator="equal">
      <formula>"Please check"</formula>
    </cfRule>
    <cfRule type="cellIs" dxfId="999" priority="1037" stopIfTrue="1" operator="equal">
      <formula>"Pass"</formula>
    </cfRule>
    <cfRule type="cellIs" dxfId="998" priority="1038" stopIfTrue="1" operator="equal">
      <formula>"Fail"</formula>
    </cfRule>
  </conditionalFormatting>
  <conditionalFormatting sqref="B240">
    <cfRule type="cellIs" dxfId="997" priority="1030" stopIfTrue="1" operator="equal">
      <formula>"Please check"</formula>
    </cfRule>
    <cfRule type="cellIs" dxfId="996" priority="1031" stopIfTrue="1" operator="equal">
      <formula>"Pass"</formula>
    </cfRule>
    <cfRule type="cellIs" dxfId="995" priority="1032" stopIfTrue="1" operator="equal">
      <formula>"Fail"</formula>
    </cfRule>
  </conditionalFormatting>
  <conditionalFormatting sqref="B239">
    <cfRule type="cellIs" dxfId="994" priority="1033" stopIfTrue="1" operator="equal">
      <formula>"Please check"</formula>
    </cfRule>
    <cfRule type="cellIs" dxfId="993" priority="1034" stopIfTrue="1" operator="equal">
      <formula>"Pass"</formula>
    </cfRule>
    <cfRule type="cellIs" dxfId="992" priority="1035" stopIfTrue="1" operator="equal">
      <formula>"Fail"</formula>
    </cfRule>
  </conditionalFormatting>
  <conditionalFormatting sqref="B235">
    <cfRule type="cellIs" dxfId="991" priority="1021" stopIfTrue="1" operator="equal">
      <formula>"Please check"</formula>
    </cfRule>
    <cfRule type="cellIs" dxfId="990" priority="1022" stopIfTrue="1" operator="equal">
      <formula>"Pass"</formula>
    </cfRule>
    <cfRule type="cellIs" dxfId="989" priority="1023" stopIfTrue="1" operator="equal">
      <formula>"Fail"</formula>
    </cfRule>
  </conditionalFormatting>
  <conditionalFormatting sqref="B236">
    <cfRule type="cellIs" dxfId="988" priority="1018" stopIfTrue="1" operator="equal">
      <formula>"Please check"</formula>
    </cfRule>
    <cfRule type="cellIs" dxfId="987" priority="1019" stopIfTrue="1" operator="equal">
      <formula>"Pass"</formula>
    </cfRule>
    <cfRule type="cellIs" dxfId="986" priority="1020" stopIfTrue="1" operator="equal">
      <formula>"Fail"</formula>
    </cfRule>
  </conditionalFormatting>
  <conditionalFormatting sqref="A273:A274 C273:D274 I273:J274 R273:S274">
    <cfRule type="cellIs" dxfId="985" priority="907" stopIfTrue="1" operator="equal">
      <formula>"Please check"</formula>
    </cfRule>
    <cfRule type="cellIs" dxfId="984" priority="908" stopIfTrue="1" operator="equal">
      <formula>"Pass"</formula>
    </cfRule>
    <cfRule type="cellIs" dxfId="983" priority="909" stopIfTrue="1" operator="equal">
      <formula>"Fail"</formula>
    </cfRule>
  </conditionalFormatting>
  <conditionalFormatting sqref="B248">
    <cfRule type="cellIs" dxfId="982" priority="1000" stopIfTrue="1" operator="equal">
      <formula>"Please check"</formula>
    </cfRule>
    <cfRule type="cellIs" dxfId="981" priority="1001" stopIfTrue="1" operator="equal">
      <formula>"Pass"</formula>
    </cfRule>
    <cfRule type="cellIs" dxfId="980" priority="1002" stopIfTrue="1" operator="equal">
      <formula>"Fail"</formula>
    </cfRule>
  </conditionalFormatting>
  <conditionalFormatting sqref="A248:A249 C248:S249">
    <cfRule type="cellIs" dxfId="979" priority="1003" stopIfTrue="1" operator="equal">
      <formula>"Please check"</formula>
    </cfRule>
    <cfRule type="cellIs" dxfId="978" priority="1004" stopIfTrue="1" operator="equal">
      <formula>"Pass"</formula>
    </cfRule>
    <cfRule type="cellIs" dxfId="977" priority="1005" stopIfTrue="1" operator="equal">
      <formula>"Fail"</formula>
    </cfRule>
  </conditionalFormatting>
  <conditionalFormatting sqref="A246:A247 C246:D247 I246:J247 R246:S247">
    <cfRule type="cellIs" dxfId="976" priority="1006" stopIfTrue="1" operator="equal">
      <formula>"Please check"</formula>
    </cfRule>
    <cfRule type="cellIs" dxfId="975" priority="1007" stopIfTrue="1" operator="equal">
      <formula>"Pass"</formula>
    </cfRule>
    <cfRule type="cellIs" dxfId="974" priority="1008" stopIfTrue="1" operator="equal">
      <formula>"Fail"</formula>
    </cfRule>
  </conditionalFormatting>
  <conditionalFormatting sqref="E246:F247">
    <cfRule type="cellIs" dxfId="973" priority="988" stopIfTrue="1" operator="equal">
      <formula>"Please check"</formula>
    </cfRule>
    <cfRule type="cellIs" dxfId="972" priority="989" stopIfTrue="1" operator="equal">
      <formula>"Pass"</formula>
    </cfRule>
    <cfRule type="cellIs" dxfId="971" priority="990" stopIfTrue="1" operator="equal">
      <formula>"Fail"</formula>
    </cfRule>
  </conditionalFormatting>
  <conditionalFormatting sqref="B241:B245">
    <cfRule type="cellIs" dxfId="970" priority="982" stopIfTrue="1" operator="equal">
      <formula>"Please check"</formula>
    </cfRule>
    <cfRule type="cellIs" dxfId="969" priority="983" stopIfTrue="1" operator="equal">
      <formula>"Pass"</formula>
    </cfRule>
    <cfRule type="cellIs" dxfId="968" priority="984" stopIfTrue="1" operator="equal">
      <formula>"Fail"</formula>
    </cfRule>
  </conditionalFormatting>
  <conditionalFormatting sqref="B246:B247">
    <cfRule type="cellIs" dxfId="967" priority="979" stopIfTrue="1" operator="equal">
      <formula>"Please check"</formula>
    </cfRule>
    <cfRule type="cellIs" dxfId="966" priority="980" stopIfTrue="1" operator="equal">
      <formula>"Pass"</formula>
    </cfRule>
    <cfRule type="cellIs" dxfId="965" priority="981" stopIfTrue="1" operator="equal">
      <formula>"Fail"</formula>
    </cfRule>
  </conditionalFormatting>
  <conditionalFormatting sqref="G264:G265">
    <cfRule type="cellIs" dxfId="964" priority="928" stopIfTrue="1" operator="equal">
      <formula>"Please check"</formula>
    </cfRule>
    <cfRule type="cellIs" dxfId="963" priority="929" stopIfTrue="1" operator="equal">
      <formula>"Pass"</formula>
    </cfRule>
    <cfRule type="cellIs" dxfId="962" priority="930" stopIfTrue="1" operator="equal">
      <formula>"Fail"</formula>
    </cfRule>
  </conditionalFormatting>
  <conditionalFormatting sqref="B257">
    <cfRule type="cellIs" dxfId="961" priority="967" stopIfTrue="1" operator="equal">
      <formula>"Please check"</formula>
    </cfRule>
    <cfRule type="cellIs" dxfId="960" priority="968" stopIfTrue="1" operator="equal">
      <formula>"Pass"</formula>
    </cfRule>
    <cfRule type="cellIs" dxfId="959" priority="969" stopIfTrue="1" operator="equal">
      <formula>"Fail"</formula>
    </cfRule>
  </conditionalFormatting>
  <conditionalFormatting sqref="B258">
    <cfRule type="cellIs" dxfId="958" priority="964" stopIfTrue="1" operator="equal">
      <formula>"Please check"</formula>
    </cfRule>
    <cfRule type="cellIs" dxfId="957" priority="965" stopIfTrue="1" operator="equal">
      <formula>"Pass"</formula>
    </cfRule>
    <cfRule type="cellIs" dxfId="956" priority="966" stopIfTrue="1" operator="equal">
      <formula>"Fail"</formula>
    </cfRule>
  </conditionalFormatting>
  <conditionalFormatting sqref="A257:A258 C257:S258">
    <cfRule type="cellIs" dxfId="955" priority="970" stopIfTrue="1" operator="equal">
      <formula>"Please check"</formula>
    </cfRule>
    <cfRule type="cellIs" dxfId="954" priority="971" stopIfTrue="1" operator="equal">
      <formula>"Pass"</formula>
    </cfRule>
    <cfRule type="cellIs" dxfId="953" priority="972" stopIfTrue="1" operator="equal">
      <formula>"Fail"</formula>
    </cfRule>
  </conditionalFormatting>
  <conditionalFormatting sqref="A255:A256 C255:D256 I255:J256 R255:S256">
    <cfRule type="cellIs" dxfId="952" priority="973" stopIfTrue="1" operator="equal">
      <formula>"Please check"</formula>
    </cfRule>
    <cfRule type="cellIs" dxfId="951" priority="974" stopIfTrue="1" operator="equal">
      <formula>"Pass"</formula>
    </cfRule>
    <cfRule type="cellIs" dxfId="950" priority="975" stopIfTrue="1" operator="equal">
      <formula>"Fail"</formula>
    </cfRule>
  </conditionalFormatting>
  <conditionalFormatting sqref="B250:B254">
    <cfRule type="cellIs" dxfId="949" priority="952" stopIfTrue="1" operator="equal">
      <formula>"Please check"</formula>
    </cfRule>
    <cfRule type="cellIs" dxfId="948" priority="953" stopIfTrue="1" operator="equal">
      <formula>"Pass"</formula>
    </cfRule>
    <cfRule type="cellIs" dxfId="947" priority="954" stopIfTrue="1" operator="equal">
      <formula>"Fail"</formula>
    </cfRule>
  </conditionalFormatting>
  <conditionalFormatting sqref="B255:B256">
    <cfRule type="cellIs" dxfId="946" priority="949" stopIfTrue="1" operator="equal">
      <formula>"Please check"</formula>
    </cfRule>
    <cfRule type="cellIs" dxfId="945" priority="950" stopIfTrue="1" operator="equal">
      <formula>"Pass"</formula>
    </cfRule>
    <cfRule type="cellIs" dxfId="944" priority="951" stopIfTrue="1" operator="equal">
      <formula>"Fail"</formula>
    </cfRule>
  </conditionalFormatting>
  <conditionalFormatting sqref="B266">
    <cfRule type="cellIs" dxfId="943" priority="937" stopIfTrue="1" operator="equal">
      <formula>"Please check"</formula>
    </cfRule>
    <cfRule type="cellIs" dxfId="942" priority="938" stopIfTrue="1" operator="equal">
      <formula>"Pass"</formula>
    </cfRule>
    <cfRule type="cellIs" dxfId="941" priority="939" stopIfTrue="1" operator="equal">
      <formula>"Fail"</formula>
    </cfRule>
  </conditionalFormatting>
  <conditionalFormatting sqref="B267">
    <cfRule type="cellIs" dxfId="940" priority="934" stopIfTrue="1" operator="equal">
      <formula>"Please check"</formula>
    </cfRule>
    <cfRule type="cellIs" dxfId="939" priority="935" stopIfTrue="1" operator="equal">
      <formula>"Pass"</formula>
    </cfRule>
    <cfRule type="cellIs" dxfId="938" priority="936" stopIfTrue="1" operator="equal">
      <formula>"Fail"</formula>
    </cfRule>
  </conditionalFormatting>
  <conditionalFormatting sqref="A266:A267 C266:S267">
    <cfRule type="cellIs" dxfId="937" priority="940" stopIfTrue="1" operator="equal">
      <formula>"Please check"</formula>
    </cfRule>
    <cfRule type="cellIs" dxfId="936" priority="941" stopIfTrue="1" operator="equal">
      <formula>"Pass"</formula>
    </cfRule>
    <cfRule type="cellIs" dxfId="935" priority="942" stopIfTrue="1" operator="equal">
      <formula>"Fail"</formula>
    </cfRule>
  </conditionalFormatting>
  <conditionalFormatting sqref="A264:A265 C264:F265 I264:J265 R264:S265">
    <cfRule type="cellIs" dxfId="934" priority="943" stopIfTrue="1" operator="equal">
      <formula>"Please check"</formula>
    </cfRule>
    <cfRule type="cellIs" dxfId="933" priority="944" stopIfTrue="1" operator="equal">
      <formula>"Pass"</formula>
    </cfRule>
    <cfRule type="cellIs" dxfId="932" priority="945" stopIfTrue="1" operator="equal">
      <formula>"Fail"</formula>
    </cfRule>
  </conditionalFormatting>
  <conditionalFormatting sqref="A275:A276 C275:D276 G275:J276 M275:S276">
    <cfRule type="cellIs" dxfId="931" priority="904" stopIfTrue="1" operator="equal">
      <formula>"Please check"</formula>
    </cfRule>
    <cfRule type="cellIs" dxfId="930" priority="905" stopIfTrue="1" operator="equal">
      <formula>"Pass"</formula>
    </cfRule>
    <cfRule type="cellIs" dxfId="929" priority="906" stopIfTrue="1" operator="equal">
      <formula>"Fail"</formula>
    </cfRule>
  </conditionalFormatting>
  <conditionalFormatting sqref="B259:B263">
    <cfRule type="cellIs" dxfId="928" priority="922" stopIfTrue="1" operator="equal">
      <formula>"Please check"</formula>
    </cfRule>
    <cfRule type="cellIs" dxfId="927" priority="923" stopIfTrue="1" operator="equal">
      <formula>"Pass"</formula>
    </cfRule>
    <cfRule type="cellIs" dxfId="926" priority="924" stopIfTrue="1" operator="equal">
      <formula>"Fail"</formula>
    </cfRule>
  </conditionalFormatting>
  <conditionalFormatting sqref="B264:B265">
    <cfRule type="cellIs" dxfId="925" priority="919" stopIfTrue="1" operator="equal">
      <formula>"Please check"</formula>
    </cfRule>
    <cfRule type="cellIs" dxfId="924" priority="920" stopIfTrue="1" operator="equal">
      <formula>"Pass"</formula>
    </cfRule>
    <cfRule type="cellIs" dxfId="923" priority="921" stopIfTrue="1" operator="equal">
      <formula>"Fail"</formula>
    </cfRule>
  </conditionalFormatting>
  <conditionalFormatting sqref="B275">
    <cfRule type="cellIs" dxfId="922" priority="901" stopIfTrue="1" operator="equal">
      <formula>"Please check"</formula>
    </cfRule>
    <cfRule type="cellIs" dxfId="921" priority="902" stopIfTrue="1" operator="equal">
      <formula>"Pass"</formula>
    </cfRule>
    <cfRule type="cellIs" dxfId="920" priority="903" stopIfTrue="1" operator="equal">
      <formula>"Fail"</formula>
    </cfRule>
  </conditionalFormatting>
  <conditionalFormatting sqref="G273:G274">
    <cfRule type="cellIs" dxfId="919" priority="895" stopIfTrue="1" operator="equal">
      <formula>"Please check"</formula>
    </cfRule>
    <cfRule type="cellIs" dxfId="918" priority="896" stopIfTrue="1" operator="equal">
      <formula>"Pass"</formula>
    </cfRule>
    <cfRule type="cellIs" dxfId="917" priority="897" stopIfTrue="1" operator="equal">
      <formula>"Fail"</formula>
    </cfRule>
  </conditionalFormatting>
  <conditionalFormatting sqref="B276">
    <cfRule type="cellIs" dxfId="916" priority="898" stopIfTrue="1" operator="equal">
      <formula>"Please check"</formula>
    </cfRule>
    <cfRule type="cellIs" dxfId="915" priority="899" stopIfTrue="1" operator="equal">
      <formula>"Pass"</formula>
    </cfRule>
    <cfRule type="cellIs" dxfId="914" priority="900" stopIfTrue="1" operator="equal">
      <formula>"Fail"</formula>
    </cfRule>
  </conditionalFormatting>
  <conditionalFormatting sqref="A288 O288:XFD288">
    <cfRule type="cellIs" dxfId="913" priority="865" stopIfTrue="1" operator="equal">
      <formula>"Please check"</formula>
    </cfRule>
    <cfRule type="cellIs" dxfId="912" priority="866" stopIfTrue="1" operator="equal">
      <formula>"Pass"</formula>
    </cfRule>
    <cfRule type="cellIs" dxfId="911" priority="867" stopIfTrue="1" operator="equal">
      <formula>"Fail"</formula>
    </cfRule>
  </conditionalFormatting>
  <conditionalFormatting sqref="B268:B272">
    <cfRule type="cellIs" dxfId="910" priority="886" stopIfTrue="1" operator="equal">
      <formula>"Please check"</formula>
    </cfRule>
    <cfRule type="cellIs" dxfId="909" priority="887" stopIfTrue="1" operator="equal">
      <formula>"Pass"</formula>
    </cfRule>
    <cfRule type="cellIs" dxfId="908" priority="888" stopIfTrue="1" operator="equal">
      <formula>"Fail"</formula>
    </cfRule>
  </conditionalFormatting>
  <conditionalFormatting sqref="B273:B274">
    <cfRule type="cellIs" dxfId="907" priority="883" stopIfTrue="1" operator="equal">
      <formula>"Please check"</formula>
    </cfRule>
    <cfRule type="cellIs" dxfId="906" priority="884" stopIfTrue="1" operator="equal">
      <formula>"Pass"</formula>
    </cfRule>
    <cfRule type="cellIs" dxfId="905" priority="885" stopIfTrue="1" operator="equal">
      <formula>"Fail"</formula>
    </cfRule>
  </conditionalFormatting>
  <conditionalFormatting sqref="B277:B283">
    <cfRule type="cellIs" dxfId="904" priority="871" stopIfTrue="1" operator="equal">
      <formula>"Please check"</formula>
    </cfRule>
    <cfRule type="cellIs" dxfId="903" priority="872" stopIfTrue="1" operator="equal">
      <formula>"Pass"</formula>
    </cfRule>
    <cfRule type="cellIs" dxfId="902" priority="873" stopIfTrue="1" operator="equal">
      <formula>"Fail"</formula>
    </cfRule>
  </conditionalFormatting>
  <conditionalFormatting sqref="I288 E288:G288 C288">
    <cfRule type="cellIs" dxfId="901" priority="868" stopIfTrue="1" operator="equal">
      <formula>"Please check"</formula>
    </cfRule>
    <cfRule type="cellIs" dxfId="900" priority="869" stopIfTrue="1" operator="equal">
      <formula>"Pass"</formula>
    </cfRule>
    <cfRule type="cellIs" dxfId="899" priority="870" stopIfTrue="1" operator="equal">
      <formula>"Fail"</formula>
    </cfRule>
  </conditionalFormatting>
  <conditionalFormatting sqref="B288">
    <cfRule type="cellIs" dxfId="898" priority="862" stopIfTrue="1" operator="equal">
      <formula>"Please check"</formula>
    </cfRule>
    <cfRule type="cellIs" dxfId="897" priority="863" stopIfTrue="1" operator="equal">
      <formula>"Pass"</formula>
    </cfRule>
    <cfRule type="cellIs" dxfId="896" priority="864" stopIfTrue="1" operator="equal">
      <formula>"Fail"</formula>
    </cfRule>
  </conditionalFormatting>
  <conditionalFormatting sqref="K288:M288">
    <cfRule type="cellIs" dxfId="895" priority="859" stopIfTrue="1" operator="equal">
      <formula>"Please check"</formula>
    </cfRule>
    <cfRule type="cellIs" dxfId="894" priority="860" stopIfTrue="1" operator="equal">
      <formula>"Pass"</formula>
    </cfRule>
    <cfRule type="cellIs" dxfId="893" priority="861" stopIfTrue="1" operator="equal">
      <formula>"Fail"</formula>
    </cfRule>
  </conditionalFormatting>
  <conditionalFormatting sqref="D288">
    <cfRule type="cellIs" dxfId="892" priority="853" stopIfTrue="1" operator="equal">
      <formula>"Please check"</formula>
    </cfRule>
    <cfRule type="cellIs" dxfId="891" priority="854" stopIfTrue="1" operator="equal">
      <formula>"Pass"</formula>
    </cfRule>
    <cfRule type="cellIs" dxfId="890" priority="855" stopIfTrue="1" operator="equal">
      <formula>"Fail"</formula>
    </cfRule>
  </conditionalFormatting>
  <conditionalFormatting sqref="J288">
    <cfRule type="cellIs" dxfId="889" priority="850" stopIfTrue="1" operator="equal">
      <formula>"Please check"</formula>
    </cfRule>
    <cfRule type="cellIs" dxfId="888" priority="851" stopIfTrue="1" operator="equal">
      <formula>"Pass"</formula>
    </cfRule>
    <cfRule type="cellIs" dxfId="887" priority="852" stopIfTrue="1" operator="equal">
      <formula>"Fail"</formula>
    </cfRule>
  </conditionalFormatting>
  <conditionalFormatting sqref="H288">
    <cfRule type="cellIs" dxfId="886" priority="847" stopIfTrue="1" operator="equal">
      <formula>"Please check"</formula>
    </cfRule>
    <cfRule type="cellIs" dxfId="885" priority="848" stopIfTrue="1" operator="equal">
      <formula>"Pass"</formula>
    </cfRule>
    <cfRule type="cellIs" dxfId="884" priority="849" stopIfTrue="1" operator="equal">
      <formula>"Fail"</formula>
    </cfRule>
  </conditionalFormatting>
  <conditionalFormatting sqref="A287 C287:S287">
    <cfRule type="cellIs" dxfId="883" priority="844" stopIfTrue="1" operator="equal">
      <formula>"Please check"</formula>
    </cfRule>
    <cfRule type="cellIs" dxfId="882" priority="845" stopIfTrue="1" operator="equal">
      <formula>"Pass"</formula>
    </cfRule>
    <cfRule type="cellIs" dxfId="881" priority="846" stopIfTrue="1" operator="equal">
      <formula>"Fail"</formula>
    </cfRule>
  </conditionalFormatting>
  <conditionalFormatting sqref="B287">
    <cfRule type="cellIs" dxfId="880" priority="841" stopIfTrue="1" operator="equal">
      <formula>"Please check"</formula>
    </cfRule>
    <cfRule type="cellIs" dxfId="879" priority="842" stopIfTrue="1" operator="equal">
      <formula>"Pass"</formula>
    </cfRule>
    <cfRule type="cellIs" dxfId="878" priority="843" stopIfTrue="1" operator="equal">
      <formula>"Fail"</formula>
    </cfRule>
  </conditionalFormatting>
  <conditionalFormatting sqref="A286 C286:S286">
    <cfRule type="cellIs" dxfId="877" priority="838" stopIfTrue="1" operator="equal">
      <formula>"Please check"</formula>
    </cfRule>
    <cfRule type="cellIs" dxfId="876" priority="839" stopIfTrue="1" operator="equal">
      <formula>"Pass"</formula>
    </cfRule>
    <cfRule type="cellIs" dxfId="875" priority="840" stopIfTrue="1" operator="equal">
      <formula>"Fail"</formula>
    </cfRule>
  </conditionalFormatting>
  <conditionalFormatting sqref="B286">
    <cfRule type="cellIs" dxfId="874" priority="835" stopIfTrue="1" operator="equal">
      <formula>"Please check"</formula>
    </cfRule>
    <cfRule type="cellIs" dxfId="873" priority="836" stopIfTrue="1" operator="equal">
      <formula>"Pass"</formula>
    </cfRule>
    <cfRule type="cellIs" dxfId="872" priority="837" stopIfTrue="1" operator="equal">
      <formula>"Fail"</formula>
    </cfRule>
  </conditionalFormatting>
  <conditionalFormatting sqref="A289">
    <cfRule type="cellIs" dxfId="871" priority="832" stopIfTrue="1" operator="equal">
      <formula>"Please check"</formula>
    </cfRule>
    <cfRule type="cellIs" dxfId="870" priority="833" stopIfTrue="1" operator="equal">
      <formula>"Pass"</formula>
    </cfRule>
    <cfRule type="cellIs" dxfId="869" priority="834" stopIfTrue="1" operator="equal">
      <formula>"Fail"</formula>
    </cfRule>
  </conditionalFormatting>
  <conditionalFormatting sqref="A304">
    <cfRule type="cellIs" dxfId="868" priority="829" stopIfTrue="1" operator="equal">
      <formula>"Please check"</formula>
    </cfRule>
    <cfRule type="cellIs" dxfId="867" priority="830" stopIfTrue="1" operator="equal">
      <formula>"Pass"</formula>
    </cfRule>
    <cfRule type="cellIs" dxfId="866" priority="831" stopIfTrue="1" operator="equal">
      <formula>"Fail"</formula>
    </cfRule>
  </conditionalFormatting>
  <conditionalFormatting sqref="A303">
    <cfRule type="cellIs" dxfId="865" priority="823" stopIfTrue="1" operator="equal">
      <formula>"Please check"</formula>
    </cfRule>
    <cfRule type="cellIs" dxfId="864" priority="824" stopIfTrue="1" operator="equal">
      <formula>"Pass"</formula>
    </cfRule>
    <cfRule type="cellIs" dxfId="863" priority="825" stopIfTrue="1" operator="equal">
      <formula>"Fail"</formula>
    </cfRule>
  </conditionalFormatting>
  <conditionalFormatting sqref="B291:B302">
    <cfRule type="cellIs" dxfId="862" priority="811" stopIfTrue="1" operator="equal">
      <formula>"Please check"</formula>
    </cfRule>
    <cfRule type="cellIs" dxfId="861" priority="812" stopIfTrue="1" operator="equal">
      <formula>"Pass"</formula>
    </cfRule>
    <cfRule type="cellIs" dxfId="860" priority="813" stopIfTrue="1" operator="equal">
      <formula>"Fail"</formula>
    </cfRule>
  </conditionalFormatting>
  <conditionalFormatting sqref="A306">
    <cfRule type="cellIs" dxfId="859" priority="796" stopIfTrue="1" operator="equal">
      <formula>"Please check"</formula>
    </cfRule>
    <cfRule type="cellIs" dxfId="858" priority="797" stopIfTrue="1" operator="equal">
      <formula>"Pass"</formula>
    </cfRule>
    <cfRule type="cellIs" dxfId="857" priority="798" stopIfTrue="1" operator="equal">
      <formula>"Fail"</formula>
    </cfRule>
  </conditionalFormatting>
  <conditionalFormatting sqref="H313:H315">
    <cfRule type="cellIs" dxfId="856" priority="778" stopIfTrue="1" operator="equal">
      <formula>"Please check"</formula>
    </cfRule>
    <cfRule type="cellIs" dxfId="855" priority="779" stopIfTrue="1" operator="equal">
      <formula>"Pass"</formula>
    </cfRule>
    <cfRule type="cellIs" dxfId="854" priority="780" stopIfTrue="1" operator="equal">
      <formula>"Fail"</formula>
    </cfRule>
  </conditionalFormatting>
  <conditionalFormatting sqref="H53">
    <cfRule type="cellIs" dxfId="853" priority="775" stopIfTrue="1" operator="equal">
      <formula>"Please check"</formula>
    </cfRule>
    <cfRule type="cellIs" dxfId="852" priority="776" stopIfTrue="1" operator="equal">
      <formula>"Pass"</formula>
    </cfRule>
    <cfRule type="cellIs" dxfId="851" priority="777" stopIfTrue="1" operator="equal">
      <formula>"Fail"</formula>
    </cfRule>
  </conditionalFormatting>
  <conditionalFormatting sqref="B306:S306">
    <cfRule type="cellIs" dxfId="850" priority="802" stopIfTrue="1" operator="equal">
      <formula>"Please check"</formula>
    </cfRule>
    <cfRule type="cellIs" dxfId="849" priority="803" stopIfTrue="1" operator="equal">
      <formula>"Pass"</formula>
    </cfRule>
    <cfRule type="cellIs" dxfId="848" priority="804" stopIfTrue="1" operator="equal">
      <formula>"Fail"</formula>
    </cfRule>
  </conditionalFormatting>
  <conditionalFormatting sqref="H159">
    <cfRule type="cellIs" dxfId="847" priority="640" stopIfTrue="1" operator="equal">
      <formula>"Please check"</formula>
    </cfRule>
    <cfRule type="cellIs" dxfId="846" priority="641" stopIfTrue="1" operator="equal">
      <formula>"Pass"</formula>
    </cfRule>
    <cfRule type="cellIs" dxfId="845" priority="642" stopIfTrue="1" operator="equal">
      <formula>"Fail"</formula>
    </cfRule>
  </conditionalFormatting>
  <conditionalFormatting sqref="H259">
    <cfRule type="cellIs" dxfId="844" priority="652" stopIfTrue="1" operator="equal">
      <formula>"Please check"</formula>
    </cfRule>
    <cfRule type="cellIs" dxfId="843" priority="653" stopIfTrue="1" operator="equal">
      <formula>"Pass"</formula>
    </cfRule>
    <cfRule type="cellIs" dxfId="842" priority="654" stopIfTrue="1" operator="equal">
      <formula>"Fail"</formula>
    </cfRule>
  </conditionalFormatting>
  <conditionalFormatting sqref="A310 C310:S310">
    <cfRule type="cellIs" dxfId="841" priority="793" stopIfTrue="1" operator="equal">
      <formula>"Please check"</formula>
    </cfRule>
    <cfRule type="cellIs" dxfId="840" priority="794" stopIfTrue="1" operator="equal">
      <formula>"Pass"</formula>
    </cfRule>
    <cfRule type="cellIs" dxfId="839" priority="795" stopIfTrue="1" operator="equal">
      <formula>"Fail"</formula>
    </cfRule>
  </conditionalFormatting>
  <conditionalFormatting sqref="H76">
    <cfRule type="cellIs" dxfId="838" priority="646" stopIfTrue="1" operator="equal">
      <formula>"Please check"</formula>
    </cfRule>
    <cfRule type="cellIs" dxfId="837" priority="647" stopIfTrue="1" operator="equal">
      <formula>"Pass"</formula>
    </cfRule>
    <cfRule type="cellIs" dxfId="836" priority="648" stopIfTrue="1" operator="equal">
      <formula>"Fail"</formula>
    </cfRule>
  </conditionalFormatting>
  <conditionalFormatting sqref="A309 C309:S309">
    <cfRule type="cellIs" dxfId="835" priority="787" stopIfTrue="1" operator="equal">
      <formula>"Please check"</formula>
    </cfRule>
    <cfRule type="cellIs" dxfId="834" priority="788" stopIfTrue="1" operator="equal">
      <formula>"Pass"</formula>
    </cfRule>
    <cfRule type="cellIs" dxfId="833" priority="789" stopIfTrue="1" operator="equal">
      <formula>"Fail"</formula>
    </cfRule>
  </conditionalFormatting>
  <conditionalFormatting sqref="A315:B315 N315 I313:XFD314 A313:G314 R315:XFD315">
    <cfRule type="cellIs" dxfId="832" priority="781" stopIfTrue="1" operator="equal">
      <formula>"Please check"</formula>
    </cfRule>
    <cfRule type="cellIs" dxfId="831" priority="782" stopIfTrue="1" operator="equal">
      <formula>"Pass"</formula>
    </cfRule>
    <cfRule type="cellIs" dxfId="830" priority="783" stopIfTrue="1" operator="equal">
      <formula>"Fail"</formula>
    </cfRule>
  </conditionalFormatting>
  <conditionalFormatting sqref="H69">
    <cfRule type="cellIs" dxfId="829" priority="772" stopIfTrue="1" operator="equal">
      <formula>"Please check"</formula>
    </cfRule>
    <cfRule type="cellIs" dxfId="828" priority="773" stopIfTrue="1" operator="equal">
      <formula>"Pass"</formula>
    </cfRule>
    <cfRule type="cellIs" dxfId="827" priority="774" stopIfTrue="1" operator="equal">
      <formula>"Fail"</formula>
    </cfRule>
  </conditionalFormatting>
  <conditionalFormatting sqref="H78:H83">
    <cfRule type="cellIs" dxfId="826" priority="769" stopIfTrue="1" operator="equal">
      <formula>"Please check"</formula>
    </cfRule>
    <cfRule type="cellIs" dxfId="825" priority="770" stopIfTrue="1" operator="equal">
      <formula>"Pass"</formula>
    </cfRule>
    <cfRule type="cellIs" dxfId="824" priority="771" stopIfTrue="1" operator="equal">
      <formula>"Fail"</formula>
    </cfRule>
  </conditionalFormatting>
  <conditionalFormatting sqref="H87:H92">
    <cfRule type="cellIs" dxfId="823" priority="766" stopIfTrue="1" operator="equal">
      <formula>"Please check"</formula>
    </cfRule>
    <cfRule type="cellIs" dxfId="822" priority="767" stopIfTrue="1" operator="equal">
      <formula>"Pass"</formula>
    </cfRule>
    <cfRule type="cellIs" dxfId="821" priority="768" stopIfTrue="1" operator="equal">
      <formula>"Fail"</formula>
    </cfRule>
  </conditionalFormatting>
  <conditionalFormatting sqref="H96:H101">
    <cfRule type="cellIs" dxfId="820" priority="763" stopIfTrue="1" operator="equal">
      <formula>"Please check"</formula>
    </cfRule>
    <cfRule type="cellIs" dxfId="819" priority="764" stopIfTrue="1" operator="equal">
      <formula>"Pass"</formula>
    </cfRule>
    <cfRule type="cellIs" dxfId="818" priority="765" stopIfTrue="1" operator="equal">
      <formula>"Fail"</formula>
    </cfRule>
  </conditionalFormatting>
  <conditionalFormatting sqref="H115:H120">
    <cfRule type="cellIs" dxfId="817" priority="760" stopIfTrue="1" operator="equal">
      <formula>"Please check"</formula>
    </cfRule>
    <cfRule type="cellIs" dxfId="816" priority="761" stopIfTrue="1" operator="equal">
      <formula>"Pass"</formula>
    </cfRule>
    <cfRule type="cellIs" dxfId="815" priority="762" stopIfTrue="1" operator="equal">
      <formula>"Fail"</formula>
    </cfRule>
  </conditionalFormatting>
  <conditionalFormatting sqref="H124:H129">
    <cfRule type="cellIs" dxfId="814" priority="757" stopIfTrue="1" operator="equal">
      <formula>"Please check"</formula>
    </cfRule>
    <cfRule type="cellIs" dxfId="813" priority="758" stopIfTrue="1" operator="equal">
      <formula>"Pass"</formula>
    </cfRule>
    <cfRule type="cellIs" dxfId="812" priority="759" stopIfTrue="1" operator="equal">
      <formula>"Fail"</formula>
    </cfRule>
  </conditionalFormatting>
  <conditionalFormatting sqref="H133:H138">
    <cfRule type="cellIs" dxfId="811" priority="754" stopIfTrue="1" operator="equal">
      <formula>"Please check"</formula>
    </cfRule>
    <cfRule type="cellIs" dxfId="810" priority="755" stopIfTrue="1" operator="equal">
      <formula>"Pass"</formula>
    </cfRule>
    <cfRule type="cellIs" dxfId="809" priority="756" stopIfTrue="1" operator="equal">
      <formula>"Fail"</formula>
    </cfRule>
  </conditionalFormatting>
  <conditionalFormatting sqref="H151:H156">
    <cfRule type="cellIs" dxfId="808" priority="751" stopIfTrue="1" operator="equal">
      <formula>"Please check"</formula>
    </cfRule>
    <cfRule type="cellIs" dxfId="807" priority="752" stopIfTrue="1" operator="equal">
      <formula>"Pass"</formula>
    </cfRule>
    <cfRule type="cellIs" dxfId="806" priority="753" stopIfTrue="1" operator="equal">
      <formula>"Fail"</formula>
    </cfRule>
  </conditionalFormatting>
  <conditionalFormatting sqref="H161:H166">
    <cfRule type="cellIs" dxfId="805" priority="748" stopIfTrue="1" operator="equal">
      <formula>"Please check"</formula>
    </cfRule>
    <cfRule type="cellIs" dxfId="804" priority="749" stopIfTrue="1" operator="equal">
      <formula>"Pass"</formula>
    </cfRule>
    <cfRule type="cellIs" dxfId="803" priority="750" stopIfTrue="1" operator="equal">
      <formula>"Fail"</formula>
    </cfRule>
  </conditionalFormatting>
  <conditionalFormatting sqref="H170:H175">
    <cfRule type="cellIs" dxfId="802" priority="745" stopIfTrue="1" operator="equal">
      <formula>"Please check"</formula>
    </cfRule>
    <cfRule type="cellIs" dxfId="801" priority="746" stopIfTrue="1" operator="equal">
      <formula>"Pass"</formula>
    </cfRule>
    <cfRule type="cellIs" dxfId="800" priority="747" stopIfTrue="1" operator="equal">
      <formula>"Fail"</formula>
    </cfRule>
  </conditionalFormatting>
  <conditionalFormatting sqref="H179:H184">
    <cfRule type="cellIs" dxfId="799" priority="742" stopIfTrue="1" operator="equal">
      <formula>"Please check"</formula>
    </cfRule>
    <cfRule type="cellIs" dxfId="798" priority="743" stopIfTrue="1" operator="equal">
      <formula>"Pass"</formula>
    </cfRule>
    <cfRule type="cellIs" dxfId="797" priority="744" stopIfTrue="1" operator="equal">
      <formula>"Fail"</formula>
    </cfRule>
  </conditionalFormatting>
  <conditionalFormatting sqref="H188:H193">
    <cfRule type="cellIs" dxfId="796" priority="739" stopIfTrue="1" operator="equal">
      <formula>"Please check"</formula>
    </cfRule>
    <cfRule type="cellIs" dxfId="795" priority="740" stopIfTrue="1" operator="equal">
      <formula>"Pass"</formula>
    </cfRule>
    <cfRule type="cellIs" dxfId="794" priority="741" stopIfTrue="1" operator="equal">
      <formula>"Fail"</formula>
    </cfRule>
  </conditionalFormatting>
  <conditionalFormatting sqref="H197:H202">
    <cfRule type="cellIs" dxfId="793" priority="736" stopIfTrue="1" operator="equal">
      <formula>"Please check"</formula>
    </cfRule>
    <cfRule type="cellIs" dxfId="792" priority="737" stopIfTrue="1" operator="equal">
      <formula>"Pass"</formula>
    </cfRule>
    <cfRule type="cellIs" dxfId="791" priority="738" stopIfTrue="1" operator="equal">
      <formula>"Fail"</formula>
    </cfRule>
  </conditionalFormatting>
  <conditionalFormatting sqref="H215:H220">
    <cfRule type="cellIs" dxfId="790" priority="730" stopIfTrue="1" operator="equal">
      <formula>"Please check"</formula>
    </cfRule>
    <cfRule type="cellIs" dxfId="789" priority="731" stopIfTrue="1" operator="equal">
      <formula>"Pass"</formula>
    </cfRule>
    <cfRule type="cellIs" dxfId="788" priority="732" stopIfTrue="1" operator="equal">
      <formula>"Fail"</formula>
    </cfRule>
  </conditionalFormatting>
  <conditionalFormatting sqref="H113">
    <cfRule type="cellIs" dxfId="787" priority="643" stopIfTrue="1" operator="equal">
      <formula>"Please check"</formula>
    </cfRule>
    <cfRule type="cellIs" dxfId="786" priority="644" stopIfTrue="1" operator="equal">
      <formula>"Pass"</formula>
    </cfRule>
    <cfRule type="cellIs" dxfId="785" priority="645" stopIfTrue="1" operator="equal">
      <formula>"Fail"</formula>
    </cfRule>
  </conditionalFormatting>
  <conditionalFormatting sqref="H242:H247">
    <cfRule type="cellIs" dxfId="784" priority="724" stopIfTrue="1" operator="equal">
      <formula>"Please check"</formula>
    </cfRule>
    <cfRule type="cellIs" dxfId="783" priority="725" stopIfTrue="1" operator="equal">
      <formula>"Pass"</formula>
    </cfRule>
    <cfRule type="cellIs" dxfId="782" priority="726" stopIfTrue="1" operator="equal">
      <formula>"Fail"</formula>
    </cfRule>
  </conditionalFormatting>
  <conditionalFormatting sqref="H224:H229">
    <cfRule type="cellIs" dxfId="781" priority="721" stopIfTrue="1" operator="equal">
      <formula>"Please check"</formula>
    </cfRule>
    <cfRule type="cellIs" dxfId="780" priority="722" stopIfTrue="1" operator="equal">
      <formula>"Pass"</formula>
    </cfRule>
    <cfRule type="cellIs" dxfId="779" priority="723" stopIfTrue="1" operator="equal">
      <formula>"Fail"</formula>
    </cfRule>
  </conditionalFormatting>
  <conditionalFormatting sqref="H251:H256">
    <cfRule type="cellIs" dxfId="778" priority="718" stopIfTrue="1" operator="equal">
      <formula>"Please check"</formula>
    </cfRule>
    <cfRule type="cellIs" dxfId="777" priority="719" stopIfTrue="1" operator="equal">
      <formula>"Pass"</formula>
    </cfRule>
    <cfRule type="cellIs" dxfId="776" priority="720" stopIfTrue="1" operator="equal">
      <formula>"Fail"</formula>
    </cfRule>
  </conditionalFormatting>
  <conditionalFormatting sqref="H277">
    <cfRule type="cellIs" dxfId="775" priority="715" stopIfTrue="1" operator="equal">
      <formula>"Please check"</formula>
    </cfRule>
    <cfRule type="cellIs" dxfId="774" priority="716" stopIfTrue="1" operator="equal">
      <formula>"Pass"</formula>
    </cfRule>
    <cfRule type="cellIs" dxfId="773" priority="717" stopIfTrue="1" operator="equal">
      <formula>"Fail"</formula>
    </cfRule>
  </conditionalFormatting>
  <conditionalFormatting sqref="H269:H274">
    <cfRule type="cellIs" dxfId="772" priority="712" stopIfTrue="1" operator="equal">
      <formula>"Please check"</formula>
    </cfRule>
    <cfRule type="cellIs" dxfId="771" priority="713" stopIfTrue="1" operator="equal">
      <formula>"Pass"</formula>
    </cfRule>
    <cfRule type="cellIs" dxfId="770" priority="714" stopIfTrue="1" operator="equal">
      <formula>"Fail"</formula>
    </cfRule>
  </conditionalFormatting>
  <conditionalFormatting sqref="H280:H281">
    <cfRule type="cellIs" dxfId="769" priority="709" stopIfTrue="1" operator="equal">
      <formula>"Please check"</formula>
    </cfRule>
    <cfRule type="cellIs" dxfId="768" priority="710" stopIfTrue="1" operator="equal">
      <formula>"Pass"</formula>
    </cfRule>
    <cfRule type="cellIs" dxfId="767" priority="711" stopIfTrue="1" operator="equal">
      <formula>"Fail"</formula>
    </cfRule>
  </conditionalFormatting>
  <conditionalFormatting sqref="H283">
    <cfRule type="cellIs" dxfId="766" priority="706" stopIfTrue="1" operator="equal">
      <formula>"Please check"</formula>
    </cfRule>
    <cfRule type="cellIs" dxfId="765" priority="707" stopIfTrue="1" operator="equal">
      <formula>"Pass"</formula>
    </cfRule>
    <cfRule type="cellIs" dxfId="764" priority="708" stopIfTrue="1" operator="equal">
      <formula>"Fail"</formula>
    </cfRule>
  </conditionalFormatting>
  <conditionalFormatting sqref="H59">
    <cfRule type="cellIs" dxfId="763" priority="703" stopIfTrue="1" operator="equal">
      <formula>"Please check"</formula>
    </cfRule>
    <cfRule type="cellIs" dxfId="762" priority="704" stopIfTrue="1" operator="equal">
      <formula>"Pass"</formula>
    </cfRule>
    <cfRule type="cellIs" dxfId="761" priority="705" stopIfTrue="1" operator="equal">
      <formula>"Fail"</formula>
    </cfRule>
  </conditionalFormatting>
  <conditionalFormatting sqref="H77">
    <cfRule type="cellIs" dxfId="760" priority="700" stopIfTrue="1" operator="equal">
      <formula>"Please check"</formula>
    </cfRule>
    <cfRule type="cellIs" dxfId="759" priority="701" stopIfTrue="1" operator="equal">
      <formula>"Pass"</formula>
    </cfRule>
    <cfRule type="cellIs" dxfId="758" priority="702" stopIfTrue="1" operator="equal">
      <formula>"Fail"</formula>
    </cfRule>
  </conditionalFormatting>
  <conditionalFormatting sqref="H86">
    <cfRule type="cellIs" dxfId="757" priority="697" stopIfTrue="1" operator="equal">
      <formula>"Please check"</formula>
    </cfRule>
    <cfRule type="cellIs" dxfId="756" priority="698" stopIfTrue="1" operator="equal">
      <formula>"Pass"</formula>
    </cfRule>
    <cfRule type="cellIs" dxfId="755" priority="699" stopIfTrue="1" operator="equal">
      <formula>"Fail"</formula>
    </cfRule>
  </conditionalFormatting>
  <conditionalFormatting sqref="H95">
    <cfRule type="cellIs" dxfId="754" priority="694" stopIfTrue="1" operator="equal">
      <formula>"Please check"</formula>
    </cfRule>
    <cfRule type="cellIs" dxfId="753" priority="695" stopIfTrue="1" operator="equal">
      <formula>"Pass"</formula>
    </cfRule>
    <cfRule type="cellIs" dxfId="752" priority="696" stopIfTrue="1" operator="equal">
      <formula>"Fail"</formula>
    </cfRule>
  </conditionalFormatting>
  <conditionalFormatting sqref="H114">
    <cfRule type="cellIs" dxfId="751" priority="691" stopIfTrue="1" operator="equal">
      <formula>"Please check"</formula>
    </cfRule>
    <cfRule type="cellIs" dxfId="750" priority="692" stopIfTrue="1" operator="equal">
      <formula>"Pass"</formula>
    </cfRule>
    <cfRule type="cellIs" dxfId="749" priority="693" stopIfTrue="1" operator="equal">
      <formula>"Fail"</formula>
    </cfRule>
  </conditionalFormatting>
  <conditionalFormatting sqref="H123">
    <cfRule type="cellIs" dxfId="748" priority="688" stopIfTrue="1" operator="equal">
      <formula>"Please check"</formula>
    </cfRule>
    <cfRule type="cellIs" dxfId="747" priority="689" stopIfTrue="1" operator="equal">
      <formula>"Pass"</formula>
    </cfRule>
    <cfRule type="cellIs" dxfId="746" priority="690" stopIfTrue="1" operator="equal">
      <formula>"Fail"</formula>
    </cfRule>
  </conditionalFormatting>
  <conditionalFormatting sqref="H132">
    <cfRule type="cellIs" dxfId="745" priority="685" stopIfTrue="1" operator="equal">
      <formula>"Please check"</formula>
    </cfRule>
    <cfRule type="cellIs" dxfId="744" priority="686" stopIfTrue="1" operator="equal">
      <formula>"Pass"</formula>
    </cfRule>
    <cfRule type="cellIs" dxfId="743" priority="687" stopIfTrue="1" operator="equal">
      <formula>"Fail"</formula>
    </cfRule>
  </conditionalFormatting>
  <conditionalFormatting sqref="H150">
    <cfRule type="cellIs" dxfId="742" priority="682" stopIfTrue="1" operator="equal">
      <formula>"Please check"</formula>
    </cfRule>
    <cfRule type="cellIs" dxfId="741" priority="683" stopIfTrue="1" operator="equal">
      <formula>"Pass"</formula>
    </cfRule>
    <cfRule type="cellIs" dxfId="740" priority="684" stopIfTrue="1" operator="equal">
      <formula>"Fail"</formula>
    </cfRule>
  </conditionalFormatting>
  <conditionalFormatting sqref="H160">
    <cfRule type="cellIs" dxfId="739" priority="679" stopIfTrue="1" operator="equal">
      <formula>"Please check"</formula>
    </cfRule>
    <cfRule type="cellIs" dxfId="738" priority="680" stopIfTrue="1" operator="equal">
      <formula>"Pass"</formula>
    </cfRule>
    <cfRule type="cellIs" dxfId="737" priority="681" stopIfTrue="1" operator="equal">
      <formula>"Fail"</formula>
    </cfRule>
  </conditionalFormatting>
  <conditionalFormatting sqref="H169">
    <cfRule type="cellIs" dxfId="736" priority="676" stopIfTrue="1" operator="equal">
      <formula>"Please check"</formula>
    </cfRule>
    <cfRule type="cellIs" dxfId="735" priority="677" stopIfTrue="1" operator="equal">
      <formula>"Pass"</formula>
    </cfRule>
    <cfRule type="cellIs" dxfId="734" priority="678" stopIfTrue="1" operator="equal">
      <formula>"Fail"</formula>
    </cfRule>
  </conditionalFormatting>
  <conditionalFormatting sqref="H178">
    <cfRule type="cellIs" dxfId="733" priority="673" stopIfTrue="1" operator="equal">
      <formula>"Please check"</formula>
    </cfRule>
    <cfRule type="cellIs" dxfId="732" priority="674" stopIfTrue="1" operator="equal">
      <formula>"Pass"</formula>
    </cfRule>
    <cfRule type="cellIs" dxfId="731" priority="675" stopIfTrue="1" operator="equal">
      <formula>"Fail"</formula>
    </cfRule>
  </conditionalFormatting>
  <conditionalFormatting sqref="H187">
    <cfRule type="cellIs" dxfId="730" priority="670" stopIfTrue="1" operator="equal">
      <formula>"Please check"</formula>
    </cfRule>
    <cfRule type="cellIs" dxfId="729" priority="671" stopIfTrue="1" operator="equal">
      <formula>"Pass"</formula>
    </cfRule>
    <cfRule type="cellIs" dxfId="728" priority="672" stopIfTrue="1" operator="equal">
      <formula>"Fail"</formula>
    </cfRule>
  </conditionalFormatting>
  <conditionalFormatting sqref="H196">
    <cfRule type="cellIs" dxfId="727" priority="667" stopIfTrue="1" operator="equal">
      <formula>"Please check"</formula>
    </cfRule>
    <cfRule type="cellIs" dxfId="726" priority="668" stopIfTrue="1" operator="equal">
      <formula>"Pass"</formula>
    </cfRule>
    <cfRule type="cellIs" dxfId="725" priority="669" stopIfTrue="1" operator="equal">
      <formula>"Fail"</formula>
    </cfRule>
  </conditionalFormatting>
  <conditionalFormatting sqref="H214">
    <cfRule type="cellIs" dxfId="724" priority="664" stopIfTrue="1" operator="equal">
      <formula>"Please check"</formula>
    </cfRule>
    <cfRule type="cellIs" dxfId="723" priority="665" stopIfTrue="1" operator="equal">
      <formula>"Pass"</formula>
    </cfRule>
    <cfRule type="cellIs" dxfId="722" priority="666" stopIfTrue="1" operator="equal">
      <formula>"Fail"</formula>
    </cfRule>
  </conditionalFormatting>
  <conditionalFormatting sqref="H223">
    <cfRule type="cellIs" dxfId="721" priority="661" stopIfTrue="1" operator="equal">
      <formula>"Please check"</formula>
    </cfRule>
    <cfRule type="cellIs" dxfId="720" priority="662" stopIfTrue="1" operator="equal">
      <formula>"Pass"</formula>
    </cfRule>
    <cfRule type="cellIs" dxfId="719" priority="663" stopIfTrue="1" operator="equal">
      <formula>"Fail"</formula>
    </cfRule>
  </conditionalFormatting>
  <conditionalFormatting sqref="H241">
    <cfRule type="cellIs" dxfId="718" priority="658" stopIfTrue="1" operator="equal">
      <formula>"Please check"</formula>
    </cfRule>
    <cfRule type="cellIs" dxfId="717" priority="659" stopIfTrue="1" operator="equal">
      <formula>"Pass"</formula>
    </cfRule>
    <cfRule type="cellIs" dxfId="716" priority="660" stopIfTrue="1" operator="equal">
      <formula>"Fail"</formula>
    </cfRule>
  </conditionalFormatting>
  <conditionalFormatting sqref="H250">
    <cfRule type="cellIs" dxfId="715" priority="655" stopIfTrue="1" operator="equal">
      <formula>"Please check"</formula>
    </cfRule>
    <cfRule type="cellIs" dxfId="714" priority="656" stopIfTrue="1" operator="equal">
      <formula>"Pass"</formula>
    </cfRule>
    <cfRule type="cellIs" dxfId="713" priority="657" stopIfTrue="1" operator="equal">
      <formula>"Fail"</formula>
    </cfRule>
  </conditionalFormatting>
  <conditionalFormatting sqref="H268">
    <cfRule type="cellIs" dxfId="712" priority="649" stopIfTrue="1" operator="equal">
      <formula>"Please check"</formula>
    </cfRule>
    <cfRule type="cellIs" dxfId="711" priority="650" stopIfTrue="1" operator="equal">
      <formula>"Pass"</formula>
    </cfRule>
    <cfRule type="cellIs" dxfId="710" priority="651" stopIfTrue="1" operator="equal">
      <formula>"Fail"</formula>
    </cfRule>
  </conditionalFormatting>
  <conditionalFormatting sqref="I307:J308">
    <cfRule type="cellIs" dxfId="709" priority="592" stopIfTrue="1" operator="equal">
      <formula>"Please check"</formula>
    </cfRule>
    <cfRule type="cellIs" dxfId="708" priority="593" stopIfTrue="1" operator="equal">
      <formula>"Pass"</formula>
    </cfRule>
    <cfRule type="cellIs" dxfId="707" priority="594" stopIfTrue="1" operator="equal">
      <formula>"Fail"</formula>
    </cfRule>
  </conditionalFormatting>
  <conditionalFormatting sqref="C307">
    <cfRule type="cellIs" dxfId="706" priority="589" stopIfTrue="1" operator="equal">
      <formula>"Please check"</formula>
    </cfRule>
    <cfRule type="cellIs" dxfId="705" priority="590" stopIfTrue="1" operator="equal">
      <formula>"Pass"</formula>
    </cfRule>
    <cfRule type="cellIs" dxfId="704" priority="591" stopIfTrue="1" operator="equal">
      <formula>"Fail"</formula>
    </cfRule>
  </conditionalFormatting>
  <conditionalFormatting sqref="F290:G304">
    <cfRule type="cellIs" dxfId="703" priority="637" stopIfTrue="1" operator="equal">
      <formula>"Please check"</formula>
    </cfRule>
    <cfRule type="cellIs" dxfId="702" priority="638" stopIfTrue="1" operator="equal">
      <formula>"Pass"</formula>
    </cfRule>
    <cfRule type="cellIs" dxfId="701" priority="639" stopIfTrue="1" operator="equal">
      <formula>"Fail"</formula>
    </cfRule>
  </conditionalFormatting>
  <conditionalFormatting sqref="E290:E304">
    <cfRule type="cellIs" dxfId="700" priority="634" stopIfTrue="1" operator="equal">
      <formula>"Please check"</formula>
    </cfRule>
    <cfRule type="cellIs" dxfId="699" priority="635" stopIfTrue="1" operator="equal">
      <formula>"Pass"</formula>
    </cfRule>
    <cfRule type="cellIs" dxfId="698" priority="636" stopIfTrue="1" operator="equal">
      <formula>"Fail"</formula>
    </cfRule>
  </conditionalFormatting>
  <conditionalFormatting sqref="D290:D304">
    <cfRule type="cellIs" dxfId="697" priority="631" stopIfTrue="1" operator="equal">
      <formula>"Please check"</formula>
    </cfRule>
    <cfRule type="cellIs" dxfId="696" priority="632" stopIfTrue="1" operator="equal">
      <formula>"Pass"</formula>
    </cfRule>
    <cfRule type="cellIs" dxfId="695" priority="633" stopIfTrue="1" operator="equal">
      <formula>"Fail"</formula>
    </cfRule>
  </conditionalFormatting>
  <conditionalFormatting sqref="H297">
    <cfRule type="cellIs" dxfId="694" priority="622" stopIfTrue="1" operator="equal">
      <formula>"Please check"</formula>
    </cfRule>
    <cfRule type="cellIs" dxfId="693" priority="623" stopIfTrue="1" operator="equal">
      <formula>"Pass"</formula>
    </cfRule>
    <cfRule type="cellIs" dxfId="692" priority="624" stopIfTrue="1" operator="equal">
      <formula>"Fail"</formula>
    </cfRule>
  </conditionalFormatting>
  <conditionalFormatting sqref="B304">
    <cfRule type="cellIs" dxfId="691" priority="619" stopIfTrue="1" operator="equal">
      <formula>"Please check"</formula>
    </cfRule>
    <cfRule type="cellIs" dxfId="690" priority="620" stopIfTrue="1" operator="equal">
      <formula>"Pass"</formula>
    </cfRule>
    <cfRule type="cellIs" dxfId="689" priority="621" stopIfTrue="1" operator="equal">
      <formula>"Fail"</formula>
    </cfRule>
  </conditionalFormatting>
  <conditionalFormatting sqref="B303">
    <cfRule type="cellIs" dxfId="688" priority="616" stopIfTrue="1" operator="equal">
      <formula>"Please check"</formula>
    </cfRule>
    <cfRule type="cellIs" dxfId="687" priority="617" stopIfTrue="1" operator="equal">
      <formula>"Pass"</formula>
    </cfRule>
    <cfRule type="cellIs" dxfId="686" priority="618" stopIfTrue="1" operator="equal">
      <formula>"Fail"</formula>
    </cfRule>
  </conditionalFormatting>
  <conditionalFormatting sqref="I290:J291">
    <cfRule type="cellIs" dxfId="685" priority="610" stopIfTrue="1" operator="equal">
      <formula>"Please check"</formula>
    </cfRule>
    <cfRule type="cellIs" dxfId="684" priority="611" stopIfTrue="1" operator="equal">
      <formula>"Pass"</formula>
    </cfRule>
    <cfRule type="cellIs" dxfId="683" priority="612" stopIfTrue="1" operator="equal">
      <formula>"Fail"</formula>
    </cfRule>
  </conditionalFormatting>
  <conditionalFormatting sqref="I292:J302">
    <cfRule type="cellIs" dxfId="682" priority="607" stopIfTrue="1" operator="equal">
      <formula>"Please check"</formula>
    </cfRule>
    <cfRule type="cellIs" dxfId="681" priority="608" stopIfTrue="1" operator="equal">
      <formula>"Pass"</formula>
    </cfRule>
    <cfRule type="cellIs" dxfId="680" priority="609" stopIfTrue="1" operator="equal">
      <formula>"Fail"</formula>
    </cfRule>
  </conditionalFormatting>
  <conditionalFormatting sqref="H307 N307 A307:A308 R307:S308">
    <cfRule type="cellIs" dxfId="679" priority="604" stopIfTrue="1" operator="equal">
      <formula>"Please check"</formula>
    </cfRule>
    <cfRule type="cellIs" dxfId="678" priority="605" stopIfTrue="1" operator="equal">
      <formula>"Pass"</formula>
    </cfRule>
    <cfRule type="cellIs" dxfId="677" priority="606" stopIfTrue="1" operator="equal">
      <formula>"Fail"</formula>
    </cfRule>
  </conditionalFormatting>
  <conditionalFormatting sqref="F307:G308">
    <cfRule type="cellIs" dxfId="676" priority="601" stopIfTrue="1" operator="equal">
      <formula>"Please check"</formula>
    </cfRule>
    <cfRule type="cellIs" dxfId="675" priority="602" stopIfTrue="1" operator="equal">
      <formula>"Pass"</formula>
    </cfRule>
    <cfRule type="cellIs" dxfId="674" priority="603" stopIfTrue="1" operator="equal">
      <formula>"Fail"</formula>
    </cfRule>
  </conditionalFormatting>
  <conditionalFormatting sqref="E307:E308">
    <cfRule type="cellIs" dxfId="673" priority="598" stopIfTrue="1" operator="equal">
      <formula>"Please check"</formula>
    </cfRule>
    <cfRule type="cellIs" dxfId="672" priority="599" stopIfTrue="1" operator="equal">
      <formula>"Pass"</formula>
    </cfRule>
    <cfRule type="cellIs" dxfId="671" priority="600" stopIfTrue="1" operator="equal">
      <formula>"Fail"</formula>
    </cfRule>
  </conditionalFormatting>
  <conditionalFormatting sqref="D307:D308">
    <cfRule type="cellIs" dxfId="670" priority="595" stopIfTrue="1" operator="equal">
      <formula>"Please check"</formula>
    </cfRule>
    <cfRule type="cellIs" dxfId="669" priority="596" stopIfTrue="1" operator="equal">
      <formula>"Pass"</formula>
    </cfRule>
    <cfRule type="cellIs" dxfId="668" priority="597" stopIfTrue="1" operator="equal">
      <formula>"Fail"</formula>
    </cfRule>
  </conditionalFormatting>
  <conditionalFormatting sqref="B307:B308">
    <cfRule type="cellIs" dxfId="667" priority="586" stopIfTrue="1" operator="equal">
      <formula>"Please check"</formula>
    </cfRule>
    <cfRule type="cellIs" dxfId="666" priority="587" stopIfTrue="1" operator="equal">
      <formula>"Pass"</formula>
    </cfRule>
    <cfRule type="cellIs" dxfId="665" priority="588" stopIfTrue="1" operator="equal">
      <formula>"Fail"</formula>
    </cfRule>
  </conditionalFormatting>
  <conditionalFormatting sqref="B311">
    <cfRule type="cellIs" dxfId="664" priority="583" stopIfTrue="1" operator="equal">
      <formula>"Please check"</formula>
    </cfRule>
    <cfRule type="cellIs" dxfId="663" priority="584" stopIfTrue="1" operator="equal">
      <formula>"Pass"</formula>
    </cfRule>
    <cfRule type="cellIs" dxfId="662" priority="585" stopIfTrue="1" operator="equal">
      <formula>"Fail"</formula>
    </cfRule>
  </conditionalFormatting>
  <conditionalFormatting sqref="C308">
    <cfRule type="cellIs" dxfId="661" priority="580" stopIfTrue="1" operator="equal">
      <formula>"Please check"</formula>
    </cfRule>
    <cfRule type="cellIs" dxfId="660" priority="581" stopIfTrue="1" operator="equal">
      <formula>"Pass"</formula>
    </cfRule>
    <cfRule type="cellIs" dxfId="659" priority="582" stopIfTrue="1" operator="equal">
      <formula>"Fail"</formula>
    </cfRule>
  </conditionalFormatting>
  <conditionalFormatting sqref="H308">
    <cfRule type="cellIs" dxfId="658" priority="577" stopIfTrue="1" operator="equal">
      <formula>"Please check"</formula>
    </cfRule>
    <cfRule type="cellIs" dxfId="657" priority="578" stopIfTrue="1" operator="equal">
      <formula>"Pass"</formula>
    </cfRule>
    <cfRule type="cellIs" dxfId="656" priority="579" stopIfTrue="1" operator="equal">
      <formula>"Fail"</formula>
    </cfRule>
  </conditionalFormatting>
  <conditionalFormatting sqref="N59">
    <cfRule type="cellIs" dxfId="655" priority="574" stopIfTrue="1" operator="equal">
      <formula>"Please check"</formula>
    </cfRule>
    <cfRule type="cellIs" dxfId="654" priority="575" stopIfTrue="1" operator="equal">
      <formula>"Pass"</formula>
    </cfRule>
    <cfRule type="cellIs" dxfId="653" priority="576" stopIfTrue="1" operator="equal">
      <formula>"Fail"</formula>
    </cfRule>
  </conditionalFormatting>
  <conditionalFormatting sqref="N54:N56">
    <cfRule type="cellIs" dxfId="652" priority="571" stopIfTrue="1" operator="equal">
      <formula>"Please check"</formula>
    </cfRule>
    <cfRule type="cellIs" dxfId="651" priority="572" stopIfTrue="1" operator="equal">
      <formula>"Pass"</formula>
    </cfRule>
    <cfRule type="cellIs" dxfId="650" priority="573" stopIfTrue="1" operator="equal">
      <formula>"Fail"</formula>
    </cfRule>
  </conditionalFormatting>
  <conditionalFormatting sqref="N53">
    <cfRule type="cellIs" dxfId="649" priority="568" stopIfTrue="1" operator="equal">
      <formula>"Please check"</formula>
    </cfRule>
    <cfRule type="cellIs" dxfId="648" priority="569" stopIfTrue="1" operator="equal">
      <formula>"Pass"</formula>
    </cfRule>
    <cfRule type="cellIs" dxfId="647" priority="570" stopIfTrue="1" operator="equal">
      <formula>"Fail"</formula>
    </cfRule>
  </conditionalFormatting>
  <conditionalFormatting sqref="N69">
    <cfRule type="cellIs" dxfId="646" priority="565" stopIfTrue="1" operator="equal">
      <formula>"Please check"</formula>
    </cfRule>
    <cfRule type="cellIs" dxfId="645" priority="566" stopIfTrue="1" operator="equal">
      <formula>"Pass"</formula>
    </cfRule>
    <cfRule type="cellIs" dxfId="644" priority="567" stopIfTrue="1" operator="equal">
      <formula>"Fail"</formula>
    </cfRule>
  </conditionalFormatting>
  <conditionalFormatting sqref="N76">
    <cfRule type="cellIs" dxfId="643" priority="559" stopIfTrue="1" operator="equal">
      <formula>"Please check"</formula>
    </cfRule>
    <cfRule type="cellIs" dxfId="642" priority="560" stopIfTrue="1" operator="equal">
      <formula>"Pass"</formula>
    </cfRule>
    <cfRule type="cellIs" dxfId="641" priority="561" stopIfTrue="1" operator="equal">
      <formula>"Fail"</formula>
    </cfRule>
  </conditionalFormatting>
  <conditionalFormatting sqref="N77">
    <cfRule type="cellIs" dxfId="640" priority="562" stopIfTrue="1" operator="equal">
      <formula>"Please check"</formula>
    </cfRule>
    <cfRule type="cellIs" dxfId="639" priority="563" stopIfTrue="1" operator="equal">
      <formula>"Pass"</formula>
    </cfRule>
    <cfRule type="cellIs" dxfId="638" priority="564" stopIfTrue="1" operator="equal">
      <formula>"Fail"</formula>
    </cfRule>
  </conditionalFormatting>
  <conditionalFormatting sqref="K82:M82">
    <cfRule type="cellIs" dxfId="637" priority="556" stopIfTrue="1" operator="equal">
      <formula>"Please check"</formula>
    </cfRule>
    <cfRule type="cellIs" dxfId="636" priority="557" stopIfTrue="1" operator="equal">
      <formula>"Pass"</formula>
    </cfRule>
    <cfRule type="cellIs" dxfId="635" priority="558" stopIfTrue="1" operator="equal">
      <formula>"Fail"</formula>
    </cfRule>
  </conditionalFormatting>
  <conditionalFormatting sqref="K83:M83">
    <cfRule type="cellIs" dxfId="634" priority="553" stopIfTrue="1" operator="equal">
      <formula>"Please check"</formula>
    </cfRule>
    <cfRule type="cellIs" dxfId="633" priority="554" stopIfTrue="1" operator="equal">
      <formula>"Pass"</formula>
    </cfRule>
    <cfRule type="cellIs" dxfId="632" priority="555" stopIfTrue="1" operator="equal">
      <formula>"Fail"</formula>
    </cfRule>
  </conditionalFormatting>
  <conditionalFormatting sqref="N78:N83">
    <cfRule type="cellIs" dxfId="631" priority="550" stopIfTrue="1" operator="equal">
      <formula>"Please check"</formula>
    </cfRule>
    <cfRule type="cellIs" dxfId="630" priority="551" stopIfTrue="1" operator="equal">
      <formula>"Pass"</formula>
    </cfRule>
    <cfRule type="cellIs" dxfId="629" priority="552" stopIfTrue="1" operator="equal">
      <formula>"Fail"</formula>
    </cfRule>
  </conditionalFormatting>
  <conditionalFormatting sqref="O82:Q82">
    <cfRule type="cellIs" dxfId="628" priority="547" stopIfTrue="1" operator="equal">
      <formula>"Please check"</formula>
    </cfRule>
    <cfRule type="cellIs" dxfId="627" priority="548" stopIfTrue="1" operator="equal">
      <formula>"Pass"</formula>
    </cfRule>
    <cfRule type="cellIs" dxfId="626" priority="549" stopIfTrue="1" operator="equal">
      <formula>"Fail"</formula>
    </cfRule>
  </conditionalFormatting>
  <conditionalFormatting sqref="O83:Q83">
    <cfRule type="cellIs" dxfId="625" priority="544" stopIfTrue="1" operator="equal">
      <formula>"Please check"</formula>
    </cfRule>
    <cfRule type="cellIs" dxfId="624" priority="545" stopIfTrue="1" operator="equal">
      <formula>"Pass"</formula>
    </cfRule>
    <cfRule type="cellIs" dxfId="623" priority="546" stopIfTrue="1" operator="equal">
      <formula>"Fail"</formula>
    </cfRule>
  </conditionalFormatting>
  <conditionalFormatting sqref="K87:M90">
    <cfRule type="cellIs" dxfId="622" priority="541" stopIfTrue="1" operator="equal">
      <formula>"Please check"</formula>
    </cfRule>
    <cfRule type="cellIs" dxfId="621" priority="542" stopIfTrue="1" operator="equal">
      <formula>"Pass"</formula>
    </cfRule>
    <cfRule type="cellIs" dxfId="620" priority="543" stopIfTrue="1" operator="equal">
      <formula>"Fail"</formula>
    </cfRule>
  </conditionalFormatting>
  <conditionalFormatting sqref="K91:M91">
    <cfRule type="cellIs" dxfId="619" priority="538" stopIfTrue="1" operator="equal">
      <formula>"Please check"</formula>
    </cfRule>
    <cfRule type="cellIs" dxfId="618" priority="539" stopIfTrue="1" operator="equal">
      <formula>"Pass"</formula>
    </cfRule>
    <cfRule type="cellIs" dxfId="617" priority="540" stopIfTrue="1" operator="equal">
      <formula>"Fail"</formula>
    </cfRule>
  </conditionalFormatting>
  <conditionalFormatting sqref="K92:M92">
    <cfRule type="cellIs" dxfId="616" priority="535" stopIfTrue="1" operator="equal">
      <formula>"Please check"</formula>
    </cfRule>
    <cfRule type="cellIs" dxfId="615" priority="536" stopIfTrue="1" operator="equal">
      <formula>"Pass"</formula>
    </cfRule>
    <cfRule type="cellIs" dxfId="614" priority="537" stopIfTrue="1" operator="equal">
      <formula>"Fail"</formula>
    </cfRule>
  </conditionalFormatting>
  <conditionalFormatting sqref="N87:N92">
    <cfRule type="cellIs" dxfId="613" priority="532" stopIfTrue="1" operator="equal">
      <formula>"Please check"</formula>
    </cfRule>
    <cfRule type="cellIs" dxfId="612" priority="533" stopIfTrue="1" operator="equal">
      <formula>"Pass"</formula>
    </cfRule>
    <cfRule type="cellIs" dxfId="611" priority="534" stopIfTrue="1" operator="equal">
      <formula>"Fail"</formula>
    </cfRule>
  </conditionalFormatting>
  <conditionalFormatting sqref="N86">
    <cfRule type="cellIs" dxfId="610" priority="529" stopIfTrue="1" operator="equal">
      <formula>"Please check"</formula>
    </cfRule>
    <cfRule type="cellIs" dxfId="609" priority="530" stopIfTrue="1" operator="equal">
      <formula>"Pass"</formula>
    </cfRule>
    <cfRule type="cellIs" dxfId="608" priority="531" stopIfTrue="1" operator="equal">
      <formula>"Fail"</formula>
    </cfRule>
  </conditionalFormatting>
  <conditionalFormatting sqref="O91:Q91">
    <cfRule type="cellIs" dxfId="607" priority="526" stopIfTrue="1" operator="equal">
      <formula>"Please check"</formula>
    </cfRule>
    <cfRule type="cellIs" dxfId="606" priority="527" stopIfTrue="1" operator="equal">
      <formula>"Pass"</formula>
    </cfRule>
    <cfRule type="cellIs" dxfId="605" priority="528" stopIfTrue="1" operator="equal">
      <formula>"Fail"</formula>
    </cfRule>
  </conditionalFormatting>
  <conditionalFormatting sqref="O92:Q92">
    <cfRule type="cellIs" dxfId="604" priority="523" stopIfTrue="1" operator="equal">
      <formula>"Please check"</formula>
    </cfRule>
    <cfRule type="cellIs" dxfId="603" priority="524" stopIfTrue="1" operator="equal">
      <formula>"Pass"</formula>
    </cfRule>
    <cfRule type="cellIs" dxfId="602" priority="525" stopIfTrue="1" operator="equal">
      <formula>"Fail"</formula>
    </cfRule>
  </conditionalFormatting>
  <conditionalFormatting sqref="K96:M99">
    <cfRule type="cellIs" dxfId="601" priority="520" stopIfTrue="1" operator="equal">
      <formula>"Please check"</formula>
    </cfRule>
    <cfRule type="cellIs" dxfId="600" priority="521" stopIfTrue="1" operator="equal">
      <formula>"Pass"</formula>
    </cfRule>
    <cfRule type="cellIs" dxfId="599" priority="522" stopIfTrue="1" operator="equal">
      <formula>"Fail"</formula>
    </cfRule>
  </conditionalFormatting>
  <conditionalFormatting sqref="K100:M100">
    <cfRule type="cellIs" dxfId="598" priority="517" stopIfTrue="1" operator="equal">
      <formula>"Please check"</formula>
    </cfRule>
    <cfRule type="cellIs" dxfId="597" priority="518" stopIfTrue="1" operator="equal">
      <formula>"Pass"</formula>
    </cfRule>
    <cfRule type="cellIs" dxfId="596" priority="519" stopIfTrue="1" operator="equal">
      <formula>"Fail"</formula>
    </cfRule>
  </conditionalFormatting>
  <conditionalFormatting sqref="K101:M101">
    <cfRule type="cellIs" dxfId="595" priority="514" stopIfTrue="1" operator="equal">
      <formula>"Please check"</formula>
    </cfRule>
    <cfRule type="cellIs" dxfId="594" priority="515" stopIfTrue="1" operator="equal">
      <formula>"Pass"</formula>
    </cfRule>
    <cfRule type="cellIs" dxfId="593" priority="516" stopIfTrue="1" operator="equal">
      <formula>"Fail"</formula>
    </cfRule>
  </conditionalFormatting>
  <conditionalFormatting sqref="N96:N101">
    <cfRule type="cellIs" dxfId="592" priority="511" stopIfTrue="1" operator="equal">
      <formula>"Please check"</formula>
    </cfRule>
    <cfRule type="cellIs" dxfId="591" priority="512" stopIfTrue="1" operator="equal">
      <formula>"Pass"</formula>
    </cfRule>
    <cfRule type="cellIs" dxfId="590" priority="513" stopIfTrue="1" operator="equal">
      <formula>"Fail"</formula>
    </cfRule>
  </conditionalFormatting>
  <conditionalFormatting sqref="N95">
    <cfRule type="cellIs" dxfId="589" priority="508" stopIfTrue="1" operator="equal">
      <formula>"Please check"</formula>
    </cfRule>
    <cfRule type="cellIs" dxfId="588" priority="509" stopIfTrue="1" operator="equal">
      <formula>"Pass"</formula>
    </cfRule>
    <cfRule type="cellIs" dxfId="587" priority="510" stopIfTrue="1" operator="equal">
      <formula>"Fail"</formula>
    </cfRule>
  </conditionalFormatting>
  <conditionalFormatting sqref="O100:Q100">
    <cfRule type="cellIs" dxfId="586" priority="505" stopIfTrue="1" operator="equal">
      <formula>"Please check"</formula>
    </cfRule>
    <cfRule type="cellIs" dxfId="585" priority="506" stopIfTrue="1" operator="equal">
      <formula>"Pass"</formula>
    </cfRule>
    <cfRule type="cellIs" dxfId="584" priority="507" stopIfTrue="1" operator="equal">
      <formula>"Fail"</formula>
    </cfRule>
  </conditionalFormatting>
  <conditionalFormatting sqref="O101:Q101">
    <cfRule type="cellIs" dxfId="583" priority="502" stopIfTrue="1" operator="equal">
      <formula>"Please check"</formula>
    </cfRule>
    <cfRule type="cellIs" dxfId="582" priority="503" stopIfTrue="1" operator="equal">
      <formula>"Pass"</formula>
    </cfRule>
    <cfRule type="cellIs" dxfId="581" priority="504" stopIfTrue="1" operator="equal">
      <formula>"Fail"</formula>
    </cfRule>
  </conditionalFormatting>
  <conditionalFormatting sqref="N115:N120">
    <cfRule type="cellIs" dxfId="580" priority="499" stopIfTrue="1" operator="equal">
      <formula>"Please check"</formula>
    </cfRule>
    <cfRule type="cellIs" dxfId="579" priority="500" stopIfTrue="1" operator="equal">
      <formula>"Pass"</formula>
    </cfRule>
    <cfRule type="cellIs" dxfId="578" priority="501" stopIfTrue="1" operator="equal">
      <formula>"Fail"</formula>
    </cfRule>
  </conditionalFormatting>
  <conditionalFormatting sqref="N113">
    <cfRule type="cellIs" dxfId="577" priority="493" stopIfTrue="1" operator="equal">
      <formula>"Please check"</formula>
    </cfRule>
    <cfRule type="cellIs" dxfId="576" priority="494" stopIfTrue="1" operator="equal">
      <formula>"Pass"</formula>
    </cfRule>
    <cfRule type="cellIs" dxfId="575" priority="495" stopIfTrue="1" operator="equal">
      <formula>"Fail"</formula>
    </cfRule>
  </conditionalFormatting>
  <conditionalFormatting sqref="N114">
    <cfRule type="cellIs" dxfId="574" priority="496" stopIfTrue="1" operator="equal">
      <formula>"Please check"</formula>
    </cfRule>
    <cfRule type="cellIs" dxfId="573" priority="497" stopIfTrue="1" operator="equal">
      <formula>"Pass"</formula>
    </cfRule>
    <cfRule type="cellIs" dxfId="572" priority="498" stopIfTrue="1" operator="equal">
      <formula>"Fail"</formula>
    </cfRule>
  </conditionalFormatting>
  <conditionalFormatting sqref="K115:M118">
    <cfRule type="cellIs" dxfId="571" priority="490" stopIfTrue="1" operator="equal">
      <formula>"Please check"</formula>
    </cfRule>
    <cfRule type="cellIs" dxfId="570" priority="491" stopIfTrue="1" operator="equal">
      <formula>"Pass"</formula>
    </cfRule>
    <cfRule type="cellIs" dxfId="569" priority="492" stopIfTrue="1" operator="equal">
      <formula>"Fail"</formula>
    </cfRule>
  </conditionalFormatting>
  <conditionalFormatting sqref="K119:M119">
    <cfRule type="cellIs" dxfId="568" priority="487" stopIfTrue="1" operator="equal">
      <formula>"Please check"</formula>
    </cfRule>
    <cfRule type="cellIs" dxfId="567" priority="488" stopIfTrue="1" operator="equal">
      <formula>"Pass"</formula>
    </cfRule>
    <cfRule type="cellIs" dxfId="566" priority="489" stopIfTrue="1" operator="equal">
      <formula>"Fail"</formula>
    </cfRule>
  </conditionalFormatting>
  <conditionalFormatting sqref="K120:M120">
    <cfRule type="cellIs" dxfId="565" priority="484" stopIfTrue="1" operator="equal">
      <formula>"Please check"</formula>
    </cfRule>
    <cfRule type="cellIs" dxfId="564" priority="485" stopIfTrue="1" operator="equal">
      <formula>"Pass"</formula>
    </cfRule>
    <cfRule type="cellIs" dxfId="563" priority="486" stopIfTrue="1" operator="equal">
      <formula>"Fail"</formula>
    </cfRule>
  </conditionalFormatting>
  <conditionalFormatting sqref="O119:Q119">
    <cfRule type="cellIs" dxfId="562" priority="481" stopIfTrue="1" operator="equal">
      <formula>"Please check"</formula>
    </cfRule>
    <cfRule type="cellIs" dxfId="561" priority="482" stopIfTrue="1" operator="equal">
      <formula>"Pass"</formula>
    </cfRule>
    <cfRule type="cellIs" dxfId="560" priority="483" stopIfTrue="1" operator="equal">
      <formula>"Fail"</formula>
    </cfRule>
  </conditionalFormatting>
  <conditionalFormatting sqref="O120:Q120">
    <cfRule type="cellIs" dxfId="559" priority="478" stopIfTrue="1" operator="equal">
      <formula>"Please check"</formula>
    </cfRule>
    <cfRule type="cellIs" dxfId="558" priority="479" stopIfTrue="1" operator="equal">
      <formula>"Pass"</formula>
    </cfRule>
    <cfRule type="cellIs" dxfId="557" priority="480" stopIfTrue="1" operator="equal">
      <formula>"Fail"</formula>
    </cfRule>
  </conditionalFormatting>
  <conditionalFormatting sqref="O128:Q128">
    <cfRule type="cellIs" dxfId="556" priority="475" stopIfTrue="1" operator="equal">
      <formula>"Please check"</formula>
    </cfRule>
    <cfRule type="cellIs" dxfId="555" priority="476" stopIfTrue="1" operator="equal">
      <formula>"Pass"</formula>
    </cfRule>
    <cfRule type="cellIs" dxfId="554" priority="477" stopIfTrue="1" operator="equal">
      <formula>"Fail"</formula>
    </cfRule>
  </conditionalFormatting>
  <conditionalFormatting sqref="O129:Q129">
    <cfRule type="cellIs" dxfId="553" priority="472" stopIfTrue="1" operator="equal">
      <formula>"Please check"</formula>
    </cfRule>
    <cfRule type="cellIs" dxfId="552" priority="473" stopIfTrue="1" operator="equal">
      <formula>"Pass"</formula>
    </cfRule>
    <cfRule type="cellIs" dxfId="551" priority="474" stopIfTrue="1" operator="equal">
      <formula>"Fail"</formula>
    </cfRule>
  </conditionalFormatting>
  <conditionalFormatting sqref="K124:M127">
    <cfRule type="cellIs" dxfId="550" priority="469" stopIfTrue="1" operator="equal">
      <formula>"Please check"</formula>
    </cfRule>
    <cfRule type="cellIs" dxfId="549" priority="470" stopIfTrue="1" operator="equal">
      <formula>"Pass"</formula>
    </cfRule>
    <cfRule type="cellIs" dxfId="548" priority="471" stopIfTrue="1" operator="equal">
      <formula>"Fail"</formula>
    </cfRule>
  </conditionalFormatting>
  <conditionalFormatting sqref="K128:M128">
    <cfRule type="cellIs" dxfId="547" priority="466" stopIfTrue="1" operator="equal">
      <formula>"Please check"</formula>
    </cfRule>
    <cfRule type="cellIs" dxfId="546" priority="467" stopIfTrue="1" operator="equal">
      <formula>"Pass"</formula>
    </cfRule>
    <cfRule type="cellIs" dxfId="545" priority="468" stopIfTrue="1" operator="equal">
      <formula>"Fail"</formula>
    </cfRule>
  </conditionalFormatting>
  <conditionalFormatting sqref="K129:M129">
    <cfRule type="cellIs" dxfId="544" priority="463" stopIfTrue="1" operator="equal">
      <formula>"Please check"</formula>
    </cfRule>
    <cfRule type="cellIs" dxfId="543" priority="464" stopIfTrue="1" operator="equal">
      <formula>"Pass"</formula>
    </cfRule>
    <cfRule type="cellIs" dxfId="542" priority="465" stopIfTrue="1" operator="equal">
      <formula>"Fail"</formula>
    </cfRule>
  </conditionalFormatting>
  <conditionalFormatting sqref="N124:N129">
    <cfRule type="cellIs" dxfId="541" priority="460" stopIfTrue="1" operator="equal">
      <formula>"Please check"</formula>
    </cfRule>
    <cfRule type="cellIs" dxfId="540" priority="461" stopIfTrue="1" operator="equal">
      <formula>"Pass"</formula>
    </cfRule>
    <cfRule type="cellIs" dxfId="539" priority="462" stopIfTrue="1" operator="equal">
      <formula>"Fail"</formula>
    </cfRule>
  </conditionalFormatting>
  <conditionalFormatting sqref="N123">
    <cfRule type="cellIs" dxfId="538" priority="457" stopIfTrue="1" operator="equal">
      <formula>"Please check"</formula>
    </cfRule>
    <cfRule type="cellIs" dxfId="537" priority="458" stopIfTrue="1" operator="equal">
      <formula>"Pass"</formula>
    </cfRule>
    <cfRule type="cellIs" dxfId="536" priority="459" stopIfTrue="1" operator="equal">
      <formula>"Fail"</formula>
    </cfRule>
  </conditionalFormatting>
  <conditionalFormatting sqref="O137:Q137">
    <cfRule type="cellIs" dxfId="535" priority="454" stopIfTrue="1" operator="equal">
      <formula>"Please check"</formula>
    </cfRule>
    <cfRule type="cellIs" dxfId="534" priority="455" stopIfTrue="1" operator="equal">
      <formula>"Pass"</formula>
    </cfRule>
    <cfRule type="cellIs" dxfId="533" priority="456" stopIfTrue="1" operator="equal">
      <formula>"Fail"</formula>
    </cfRule>
  </conditionalFormatting>
  <conditionalFormatting sqref="O138:Q138">
    <cfRule type="cellIs" dxfId="532" priority="451" stopIfTrue="1" operator="equal">
      <formula>"Please check"</formula>
    </cfRule>
    <cfRule type="cellIs" dxfId="531" priority="452" stopIfTrue="1" operator="equal">
      <formula>"Pass"</formula>
    </cfRule>
    <cfRule type="cellIs" dxfId="530" priority="453" stopIfTrue="1" operator="equal">
      <formula>"Fail"</formula>
    </cfRule>
  </conditionalFormatting>
  <conditionalFormatting sqref="N133:N138">
    <cfRule type="cellIs" dxfId="529" priority="448" stopIfTrue="1" operator="equal">
      <formula>"Please check"</formula>
    </cfRule>
    <cfRule type="cellIs" dxfId="528" priority="449" stopIfTrue="1" operator="equal">
      <formula>"Pass"</formula>
    </cfRule>
    <cfRule type="cellIs" dxfId="527" priority="450" stopIfTrue="1" operator="equal">
      <formula>"Fail"</formula>
    </cfRule>
  </conditionalFormatting>
  <conditionalFormatting sqref="N132">
    <cfRule type="cellIs" dxfId="526" priority="445" stopIfTrue="1" operator="equal">
      <formula>"Please check"</formula>
    </cfRule>
    <cfRule type="cellIs" dxfId="525" priority="446" stopIfTrue="1" operator="equal">
      <formula>"Pass"</formula>
    </cfRule>
    <cfRule type="cellIs" dxfId="524" priority="447" stopIfTrue="1" operator="equal">
      <formula>"Fail"</formula>
    </cfRule>
  </conditionalFormatting>
  <conditionalFormatting sqref="K133:M136">
    <cfRule type="cellIs" dxfId="523" priority="442" stopIfTrue="1" operator="equal">
      <formula>"Please check"</formula>
    </cfRule>
    <cfRule type="cellIs" dxfId="522" priority="443" stopIfTrue="1" operator="equal">
      <formula>"Pass"</formula>
    </cfRule>
    <cfRule type="cellIs" dxfId="521" priority="444" stopIfTrue="1" operator="equal">
      <formula>"Fail"</formula>
    </cfRule>
  </conditionalFormatting>
  <conditionalFormatting sqref="K137:M137">
    <cfRule type="cellIs" dxfId="520" priority="439" stopIfTrue="1" operator="equal">
      <formula>"Please check"</formula>
    </cfRule>
    <cfRule type="cellIs" dxfId="519" priority="440" stopIfTrue="1" operator="equal">
      <formula>"Pass"</formula>
    </cfRule>
    <cfRule type="cellIs" dxfId="518" priority="441" stopIfTrue="1" operator="equal">
      <formula>"Fail"</formula>
    </cfRule>
  </conditionalFormatting>
  <conditionalFormatting sqref="K138:M138">
    <cfRule type="cellIs" dxfId="517" priority="436" stopIfTrue="1" operator="equal">
      <formula>"Please check"</formula>
    </cfRule>
    <cfRule type="cellIs" dxfId="516" priority="437" stopIfTrue="1" operator="equal">
      <formula>"Pass"</formula>
    </cfRule>
    <cfRule type="cellIs" dxfId="515" priority="438" stopIfTrue="1" operator="equal">
      <formula>"Fail"</formula>
    </cfRule>
  </conditionalFormatting>
  <conditionalFormatting sqref="O155:Q155">
    <cfRule type="cellIs" dxfId="514" priority="433" stopIfTrue="1" operator="equal">
      <formula>"Please check"</formula>
    </cfRule>
    <cfRule type="cellIs" dxfId="513" priority="434" stopIfTrue="1" operator="equal">
      <formula>"Pass"</formula>
    </cfRule>
    <cfRule type="cellIs" dxfId="512" priority="435" stopIfTrue="1" operator="equal">
      <formula>"Fail"</formula>
    </cfRule>
  </conditionalFormatting>
  <conditionalFormatting sqref="O156:Q156">
    <cfRule type="cellIs" dxfId="511" priority="430" stopIfTrue="1" operator="equal">
      <formula>"Please check"</formula>
    </cfRule>
    <cfRule type="cellIs" dxfId="510" priority="431" stopIfTrue="1" operator="equal">
      <formula>"Pass"</formula>
    </cfRule>
    <cfRule type="cellIs" dxfId="509" priority="432" stopIfTrue="1" operator="equal">
      <formula>"Fail"</formula>
    </cfRule>
  </conditionalFormatting>
  <conditionalFormatting sqref="K151:M154">
    <cfRule type="cellIs" dxfId="508" priority="427" stopIfTrue="1" operator="equal">
      <formula>"Please check"</formula>
    </cfRule>
    <cfRule type="cellIs" dxfId="507" priority="428" stopIfTrue="1" operator="equal">
      <formula>"Pass"</formula>
    </cfRule>
    <cfRule type="cellIs" dxfId="506" priority="429" stopIfTrue="1" operator="equal">
      <formula>"Fail"</formula>
    </cfRule>
  </conditionalFormatting>
  <conditionalFormatting sqref="K155:M155">
    <cfRule type="cellIs" dxfId="505" priority="424" stopIfTrue="1" operator="equal">
      <formula>"Please check"</formula>
    </cfRule>
    <cfRule type="cellIs" dxfId="504" priority="425" stopIfTrue="1" operator="equal">
      <formula>"Pass"</formula>
    </cfRule>
    <cfRule type="cellIs" dxfId="503" priority="426" stopIfTrue="1" operator="equal">
      <formula>"Fail"</formula>
    </cfRule>
  </conditionalFormatting>
  <conditionalFormatting sqref="K156:M156">
    <cfRule type="cellIs" dxfId="502" priority="421" stopIfTrue="1" operator="equal">
      <formula>"Please check"</formula>
    </cfRule>
    <cfRule type="cellIs" dxfId="501" priority="422" stopIfTrue="1" operator="equal">
      <formula>"Pass"</formula>
    </cfRule>
    <cfRule type="cellIs" dxfId="500" priority="423" stopIfTrue="1" operator="equal">
      <formula>"Fail"</formula>
    </cfRule>
  </conditionalFormatting>
  <conditionalFormatting sqref="N151:N156">
    <cfRule type="cellIs" dxfId="499" priority="418" stopIfTrue="1" operator="equal">
      <formula>"Please check"</formula>
    </cfRule>
    <cfRule type="cellIs" dxfId="498" priority="419" stopIfTrue="1" operator="equal">
      <formula>"Pass"</formula>
    </cfRule>
    <cfRule type="cellIs" dxfId="497" priority="420" stopIfTrue="1" operator="equal">
      <formula>"Fail"</formula>
    </cfRule>
  </conditionalFormatting>
  <conditionalFormatting sqref="N150">
    <cfRule type="cellIs" dxfId="496" priority="415" stopIfTrue="1" operator="equal">
      <formula>"Please check"</formula>
    </cfRule>
    <cfRule type="cellIs" dxfId="495" priority="416" stopIfTrue="1" operator="equal">
      <formula>"Pass"</formula>
    </cfRule>
    <cfRule type="cellIs" dxfId="494" priority="417" stopIfTrue="1" operator="equal">
      <formula>"Fail"</formula>
    </cfRule>
  </conditionalFormatting>
  <conditionalFormatting sqref="K161:M164">
    <cfRule type="cellIs" dxfId="493" priority="412" stopIfTrue="1" operator="equal">
      <formula>"Please check"</formula>
    </cfRule>
    <cfRule type="cellIs" dxfId="492" priority="413" stopIfTrue="1" operator="equal">
      <formula>"Pass"</formula>
    </cfRule>
    <cfRule type="cellIs" dxfId="491" priority="414" stopIfTrue="1" operator="equal">
      <formula>"Fail"</formula>
    </cfRule>
  </conditionalFormatting>
  <conditionalFormatting sqref="K165:M165">
    <cfRule type="cellIs" dxfId="490" priority="409" stopIfTrue="1" operator="equal">
      <formula>"Please check"</formula>
    </cfRule>
    <cfRule type="cellIs" dxfId="489" priority="410" stopIfTrue="1" operator="equal">
      <formula>"Pass"</formula>
    </cfRule>
    <cfRule type="cellIs" dxfId="488" priority="411" stopIfTrue="1" operator="equal">
      <formula>"Fail"</formula>
    </cfRule>
  </conditionalFormatting>
  <conditionalFormatting sqref="K166:M166">
    <cfRule type="cellIs" dxfId="487" priority="406" stopIfTrue="1" operator="equal">
      <formula>"Please check"</formula>
    </cfRule>
    <cfRule type="cellIs" dxfId="486" priority="407" stopIfTrue="1" operator="equal">
      <formula>"Pass"</formula>
    </cfRule>
    <cfRule type="cellIs" dxfId="485" priority="408" stopIfTrue="1" operator="equal">
      <formula>"Fail"</formula>
    </cfRule>
  </conditionalFormatting>
  <conditionalFormatting sqref="N159">
    <cfRule type="cellIs" dxfId="484" priority="397" stopIfTrue="1" operator="equal">
      <formula>"Please check"</formula>
    </cfRule>
    <cfRule type="cellIs" dxfId="483" priority="398" stopIfTrue="1" operator="equal">
      <formula>"Pass"</formula>
    </cfRule>
    <cfRule type="cellIs" dxfId="482" priority="399" stopIfTrue="1" operator="equal">
      <formula>"Fail"</formula>
    </cfRule>
  </conditionalFormatting>
  <conditionalFormatting sqref="N161:N166">
    <cfRule type="cellIs" dxfId="481" priority="403" stopIfTrue="1" operator="equal">
      <formula>"Please check"</formula>
    </cfRule>
    <cfRule type="cellIs" dxfId="480" priority="404" stopIfTrue="1" operator="equal">
      <formula>"Pass"</formula>
    </cfRule>
    <cfRule type="cellIs" dxfId="479" priority="405" stopIfTrue="1" operator="equal">
      <formula>"Fail"</formula>
    </cfRule>
  </conditionalFormatting>
  <conditionalFormatting sqref="N160">
    <cfRule type="cellIs" dxfId="478" priority="400" stopIfTrue="1" operator="equal">
      <formula>"Please check"</formula>
    </cfRule>
    <cfRule type="cellIs" dxfId="477" priority="401" stopIfTrue="1" operator="equal">
      <formula>"Pass"</formula>
    </cfRule>
    <cfRule type="cellIs" dxfId="476" priority="402" stopIfTrue="1" operator="equal">
      <formula>"Fail"</formula>
    </cfRule>
  </conditionalFormatting>
  <conditionalFormatting sqref="M174">
    <cfRule type="cellIs" dxfId="475" priority="394" stopIfTrue="1" operator="equal">
      <formula>"Please check"</formula>
    </cfRule>
    <cfRule type="cellIs" dxfId="474" priority="395" stopIfTrue="1" operator="equal">
      <formula>"Pass"</formula>
    </cfRule>
    <cfRule type="cellIs" dxfId="473" priority="396" stopIfTrue="1" operator="equal">
      <formula>"Fail"</formula>
    </cfRule>
  </conditionalFormatting>
  <conditionalFormatting sqref="M175">
    <cfRule type="cellIs" dxfId="472" priority="391" stopIfTrue="1" operator="equal">
      <formula>"Please check"</formula>
    </cfRule>
    <cfRule type="cellIs" dxfId="471" priority="392" stopIfTrue="1" operator="equal">
      <formula>"Pass"</formula>
    </cfRule>
    <cfRule type="cellIs" dxfId="470" priority="393" stopIfTrue="1" operator="equal">
      <formula>"Fail"</formula>
    </cfRule>
  </conditionalFormatting>
  <conditionalFormatting sqref="M183">
    <cfRule type="cellIs" dxfId="469" priority="388" stopIfTrue="1" operator="equal">
      <formula>"Please check"</formula>
    </cfRule>
    <cfRule type="cellIs" dxfId="468" priority="389" stopIfTrue="1" operator="equal">
      <formula>"Pass"</formula>
    </cfRule>
    <cfRule type="cellIs" dxfId="467" priority="390" stopIfTrue="1" operator="equal">
      <formula>"Fail"</formula>
    </cfRule>
  </conditionalFormatting>
  <conditionalFormatting sqref="M184">
    <cfRule type="cellIs" dxfId="466" priority="385" stopIfTrue="1" operator="equal">
      <formula>"Please check"</formula>
    </cfRule>
    <cfRule type="cellIs" dxfId="465" priority="386" stopIfTrue="1" operator="equal">
      <formula>"Pass"</formula>
    </cfRule>
    <cfRule type="cellIs" dxfId="464" priority="387" stopIfTrue="1" operator="equal">
      <formula>"Fail"</formula>
    </cfRule>
  </conditionalFormatting>
  <conditionalFormatting sqref="Q174">
    <cfRule type="cellIs" dxfId="463" priority="382" stopIfTrue="1" operator="equal">
      <formula>"Please check"</formula>
    </cfRule>
    <cfRule type="cellIs" dxfId="462" priority="383" stopIfTrue="1" operator="equal">
      <formula>"Pass"</formula>
    </cfRule>
    <cfRule type="cellIs" dxfId="461" priority="384" stopIfTrue="1" operator="equal">
      <formula>"Fail"</formula>
    </cfRule>
  </conditionalFormatting>
  <conditionalFormatting sqref="Q175">
    <cfRule type="cellIs" dxfId="460" priority="379" stopIfTrue="1" operator="equal">
      <formula>"Please check"</formula>
    </cfRule>
    <cfRule type="cellIs" dxfId="459" priority="380" stopIfTrue="1" operator="equal">
      <formula>"Pass"</formula>
    </cfRule>
    <cfRule type="cellIs" dxfId="458" priority="381" stopIfTrue="1" operator="equal">
      <formula>"Fail"</formula>
    </cfRule>
  </conditionalFormatting>
  <conditionalFormatting sqref="Q183">
    <cfRule type="cellIs" dxfId="457" priority="376" stopIfTrue="1" operator="equal">
      <formula>"Please check"</formula>
    </cfRule>
    <cfRule type="cellIs" dxfId="456" priority="377" stopIfTrue="1" operator="equal">
      <formula>"Pass"</formula>
    </cfRule>
    <cfRule type="cellIs" dxfId="455" priority="378" stopIfTrue="1" operator="equal">
      <formula>"Fail"</formula>
    </cfRule>
  </conditionalFormatting>
  <conditionalFormatting sqref="Q184">
    <cfRule type="cellIs" dxfId="454" priority="373" stopIfTrue="1" operator="equal">
      <formula>"Please check"</formula>
    </cfRule>
    <cfRule type="cellIs" dxfId="453" priority="374" stopIfTrue="1" operator="equal">
      <formula>"Pass"</formula>
    </cfRule>
    <cfRule type="cellIs" dxfId="452" priority="375" stopIfTrue="1" operator="equal">
      <formula>"Fail"</formula>
    </cfRule>
  </conditionalFormatting>
  <conditionalFormatting sqref="K170:L173">
    <cfRule type="cellIs" dxfId="451" priority="370" stopIfTrue="1" operator="equal">
      <formula>"Please check"</formula>
    </cfRule>
    <cfRule type="cellIs" dxfId="450" priority="371" stopIfTrue="1" operator="equal">
      <formula>"Pass"</formula>
    </cfRule>
    <cfRule type="cellIs" dxfId="449" priority="372" stopIfTrue="1" operator="equal">
      <formula>"Fail"</formula>
    </cfRule>
  </conditionalFormatting>
  <conditionalFormatting sqref="K174:L174">
    <cfRule type="cellIs" dxfId="448" priority="367" stopIfTrue="1" operator="equal">
      <formula>"Please check"</formula>
    </cfRule>
    <cfRule type="cellIs" dxfId="447" priority="368" stopIfTrue="1" operator="equal">
      <formula>"Pass"</formula>
    </cfRule>
    <cfRule type="cellIs" dxfId="446" priority="369" stopIfTrue="1" operator="equal">
      <formula>"Fail"</formula>
    </cfRule>
  </conditionalFormatting>
  <conditionalFormatting sqref="K175:L175">
    <cfRule type="cellIs" dxfId="445" priority="364" stopIfTrue="1" operator="equal">
      <formula>"Please check"</formula>
    </cfRule>
    <cfRule type="cellIs" dxfId="444" priority="365" stopIfTrue="1" operator="equal">
      <formula>"Pass"</formula>
    </cfRule>
    <cfRule type="cellIs" dxfId="443" priority="366" stopIfTrue="1" operator="equal">
      <formula>"Fail"</formula>
    </cfRule>
  </conditionalFormatting>
  <conditionalFormatting sqref="N170:N175">
    <cfRule type="cellIs" dxfId="442" priority="361" stopIfTrue="1" operator="equal">
      <formula>"Please check"</formula>
    </cfRule>
    <cfRule type="cellIs" dxfId="441" priority="362" stopIfTrue="1" operator="equal">
      <formula>"Pass"</formula>
    </cfRule>
    <cfRule type="cellIs" dxfId="440" priority="363" stopIfTrue="1" operator="equal">
      <formula>"Fail"</formula>
    </cfRule>
  </conditionalFormatting>
  <conditionalFormatting sqref="N169">
    <cfRule type="cellIs" dxfId="439" priority="358" stopIfTrue="1" operator="equal">
      <formula>"Please check"</formula>
    </cfRule>
    <cfRule type="cellIs" dxfId="438" priority="359" stopIfTrue="1" operator="equal">
      <formula>"Pass"</formula>
    </cfRule>
    <cfRule type="cellIs" dxfId="437" priority="360" stopIfTrue="1" operator="equal">
      <formula>"Fail"</formula>
    </cfRule>
  </conditionalFormatting>
  <conditionalFormatting sqref="K179:L182">
    <cfRule type="cellIs" dxfId="436" priority="355" stopIfTrue="1" operator="equal">
      <formula>"Please check"</formula>
    </cfRule>
    <cfRule type="cellIs" dxfId="435" priority="356" stopIfTrue="1" operator="equal">
      <formula>"Pass"</formula>
    </cfRule>
    <cfRule type="cellIs" dxfId="434" priority="357" stopIfTrue="1" operator="equal">
      <formula>"Fail"</formula>
    </cfRule>
  </conditionalFormatting>
  <conditionalFormatting sqref="K183:L183">
    <cfRule type="cellIs" dxfId="433" priority="352" stopIfTrue="1" operator="equal">
      <formula>"Please check"</formula>
    </cfRule>
    <cfRule type="cellIs" dxfId="432" priority="353" stopIfTrue="1" operator="equal">
      <formula>"Pass"</formula>
    </cfRule>
    <cfRule type="cellIs" dxfId="431" priority="354" stopIfTrue="1" operator="equal">
      <formula>"Fail"</formula>
    </cfRule>
  </conditionalFormatting>
  <conditionalFormatting sqref="K184:L184">
    <cfRule type="cellIs" dxfId="430" priority="349" stopIfTrue="1" operator="equal">
      <formula>"Please check"</formula>
    </cfRule>
    <cfRule type="cellIs" dxfId="429" priority="350" stopIfTrue="1" operator="equal">
      <formula>"Pass"</formula>
    </cfRule>
    <cfRule type="cellIs" dxfId="428" priority="351" stopIfTrue="1" operator="equal">
      <formula>"Fail"</formula>
    </cfRule>
  </conditionalFormatting>
  <conditionalFormatting sqref="N179:N184">
    <cfRule type="cellIs" dxfId="427" priority="346" stopIfTrue="1" operator="equal">
      <formula>"Please check"</formula>
    </cfRule>
    <cfRule type="cellIs" dxfId="426" priority="347" stopIfTrue="1" operator="equal">
      <formula>"Pass"</formula>
    </cfRule>
    <cfRule type="cellIs" dxfId="425" priority="348" stopIfTrue="1" operator="equal">
      <formula>"Fail"</formula>
    </cfRule>
  </conditionalFormatting>
  <conditionalFormatting sqref="N178">
    <cfRule type="cellIs" dxfId="424" priority="343" stopIfTrue="1" operator="equal">
      <formula>"Please check"</formula>
    </cfRule>
    <cfRule type="cellIs" dxfId="423" priority="344" stopIfTrue="1" operator="equal">
      <formula>"Pass"</formula>
    </cfRule>
    <cfRule type="cellIs" dxfId="422" priority="345" stopIfTrue="1" operator="equal">
      <formula>"Fail"</formula>
    </cfRule>
  </conditionalFormatting>
  <conditionalFormatting sqref="N188:N193">
    <cfRule type="cellIs" dxfId="421" priority="340" stopIfTrue="1" operator="equal">
      <formula>"Please check"</formula>
    </cfRule>
    <cfRule type="cellIs" dxfId="420" priority="341" stopIfTrue="1" operator="equal">
      <formula>"Pass"</formula>
    </cfRule>
    <cfRule type="cellIs" dxfId="419" priority="342" stopIfTrue="1" operator="equal">
      <formula>"Fail"</formula>
    </cfRule>
  </conditionalFormatting>
  <conditionalFormatting sqref="N187">
    <cfRule type="cellIs" dxfId="418" priority="337" stopIfTrue="1" operator="equal">
      <formula>"Please check"</formula>
    </cfRule>
    <cfRule type="cellIs" dxfId="417" priority="338" stopIfTrue="1" operator="equal">
      <formula>"Pass"</formula>
    </cfRule>
    <cfRule type="cellIs" dxfId="416" priority="339" stopIfTrue="1" operator="equal">
      <formula>"Fail"</formula>
    </cfRule>
  </conditionalFormatting>
  <conditionalFormatting sqref="K188:M191">
    <cfRule type="cellIs" dxfId="415" priority="334" stopIfTrue="1" operator="equal">
      <formula>"Please check"</formula>
    </cfRule>
    <cfRule type="cellIs" dxfId="414" priority="335" stopIfTrue="1" operator="equal">
      <formula>"Pass"</formula>
    </cfRule>
    <cfRule type="cellIs" dxfId="413" priority="336" stopIfTrue="1" operator="equal">
      <formula>"Fail"</formula>
    </cfRule>
  </conditionalFormatting>
  <conditionalFormatting sqref="K192:M192">
    <cfRule type="cellIs" dxfId="412" priority="331" stopIfTrue="1" operator="equal">
      <formula>"Please check"</formula>
    </cfRule>
    <cfRule type="cellIs" dxfId="411" priority="332" stopIfTrue="1" operator="equal">
      <formula>"Pass"</formula>
    </cfRule>
    <cfRule type="cellIs" dxfId="410" priority="333" stopIfTrue="1" operator="equal">
      <formula>"Fail"</formula>
    </cfRule>
  </conditionalFormatting>
  <conditionalFormatting sqref="K193:M193">
    <cfRule type="cellIs" dxfId="409" priority="328" stopIfTrue="1" operator="equal">
      <formula>"Please check"</formula>
    </cfRule>
    <cfRule type="cellIs" dxfId="408" priority="329" stopIfTrue="1" operator="equal">
      <formula>"Pass"</formula>
    </cfRule>
    <cfRule type="cellIs" dxfId="407" priority="330" stopIfTrue="1" operator="equal">
      <formula>"Fail"</formula>
    </cfRule>
  </conditionalFormatting>
  <conditionalFormatting sqref="K197:M200">
    <cfRule type="cellIs" dxfId="406" priority="325" stopIfTrue="1" operator="equal">
      <formula>"Please check"</formula>
    </cfRule>
    <cfRule type="cellIs" dxfId="405" priority="326" stopIfTrue="1" operator="equal">
      <formula>"Pass"</formula>
    </cfRule>
    <cfRule type="cellIs" dxfId="404" priority="327" stopIfTrue="1" operator="equal">
      <formula>"Fail"</formula>
    </cfRule>
  </conditionalFormatting>
  <conditionalFormatting sqref="K201:M201">
    <cfRule type="cellIs" dxfId="403" priority="322" stopIfTrue="1" operator="equal">
      <formula>"Please check"</formula>
    </cfRule>
    <cfRule type="cellIs" dxfId="402" priority="323" stopIfTrue="1" operator="equal">
      <formula>"Pass"</formula>
    </cfRule>
    <cfRule type="cellIs" dxfId="401" priority="324" stopIfTrue="1" operator="equal">
      <formula>"Fail"</formula>
    </cfRule>
  </conditionalFormatting>
  <conditionalFormatting sqref="K202:M202">
    <cfRule type="cellIs" dxfId="400" priority="319" stopIfTrue="1" operator="equal">
      <formula>"Please check"</formula>
    </cfRule>
    <cfRule type="cellIs" dxfId="399" priority="320" stopIfTrue="1" operator="equal">
      <formula>"Pass"</formula>
    </cfRule>
    <cfRule type="cellIs" dxfId="398" priority="321" stopIfTrue="1" operator="equal">
      <formula>"Fail"</formula>
    </cfRule>
  </conditionalFormatting>
  <conditionalFormatting sqref="N197:N202">
    <cfRule type="cellIs" dxfId="397" priority="316" stopIfTrue="1" operator="equal">
      <formula>"Please check"</formula>
    </cfRule>
    <cfRule type="cellIs" dxfId="396" priority="317" stopIfTrue="1" operator="equal">
      <formula>"Pass"</formula>
    </cfRule>
    <cfRule type="cellIs" dxfId="395" priority="318" stopIfTrue="1" operator="equal">
      <formula>"Fail"</formula>
    </cfRule>
  </conditionalFormatting>
  <conditionalFormatting sqref="N196">
    <cfRule type="cellIs" dxfId="394" priority="313" stopIfTrue="1" operator="equal">
      <formula>"Please check"</formula>
    </cfRule>
    <cfRule type="cellIs" dxfId="393" priority="314" stopIfTrue="1" operator="equal">
      <formula>"Pass"</formula>
    </cfRule>
    <cfRule type="cellIs" dxfId="392" priority="315" stopIfTrue="1" operator="equal">
      <formula>"Fail"</formula>
    </cfRule>
  </conditionalFormatting>
  <conditionalFormatting sqref="M219">
    <cfRule type="cellIs" dxfId="391" priority="310" stopIfTrue="1" operator="equal">
      <formula>"Please check"</formula>
    </cfRule>
    <cfRule type="cellIs" dxfId="390" priority="311" stopIfTrue="1" operator="equal">
      <formula>"Pass"</formula>
    </cfRule>
    <cfRule type="cellIs" dxfId="389" priority="312" stopIfTrue="1" operator="equal">
      <formula>"Fail"</formula>
    </cfRule>
  </conditionalFormatting>
  <conditionalFormatting sqref="M220">
    <cfRule type="cellIs" dxfId="388" priority="307" stopIfTrue="1" operator="equal">
      <formula>"Please check"</formula>
    </cfRule>
    <cfRule type="cellIs" dxfId="387" priority="308" stopIfTrue="1" operator="equal">
      <formula>"Pass"</formula>
    </cfRule>
    <cfRule type="cellIs" dxfId="386" priority="309" stopIfTrue="1" operator="equal">
      <formula>"Fail"</formula>
    </cfRule>
  </conditionalFormatting>
  <conditionalFormatting sqref="Q219">
    <cfRule type="cellIs" dxfId="385" priority="304" stopIfTrue="1" operator="equal">
      <formula>"Please check"</formula>
    </cfRule>
    <cfRule type="cellIs" dxfId="384" priority="305" stopIfTrue="1" operator="equal">
      <formula>"Pass"</formula>
    </cfRule>
    <cfRule type="cellIs" dxfId="383" priority="306" stopIfTrue="1" operator="equal">
      <formula>"Fail"</formula>
    </cfRule>
  </conditionalFormatting>
  <conditionalFormatting sqref="Q220">
    <cfRule type="cellIs" dxfId="382" priority="301" stopIfTrue="1" operator="equal">
      <formula>"Please check"</formula>
    </cfRule>
    <cfRule type="cellIs" dxfId="381" priority="302" stopIfTrue="1" operator="equal">
      <formula>"Pass"</formula>
    </cfRule>
    <cfRule type="cellIs" dxfId="380" priority="303" stopIfTrue="1" operator="equal">
      <formula>"Fail"</formula>
    </cfRule>
  </conditionalFormatting>
  <conditionalFormatting sqref="N215:N220">
    <cfRule type="cellIs" dxfId="379" priority="298" stopIfTrue="1" operator="equal">
      <formula>"Please check"</formula>
    </cfRule>
    <cfRule type="cellIs" dxfId="378" priority="299" stopIfTrue="1" operator="equal">
      <formula>"Pass"</formula>
    </cfRule>
    <cfRule type="cellIs" dxfId="377" priority="300" stopIfTrue="1" operator="equal">
      <formula>"Fail"</formula>
    </cfRule>
  </conditionalFormatting>
  <conditionalFormatting sqref="N214">
    <cfRule type="cellIs" dxfId="376" priority="295" stopIfTrue="1" operator="equal">
      <formula>"Please check"</formula>
    </cfRule>
    <cfRule type="cellIs" dxfId="375" priority="296" stopIfTrue="1" operator="equal">
      <formula>"Pass"</formula>
    </cfRule>
    <cfRule type="cellIs" dxfId="374" priority="297" stopIfTrue="1" operator="equal">
      <formula>"Fail"</formula>
    </cfRule>
  </conditionalFormatting>
  <conditionalFormatting sqref="K215:L218">
    <cfRule type="cellIs" dxfId="373" priority="292" stopIfTrue="1" operator="equal">
      <formula>"Please check"</formula>
    </cfRule>
    <cfRule type="cellIs" dxfId="372" priority="293" stopIfTrue="1" operator="equal">
      <formula>"Pass"</formula>
    </cfRule>
    <cfRule type="cellIs" dxfId="371" priority="294" stopIfTrue="1" operator="equal">
      <formula>"Fail"</formula>
    </cfRule>
  </conditionalFormatting>
  <conditionalFormatting sqref="K219:L219">
    <cfRule type="cellIs" dxfId="370" priority="289" stopIfTrue="1" operator="equal">
      <formula>"Please check"</formula>
    </cfRule>
    <cfRule type="cellIs" dxfId="369" priority="290" stopIfTrue="1" operator="equal">
      <formula>"Pass"</formula>
    </cfRule>
    <cfRule type="cellIs" dxfId="368" priority="291" stopIfTrue="1" operator="equal">
      <formula>"Fail"</formula>
    </cfRule>
  </conditionalFormatting>
  <conditionalFormatting sqref="K220:L220">
    <cfRule type="cellIs" dxfId="367" priority="286" stopIfTrue="1" operator="equal">
      <formula>"Please check"</formula>
    </cfRule>
    <cfRule type="cellIs" dxfId="366" priority="287" stopIfTrue="1" operator="equal">
      <formula>"Pass"</formula>
    </cfRule>
    <cfRule type="cellIs" dxfId="365" priority="288" stopIfTrue="1" operator="equal">
      <formula>"Fail"</formula>
    </cfRule>
  </conditionalFormatting>
  <conditionalFormatting sqref="K224:M227">
    <cfRule type="cellIs" dxfId="364" priority="283" stopIfTrue="1" operator="equal">
      <formula>"Please check"</formula>
    </cfRule>
    <cfRule type="cellIs" dxfId="363" priority="284" stopIfTrue="1" operator="equal">
      <formula>"Pass"</formula>
    </cfRule>
    <cfRule type="cellIs" dxfId="362" priority="285" stopIfTrue="1" operator="equal">
      <formula>"Fail"</formula>
    </cfRule>
  </conditionalFormatting>
  <conditionalFormatting sqref="K228:M228">
    <cfRule type="cellIs" dxfId="361" priority="280" stopIfTrue="1" operator="equal">
      <formula>"Please check"</formula>
    </cfRule>
    <cfRule type="cellIs" dxfId="360" priority="281" stopIfTrue="1" operator="equal">
      <formula>"Pass"</formula>
    </cfRule>
    <cfRule type="cellIs" dxfId="359" priority="282" stopIfTrue="1" operator="equal">
      <formula>"Fail"</formula>
    </cfRule>
  </conditionalFormatting>
  <conditionalFormatting sqref="K229:M229">
    <cfRule type="cellIs" dxfId="358" priority="277" stopIfTrue="1" operator="equal">
      <formula>"Please check"</formula>
    </cfRule>
    <cfRule type="cellIs" dxfId="357" priority="278" stopIfTrue="1" operator="equal">
      <formula>"Pass"</formula>
    </cfRule>
    <cfRule type="cellIs" dxfId="356" priority="279" stopIfTrue="1" operator="equal">
      <formula>"Fail"</formula>
    </cfRule>
  </conditionalFormatting>
  <conditionalFormatting sqref="N224:N229">
    <cfRule type="cellIs" dxfId="355" priority="274" stopIfTrue="1" operator="equal">
      <formula>"Please check"</formula>
    </cfRule>
    <cfRule type="cellIs" dxfId="354" priority="275" stopIfTrue="1" operator="equal">
      <formula>"Pass"</formula>
    </cfRule>
    <cfRule type="cellIs" dxfId="353" priority="276" stopIfTrue="1" operator="equal">
      <formula>"Fail"</formula>
    </cfRule>
  </conditionalFormatting>
  <conditionalFormatting sqref="N223">
    <cfRule type="cellIs" dxfId="352" priority="271" stopIfTrue="1" operator="equal">
      <formula>"Please check"</formula>
    </cfRule>
    <cfRule type="cellIs" dxfId="351" priority="272" stopIfTrue="1" operator="equal">
      <formula>"Pass"</formula>
    </cfRule>
    <cfRule type="cellIs" dxfId="350" priority="273" stopIfTrue="1" operator="equal">
      <formula>"Fail"</formula>
    </cfRule>
  </conditionalFormatting>
  <conditionalFormatting sqref="K242:M245">
    <cfRule type="cellIs" dxfId="349" priority="268" stopIfTrue="1" operator="equal">
      <formula>"Please check"</formula>
    </cfRule>
    <cfRule type="cellIs" dxfId="348" priority="269" stopIfTrue="1" operator="equal">
      <formula>"Pass"</formula>
    </cfRule>
    <cfRule type="cellIs" dxfId="347" priority="270" stopIfTrue="1" operator="equal">
      <formula>"Fail"</formula>
    </cfRule>
  </conditionalFormatting>
  <conditionalFormatting sqref="K246:M246">
    <cfRule type="cellIs" dxfId="346" priority="265" stopIfTrue="1" operator="equal">
      <formula>"Please check"</formula>
    </cfRule>
    <cfRule type="cellIs" dxfId="345" priority="266" stopIfTrue="1" operator="equal">
      <formula>"Pass"</formula>
    </cfRule>
    <cfRule type="cellIs" dxfId="344" priority="267" stopIfTrue="1" operator="equal">
      <formula>"Fail"</formula>
    </cfRule>
  </conditionalFormatting>
  <conditionalFormatting sqref="K247:M247">
    <cfRule type="cellIs" dxfId="343" priority="262" stopIfTrue="1" operator="equal">
      <formula>"Please check"</formula>
    </cfRule>
    <cfRule type="cellIs" dxfId="342" priority="263" stopIfTrue="1" operator="equal">
      <formula>"Pass"</formula>
    </cfRule>
    <cfRule type="cellIs" dxfId="341" priority="264" stopIfTrue="1" operator="equal">
      <formula>"Fail"</formula>
    </cfRule>
  </conditionalFormatting>
  <conditionalFormatting sqref="N242:N247">
    <cfRule type="cellIs" dxfId="340" priority="259" stopIfTrue="1" operator="equal">
      <formula>"Please check"</formula>
    </cfRule>
    <cfRule type="cellIs" dxfId="339" priority="260" stopIfTrue="1" operator="equal">
      <formula>"Pass"</formula>
    </cfRule>
    <cfRule type="cellIs" dxfId="338" priority="261" stopIfTrue="1" operator="equal">
      <formula>"Fail"</formula>
    </cfRule>
  </conditionalFormatting>
  <conditionalFormatting sqref="N241">
    <cfRule type="cellIs" dxfId="337" priority="256" stopIfTrue="1" operator="equal">
      <formula>"Please check"</formula>
    </cfRule>
    <cfRule type="cellIs" dxfId="336" priority="257" stopIfTrue="1" operator="equal">
      <formula>"Pass"</formula>
    </cfRule>
    <cfRule type="cellIs" dxfId="335" priority="258" stopIfTrue="1" operator="equal">
      <formula>"Fail"</formula>
    </cfRule>
  </conditionalFormatting>
  <conditionalFormatting sqref="O246:Q246">
    <cfRule type="cellIs" dxfId="334" priority="253" stopIfTrue="1" operator="equal">
      <formula>"Please check"</formula>
    </cfRule>
    <cfRule type="cellIs" dxfId="333" priority="254" stopIfTrue="1" operator="equal">
      <formula>"Pass"</formula>
    </cfRule>
    <cfRule type="cellIs" dxfId="332" priority="255" stopIfTrue="1" operator="equal">
      <formula>"Fail"</formula>
    </cfRule>
  </conditionalFormatting>
  <conditionalFormatting sqref="O247:Q247">
    <cfRule type="cellIs" dxfId="331" priority="250" stopIfTrue="1" operator="equal">
      <formula>"Please check"</formula>
    </cfRule>
    <cfRule type="cellIs" dxfId="330" priority="251" stopIfTrue="1" operator="equal">
      <formula>"Pass"</formula>
    </cfRule>
    <cfRule type="cellIs" dxfId="329" priority="252" stopIfTrue="1" operator="equal">
      <formula>"Fail"</formula>
    </cfRule>
  </conditionalFormatting>
  <conditionalFormatting sqref="K251:M254">
    <cfRule type="cellIs" dxfId="328" priority="247" stopIfTrue="1" operator="equal">
      <formula>"Please check"</formula>
    </cfRule>
    <cfRule type="cellIs" dxfId="327" priority="248" stopIfTrue="1" operator="equal">
      <formula>"Pass"</formula>
    </cfRule>
    <cfRule type="cellIs" dxfId="326" priority="249" stopIfTrue="1" operator="equal">
      <formula>"Fail"</formula>
    </cfRule>
  </conditionalFormatting>
  <conditionalFormatting sqref="K255:M255">
    <cfRule type="cellIs" dxfId="325" priority="244" stopIfTrue="1" operator="equal">
      <formula>"Please check"</formula>
    </cfRule>
    <cfRule type="cellIs" dxfId="324" priority="245" stopIfTrue="1" operator="equal">
      <formula>"Pass"</formula>
    </cfRule>
    <cfRule type="cellIs" dxfId="323" priority="246" stopIfTrue="1" operator="equal">
      <formula>"Fail"</formula>
    </cfRule>
  </conditionalFormatting>
  <conditionalFormatting sqref="K256:M256">
    <cfRule type="cellIs" dxfId="322" priority="241" stopIfTrue="1" operator="equal">
      <formula>"Please check"</formula>
    </cfRule>
    <cfRule type="cellIs" dxfId="321" priority="242" stopIfTrue="1" operator="equal">
      <formula>"Pass"</formula>
    </cfRule>
    <cfRule type="cellIs" dxfId="320" priority="243" stopIfTrue="1" operator="equal">
      <formula>"Fail"</formula>
    </cfRule>
  </conditionalFormatting>
  <conditionalFormatting sqref="N251:N256">
    <cfRule type="cellIs" dxfId="319" priority="238" stopIfTrue="1" operator="equal">
      <formula>"Please check"</formula>
    </cfRule>
    <cfRule type="cellIs" dxfId="318" priority="239" stopIfTrue="1" operator="equal">
      <formula>"Pass"</formula>
    </cfRule>
    <cfRule type="cellIs" dxfId="317" priority="240" stopIfTrue="1" operator="equal">
      <formula>"Fail"</formula>
    </cfRule>
  </conditionalFormatting>
  <conditionalFormatting sqref="N250">
    <cfRule type="cellIs" dxfId="316" priority="235" stopIfTrue="1" operator="equal">
      <formula>"Please check"</formula>
    </cfRule>
    <cfRule type="cellIs" dxfId="315" priority="236" stopIfTrue="1" operator="equal">
      <formula>"Pass"</formula>
    </cfRule>
    <cfRule type="cellIs" dxfId="314" priority="237" stopIfTrue="1" operator="equal">
      <formula>"Fail"</formula>
    </cfRule>
  </conditionalFormatting>
  <conditionalFormatting sqref="N259">
    <cfRule type="cellIs" dxfId="313" priority="232" stopIfTrue="1" operator="equal">
      <formula>"Please check"</formula>
    </cfRule>
    <cfRule type="cellIs" dxfId="312" priority="233" stopIfTrue="1" operator="equal">
      <formula>"Pass"</formula>
    </cfRule>
    <cfRule type="cellIs" dxfId="311" priority="234" stopIfTrue="1" operator="equal">
      <formula>"Fail"</formula>
    </cfRule>
  </conditionalFormatting>
  <conditionalFormatting sqref="K264:M264">
    <cfRule type="cellIs" dxfId="310" priority="229" stopIfTrue="1" operator="equal">
      <formula>"Please check"</formula>
    </cfRule>
    <cfRule type="cellIs" dxfId="309" priority="230" stopIfTrue="1" operator="equal">
      <formula>"Pass"</formula>
    </cfRule>
    <cfRule type="cellIs" dxfId="308" priority="231" stopIfTrue="1" operator="equal">
      <formula>"Fail"</formula>
    </cfRule>
  </conditionalFormatting>
  <conditionalFormatting sqref="K265:M265">
    <cfRule type="cellIs" dxfId="307" priority="226" stopIfTrue="1" operator="equal">
      <formula>"Please check"</formula>
    </cfRule>
    <cfRule type="cellIs" dxfId="306" priority="227" stopIfTrue="1" operator="equal">
      <formula>"Pass"</formula>
    </cfRule>
    <cfRule type="cellIs" dxfId="305" priority="228" stopIfTrue="1" operator="equal">
      <formula>"Fail"</formula>
    </cfRule>
  </conditionalFormatting>
  <conditionalFormatting sqref="N260:N265">
    <cfRule type="cellIs" dxfId="304" priority="223" stopIfTrue="1" operator="equal">
      <formula>"Please check"</formula>
    </cfRule>
    <cfRule type="cellIs" dxfId="303" priority="224" stopIfTrue="1" operator="equal">
      <formula>"Pass"</formula>
    </cfRule>
    <cfRule type="cellIs" dxfId="302" priority="225" stopIfTrue="1" operator="equal">
      <formula>"Fail"</formula>
    </cfRule>
  </conditionalFormatting>
  <conditionalFormatting sqref="O264:P265">
    <cfRule type="cellIs" dxfId="301" priority="220" stopIfTrue="1" operator="equal">
      <formula>"Please check"</formula>
    </cfRule>
    <cfRule type="cellIs" dxfId="300" priority="221" stopIfTrue="1" operator="equal">
      <formula>"Pass"</formula>
    </cfRule>
    <cfRule type="cellIs" dxfId="299" priority="222" stopIfTrue="1" operator="equal">
      <formula>"Fail"</formula>
    </cfRule>
  </conditionalFormatting>
  <conditionalFormatting sqref="Q264">
    <cfRule type="cellIs" dxfId="298" priority="217" stopIfTrue="1" operator="equal">
      <formula>"Please check"</formula>
    </cfRule>
    <cfRule type="cellIs" dxfId="297" priority="218" stopIfTrue="1" operator="equal">
      <formula>"Pass"</formula>
    </cfRule>
    <cfRule type="cellIs" dxfId="296" priority="219" stopIfTrue="1" operator="equal">
      <formula>"Fail"</formula>
    </cfRule>
  </conditionalFormatting>
  <conditionalFormatting sqref="Q265">
    <cfRule type="cellIs" dxfId="295" priority="214" stopIfTrue="1" operator="equal">
      <formula>"Please check"</formula>
    </cfRule>
    <cfRule type="cellIs" dxfId="294" priority="215" stopIfTrue="1" operator="equal">
      <formula>"Pass"</formula>
    </cfRule>
    <cfRule type="cellIs" dxfId="293" priority="216" stopIfTrue="1" operator="equal">
      <formula>"Fail"</formula>
    </cfRule>
  </conditionalFormatting>
  <conditionalFormatting sqref="M273">
    <cfRule type="cellIs" dxfId="292" priority="211" stopIfTrue="1" operator="equal">
      <formula>"Please check"</formula>
    </cfRule>
    <cfRule type="cellIs" dxfId="291" priority="212" stopIfTrue="1" operator="equal">
      <formula>"Pass"</formula>
    </cfRule>
    <cfRule type="cellIs" dxfId="290" priority="213" stopIfTrue="1" operator="equal">
      <formula>"Fail"</formula>
    </cfRule>
  </conditionalFormatting>
  <conditionalFormatting sqref="M274">
    <cfRule type="cellIs" dxfId="289" priority="208" stopIfTrue="1" operator="equal">
      <formula>"Please check"</formula>
    </cfRule>
    <cfRule type="cellIs" dxfId="288" priority="209" stopIfTrue="1" operator="equal">
      <formula>"Pass"</formula>
    </cfRule>
    <cfRule type="cellIs" dxfId="287" priority="210" stopIfTrue="1" operator="equal">
      <formula>"Fail"</formula>
    </cfRule>
  </conditionalFormatting>
  <conditionalFormatting sqref="Q273">
    <cfRule type="cellIs" dxfId="286" priority="205" stopIfTrue="1" operator="equal">
      <formula>"Please check"</formula>
    </cfRule>
    <cfRule type="cellIs" dxfId="285" priority="206" stopIfTrue="1" operator="equal">
      <formula>"Pass"</formula>
    </cfRule>
    <cfRule type="cellIs" dxfId="284" priority="207" stopIfTrue="1" operator="equal">
      <formula>"Fail"</formula>
    </cfRule>
  </conditionalFormatting>
  <conditionalFormatting sqref="Q274">
    <cfRule type="cellIs" dxfId="283" priority="202" stopIfTrue="1" operator="equal">
      <formula>"Please check"</formula>
    </cfRule>
    <cfRule type="cellIs" dxfId="282" priority="203" stopIfTrue="1" operator="equal">
      <formula>"Pass"</formula>
    </cfRule>
    <cfRule type="cellIs" dxfId="281" priority="204" stopIfTrue="1" operator="equal">
      <formula>"Fail"</formula>
    </cfRule>
  </conditionalFormatting>
  <conditionalFormatting sqref="N269:N274">
    <cfRule type="cellIs" dxfId="280" priority="199" stopIfTrue="1" operator="equal">
      <formula>"Please check"</formula>
    </cfRule>
    <cfRule type="cellIs" dxfId="279" priority="200" stopIfTrue="1" operator="equal">
      <formula>"Pass"</formula>
    </cfRule>
    <cfRule type="cellIs" dxfId="278" priority="201" stopIfTrue="1" operator="equal">
      <formula>"Fail"</formula>
    </cfRule>
  </conditionalFormatting>
  <conditionalFormatting sqref="N268">
    <cfRule type="cellIs" dxfId="277" priority="196" stopIfTrue="1" operator="equal">
      <formula>"Please check"</formula>
    </cfRule>
    <cfRule type="cellIs" dxfId="276" priority="197" stopIfTrue="1" operator="equal">
      <formula>"Pass"</formula>
    </cfRule>
    <cfRule type="cellIs" dxfId="275" priority="198" stopIfTrue="1" operator="equal">
      <formula>"Fail"</formula>
    </cfRule>
  </conditionalFormatting>
  <conditionalFormatting sqref="H285">
    <cfRule type="cellIs" dxfId="274" priority="193" stopIfTrue="1" operator="equal">
      <formula>"Please check"</formula>
    </cfRule>
    <cfRule type="cellIs" dxfId="273" priority="194" stopIfTrue="1" operator="equal">
      <formula>"Pass"</formula>
    </cfRule>
    <cfRule type="cellIs" dxfId="272" priority="195" stopIfTrue="1" operator="equal">
      <formula>"Fail"</formula>
    </cfRule>
  </conditionalFormatting>
  <conditionalFormatting sqref="N277">
    <cfRule type="cellIs" dxfId="271" priority="190" stopIfTrue="1" operator="equal">
      <formula>"Please check"</formula>
    </cfRule>
    <cfRule type="cellIs" dxfId="270" priority="191" stopIfTrue="1" operator="equal">
      <formula>"Pass"</formula>
    </cfRule>
    <cfRule type="cellIs" dxfId="269" priority="192" stopIfTrue="1" operator="equal">
      <formula>"Fail"</formula>
    </cfRule>
  </conditionalFormatting>
  <conditionalFormatting sqref="N281">
    <cfRule type="cellIs" dxfId="268" priority="187" stopIfTrue="1" operator="equal">
      <formula>"Please check"</formula>
    </cfRule>
    <cfRule type="cellIs" dxfId="267" priority="188" stopIfTrue="1" operator="equal">
      <formula>"Pass"</formula>
    </cfRule>
    <cfRule type="cellIs" dxfId="266" priority="189" stopIfTrue="1" operator="equal">
      <formula>"Fail"</formula>
    </cfRule>
  </conditionalFormatting>
  <conditionalFormatting sqref="N283">
    <cfRule type="cellIs" dxfId="265" priority="184" stopIfTrue="1" operator="equal">
      <formula>"Please check"</formula>
    </cfRule>
    <cfRule type="cellIs" dxfId="264" priority="185" stopIfTrue="1" operator="equal">
      <formula>"Pass"</formula>
    </cfRule>
    <cfRule type="cellIs" dxfId="263" priority="186" stopIfTrue="1" operator="equal">
      <formula>"Fail"</formula>
    </cfRule>
  </conditionalFormatting>
  <conditionalFormatting sqref="N285">
    <cfRule type="cellIs" dxfId="262" priority="181" stopIfTrue="1" operator="equal">
      <formula>"Please check"</formula>
    </cfRule>
    <cfRule type="cellIs" dxfId="261" priority="182" stopIfTrue="1" operator="equal">
      <formula>"Pass"</formula>
    </cfRule>
    <cfRule type="cellIs" dxfId="260" priority="183" stopIfTrue="1" operator="equal">
      <formula>"Fail"</formula>
    </cfRule>
  </conditionalFormatting>
  <conditionalFormatting sqref="K280:M280">
    <cfRule type="cellIs" dxfId="259" priority="178" stopIfTrue="1" operator="equal">
      <formula>"Please check"</formula>
    </cfRule>
    <cfRule type="cellIs" dxfId="258" priority="179" stopIfTrue="1" operator="equal">
      <formula>"Pass"</formula>
    </cfRule>
    <cfRule type="cellIs" dxfId="257" priority="180" stopIfTrue="1" operator="equal">
      <formula>"Fail"</formula>
    </cfRule>
  </conditionalFormatting>
  <conditionalFormatting sqref="N280">
    <cfRule type="cellIs" dxfId="256" priority="175" stopIfTrue="1" operator="equal">
      <formula>"Please check"</formula>
    </cfRule>
    <cfRule type="cellIs" dxfId="255" priority="176" stopIfTrue="1" operator="equal">
      <formula>"Pass"</formula>
    </cfRule>
    <cfRule type="cellIs" dxfId="254" priority="177" stopIfTrue="1" operator="equal">
      <formula>"Fail"</formula>
    </cfRule>
  </conditionalFormatting>
  <conditionalFormatting sqref="N288">
    <cfRule type="cellIs" dxfId="253" priority="172" stopIfTrue="1" operator="equal">
      <formula>"Please check"</formula>
    </cfRule>
    <cfRule type="cellIs" dxfId="252" priority="173" stopIfTrue="1" operator="equal">
      <formula>"Pass"</formula>
    </cfRule>
    <cfRule type="cellIs" dxfId="251" priority="174" stopIfTrue="1" operator="equal">
      <formula>"Fail"</formula>
    </cfRule>
  </conditionalFormatting>
  <conditionalFormatting sqref="K290:M290">
    <cfRule type="cellIs" dxfId="250" priority="169" stopIfTrue="1" operator="equal">
      <formula>"Please check"</formula>
    </cfRule>
    <cfRule type="cellIs" dxfId="249" priority="170" stopIfTrue="1" operator="equal">
      <formula>"Pass"</formula>
    </cfRule>
    <cfRule type="cellIs" dxfId="248" priority="171" stopIfTrue="1" operator="equal">
      <formula>"Fail"</formula>
    </cfRule>
  </conditionalFormatting>
  <conditionalFormatting sqref="N297">
    <cfRule type="cellIs" dxfId="247" priority="163" stopIfTrue="1" operator="equal">
      <formula>"Please check"</formula>
    </cfRule>
    <cfRule type="cellIs" dxfId="246" priority="164" stopIfTrue="1" operator="equal">
      <formula>"Pass"</formula>
    </cfRule>
    <cfRule type="cellIs" dxfId="245" priority="165" stopIfTrue="1" operator="equal">
      <formula>"Fail"</formula>
    </cfRule>
  </conditionalFormatting>
  <conditionalFormatting sqref="P290:Q302">
    <cfRule type="cellIs" dxfId="244" priority="160" stopIfTrue="1" operator="equal">
      <formula>"Please check"</formula>
    </cfRule>
    <cfRule type="cellIs" dxfId="243" priority="161" stopIfTrue="1" operator="equal">
      <formula>"Pass"</formula>
    </cfRule>
    <cfRule type="cellIs" dxfId="242" priority="162" stopIfTrue="1" operator="equal">
      <formula>"Fail"</formula>
    </cfRule>
  </conditionalFormatting>
  <conditionalFormatting sqref="N308">
    <cfRule type="cellIs" dxfId="241" priority="157" stopIfTrue="1" operator="equal">
      <formula>"Please check"</formula>
    </cfRule>
    <cfRule type="cellIs" dxfId="240" priority="158" stopIfTrue="1" operator="equal">
      <formula>"Pass"</formula>
    </cfRule>
    <cfRule type="cellIs" dxfId="239" priority="159" stopIfTrue="1" operator="equal">
      <formula>"Fail"</formula>
    </cfRule>
  </conditionalFormatting>
  <conditionalFormatting sqref="K308:M308">
    <cfRule type="cellIs" dxfId="238" priority="154" stopIfTrue="1" operator="equal">
      <formula>"Please check"</formula>
    </cfRule>
    <cfRule type="cellIs" dxfId="237" priority="155" stopIfTrue="1" operator="equal">
      <formula>"Pass"</formula>
    </cfRule>
    <cfRule type="cellIs" dxfId="236" priority="156" stopIfTrue="1" operator="equal">
      <formula>"Fail"</formula>
    </cfRule>
  </conditionalFormatting>
  <conditionalFormatting sqref="K307:M307">
    <cfRule type="cellIs" dxfId="235" priority="151" stopIfTrue="1" operator="equal">
      <formula>"Please check"</formula>
    </cfRule>
    <cfRule type="cellIs" dxfId="234" priority="152" stopIfTrue="1" operator="equal">
      <formula>"Pass"</formula>
    </cfRule>
    <cfRule type="cellIs" dxfId="233" priority="153" stopIfTrue="1" operator="equal">
      <formula>"Fail"</formula>
    </cfRule>
  </conditionalFormatting>
  <conditionalFormatting sqref="O307">
    <cfRule type="cellIs" dxfId="232" priority="148" stopIfTrue="1" operator="equal">
      <formula>"Please check"</formula>
    </cfRule>
    <cfRule type="cellIs" dxfId="231" priority="149" stopIfTrue="1" operator="equal">
      <formula>"Pass"</formula>
    </cfRule>
    <cfRule type="cellIs" dxfId="230" priority="150" stopIfTrue="1" operator="equal">
      <formula>"Fail"</formula>
    </cfRule>
  </conditionalFormatting>
  <conditionalFormatting sqref="P307:Q307">
    <cfRule type="cellIs" dxfId="229" priority="145" stopIfTrue="1" operator="equal">
      <formula>"Please check"</formula>
    </cfRule>
    <cfRule type="cellIs" dxfId="228" priority="146" stopIfTrue="1" operator="equal">
      <formula>"Pass"</formula>
    </cfRule>
    <cfRule type="cellIs" dxfId="227" priority="147" stopIfTrue="1" operator="equal">
      <formula>"Fail"</formula>
    </cfRule>
  </conditionalFormatting>
  <conditionalFormatting sqref="O308:Q308">
    <cfRule type="cellIs" dxfId="226" priority="142" stopIfTrue="1" operator="equal">
      <formula>"Please check"</formula>
    </cfRule>
    <cfRule type="cellIs" dxfId="225" priority="143" stopIfTrue="1" operator="equal">
      <formula>"Pass"</formula>
    </cfRule>
    <cfRule type="cellIs" dxfId="224" priority="144" stopIfTrue="1" operator="equal">
      <formula>"Fail"</formula>
    </cfRule>
  </conditionalFormatting>
  <conditionalFormatting sqref="O311:Q311">
    <cfRule type="cellIs" dxfId="223" priority="139" stopIfTrue="1" operator="equal">
      <formula>"Please check"</formula>
    </cfRule>
    <cfRule type="cellIs" dxfId="222" priority="140" stopIfTrue="1" operator="equal">
      <formula>"Pass"</formula>
    </cfRule>
    <cfRule type="cellIs" dxfId="221" priority="141" stopIfTrue="1" operator="equal">
      <formula>"Fail"</formula>
    </cfRule>
  </conditionalFormatting>
  <conditionalFormatting sqref="O315:Q315">
    <cfRule type="cellIs" dxfId="220" priority="136" stopIfTrue="1" operator="equal">
      <formula>"Please check"</formula>
    </cfRule>
    <cfRule type="cellIs" dxfId="219" priority="137" stopIfTrue="1" operator="equal">
      <formula>"Pass"</formula>
    </cfRule>
    <cfRule type="cellIs" dxfId="218" priority="138" stopIfTrue="1" operator="equal">
      <formula>"Fail"</formula>
    </cfRule>
  </conditionalFormatting>
  <conditionalFormatting sqref="B309">
    <cfRule type="cellIs" dxfId="217" priority="133" stopIfTrue="1" operator="equal">
      <formula>"Please check"</formula>
    </cfRule>
    <cfRule type="cellIs" dxfId="216" priority="134" stopIfTrue="1" operator="equal">
      <formula>"Pass"</formula>
    </cfRule>
    <cfRule type="cellIs" dxfId="215" priority="135" stopIfTrue="1" operator="equal">
      <formula>"Fail"</formula>
    </cfRule>
  </conditionalFormatting>
  <conditionalFormatting sqref="B310">
    <cfRule type="cellIs" dxfId="214" priority="130" stopIfTrue="1" operator="equal">
      <formula>"Please check"</formula>
    </cfRule>
    <cfRule type="cellIs" dxfId="213" priority="131" stopIfTrue="1" operator="equal">
      <formula>"Pass"</formula>
    </cfRule>
    <cfRule type="cellIs" dxfId="212" priority="132" stopIfTrue="1" operator="equal">
      <formula>"Fail"</formula>
    </cfRule>
  </conditionalFormatting>
  <conditionalFormatting sqref="K57:M57">
    <cfRule type="cellIs" dxfId="211" priority="127" stopIfTrue="1" operator="equal">
      <formula>"Please check"</formula>
    </cfRule>
    <cfRule type="cellIs" dxfId="210" priority="128" stopIfTrue="1" operator="equal">
      <formula>"Pass"</formula>
    </cfRule>
    <cfRule type="cellIs" dxfId="209" priority="129" stopIfTrue="1" operator="equal">
      <formula>"Fail"</formula>
    </cfRule>
  </conditionalFormatting>
  <conditionalFormatting sqref="N57">
    <cfRule type="cellIs" dxfId="208" priority="124" stopIfTrue="1" operator="equal">
      <formula>"Please check"</formula>
    </cfRule>
    <cfRule type="cellIs" dxfId="207" priority="125" stopIfTrue="1" operator="equal">
      <formula>"Pass"</formula>
    </cfRule>
    <cfRule type="cellIs" dxfId="206" priority="126" stopIfTrue="1" operator="equal">
      <formula>"Fail"</formula>
    </cfRule>
  </conditionalFormatting>
  <conditionalFormatting sqref="H57">
    <cfRule type="cellIs" dxfId="205" priority="121" stopIfTrue="1" operator="equal">
      <formula>"Please check"</formula>
    </cfRule>
    <cfRule type="cellIs" dxfId="204" priority="122" stopIfTrue="1" operator="equal">
      <formula>"Pass"</formula>
    </cfRule>
    <cfRule type="cellIs" dxfId="203" priority="123" stopIfTrue="1" operator="equal">
      <formula>"Fail"</formula>
    </cfRule>
  </conditionalFormatting>
  <conditionalFormatting sqref="E39">
    <cfRule type="cellIs" dxfId="202" priority="118" stopIfTrue="1" operator="equal">
      <formula>"Please check"</formula>
    </cfRule>
    <cfRule type="cellIs" dxfId="201" priority="119" stopIfTrue="1" operator="equal">
      <formula>"Pass"</formula>
    </cfRule>
    <cfRule type="cellIs" dxfId="200" priority="120" stopIfTrue="1" operator="equal">
      <formula>"Fail"</formula>
    </cfRule>
  </conditionalFormatting>
  <conditionalFormatting sqref="F39">
    <cfRule type="cellIs" dxfId="199" priority="109" stopIfTrue="1" operator="equal">
      <formula>"Please check"</formula>
    </cfRule>
    <cfRule type="cellIs" dxfId="198" priority="110" stopIfTrue="1" operator="equal">
      <formula>"Pass"</formula>
    </cfRule>
    <cfRule type="cellIs" dxfId="197" priority="111" stopIfTrue="1" operator="equal">
      <formula>"Fail"</formula>
    </cfRule>
  </conditionalFormatting>
  <conditionalFormatting sqref="G39">
    <cfRule type="cellIs" dxfId="196" priority="106" stopIfTrue="1" operator="equal">
      <formula>"Please check"</formula>
    </cfRule>
    <cfRule type="cellIs" dxfId="195" priority="107" stopIfTrue="1" operator="equal">
      <formula>"Pass"</formula>
    </cfRule>
    <cfRule type="cellIs" dxfId="194" priority="108" stopIfTrue="1" operator="equal">
      <formula>"Fail"</formula>
    </cfRule>
  </conditionalFormatting>
  <conditionalFormatting sqref="N39">
    <cfRule type="cellIs" dxfId="193" priority="103" stopIfTrue="1" operator="equal">
      <formula>"Please check"</formula>
    </cfRule>
    <cfRule type="cellIs" dxfId="192" priority="104" stopIfTrue="1" operator="equal">
      <formula>"Pass"</formula>
    </cfRule>
    <cfRule type="cellIs" dxfId="191" priority="105" stopIfTrue="1" operator="equal">
      <formula>"Fail"</formula>
    </cfRule>
  </conditionalFormatting>
  <conditionalFormatting sqref="K39">
    <cfRule type="cellIs" dxfId="190" priority="100" stopIfTrue="1" operator="equal">
      <formula>"Please check"</formula>
    </cfRule>
    <cfRule type="cellIs" dxfId="189" priority="101" stopIfTrue="1" operator="equal">
      <formula>"Pass"</formula>
    </cfRule>
    <cfRule type="cellIs" dxfId="188" priority="102" stopIfTrue="1" operator="equal">
      <formula>"Fail"</formula>
    </cfRule>
  </conditionalFormatting>
  <conditionalFormatting sqref="L39">
    <cfRule type="cellIs" dxfId="187" priority="97" stopIfTrue="1" operator="equal">
      <formula>"Please check"</formula>
    </cfRule>
    <cfRule type="cellIs" dxfId="186" priority="98" stopIfTrue="1" operator="equal">
      <formula>"Pass"</formula>
    </cfRule>
    <cfRule type="cellIs" dxfId="185" priority="99" stopIfTrue="1" operator="equal">
      <formula>"Fail"</formula>
    </cfRule>
  </conditionalFormatting>
  <conditionalFormatting sqref="M39">
    <cfRule type="cellIs" dxfId="184" priority="94" stopIfTrue="1" operator="equal">
      <formula>"Please check"</formula>
    </cfRule>
    <cfRule type="cellIs" dxfId="183" priority="95" stopIfTrue="1" operator="equal">
      <formula>"Pass"</formula>
    </cfRule>
    <cfRule type="cellIs" dxfId="182" priority="96" stopIfTrue="1" operator="equal">
      <formula>"Fail"</formula>
    </cfRule>
  </conditionalFormatting>
  <conditionalFormatting sqref="E78:G83">
    <cfRule type="cellIs" dxfId="181" priority="91" stopIfTrue="1" operator="equal">
      <formula>"Please check"</formula>
    </cfRule>
    <cfRule type="cellIs" dxfId="180" priority="92" stopIfTrue="1" operator="equal">
      <formula>"Pass"</formula>
    </cfRule>
    <cfRule type="cellIs" dxfId="179" priority="93" stopIfTrue="1" operator="equal">
      <formula>"Fail"</formula>
    </cfRule>
  </conditionalFormatting>
  <conditionalFormatting sqref="E87:G92">
    <cfRule type="cellIs" dxfId="178" priority="88" stopIfTrue="1" operator="equal">
      <formula>"Please check"</formula>
    </cfRule>
    <cfRule type="cellIs" dxfId="177" priority="89" stopIfTrue="1" operator="equal">
      <formula>"Pass"</formula>
    </cfRule>
    <cfRule type="cellIs" dxfId="176" priority="90" stopIfTrue="1" operator="equal">
      <formula>"Fail"</formula>
    </cfRule>
  </conditionalFormatting>
  <conditionalFormatting sqref="E96:G101">
    <cfRule type="cellIs" dxfId="175" priority="85" stopIfTrue="1" operator="equal">
      <formula>"Please check"</formula>
    </cfRule>
    <cfRule type="cellIs" dxfId="174" priority="86" stopIfTrue="1" operator="equal">
      <formula>"Pass"</formula>
    </cfRule>
    <cfRule type="cellIs" dxfId="173" priority="87" stopIfTrue="1" operator="equal">
      <formula>"Fail"</formula>
    </cfRule>
  </conditionalFormatting>
  <conditionalFormatting sqref="E115:G120">
    <cfRule type="cellIs" dxfId="172" priority="82" stopIfTrue="1" operator="equal">
      <formula>"Please check"</formula>
    </cfRule>
    <cfRule type="cellIs" dxfId="171" priority="83" stopIfTrue="1" operator="equal">
      <formula>"Pass"</formula>
    </cfRule>
    <cfRule type="cellIs" dxfId="170" priority="84" stopIfTrue="1" operator="equal">
      <formula>"Fail"</formula>
    </cfRule>
  </conditionalFormatting>
  <conditionalFormatting sqref="E124:G129">
    <cfRule type="cellIs" dxfId="169" priority="79" stopIfTrue="1" operator="equal">
      <formula>"Please check"</formula>
    </cfRule>
    <cfRule type="cellIs" dxfId="168" priority="80" stopIfTrue="1" operator="equal">
      <formula>"Pass"</formula>
    </cfRule>
    <cfRule type="cellIs" dxfId="167" priority="81" stopIfTrue="1" operator="equal">
      <formula>"Fail"</formula>
    </cfRule>
  </conditionalFormatting>
  <conditionalFormatting sqref="E133:G138">
    <cfRule type="cellIs" dxfId="166" priority="76" stopIfTrue="1" operator="equal">
      <formula>"Please check"</formula>
    </cfRule>
    <cfRule type="cellIs" dxfId="165" priority="77" stopIfTrue="1" operator="equal">
      <formula>"Pass"</formula>
    </cfRule>
    <cfRule type="cellIs" dxfId="164" priority="78" stopIfTrue="1" operator="equal">
      <formula>"Fail"</formula>
    </cfRule>
  </conditionalFormatting>
  <conditionalFormatting sqref="E151:G156">
    <cfRule type="cellIs" dxfId="163" priority="73" stopIfTrue="1" operator="equal">
      <formula>"Please check"</formula>
    </cfRule>
    <cfRule type="cellIs" dxfId="162" priority="74" stopIfTrue="1" operator="equal">
      <formula>"Pass"</formula>
    </cfRule>
    <cfRule type="cellIs" dxfId="161" priority="75" stopIfTrue="1" operator="equal">
      <formula>"Fail"</formula>
    </cfRule>
  </conditionalFormatting>
  <conditionalFormatting sqref="E161:G166">
    <cfRule type="cellIs" dxfId="160" priority="70" stopIfTrue="1" operator="equal">
      <formula>"Please check"</formula>
    </cfRule>
    <cfRule type="cellIs" dxfId="159" priority="71" stopIfTrue="1" operator="equal">
      <formula>"Pass"</formula>
    </cfRule>
    <cfRule type="cellIs" dxfId="158" priority="72" stopIfTrue="1" operator="equal">
      <formula>"Fail"</formula>
    </cfRule>
  </conditionalFormatting>
  <conditionalFormatting sqref="E170:F175">
    <cfRule type="cellIs" dxfId="157" priority="67" stopIfTrue="1" operator="equal">
      <formula>"Please check"</formula>
    </cfRule>
    <cfRule type="cellIs" dxfId="156" priority="68" stopIfTrue="1" operator="equal">
      <formula>"Pass"</formula>
    </cfRule>
    <cfRule type="cellIs" dxfId="155" priority="69" stopIfTrue="1" operator="equal">
      <formula>"Fail"</formula>
    </cfRule>
  </conditionalFormatting>
  <conditionalFormatting sqref="E179:F184">
    <cfRule type="cellIs" dxfId="154" priority="64" stopIfTrue="1" operator="equal">
      <formula>"Please check"</formula>
    </cfRule>
    <cfRule type="cellIs" dxfId="153" priority="65" stopIfTrue="1" operator="equal">
      <formula>"Pass"</formula>
    </cfRule>
    <cfRule type="cellIs" dxfId="152" priority="66" stopIfTrue="1" operator="equal">
      <formula>"Fail"</formula>
    </cfRule>
  </conditionalFormatting>
  <conditionalFormatting sqref="E188:G193">
    <cfRule type="cellIs" dxfId="151" priority="61" stopIfTrue="1" operator="equal">
      <formula>"Please check"</formula>
    </cfRule>
    <cfRule type="cellIs" dxfId="150" priority="62" stopIfTrue="1" operator="equal">
      <formula>"Pass"</formula>
    </cfRule>
    <cfRule type="cellIs" dxfId="149" priority="63" stopIfTrue="1" operator="equal">
      <formula>"Fail"</formula>
    </cfRule>
  </conditionalFormatting>
  <conditionalFormatting sqref="G197:G202">
    <cfRule type="cellIs" dxfId="148" priority="58" stopIfTrue="1" operator="equal">
      <formula>"Please check"</formula>
    </cfRule>
    <cfRule type="cellIs" dxfId="147" priority="59" stopIfTrue="1" operator="equal">
      <formula>"Pass"</formula>
    </cfRule>
    <cfRule type="cellIs" dxfId="146" priority="60" stopIfTrue="1" operator="equal">
      <formula>"Fail"</formula>
    </cfRule>
  </conditionalFormatting>
  <conditionalFormatting sqref="E215:F220">
    <cfRule type="cellIs" dxfId="145" priority="55" stopIfTrue="1" operator="equal">
      <formula>"Please check"</formula>
    </cfRule>
    <cfRule type="cellIs" dxfId="144" priority="56" stopIfTrue="1" operator="equal">
      <formula>"Pass"</formula>
    </cfRule>
    <cfRule type="cellIs" dxfId="143" priority="57" stopIfTrue="1" operator="equal">
      <formula>"Fail"</formula>
    </cfRule>
  </conditionalFormatting>
  <conditionalFormatting sqref="E224:G229">
    <cfRule type="cellIs" dxfId="142" priority="52" stopIfTrue="1" operator="equal">
      <formula>"Please check"</formula>
    </cfRule>
    <cfRule type="cellIs" dxfId="141" priority="53" stopIfTrue="1" operator="equal">
      <formula>"Pass"</formula>
    </cfRule>
    <cfRule type="cellIs" dxfId="140" priority="54" stopIfTrue="1" operator="equal">
      <formula>"Fail"</formula>
    </cfRule>
  </conditionalFormatting>
  <conditionalFormatting sqref="G242:G247">
    <cfRule type="cellIs" dxfId="139" priority="49" stopIfTrue="1" operator="equal">
      <formula>"Please check"</formula>
    </cfRule>
    <cfRule type="cellIs" dxfId="138" priority="50" stopIfTrue="1" operator="equal">
      <formula>"Pass"</formula>
    </cfRule>
    <cfRule type="cellIs" dxfId="137" priority="51" stopIfTrue="1" operator="equal">
      <formula>"Fail"</formula>
    </cfRule>
  </conditionalFormatting>
  <conditionalFormatting sqref="E251:G256">
    <cfRule type="cellIs" dxfId="136" priority="46" stopIfTrue="1" operator="equal">
      <formula>"Please check"</formula>
    </cfRule>
    <cfRule type="cellIs" dxfId="135" priority="47" stopIfTrue="1" operator="equal">
      <formula>"Pass"</formula>
    </cfRule>
    <cfRule type="cellIs" dxfId="134" priority="48" stopIfTrue="1" operator="equal">
      <formula>"Fail"</formula>
    </cfRule>
  </conditionalFormatting>
  <conditionalFormatting sqref="H260:H265">
    <cfRule type="cellIs" dxfId="133" priority="43" stopIfTrue="1" operator="equal">
      <formula>"Please check"</formula>
    </cfRule>
    <cfRule type="cellIs" dxfId="132" priority="44" stopIfTrue="1" operator="equal">
      <formula>"Pass"</formula>
    </cfRule>
    <cfRule type="cellIs" dxfId="131" priority="45" stopIfTrue="1" operator="equal">
      <formula>"Fail"</formula>
    </cfRule>
  </conditionalFormatting>
  <conditionalFormatting sqref="E269:F277">
    <cfRule type="cellIs" dxfId="130" priority="40" stopIfTrue="1" operator="equal">
      <formula>"Please check"</formula>
    </cfRule>
    <cfRule type="cellIs" dxfId="129" priority="41" stopIfTrue="1" operator="equal">
      <formula>"Pass"</formula>
    </cfRule>
    <cfRule type="cellIs" dxfId="128" priority="42" stopIfTrue="1" operator="equal">
      <formula>"Fail"</formula>
    </cfRule>
  </conditionalFormatting>
  <conditionalFormatting sqref="G277">
    <cfRule type="cellIs" dxfId="127" priority="37" stopIfTrue="1" operator="equal">
      <formula>"Please check"</formula>
    </cfRule>
    <cfRule type="cellIs" dxfId="126" priority="38" stopIfTrue="1" operator="equal">
      <formula>"Pass"</formula>
    </cfRule>
    <cfRule type="cellIs" dxfId="125" priority="39" stopIfTrue="1" operator="equal">
      <formula>"Fail"</formula>
    </cfRule>
  </conditionalFormatting>
  <conditionalFormatting sqref="E280:G281">
    <cfRule type="cellIs" dxfId="124" priority="34" stopIfTrue="1" operator="equal">
      <formula>"Please check"</formula>
    </cfRule>
    <cfRule type="cellIs" dxfId="123" priority="35" stopIfTrue="1" operator="equal">
      <formula>"Pass"</formula>
    </cfRule>
    <cfRule type="cellIs" dxfId="122" priority="36" stopIfTrue="1" operator="equal">
      <formula>"Fail"</formula>
    </cfRule>
  </conditionalFormatting>
  <conditionalFormatting sqref="H282">
    <cfRule type="cellIs" dxfId="121" priority="31" stopIfTrue="1" operator="equal">
      <formula>"Please check"</formula>
    </cfRule>
    <cfRule type="cellIs" dxfId="120" priority="32" stopIfTrue="1" operator="equal">
      <formula>"Pass"</formula>
    </cfRule>
    <cfRule type="cellIs" dxfId="119" priority="33" stopIfTrue="1" operator="equal">
      <formula>"Fail"</formula>
    </cfRule>
  </conditionalFormatting>
  <conditionalFormatting sqref="E283:G283">
    <cfRule type="cellIs" dxfId="118" priority="28" stopIfTrue="1" operator="equal">
      <formula>"Please check"</formula>
    </cfRule>
    <cfRule type="cellIs" dxfId="117" priority="29" stopIfTrue="1" operator="equal">
      <formula>"Pass"</formula>
    </cfRule>
    <cfRule type="cellIs" dxfId="116" priority="30" stopIfTrue="1" operator="equal">
      <formula>"Fail"</formula>
    </cfRule>
  </conditionalFormatting>
  <conditionalFormatting sqref="E285:G285">
    <cfRule type="cellIs" dxfId="115" priority="25" stopIfTrue="1" operator="equal">
      <formula>"Please check"</formula>
    </cfRule>
    <cfRule type="cellIs" dxfId="114" priority="26" stopIfTrue="1" operator="equal">
      <formula>"Pass"</formula>
    </cfRule>
    <cfRule type="cellIs" dxfId="113" priority="27" stopIfTrue="1" operator="equal">
      <formula>"Fail"</formula>
    </cfRule>
  </conditionalFormatting>
  <conditionalFormatting sqref="A305 O305:XFD305">
    <cfRule type="cellIs" dxfId="112" priority="19" stopIfTrue="1" operator="equal">
      <formula>"Please check"</formula>
    </cfRule>
    <cfRule type="cellIs" dxfId="111" priority="20" stopIfTrue="1" operator="equal">
      <formula>"Pass"</formula>
    </cfRule>
    <cfRule type="cellIs" dxfId="110" priority="21" stopIfTrue="1" operator="equal">
      <formula>"Fail"</formula>
    </cfRule>
  </conditionalFormatting>
  <conditionalFormatting sqref="I305 E305:G305 C305">
    <cfRule type="cellIs" dxfId="109" priority="22" stopIfTrue="1" operator="equal">
      <formula>"Please check"</formula>
    </cfRule>
    <cfRule type="cellIs" dxfId="108" priority="23" stopIfTrue="1" operator="equal">
      <formula>"Pass"</formula>
    </cfRule>
    <cfRule type="cellIs" dxfId="107" priority="24" stopIfTrue="1" operator="equal">
      <formula>"Fail"</formula>
    </cfRule>
  </conditionalFormatting>
  <conditionalFormatting sqref="B305">
    <cfRule type="cellIs" dxfId="106" priority="16" stopIfTrue="1" operator="equal">
      <formula>"Please check"</formula>
    </cfRule>
    <cfRule type="cellIs" dxfId="105" priority="17" stopIfTrue="1" operator="equal">
      <formula>"Pass"</formula>
    </cfRule>
    <cfRule type="cellIs" dxfId="104" priority="18" stopIfTrue="1" operator="equal">
      <formula>"Fail"</formula>
    </cfRule>
  </conditionalFormatting>
  <conditionalFormatting sqref="K305:M305">
    <cfRule type="cellIs" dxfId="103" priority="13" stopIfTrue="1" operator="equal">
      <formula>"Please check"</formula>
    </cfRule>
    <cfRule type="cellIs" dxfId="102" priority="14" stopIfTrue="1" operator="equal">
      <formula>"Pass"</formula>
    </cfRule>
    <cfRule type="cellIs" dxfId="101" priority="15" stopIfTrue="1" operator="equal">
      <formula>"Fail"</formula>
    </cfRule>
  </conditionalFormatting>
  <conditionalFormatting sqref="D305">
    <cfRule type="cellIs" dxfId="100" priority="10" stopIfTrue="1" operator="equal">
      <formula>"Please check"</formula>
    </cfRule>
    <cfRule type="cellIs" dxfId="99" priority="11" stopIfTrue="1" operator="equal">
      <formula>"Pass"</formula>
    </cfRule>
    <cfRule type="cellIs" dxfId="98" priority="12" stopIfTrue="1" operator="equal">
      <formula>"Fail"</formula>
    </cfRule>
  </conditionalFormatting>
  <conditionalFormatting sqref="J305">
    <cfRule type="cellIs" dxfId="97" priority="7" stopIfTrue="1" operator="equal">
      <formula>"Please check"</formula>
    </cfRule>
    <cfRule type="cellIs" dxfId="96" priority="8" stopIfTrue="1" operator="equal">
      <formula>"Pass"</formula>
    </cfRule>
    <cfRule type="cellIs" dxfId="95" priority="9" stopIfTrue="1" operator="equal">
      <formula>"Fail"</formula>
    </cfRule>
  </conditionalFormatting>
  <conditionalFormatting sqref="H305">
    <cfRule type="cellIs" dxfId="94" priority="4" stopIfTrue="1" operator="equal">
      <formula>"Please check"</formula>
    </cfRule>
    <cfRule type="cellIs" dxfId="93" priority="5" stopIfTrue="1" operator="equal">
      <formula>"Pass"</formula>
    </cfRule>
    <cfRule type="cellIs" dxfId="92" priority="6" stopIfTrue="1" operator="equal">
      <formula>"Fail"</formula>
    </cfRule>
  </conditionalFormatting>
  <conditionalFormatting sqref="N305">
    <cfRule type="cellIs" dxfId="91" priority="1" stopIfTrue="1" operator="equal">
      <formula>"Please check"</formula>
    </cfRule>
    <cfRule type="cellIs" dxfId="90" priority="2" stopIfTrue="1" operator="equal">
      <formula>"Pass"</formula>
    </cfRule>
    <cfRule type="cellIs" dxfId="89"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241:F241 E59 E196:F197 F58:G59 M11:M12 M21:M22 M31:M32 M36 I40:J41 M40:M41 M44 I8:M8 K297:M297 I44:J44 I39:J39 I15:M15 I11:J12 I31:J32 J25:M25 E259:G259 E8:F8 I16:J16 M16 I25:I26 E25:G25 J26 M26 I35:J36 I21:J22 I19:M19 I7:J7 I9:J9 M9 M35:N35 F54:G54 E114:G114 E123:G123 E132:G132 E150:G150 E160:G160 E169:G169 E178:G178 E187:G187 G196 E214:G214 E223:G223 G241 E250:G250 K291:M291 L311:M311 K292:M292 K293:M293 K294:M294 K295:M295 K296:M296 K302:M302 K298:M298 K299:M299 K300:M300 K301:M301 G170:G173 G179:G182 G215:G218"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6"/>
  <sheetViews>
    <sheetView zoomScale="75" zoomScaleNormal="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545" customWidth="1"/>
    <col min="2" max="2" width="64.7109375" style="258" customWidth="1"/>
    <col min="3" max="3" width="16.7109375" style="258" hidden="1" customWidth="1"/>
    <col min="4" max="6" width="16.7109375" style="258" customWidth="1"/>
    <col min="7" max="7" width="16.7109375" style="258" hidden="1" customWidth="1"/>
    <col min="8" max="16" width="16.7109375" style="258" customWidth="1"/>
    <col min="17" max="17" width="16.7109375" style="258" hidden="1" customWidth="1"/>
    <col min="18" max="20" width="16.7109375" style="258" customWidth="1"/>
    <col min="21" max="21" width="16.7109375" style="258" hidden="1" customWidth="1"/>
    <col min="22" max="28" width="16.7109375" style="258" customWidth="1"/>
    <col min="29" max="29" width="20.7109375" style="258" customWidth="1"/>
    <col min="30" max="34" width="16.7109375" style="258" customWidth="1"/>
    <col min="35" max="37" width="24.7109375" style="258" customWidth="1"/>
    <col min="38" max="38" width="1.7109375" style="258" customWidth="1"/>
    <col min="39" max="16384" width="6.140625" hidden="1"/>
  </cols>
  <sheetData>
    <row r="1" spans="1:38" ht="30" customHeight="1" x14ac:dyDescent="0.55000000000000004">
      <c r="A1" s="1098" t="s">
        <v>1039</v>
      </c>
      <c r="B1" s="1436"/>
      <c r="C1" s="1077"/>
      <c r="D1" s="1077"/>
      <c r="E1" s="1062" t="str">
        <f>CONCATENATE("Reporting unit: ", 'General Info'!$C$7, " ", 'General Info'!$C$5)</f>
        <v xml:space="preserve">Reporting unit: 1 </v>
      </c>
      <c r="F1" s="1062"/>
      <c r="G1" s="1062"/>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05"/>
    </row>
    <row r="2" spans="1:38" ht="15" customHeight="1" x14ac:dyDescent="0.25">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544"/>
    </row>
    <row r="3" spans="1:38" ht="30" customHeight="1" x14ac:dyDescent="0.25">
      <c r="B3" s="1108" t="s">
        <v>1031</v>
      </c>
      <c r="D3" s="1109"/>
      <c r="E3" s="1109"/>
      <c r="F3" s="1109"/>
      <c r="G3" s="1109"/>
      <c r="H3" s="1109"/>
      <c r="I3" s="1109"/>
      <c r="J3" s="1109"/>
      <c r="K3" s="1109"/>
      <c r="L3" s="1109"/>
      <c r="T3" s="477"/>
      <c r="U3" s="477"/>
      <c r="V3" s="477"/>
      <c r="W3" s="477"/>
      <c r="X3" s="477"/>
      <c r="Y3" s="477"/>
      <c r="Z3" s="477"/>
      <c r="AA3" s="477"/>
      <c r="AB3" s="477"/>
      <c r="AC3" s="477"/>
      <c r="AD3" s="477"/>
      <c r="AE3" s="477"/>
      <c r="AF3" s="477"/>
      <c r="AG3" s="477"/>
      <c r="AH3" s="477"/>
      <c r="AI3" s="477"/>
      <c r="AJ3" s="477"/>
      <c r="AK3" s="477"/>
      <c r="AL3" s="544"/>
    </row>
    <row r="4" spans="1:38" ht="15" customHeight="1" x14ac:dyDescent="0.25">
      <c r="B4" s="1216"/>
      <c r="D4" s="1217" t="s">
        <v>48</v>
      </c>
      <c r="E4" s="1218" t="s">
        <v>650</v>
      </c>
      <c r="F4" s="2295"/>
      <c r="G4" s="2295"/>
      <c r="H4" s="2295"/>
      <c r="I4" s="2295"/>
      <c r="J4" s="2295"/>
      <c r="K4" s="2295"/>
      <c r="L4" s="2295"/>
      <c r="T4" s="477"/>
      <c r="U4" s="477"/>
      <c r="V4" s="477"/>
      <c r="W4" s="477"/>
      <c r="X4" s="477"/>
      <c r="Y4" s="477"/>
      <c r="Z4" s="477"/>
      <c r="AA4" s="477"/>
      <c r="AB4" s="477"/>
      <c r="AC4" s="477"/>
      <c r="AD4" s="477"/>
      <c r="AE4" s="477"/>
      <c r="AF4" s="477"/>
      <c r="AG4" s="477"/>
      <c r="AH4" s="477"/>
      <c r="AI4" s="477"/>
      <c r="AJ4" s="477"/>
      <c r="AK4" s="477"/>
      <c r="AL4" s="544"/>
    </row>
    <row r="5" spans="1:38" ht="15" customHeight="1" x14ac:dyDescent="0.25">
      <c r="B5" s="2290" t="str">
        <f>'General Info'!$B11</f>
        <v>Standardised approach</v>
      </c>
      <c r="D5" s="1113" t="str">
        <f>IF(ISBLANK('General Info'!$C11),"",'General Info'!$C11)</f>
        <v/>
      </c>
      <c r="E5" s="1114"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1118"/>
      <c r="G5" s="1118"/>
      <c r="H5" s="1118"/>
      <c r="I5" s="1118"/>
      <c r="J5" s="1118"/>
      <c r="K5" s="1118"/>
      <c r="L5" s="1118"/>
      <c r="T5" s="477"/>
      <c r="U5" s="477"/>
      <c r="V5" s="477"/>
      <c r="W5" s="477"/>
      <c r="X5" s="477"/>
      <c r="Y5" s="477"/>
      <c r="Z5" s="477"/>
      <c r="AA5" s="477"/>
      <c r="AB5" s="477"/>
      <c r="AC5" s="477"/>
      <c r="AD5" s="477"/>
      <c r="AE5" s="477"/>
      <c r="AF5" s="477"/>
      <c r="AG5" s="477"/>
      <c r="AH5" s="477"/>
      <c r="AI5" s="477"/>
      <c r="AJ5" s="477"/>
      <c r="AK5" s="477"/>
      <c r="AL5" s="544"/>
    </row>
    <row r="6" spans="1:38" ht="15" customHeight="1" x14ac:dyDescent="0.25">
      <c r="B6" s="2290" t="str">
        <f>Parameters!B269</f>
        <v>External ratings allowed</v>
      </c>
      <c r="D6" s="1113" t="str">
        <f>IF(ISBLANK(Parameters!$F269), "", Parameters!$F269)</f>
        <v>No</v>
      </c>
      <c r="E6" s="1114" t="str">
        <f>IF(D5="Yes", IF(D6="No", "Please complete in the panel A1 data under SCRA and Corporates-rating not allowed", "Please compete in panel A1 information under ECRA and Corporates-rating allowed"), "No SA exposures, please check General Info")</f>
        <v>No SA exposures, please check General Info</v>
      </c>
      <c r="F6" s="1118"/>
      <c r="G6" s="1118"/>
      <c r="H6" s="1118"/>
      <c r="I6" s="1118"/>
      <c r="J6" s="1118"/>
      <c r="K6" s="1118"/>
      <c r="L6" s="1118"/>
      <c r="T6" s="477"/>
      <c r="U6" s="477"/>
      <c r="V6" s="477"/>
      <c r="W6" s="477"/>
      <c r="X6" s="477"/>
      <c r="Y6" s="477"/>
      <c r="Z6" s="477"/>
      <c r="AA6" s="477"/>
      <c r="AB6" s="477"/>
      <c r="AC6" s="477"/>
      <c r="AD6" s="477"/>
      <c r="AE6" s="477"/>
      <c r="AF6" s="477"/>
      <c r="AG6" s="477"/>
      <c r="AH6" s="477"/>
      <c r="AI6" s="477"/>
      <c r="AJ6" s="477"/>
      <c r="AK6" s="477"/>
      <c r="AL6" s="544"/>
    </row>
    <row r="7" spans="1:38" ht="15" customHeight="1" x14ac:dyDescent="0.25">
      <c r="B7" s="2290" t="str">
        <f>Parameters!B270</f>
        <v>Loan splitting approach</v>
      </c>
      <c r="D7" s="1113" t="str">
        <f>IF(ISBLANK(Parameters!$F270), "", Parameters!$F270)</f>
        <v>Yes</v>
      </c>
      <c r="E7" s="1114" t="str">
        <f>IF(D5="Yes", IF(D7="No", "Please complete in panel A1 rows referring to the whole loan appraoch ", "Please compete in panel A1 rows referring to the loan splitting approach"), "No SA exposures, please check General Info")</f>
        <v>No SA exposures, please check General Info</v>
      </c>
      <c r="F7" s="1118"/>
      <c r="G7" s="1118"/>
      <c r="H7" s="1118"/>
      <c r="I7" s="1118"/>
      <c r="J7" s="1118"/>
      <c r="K7" s="1118"/>
      <c r="L7" s="1118"/>
      <c r="T7" s="477"/>
      <c r="U7" s="477"/>
      <c r="V7" s="477"/>
      <c r="W7" s="477"/>
      <c r="X7" s="477"/>
      <c r="Y7" s="477"/>
      <c r="Z7" s="477"/>
      <c r="AA7" s="477"/>
      <c r="AB7" s="477"/>
      <c r="AC7" s="477"/>
      <c r="AD7" s="477"/>
      <c r="AE7" s="477"/>
      <c r="AF7" s="477"/>
      <c r="AG7" s="477"/>
      <c r="AH7" s="477"/>
      <c r="AI7" s="477"/>
      <c r="AJ7" s="477"/>
      <c r="AK7" s="477"/>
      <c r="AL7" s="544"/>
    </row>
    <row r="8" spans="1:38" ht="15" customHeight="1" x14ac:dyDescent="0.25">
      <c r="B8" s="2290" t="str">
        <f>'General Info'!$B12</f>
        <v>FIRB approach</v>
      </c>
      <c r="D8" s="1113" t="str">
        <f>IF(ISBLANK('General Info'!$C12),"",'General Info'!$C12)</f>
        <v/>
      </c>
      <c r="E8" s="1114"/>
      <c r="F8" s="1118"/>
      <c r="G8" s="1118"/>
      <c r="H8" s="1118"/>
      <c r="I8" s="1118"/>
      <c r="J8" s="1118"/>
      <c r="K8" s="1118"/>
      <c r="L8" s="1118"/>
      <c r="T8" s="477"/>
      <c r="U8" s="477"/>
      <c r="V8" s="477"/>
      <c r="W8" s="477"/>
      <c r="X8" s="477"/>
      <c r="Y8" s="477"/>
      <c r="Z8" s="477"/>
      <c r="AA8" s="477"/>
      <c r="AB8" s="477"/>
      <c r="AC8" s="477"/>
      <c r="AD8" s="477"/>
      <c r="AE8" s="477"/>
      <c r="AF8" s="477"/>
      <c r="AG8" s="477"/>
      <c r="AH8" s="477"/>
      <c r="AI8" s="477"/>
      <c r="AJ8" s="477"/>
      <c r="AK8" s="477"/>
      <c r="AL8" s="544"/>
    </row>
    <row r="9" spans="1:38" ht="15" customHeight="1" x14ac:dyDescent="0.25">
      <c r="B9" s="2290" t="str">
        <f>'General Info'!$B13</f>
        <v>AIRB approach</v>
      </c>
      <c r="D9" s="1113" t="str">
        <f>IF(ISBLANK('General Info'!$C13),"",'General Info'!$C13)</f>
        <v/>
      </c>
      <c r="E9" s="1114"/>
      <c r="F9" s="1118"/>
      <c r="G9" s="1118"/>
      <c r="H9" s="1118"/>
      <c r="I9" s="1118"/>
      <c r="J9" s="1118"/>
      <c r="K9" s="1118"/>
      <c r="L9" s="1118"/>
      <c r="T9" s="477"/>
      <c r="U9" s="477"/>
      <c r="V9" s="477"/>
      <c r="W9" s="477"/>
      <c r="X9" s="477"/>
      <c r="Y9" s="477"/>
      <c r="Z9" s="477"/>
      <c r="AA9" s="477"/>
      <c r="AB9" s="477"/>
      <c r="AC9" s="477"/>
      <c r="AD9" s="477"/>
      <c r="AE9" s="477"/>
      <c r="AF9" s="477"/>
      <c r="AG9" s="477"/>
      <c r="AH9" s="477"/>
      <c r="AI9" s="477"/>
      <c r="AJ9" s="477"/>
      <c r="AK9" s="477"/>
      <c r="AL9" s="544"/>
    </row>
    <row r="10" spans="1:38" ht="15" customHeight="1" x14ac:dyDescent="0.25">
      <c r="B10" s="2290" t="str">
        <f>'General Info'!$B15</f>
        <v>Slotting approach for specialised lending</v>
      </c>
      <c r="D10" s="1113" t="str">
        <f>IF(ISBLANK('General Info'!$C15),"",'General Info'!$C15)</f>
        <v/>
      </c>
      <c r="E10" s="1114"/>
      <c r="F10" s="1118"/>
      <c r="G10" s="1118"/>
      <c r="H10" s="1118"/>
      <c r="I10" s="1118"/>
      <c r="J10" s="1118"/>
      <c r="K10" s="1118"/>
      <c r="L10" s="1118"/>
      <c r="T10" s="477"/>
      <c r="U10" s="477"/>
      <c r="V10" s="477"/>
      <c r="W10" s="477"/>
      <c r="X10" s="477"/>
      <c r="Y10" s="477"/>
      <c r="Z10" s="477"/>
      <c r="AA10" s="477"/>
      <c r="AB10" s="477"/>
      <c r="AC10" s="477"/>
      <c r="AD10" s="477"/>
      <c r="AE10" s="477"/>
      <c r="AF10" s="477"/>
      <c r="AG10" s="477"/>
      <c r="AH10" s="477"/>
      <c r="AI10" s="477"/>
      <c r="AJ10" s="477"/>
      <c r="AK10" s="477"/>
      <c r="AL10" s="544"/>
    </row>
    <row r="11" spans="1:38" ht="15" customHeight="1" x14ac:dyDescent="0.25">
      <c r="B11" s="2291" t="str">
        <f>'General Info'!B47</f>
        <v>Revised market risk framework definition of TB-BB boundary</v>
      </c>
      <c r="D11" s="1115" t="str">
        <f>IF(ISBLANK('General Info'!C47),"",'General Info'!$C47)</f>
        <v/>
      </c>
      <c r="E11" s="1116" t="str">
        <f>IF(D11="Yes", "Please complete rows " &amp; ROW(B145) &amp; " and " &amp; ROW(B146) &amp; ".", IF(D11="No", "Please leave rows " &amp; ROW(B145) &amp; " and " &amp; ROW(B146) &amp; " empty.", ""))</f>
        <v/>
      </c>
      <c r="F11" s="1119"/>
      <c r="G11" s="1119"/>
      <c r="H11" s="1119"/>
      <c r="I11" s="1119"/>
      <c r="J11" s="1119"/>
      <c r="K11" s="1119"/>
      <c r="L11" s="1119"/>
      <c r="T11" s="477"/>
      <c r="U11" s="477"/>
      <c r="V11" s="477"/>
      <c r="W11" s="477"/>
      <c r="X11" s="477"/>
      <c r="Y11" s="477"/>
      <c r="Z11" s="477"/>
      <c r="AA11" s="477"/>
      <c r="AB11" s="477"/>
      <c r="AC11" s="477"/>
      <c r="AD11" s="477"/>
      <c r="AE11" s="477"/>
      <c r="AF11" s="477"/>
      <c r="AG11" s="477"/>
      <c r="AH11" s="477"/>
      <c r="AI11" s="477"/>
      <c r="AJ11" s="477"/>
      <c r="AK11" s="477"/>
      <c r="AL11" s="544"/>
    </row>
    <row r="12" spans="1:38" ht="15" customHeight="1" x14ac:dyDescent="0.25">
      <c r="N12" s="477"/>
      <c r="O12" s="477"/>
      <c r="P12" s="477"/>
      <c r="Q12" s="477"/>
      <c r="R12" s="477"/>
      <c r="S12" s="477"/>
      <c r="T12" s="477"/>
      <c r="U12" s="477"/>
      <c r="V12" s="477"/>
      <c r="W12" s="477"/>
      <c r="X12" s="477"/>
      <c r="Y12" s="477"/>
      <c r="Z12" s="477"/>
      <c r="AA12" s="477"/>
      <c r="AB12" s="478"/>
      <c r="AC12" s="478"/>
      <c r="AD12" s="478"/>
      <c r="AE12" s="478"/>
      <c r="AF12" s="478"/>
      <c r="AG12" s="478"/>
      <c r="AH12" s="478"/>
      <c r="AI12" s="478"/>
      <c r="AJ12" s="478"/>
      <c r="AK12" s="478"/>
      <c r="AL12" s="544"/>
    </row>
    <row r="13" spans="1:38" ht="55.5" customHeight="1" x14ac:dyDescent="0.25">
      <c r="A13" s="1018" t="s">
        <v>2158</v>
      </c>
      <c r="B13" s="1066"/>
      <c r="C13" s="1105"/>
      <c r="D13" s="1105"/>
      <c r="E13" s="1105"/>
      <c r="F13" s="1210"/>
      <c r="G13" s="1105"/>
      <c r="H13" s="1105"/>
      <c r="I13" s="1105"/>
      <c r="J13" s="1105"/>
      <c r="K13" s="1105"/>
      <c r="L13" s="1105"/>
      <c r="M13" s="1105"/>
      <c r="N13" s="1105"/>
      <c r="O13" s="1105"/>
      <c r="P13" s="1105"/>
      <c r="Q13" s="1210"/>
      <c r="R13" s="1105"/>
      <c r="S13" s="1105"/>
      <c r="T13" s="1105"/>
      <c r="U13" s="1105"/>
      <c r="V13" s="1105"/>
      <c r="W13" s="1105"/>
      <c r="X13" s="1211"/>
      <c r="Y13" s="1211"/>
      <c r="Z13" s="1105"/>
      <c r="AA13" s="1210"/>
      <c r="AB13" s="1105"/>
      <c r="AC13" s="1105"/>
      <c r="AD13" s="1105"/>
      <c r="AE13" s="1105"/>
      <c r="AF13" s="1105"/>
      <c r="AG13" s="1105"/>
      <c r="AH13" s="1105"/>
      <c r="AI13" s="2243"/>
      <c r="AJ13" s="2243"/>
      <c r="AK13" s="2243"/>
      <c r="AL13" s="2244"/>
    </row>
    <row r="14" spans="1:38" ht="55.5" customHeight="1" x14ac:dyDescent="0.25">
      <c r="A14" s="493" t="s">
        <v>2159</v>
      </c>
      <c r="B14" s="317"/>
      <c r="C14" s="477"/>
      <c r="D14" s="477"/>
      <c r="E14" s="477"/>
      <c r="F14" s="477"/>
      <c r="G14" s="477"/>
      <c r="H14" s="477"/>
      <c r="I14" s="477"/>
      <c r="J14" s="477"/>
      <c r="K14" s="477"/>
      <c r="L14" s="477"/>
      <c r="M14" s="477"/>
      <c r="N14" s="477"/>
      <c r="O14" s="477"/>
      <c r="P14" s="477"/>
      <c r="Q14" s="477"/>
      <c r="R14" s="477"/>
      <c r="S14" s="477"/>
      <c r="T14" s="477"/>
      <c r="U14" s="477"/>
      <c r="V14" s="477"/>
      <c r="W14" s="2296"/>
      <c r="X14" s="2296"/>
      <c r="Y14" s="2296"/>
      <c r="Z14" s="477"/>
      <c r="AA14" s="477"/>
      <c r="AB14" s="477"/>
      <c r="AC14" s="477"/>
      <c r="AD14" s="477"/>
      <c r="AE14" s="477"/>
      <c r="AF14" s="477"/>
      <c r="AG14" s="477"/>
      <c r="AH14" s="477"/>
      <c r="AI14" s="2245"/>
      <c r="AJ14" s="2245"/>
      <c r="AK14" s="2245"/>
      <c r="AL14" s="2246"/>
    </row>
    <row r="15" spans="1:38" ht="30" customHeight="1" x14ac:dyDescent="0.25">
      <c r="B15" s="2597" t="s">
        <v>651</v>
      </c>
      <c r="C15" s="2741" t="s">
        <v>886</v>
      </c>
      <c r="D15" s="2742"/>
      <c r="E15" s="2742"/>
      <c r="F15" s="2742"/>
      <c r="G15" s="2742"/>
      <c r="H15" s="2742"/>
      <c r="I15" s="2742"/>
      <c r="J15" s="2742"/>
      <c r="K15" s="2742"/>
      <c r="L15" s="2742"/>
      <c r="M15" s="2742"/>
      <c r="N15" s="2742"/>
      <c r="O15" s="2742"/>
      <c r="P15" s="2743"/>
      <c r="Q15" s="2725" t="s">
        <v>887</v>
      </c>
      <c r="R15" s="2726"/>
      <c r="S15" s="2726"/>
      <c r="T15" s="2726"/>
      <c r="U15" s="2726"/>
      <c r="V15" s="2726"/>
      <c r="W15" s="2726"/>
      <c r="X15" s="2726"/>
      <c r="Y15" s="2726"/>
      <c r="Z15" s="2726"/>
      <c r="AA15" s="2726"/>
      <c r="AB15" s="2726"/>
      <c r="AC15" s="2727"/>
      <c r="AD15" s="2716" t="s">
        <v>301</v>
      </c>
      <c r="AE15" s="2717"/>
      <c r="AF15" s="2723" t="s">
        <v>729</v>
      </c>
      <c r="AG15" s="2724"/>
      <c r="AH15" s="2724"/>
      <c r="AI15" s="2707" t="s">
        <v>1975</v>
      </c>
      <c r="AJ15" s="2708"/>
      <c r="AK15" s="2708"/>
      <c r="AL15" s="2246"/>
    </row>
    <row r="16" spans="1:38" ht="60" customHeight="1" x14ac:dyDescent="0.25">
      <c r="B16" s="2597"/>
      <c r="C16" s="2739" t="s">
        <v>652</v>
      </c>
      <c r="D16" s="2739"/>
      <c r="E16" s="2739"/>
      <c r="F16" s="2739"/>
      <c r="G16" s="2739"/>
      <c r="H16" s="2740"/>
      <c r="I16" s="2733" t="s">
        <v>653</v>
      </c>
      <c r="J16" s="2720" t="s">
        <v>41</v>
      </c>
      <c r="K16" s="2748"/>
      <c r="L16" s="2748"/>
      <c r="M16" s="2749"/>
      <c r="N16" s="2728" t="s">
        <v>595</v>
      </c>
      <c r="O16" s="2744" t="s">
        <v>654</v>
      </c>
      <c r="P16" s="2745"/>
      <c r="Q16" s="2730" t="s">
        <v>652</v>
      </c>
      <c r="R16" s="2731"/>
      <c r="S16" s="2731"/>
      <c r="T16" s="2731"/>
      <c r="U16" s="2731"/>
      <c r="V16" s="2732"/>
      <c r="W16" s="2728" t="s">
        <v>653</v>
      </c>
      <c r="X16" s="2711" t="s">
        <v>41</v>
      </c>
      <c r="Y16" s="2718"/>
      <c r="Z16" s="2718"/>
      <c r="AA16" s="2665"/>
      <c r="AB16" s="2728" t="s">
        <v>883</v>
      </c>
      <c r="AC16" s="2734" t="str">
        <f>"Check: column " &amp; LEFT(ADDRESS(ROW(AB18),COLUMN(AB18),4), 2) &amp; " RW in Parameters worksheet"</f>
        <v>Check: column AB RW in Parameters worksheet</v>
      </c>
      <c r="AD16" s="2712" t="s">
        <v>1030</v>
      </c>
      <c r="AE16" s="2713"/>
      <c r="AF16" s="2711" t="s">
        <v>985</v>
      </c>
      <c r="AG16" s="2718"/>
      <c r="AH16" s="2718"/>
      <c r="AI16" s="2709" t="s">
        <v>1976</v>
      </c>
      <c r="AJ16" s="2710"/>
      <c r="AK16" s="2711"/>
      <c r="AL16" s="2246"/>
    </row>
    <row r="17" spans="1:38" ht="30" customHeight="1" x14ac:dyDescent="0.25">
      <c r="B17" s="2597"/>
      <c r="C17" s="2179"/>
      <c r="D17" s="2737" t="s">
        <v>1689</v>
      </c>
      <c r="E17" s="2711" t="s">
        <v>657</v>
      </c>
      <c r="F17" s="2665"/>
      <c r="G17" s="2181"/>
      <c r="H17" s="2737" t="s">
        <v>1690</v>
      </c>
      <c r="I17" s="2733"/>
      <c r="J17" s="2728" t="s">
        <v>658</v>
      </c>
      <c r="K17" s="2728" t="s">
        <v>657</v>
      </c>
      <c r="L17" s="2728" t="s">
        <v>693</v>
      </c>
      <c r="M17" s="2728" t="s">
        <v>116</v>
      </c>
      <c r="N17" s="2733"/>
      <c r="O17" s="2746" t="s">
        <v>627</v>
      </c>
      <c r="P17" s="2746" t="s">
        <v>626</v>
      </c>
      <c r="Q17" s="2181"/>
      <c r="R17" s="2737" t="s">
        <v>1689</v>
      </c>
      <c r="S17" s="2711" t="s">
        <v>657</v>
      </c>
      <c r="T17" s="2665"/>
      <c r="U17" s="2181"/>
      <c r="V17" s="2737" t="s">
        <v>1690</v>
      </c>
      <c r="W17" s="2733"/>
      <c r="X17" s="2728" t="s">
        <v>658</v>
      </c>
      <c r="Y17" s="2728" t="s">
        <v>657</v>
      </c>
      <c r="Z17" s="2728" t="s">
        <v>693</v>
      </c>
      <c r="AA17" s="2728" t="s">
        <v>116</v>
      </c>
      <c r="AB17" s="2733"/>
      <c r="AC17" s="2735"/>
      <c r="AD17" s="2714"/>
      <c r="AE17" s="2715"/>
      <c r="AF17" s="2721" t="s">
        <v>659</v>
      </c>
      <c r="AG17" s="2722"/>
      <c r="AH17" s="2719" t="s">
        <v>41</v>
      </c>
      <c r="AI17" s="2709" t="s">
        <v>660</v>
      </c>
      <c r="AJ17" s="2710"/>
      <c r="AK17" s="2711" t="s">
        <v>41</v>
      </c>
      <c r="AL17" s="2246"/>
    </row>
    <row r="18" spans="1:38" ht="45" customHeight="1" x14ac:dyDescent="0.25">
      <c r="B18" s="2597"/>
      <c r="C18" s="2283"/>
      <c r="D18" s="2738"/>
      <c r="E18" s="2287" t="s">
        <v>116</v>
      </c>
      <c r="F18" s="2287" t="s">
        <v>769</v>
      </c>
      <c r="G18" s="2287"/>
      <c r="H18" s="2738"/>
      <c r="I18" s="2729"/>
      <c r="J18" s="2729"/>
      <c r="K18" s="2729"/>
      <c r="L18" s="2729"/>
      <c r="M18" s="2729"/>
      <c r="N18" s="2729"/>
      <c r="O18" s="2747"/>
      <c r="P18" s="2747"/>
      <c r="Q18" s="2287"/>
      <c r="R18" s="2738"/>
      <c r="S18" s="2287" t="s">
        <v>116</v>
      </c>
      <c r="T18" s="2287" t="s">
        <v>769</v>
      </c>
      <c r="U18" s="2287"/>
      <c r="V18" s="2738"/>
      <c r="W18" s="2729"/>
      <c r="X18" s="2729"/>
      <c r="Y18" s="2729"/>
      <c r="Z18" s="2729"/>
      <c r="AA18" s="2729"/>
      <c r="AB18" s="2729"/>
      <c r="AC18" s="2736"/>
      <c r="AD18" s="2287" t="s">
        <v>660</v>
      </c>
      <c r="AE18" s="2287" t="s">
        <v>961</v>
      </c>
      <c r="AF18" s="2289" t="s">
        <v>116</v>
      </c>
      <c r="AG18" s="2289" t="s">
        <v>661</v>
      </c>
      <c r="AH18" s="2720"/>
      <c r="AI18" s="2285" t="s">
        <v>116</v>
      </c>
      <c r="AJ18" s="2287" t="s">
        <v>661</v>
      </c>
      <c r="AK18" s="2711"/>
      <c r="AL18" s="2246"/>
    </row>
    <row r="19" spans="1:38" ht="15" customHeight="1" x14ac:dyDescent="0.25">
      <c r="B19" s="715" t="s">
        <v>770</v>
      </c>
      <c r="C19" s="846" t="str">
        <f t="shared" ref="C19:I19" si="0">IF(AND(ISNUMBER(C20),ISNUMBER(C21),ISNUMBER(C22),ISNUMBER(C23)),SUM(C20:C23),"")</f>
        <v/>
      </c>
      <c r="D19" s="846" t="str">
        <f t="shared" si="0"/>
        <v/>
      </c>
      <c r="E19" s="846" t="str">
        <f t="shared" si="0"/>
        <v/>
      </c>
      <c r="F19" s="846" t="str">
        <f t="shared" si="0"/>
        <v/>
      </c>
      <c r="G19" s="846" t="str">
        <f t="shared" si="0"/>
        <v/>
      </c>
      <c r="H19" s="846" t="str">
        <f t="shared" si="0"/>
        <v/>
      </c>
      <c r="I19" s="846" t="str">
        <f t="shared" si="0"/>
        <v/>
      </c>
      <c r="J19" s="846" t="str">
        <f t="shared" ref="J19:K19" si="1">IF(AND(ISNUMBER(J20),ISNUMBER(J21),ISNUMBER(J22),ISNUMBER(J23)),SUM(J20:J23),"")</f>
        <v/>
      </c>
      <c r="K19" s="846" t="str">
        <f t="shared" si="1"/>
        <v/>
      </c>
      <c r="L19" s="846" t="str">
        <f t="shared" ref="L19" si="2">IF(AND(ISNUMBER(L20),ISNUMBER(L21),ISNUMBER(L22),ISNUMBER(L23)),SUM(L20:L23),"")</f>
        <v/>
      </c>
      <c r="M19" s="580" t="str">
        <f>IF(AND(ISNUMBER(M20),ISNUMBER(M21),ISNUMBER(M22),ISNUMBER(M23)),SUM(M20:M23),"")</f>
        <v/>
      </c>
      <c r="N19" s="846" t="str">
        <f>IF(AND(ISNUMBER(N20),ISNUMBER(N21),ISNUMBER(N22),ISNUMBER(N23)),SUM(N20:N23),"")</f>
        <v/>
      </c>
      <c r="O19" s="481"/>
      <c r="P19" s="318"/>
      <c r="Q19" s="580" t="str">
        <f>IF(AND(ISNUMBER(Q20),ISNUMBER(Q21),ISNUMBER(Q22),ISNUMBER(Q23)),SUM(Q20:Q23),"")</f>
        <v/>
      </c>
      <c r="R19" s="580" t="str">
        <f t="shared" ref="R19:V19" si="3">IF(AND(ISNUMBER(R20),ISNUMBER(R21),ISNUMBER(R22),ISNUMBER(R23)),SUM(R20:R23),"")</f>
        <v/>
      </c>
      <c r="S19" s="580" t="str">
        <f t="shared" si="3"/>
        <v/>
      </c>
      <c r="T19" s="580" t="str">
        <f t="shared" si="3"/>
        <v/>
      </c>
      <c r="U19" s="580" t="str">
        <f t="shared" si="3"/>
        <v/>
      </c>
      <c r="V19" s="580" t="str">
        <f t="shared" si="3"/>
        <v/>
      </c>
      <c r="W19" s="580" t="str">
        <f>IF(AND(ISNUMBER(W20),ISNUMBER(W21),ISNUMBER(W22),ISNUMBER(W23)),SUM(W20:W23),"")</f>
        <v/>
      </c>
      <c r="X19" s="580" t="str">
        <f>IF(AND(ISNUMBER(X20),ISNUMBER(X21),ISNUMBER(X22),ISNUMBER(X23)),SUM(X20:X23),"")</f>
        <v/>
      </c>
      <c r="Y19" s="580" t="str">
        <f>IF(AND(ISNUMBER(Y20),ISNUMBER(Y21),ISNUMBER(Y22),ISNUMBER(Y23)),SUM(Y20:Y23),"")</f>
        <v/>
      </c>
      <c r="Z19" s="580" t="str">
        <f>IF(AND(ISNUMBER(Z20),ISNUMBER(Z21),ISNUMBER(Z22),ISNUMBER(Z23)),SUM(Z20:Z23),"")</f>
        <v/>
      </c>
      <c r="AA19" s="209" t="str">
        <f>IF(AND(ISNUMBER(AA20),ISNUMBER(AA21),ISNUMBER(AA22),ISNUMBER(AA23)),SUM(AA20:AA23),"")</f>
        <v/>
      </c>
      <c r="AB19" s="904" t="str">
        <f t="shared" ref="AB19" si="4">IF(AND(ISNUMBER(W19), ISNUMBER(AA19)),IF(W19&lt;&gt;0,(AA19/W19),""),"")</f>
        <v/>
      </c>
      <c r="AC19" s="502"/>
      <c r="AD19" s="580" t="str">
        <f t="shared" ref="AD19" si="5">IF(AND(ISNUMBER(AD20),ISNUMBER(AD21),ISNUMBER(AD22),ISNUMBER(AD23)),SUM(AD20:AD23),"")</f>
        <v/>
      </c>
      <c r="AE19" s="580" t="str">
        <f>IF(AND(ISNUMBER(AE20),ISNUMBER(AE21),ISNUMBER(AE22),ISNUMBER(AE23)),SUM(AE20:AE23),"")</f>
        <v/>
      </c>
      <c r="AF19" s="580" t="str">
        <f t="shared" ref="AF19:AK19" si="6">IF(AND(ISNUMBER(AF20),ISNUMBER(AF21),ISNUMBER(AF22),ISNUMBER(AF23)),SUM(AF20:AF23),"")</f>
        <v/>
      </c>
      <c r="AG19" s="580" t="str">
        <f t="shared" si="6"/>
        <v/>
      </c>
      <c r="AH19" s="209" t="str">
        <f t="shared" si="6"/>
        <v/>
      </c>
      <c r="AI19" s="2264" t="str">
        <f t="shared" si="6"/>
        <v/>
      </c>
      <c r="AJ19" s="919" t="str">
        <f t="shared" si="6"/>
        <v/>
      </c>
      <c r="AK19" s="2265" t="str">
        <f t="shared" si="6"/>
        <v/>
      </c>
      <c r="AL19" s="2246"/>
    </row>
    <row r="20" spans="1:38" ht="15" customHeight="1" x14ac:dyDescent="0.25">
      <c r="B20" s="240" t="s">
        <v>771</v>
      </c>
      <c r="C20" s="737"/>
      <c r="D20" s="322"/>
      <c r="E20" s="322"/>
      <c r="F20" s="322"/>
      <c r="G20" s="322"/>
      <c r="H20" s="322"/>
      <c r="I20" s="580" t="str">
        <f>IF(AND(ISNUMBER(D20),ISNUMBER(E20),ISNUMBER(H20)),SUM(D20,E20,H20),"")</f>
        <v/>
      </c>
      <c r="J20" s="322"/>
      <c r="K20" s="322"/>
      <c r="L20" s="227"/>
      <c r="M20" s="580" t="str">
        <f>IF(AND(ISNUMBER(J20),ISNUMBER(K20),ISNUMBER(L20)),SUM(J20:L20), "")</f>
        <v/>
      </c>
      <c r="N20" s="1047"/>
      <c r="O20" s="318"/>
      <c r="P20" s="318"/>
      <c r="Q20" s="318"/>
      <c r="R20" s="318"/>
      <c r="S20" s="318"/>
      <c r="T20" s="318"/>
      <c r="U20" s="318"/>
      <c r="V20" s="318"/>
      <c r="W20" s="580" t="str">
        <f>IF(AND(ISNUMBER(R20),ISNUMBER(S20),ISNUMBER(V20)),SUM(R20,S20,V20),"")</f>
        <v/>
      </c>
      <c r="X20" s="318"/>
      <c r="Y20" s="318"/>
      <c r="Z20" s="318"/>
      <c r="AA20" s="209" t="str">
        <f t="shared" ref="AA20:AA23" si="7">IF(AND(ISNUMBER(X20),ISNUMBER(Y20),ISNUMBER(Z20)),SUM(X20:Z20), "")</f>
        <v/>
      </c>
      <c r="AB20" s="907" t="str">
        <f>IF(AND(ISNUMBER(W20), ISNUMBER(AA20)),IF(W20&lt;&gt;0,(AA20/W20),""),"")</f>
        <v/>
      </c>
      <c r="AC20" s="502"/>
      <c r="AD20" s="318"/>
      <c r="AE20" s="318"/>
      <c r="AF20" s="318"/>
      <c r="AG20" s="208"/>
      <c r="AH20" s="208"/>
      <c r="AI20" s="2251" t="str">
        <f>IF(AND(ISNUMBER(AF20),ISNUMBER(AG20),ISNUMBER(AJ20)),AF20-AG20+AJ20,"")</f>
        <v/>
      </c>
      <c r="AJ20" s="318"/>
      <c r="AK20" s="208"/>
      <c r="AL20" s="2246"/>
    </row>
    <row r="21" spans="1:38" ht="15" customHeight="1" x14ac:dyDescent="0.25">
      <c r="B21" s="240" t="s">
        <v>1645</v>
      </c>
      <c r="C21" s="481"/>
      <c r="D21" s="318"/>
      <c r="E21" s="318"/>
      <c r="F21" s="318"/>
      <c r="G21" s="318"/>
      <c r="H21" s="318"/>
      <c r="I21" s="580" t="str">
        <f>IF(AND(ISNUMBER(D21),ISNUMBER(E21),ISNUMBER(H21)),SUM(D21,E21,H21),"")</f>
        <v/>
      </c>
      <c r="J21" s="318"/>
      <c r="K21" s="318"/>
      <c r="L21" s="318"/>
      <c r="M21" s="580" t="str">
        <f>IF(AND(ISNUMBER(J21),ISNUMBER(K21),ISNUMBER(L21)),SUM(J21:L21), "")</f>
        <v/>
      </c>
      <c r="N21" s="792"/>
      <c r="O21" s="318"/>
      <c r="P21" s="318"/>
      <c r="Q21" s="318"/>
      <c r="R21" s="318"/>
      <c r="S21" s="318"/>
      <c r="T21" s="318"/>
      <c r="U21" s="318"/>
      <c r="V21" s="318"/>
      <c r="W21" s="580" t="str">
        <f>IF(AND(ISNUMBER(R21),ISNUMBER(S21),ISNUMBER(V21)),SUM(R21,S21,V21),"")</f>
        <v/>
      </c>
      <c r="X21" s="318"/>
      <c r="Y21" s="318"/>
      <c r="Z21" s="318"/>
      <c r="AA21" s="209" t="str">
        <f t="shared" si="7"/>
        <v/>
      </c>
      <c r="AB21" s="907" t="str">
        <f t="shared" ref="AB21:AB86" si="8">IF(AND(ISNUMBER(W21), ISNUMBER(AA21)),IF(W21&lt;&gt;0,(AA21/W21),""),"")</f>
        <v/>
      </c>
      <c r="AC21" s="502"/>
      <c r="AD21" s="318"/>
      <c r="AE21" s="318"/>
      <c r="AF21" s="318"/>
      <c r="AG21" s="208"/>
      <c r="AH21" s="208"/>
      <c r="AI21" s="2251" t="str">
        <f t="shared" ref="AI21:AI25" si="9">IF(AND(ISNUMBER(AF21),ISNUMBER(AG21),ISNUMBER(AJ21)),AF21-AG21+AJ21,"")</f>
        <v/>
      </c>
      <c r="AJ21" s="318"/>
      <c r="AK21" s="208"/>
      <c r="AL21" s="2246"/>
    </row>
    <row r="22" spans="1:38" ht="15" customHeight="1" x14ac:dyDescent="0.25">
      <c r="B22" s="240" t="s">
        <v>772</v>
      </c>
      <c r="C22" s="481"/>
      <c r="D22" s="318"/>
      <c r="E22" s="318"/>
      <c r="F22" s="318"/>
      <c r="G22" s="318"/>
      <c r="H22" s="318"/>
      <c r="I22" s="580" t="str">
        <f>IF(AND(ISNUMBER(D22),ISNUMBER(E22),ISNUMBER(H22)),SUM(D22,E22,H22),"")</f>
        <v/>
      </c>
      <c r="J22" s="318"/>
      <c r="K22" s="318"/>
      <c r="L22" s="318"/>
      <c r="M22" s="580" t="str">
        <f>IF(AND(ISNUMBER(J22),ISNUMBER(K22),ISNUMBER(L22)),SUM(J22:L22), "")</f>
        <v/>
      </c>
      <c r="N22" s="792"/>
      <c r="O22" s="318"/>
      <c r="P22" s="318"/>
      <c r="Q22" s="318"/>
      <c r="R22" s="318"/>
      <c r="S22" s="318"/>
      <c r="T22" s="318"/>
      <c r="U22" s="318"/>
      <c r="V22" s="318"/>
      <c r="W22" s="580" t="str">
        <f>IF(AND(ISNUMBER(R22),ISNUMBER(S22),ISNUMBER(V22)),SUM(R22,S22,V22),"")</f>
        <v/>
      </c>
      <c r="X22" s="318"/>
      <c r="Y22" s="318"/>
      <c r="Z22" s="318"/>
      <c r="AA22" s="209" t="str">
        <f t="shared" si="7"/>
        <v/>
      </c>
      <c r="AB22" s="907" t="str">
        <f t="shared" si="8"/>
        <v/>
      </c>
      <c r="AC22" s="502"/>
      <c r="AD22" s="318"/>
      <c r="AE22" s="318"/>
      <c r="AF22" s="318"/>
      <c r="AG22" s="208"/>
      <c r="AH22" s="208"/>
      <c r="AI22" s="2251" t="str">
        <f t="shared" si="9"/>
        <v/>
      </c>
      <c r="AJ22" s="318"/>
      <c r="AK22" s="208"/>
      <c r="AL22" s="2246"/>
    </row>
    <row r="23" spans="1:38" ht="15" customHeight="1" x14ac:dyDescent="0.25">
      <c r="B23" s="240" t="s">
        <v>107</v>
      </c>
      <c r="C23" s="489"/>
      <c r="D23" s="320"/>
      <c r="E23" s="320"/>
      <c r="F23" s="320"/>
      <c r="G23" s="320"/>
      <c r="H23" s="320"/>
      <c r="I23" s="580" t="str">
        <f>IF(AND(ISNUMBER(D23),ISNUMBER(E23),ISNUMBER(H23)),SUM(D23,E23,H23),"")</f>
        <v/>
      </c>
      <c r="J23" s="320"/>
      <c r="K23" s="320"/>
      <c r="L23" s="320"/>
      <c r="M23" s="580" t="str">
        <f>IF(AND(ISNUMBER(J23),ISNUMBER(K23),ISNUMBER(L23)),SUM(J23:L23), "")</f>
        <v/>
      </c>
      <c r="N23" s="796"/>
      <c r="O23" s="318"/>
      <c r="P23" s="318"/>
      <c r="Q23" s="318"/>
      <c r="R23" s="318"/>
      <c r="S23" s="318"/>
      <c r="T23" s="318"/>
      <c r="U23" s="318"/>
      <c r="V23" s="318"/>
      <c r="W23" s="580" t="str">
        <f>IF(AND(ISNUMBER(R23),ISNUMBER(S23),ISNUMBER(V23)),SUM(R23,S23,V23),"")</f>
        <v/>
      </c>
      <c r="X23" s="318"/>
      <c r="Y23" s="318"/>
      <c r="Z23" s="318"/>
      <c r="AA23" s="209" t="str">
        <f t="shared" si="7"/>
        <v/>
      </c>
      <c r="AB23" s="907" t="str">
        <f t="shared" si="8"/>
        <v/>
      </c>
      <c r="AC23" s="502"/>
      <c r="AD23" s="318"/>
      <c r="AE23" s="318"/>
      <c r="AF23" s="318"/>
      <c r="AG23" s="208"/>
      <c r="AH23" s="208"/>
      <c r="AI23" s="2251" t="str">
        <f t="shared" si="9"/>
        <v/>
      </c>
      <c r="AJ23" s="318"/>
      <c r="AK23" s="208"/>
      <c r="AL23" s="2246"/>
    </row>
    <row r="24" spans="1:38" ht="15" customHeight="1" x14ac:dyDescent="0.25">
      <c r="B24" s="267" t="s">
        <v>778</v>
      </c>
      <c r="C24" s="580" t="str">
        <f t="shared" ref="C24:I24" si="10">IF(AND(ISNUMBER(C25),ISNUMBER(C26),ISNUMBER(C39)),SUM(C25, C26, C39),"")</f>
        <v/>
      </c>
      <c r="D24" s="580" t="str">
        <f t="shared" si="10"/>
        <v/>
      </c>
      <c r="E24" s="580" t="str">
        <f t="shared" si="10"/>
        <v/>
      </c>
      <c r="F24" s="580" t="str">
        <f t="shared" si="10"/>
        <v/>
      </c>
      <c r="G24" s="580" t="str">
        <f t="shared" si="10"/>
        <v/>
      </c>
      <c r="H24" s="580" t="str">
        <f t="shared" si="10"/>
        <v/>
      </c>
      <c r="I24" s="580" t="str">
        <f t="shared" si="10"/>
        <v/>
      </c>
      <c r="J24" s="580" t="str">
        <f t="shared" ref="J24:K24" si="11">IF(AND(ISNUMBER(J25),ISNUMBER(J26),ISNUMBER(J39)),SUM(J25, J26, J39),"")</f>
        <v/>
      </c>
      <c r="K24" s="580" t="str">
        <f t="shared" si="11"/>
        <v/>
      </c>
      <c r="L24" s="580" t="str">
        <f t="shared" ref="L24" si="12">IF(AND(ISNUMBER(L25),ISNUMBER(L26),ISNUMBER(L39)),SUM(L25, L26, L39),"")</f>
        <v/>
      </c>
      <c r="M24" s="580" t="str">
        <f>IF(AND(ISNUMBER(M25),ISNUMBER(M26),ISNUMBER(M39)),SUM(M25, M26, M39),"")</f>
        <v/>
      </c>
      <c r="N24" s="580" t="str">
        <f>IF(AND(ISNUMBER(N25),ISNUMBER(N26),ISNUMBER(N39)),SUM(N25, N26, N39),"")</f>
        <v/>
      </c>
      <c r="O24" s="481"/>
      <c r="P24" s="318"/>
      <c r="Q24" s="580" t="str">
        <f t="shared" ref="Q24:W24" si="13">IF(AND(ISNUMBER(Q25),ISNUMBER(Q26),ISNUMBER(Q39)),SUM(Q25, Q26, Q39),"")</f>
        <v/>
      </c>
      <c r="R24" s="580" t="str">
        <f t="shared" si="13"/>
        <v/>
      </c>
      <c r="S24" s="580" t="str">
        <f t="shared" si="13"/>
        <v/>
      </c>
      <c r="T24" s="580" t="str">
        <f t="shared" si="13"/>
        <v/>
      </c>
      <c r="U24" s="580" t="str">
        <f t="shared" si="13"/>
        <v/>
      </c>
      <c r="V24" s="580" t="str">
        <f t="shared" si="13"/>
        <v/>
      </c>
      <c r="W24" s="580" t="str">
        <f t="shared" si="13"/>
        <v/>
      </c>
      <c r="X24" s="580" t="str">
        <f>IF(AND(ISNUMBER(X25),ISNUMBER(X26),ISNUMBER(X39)),SUM(X25, X26, X39),"")</f>
        <v/>
      </c>
      <c r="Y24" s="580" t="str">
        <f>IF(AND(ISNUMBER(Y25),ISNUMBER(Y26),ISNUMBER(Y39)),SUM(Y25, Y26, Y39),"")</f>
        <v/>
      </c>
      <c r="Z24" s="580" t="str">
        <f>IF(AND(ISNUMBER(Z25),ISNUMBER(Z26),ISNUMBER(Z39)),SUM(Z25, Z26, Z39),"")</f>
        <v/>
      </c>
      <c r="AA24" s="209" t="str">
        <f>IF(AND(ISNUMBER(AA25),ISNUMBER(AA26),ISNUMBER(AA39)),SUM(AA25, AA26, AA39),"")</f>
        <v/>
      </c>
      <c r="AB24" s="907" t="str">
        <f t="shared" si="8"/>
        <v/>
      </c>
      <c r="AC24" s="502"/>
      <c r="AD24" s="580" t="str">
        <f t="shared" ref="AD24:AK24" si="14">IF(AND(ISNUMBER(AD25),ISNUMBER(AD26),ISNUMBER(AD39)),SUM(AD25, AD26, AD39),"")</f>
        <v/>
      </c>
      <c r="AE24" s="580" t="str">
        <f t="shared" si="14"/>
        <v/>
      </c>
      <c r="AF24" s="580" t="str">
        <f t="shared" si="14"/>
        <v/>
      </c>
      <c r="AG24" s="580" t="str">
        <f t="shared" si="14"/>
        <v/>
      </c>
      <c r="AH24" s="209" t="str">
        <f t="shared" si="14"/>
        <v/>
      </c>
      <c r="AI24" s="2251" t="str">
        <f t="shared" si="14"/>
        <v/>
      </c>
      <c r="AJ24" s="580" t="str">
        <f t="shared" si="14"/>
        <v/>
      </c>
      <c r="AK24" s="209" t="str">
        <f t="shared" si="14"/>
        <v/>
      </c>
      <c r="AL24" s="2246"/>
    </row>
    <row r="25" spans="1:38" ht="30" customHeight="1" x14ac:dyDescent="0.25">
      <c r="B25" s="618" t="s">
        <v>662</v>
      </c>
      <c r="C25" s="737"/>
      <c r="D25" s="322"/>
      <c r="E25" s="322"/>
      <c r="F25" s="322"/>
      <c r="G25" s="322"/>
      <c r="H25" s="322"/>
      <c r="I25" s="580" t="str">
        <f>IF(AND(ISNUMBER(D25),ISNUMBER(E25),ISNUMBER(H25)),SUM(D25,E25,H25),"")</f>
        <v/>
      </c>
      <c r="J25" s="322"/>
      <c r="K25" s="322"/>
      <c r="L25" s="322"/>
      <c r="M25" s="580" t="str">
        <f>IF(AND(ISNUMBER(J25),ISNUMBER(K25),ISNUMBER(L25)),SUM(J25:L25), "")</f>
        <v/>
      </c>
      <c r="N25" s="1044"/>
      <c r="O25" s="318"/>
      <c r="P25" s="318"/>
      <c r="Q25" s="318"/>
      <c r="R25" s="318"/>
      <c r="S25" s="318"/>
      <c r="T25" s="318"/>
      <c r="U25" s="318"/>
      <c r="V25" s="318"/>
      <c r="W25" s="580" t="str">
        <f>IF(AND(ISNUMBER(R25),ISNUMBER(S25),ISNUMBER(V25)),SUM(R25,S25,V25),"")</f>
        <v/>
      </c>
      <c r="X25" s="318"/>
      <c r="Y25" s="318"/>
      <c r="Z25" s="318"/>
      <c r="AA25" s="209" t="str">
        <f>IF(AND(ISNUMBER(X25),ISNUMBER(Y25),ISNUMBER(Z25)),SUM(X25:Z25), "")</f>
        <v/>
      </c>
      <c r="AB25" s="907" t="str">
        <f t="shared" si="8"/>
        <v/>
      </c>
      <c r="AC25" s="502"/>
      <c r="AD25" s="318"/>
      <c r="AE25" s="318"/>
      <c r="AF25" s="318"/>
      <c r="AG25" s="208"/>
      <c r="AH25" s="208"/>
      <c r="AI25" s="2251" t="str">
        <f t="shared" si="9"/>
        <v/>
      </c>
      <c r="AJ25" s="318"/>
      <c r="AK25" s="208"/>
      <c r="AL25" s="2246"/>
    </row>
    <row r="26" spans="1:38" ht="15" customHeight="1" x14ac:dyDescent="0.25">
      <c r="A26" s="998"/>
      <c r="B26" s="536" t="s">
        <v>777</v>
      </c>
      <c r="C26" s="580">
        <f t="shared" ref="C26:I26" si="15">IF(AND(ISNUMBER(C27),ISNUMBER(C33)),SUM(C27,C33),"")</f>
        <v>0</v>
      </c>
      <c r="D26" s="580">
        <f t="shared" si="15"/>
        <v>0</v>
      </c>
      <c r="E26" s="580">
        <f t="shared" si="15"/>
        <v>0</v>
      </c>
      <c r="F26" s="580">
        <f t="shared" si="15"/>
        <v>0</v>
      </c>
      <c r="G26" s="580">
        <f t="shared" si="15"/>
        <v>0</v>
      </c>
      <c r="H26" s="580">
        <f t="shared" si="15"/>
        <v>0</v>
      </c>
      <c r="I26" s="580">
        <f t="shared" si="15"/>
        <v>0</v>
      </c>
      <c r="J26" s="580">
        <f t="shared" ref="J26:K26" si="16">IF(AND(ISNUMBER(J27),ISNUMBER(J33)),SUM(J27,J33),"")</f>
        <v>0</v>
      </c>
      <c r="K26" s="580">
        <f t="shared" si="16"/>
        <v>0</v>
      </c>
      <c r="L26" s="580">
        <f t="shared" ref="L26" si="17">IF(AND(ISNUMBER(L27),ISNUMBER(L33)),SUM(L27,L33),"")</f>
        <v>0</v>
      </c>
      <c r="M26" s="580">
        <f>IF(AND(ISNUMBER(M27),ISNUMBER(M33)),SUM(M27,M33),"")</f>
        <v>0</v>
      </c>
      <c r="N26" s="580">
        <f>IF(AND(ISNUMBER(N27),ISNUMBER(N33)),SUM(N27,N33),"")</f>
        <v>0</v>
      </c>
      <c r="O26" s="318"/>
      <c r="P26" s="318"/>
      <c r="Q26" s="580">
        <f t="shared" ref="Q26:W26" si="18">IF(AND(ISNUMBER(Q27),ISNUMBER(Q33)),SUM(Q27,Q33),"")</f>
        <v>0</v>
      </c>
      <c r="R26" s="580">
        <f t="shared" si="18"/>
        <v>0</v>
      </c>
      <c r="S26" s="580">
        <f t="shared" si="18"/>
        <v>0</v>
      </c>
      <c r="T26" s="580">
        <f t="shared" si="18"/>
        <v>0</v>
      </c>
      <c r="U26" s="580">
        <f t="shared" si="18"/>
        <v>0</v>
      </c>
      <c r="V26" s="580">
        <f t="shared" si="18"/>
        <v>0</v>
      </c>
      <c r="W26" s="580">
        <f t="shared" si="18"/>
        <v>0</v>
      </c>
      <c r="X26" s="580">
        <f>IF(AND(ISNUMBER(X27),ISNUMBER(X33)),SUM(X27,X33),"")</f>
        <v>0</v>
      </c>
      <c r="Y26" s="580">
        <f>IF(AND(ISNUMBER(Y27),ISNUMBER(Y33)),SUM(Y27,Y33),"")</f>
        <v>0</v>
      </c>
      <c r="Z26" s="580">
        <f>IF(AND(ISNUMBER(Z27),ISNUMBER(Z33)),SUM(Z27,Z33),"")</f>
        <v>0</v>
      </c>
      <c r="AA26" s="209">
        <f>IF(AND(ISNUMBER(AA27),ISNUMBER(AA33)),SUM(AA27,AA33),"")</f>
        <v>0</v>
      </c>
      <c r="AB26" s="907" t="str">
        <f t="shared" si="8"/>
        <v/>
      </c>
      <c r="AC26" s="502"/>
      <c r="AD26" s="580">
        <f t="shared" ref="AD26:AK26" si="19">IF(AND(ISNUMBER(AD27),ISNUMBER(AD33)),SUM(AD27,AD33),"")</f>
        <v>0</v>
      </c>
      <c r="AE26" s="580">
        <f t="shared" si="19"/>
        <v>0</v>
      </c>
      <c r="AF26" s="580">
        <f t="shared" si="19"/>
        <v>0</v>
      </c>
      <c r="AG26" s="580">
        <f t="shared" si="19"/>
        <v>0</v>
      </c>
      <c r="AH26" s="209">
        <f t="shared" si="19"/>
        <v>0</v>
      </c>
      <c r="AI26" s="2251">
        <f t="shared" si="19"/>
        <v>0</v>
      </c>
      <c r="AJ26" s="580">
        <f t="shared" si="19"/>
        <v>0</v>
      </c>
      <c r="AK26" s="209">
        <f t="shared" si="19"/>
        <v>0</v>
      </c>
      <c r="AL26" s="2268"/>
    </row>
    <row r="27" spans="1:38" ht="15" customHeight="1" x14ac:dyDescent="0.25">
      <c r="B27" s="243" t="s">
        <v>773</v>
      </c>
      <c r="C27" s="580">
        <f t="shared" ref="C27:N27" si="20">IF($D$6="No", 0, IF(AND(ISNUMBER(C28),ISNUMBER(C29),ISNUMBER(C30),ISNUMBER(C31),ISNUMBER(C32)),SUM(C28:C32),""))</f>
        <v>0</v>
      </c>
      <c r="D27" s="580">
        <f t="shared" si="20"/>
        <v>0</v>
      </c>
      <c r="E27" s="580">
        <f t="shared" si="20"/>
        <v>0</v>
      </c>
      <c r="F27" s="580">
        <f t="shared" si="20"/>
        <v>0</v>
      </c>
      <c r="G27" s="580">
        <f t="shared" si="20"/>
        <v>0</v>
      </c>
      <c r="H27" s="580">
        <f t="shared" si="20"/>
        <v>0</v>
      </c>
      <c r="I27" s="580">
        <f t="shared" si="20"/>
        <v>0</v>
      </c>
      <c r="J27" s="580">
        <f t="shared" si="20"/>
        <v>0</v>
      </c>
      <c r="K27" s="580">
        <f t="shared" si="20"/>
        <v>0</v>
      </c>
      <c r="L27" s="580">
        <f t="shared" si="20"/>
        <v>0</v>
      </c>
      <c r="M27" s="580">
        <f t="shared" si="20"/>
        <v>0</v>
      </c>
      <c r="N27" s="580">
        <f t="shared" si="20"/>
        <v>0</v>
      </c>
      <c r="O27" s="318"/>
      <c r="P27" s="318"/>
      <c r="Q27" s="580">
        <f t="shared" ref="Q27:AA27" si="21">IF($D$6="No", 0, IF(AND(ISNUMBER(Q28),ISNUMBER(Q29),ISNUMBER(Q30),ISNUMBER(Q31),ISNUMBER(Q32)),SUM(Q28:Q32),""))</f>
        <v>0</v>
      </c>
      <c r="R27" s="580">
        <f t="shared" si="21"/>
        <v>0</v>
      </c>
      <c r="S27" s="580">
        <f t="shared" si="21"/>
        <v>0</v>
      </c>
      <c r="T27" s="580">
        <f t="shared" si="21"/>
        <v>0</v>
      </c>
      <c r="U27" s="580">
        <f t="shared" si="21"/>
        <v>0</v>
      </c>
      <c r="V27" s="580">
        <f t="shared" si="21"/>
        <v>0</v>
      </c>
      <c r="W27" s="580">
        <f t="shared" si="21"/>
        <v>0</v>
      </c>
      <c r="X27" s="580">
        <f t="shared" si="21"/>
        <v>0</v>
      </c>
      <c r="Y27" s="580">
        <f t="shared" si="21"/>
        <v>0</v>
      </c>
      <c r="Z27" s="580">
        <f t="shared" si="21"/>
        <v>0</v>
      </c>
      <c r="AA27" s="209">
        <f t="shared" si="21"/>
        <v>0</v>
      </c>
      <c r="AB27" s="907" t="str">
        <f t="shared" si="8"/>
        <v/>
      </c>
      <c r="AC27" s="502"/>
      <c r="AD27" s="580">
        <f t="shared" ref="AD27:AK27" si="22">IF($D$6="No", 0, IF(AND(ISNUMBER(AD28),ISNUMBER(AD29),ISNUMBER(AD30),ISNUMBER(AD31),ISNUMBER(AD32)),SUM(AD28:AD32),""))</f>
        <v>0</v>
      </c>
      <c r="AE27" s="580">
        <f t="shared" si="22"/>
        <v>0</v>
      </c>
      <c r="AF27" s="580">
        <f t="shared" si="22"/>
        <v>0</v>
      </c>
      <c r="AG27" s="580">
        <f t="shared" si="22"/>
        <v>0</v>
      </c>
      <c r="AH27" s="209">
        <f t="shared" si="22"/>
        <v>0</v>
      </c>
      <c r="AI27" s="2251">
        <f t="shared" si="22"/>
        <v>0</v>
      </c>
      <c r="AJ27" s="580">
        <f t="shared" si="22"/>
        <v>0</v>
      </c>
      <c r="AK27" s="209">
        <f t="shared" si="22"/>
        <v>0</v>
      </c>
      <c r="AL27" s="2246"/>
    </row>
    <row r="28" spans="1:38" ht="15" customHeight="1" x14ac:dyDescent="0.25">
      <c r="B28" s="616" t="s">
        <v>775</v>
      </c>
      <c r="C28" s="481"/>
      <c r="D28" s="318"/>
      <c r="E28" s="318"/>
      <c r="F28" s="318"/>
      <c r="G28" s="318"/>
      <c r="H28" s="318"/>
      <c r="I28" s="580" t="str">
        <f>IF(AND(ISNUMBER(D28),ISNUMBER(E28),ISNUMBER(H28)),SUM(D28,E28,H28),"")</f>
        <v/>
      </c>
      <c r="J28" s="318"/>
      <c r="K28" s="318"/>
      <c r="L28" s="318"/>
      <c r="M28" s="580" t="str">
        <f>IF(AND(ISNUMBER(J28),ISNUMBER(K28),ISNUMBER(L28)),SUM(J28:L28), "")</f>
        <v/>
      </c>
      <c r="N28" s="792"/>
      <c r="O28" s="318"/>
      <c r="P28" s="318"/>
      <c r="Q28" s="318"/>
      <c r="R28" s="318"/>
      <c r="S28" s="318"/>
      <c r="T28" s="318"/>
      <c r="U28" s="318"/>
      <c r="V28" s="318"/>
      <c r="W28" s="580" t="str">
        <f>IF(AND(ISNUMBER(R28),ISNUMBER(S28),ISNUMBER(V28)),SUM(R28,S28,V28),"")</f>
        <v/>
      </c>
      <c r="X28" s="318"/>
      <c r="Y28" s="318"/>
      <c r="Z28" s="318"/>
      <c r="AA28" s="209" t="str">
        <f t="shared" ref="AA28:AA32" si="23">IF(AND(ISNUMBER(X28),ISNUMBER(Y28),ISNUMBER(Z28)),SUM(X28:Z28), "")</f>
        <v/>
      </c>
      <c r="AB28" s="907" t="str">
        <f t="shared" si="8"/>
        <v/>
      </c>
      <c r="AC28" s="560" t="str">
        <f>IF(ISNUMBER(AB28),IF(AND(AB28&gt;=(Parameters!F282*0.95), AB28&lt;=(Parameters!F282*1.05)), "Pass", "Fail (RW≠" &amp; Parameters!F282*100 &amp; "%)"),"")</f>
        <v/>
      </c>
      <c r="AD28" s="318"/>
      <c r="AE28" s="318"/>
      <c r="AF28" s="318"/>
      <c r="AG28" s="208"/>
      <c r="AH28" s="208"/>
      <c r="AI28" s="2251" t="str">
        <f t="shared" ref="AI28:AI32" si="24">IF(AND(ISNUMBER(AF28),ISNUMBER(AG28),ISNUMBER(AJ28)),AF28-AG28+AJ28,"")</f>
        <v/>
      </c>
      <c r="AJ28" s="318"/>
      <c r="AK28" s="208"/>
      <c r="AL28" s="2246"/>
    </row>
    <row r="29" spans="1:38" ht="15" customHeight="1" x14ac:dyDescent="0.25">
      <c r="B29" s="616" t="s">
        <v>544</v>
      </c>
      <c r="C29" s="481"/>
      <c r="D29" s="318"/>
      <c r="E29" s="318"/>
      <c r="F29" s="318"/>
      <c r="G29" s="318"/>
      <c r="H29" s="318"/>
      <c r="I29" s="580" t="str">
        <f>IF(AND(ISNUMBER(D29),ISNUMBER(E29),ISNUMBER(H29)),SUM(D29,E29,H29),"")</f>
        <v/>
      </c>
      <c r="J29" s="318"/>
      <c r="K29" s="318"/>
      <c r="L29" s="318"/>
      <c r="M29" s="580" t="str">
        <f>IF(AND(ISNUMBER(J29),ISNUMBER(K29),ISNUMBER(L29)),SUM(J29:L29), "")</f>
        <v/>
      </c>
      <c r="N29" s="792"/>
      <c r="O29" s="318"/>
      <c r="P29" s="318"/>
      <c r="Q29" s="318"/>
      <c r="R29" s="318"/>
      <c r="S29" s="318"/>
      <c r="T29" s="318"/>
      <c r="U29" s="318"/>
      <c r="V29" s="318"/>
      <c r="W29" s="580" t="str">
        <f>IF(AND(ISNUMBER(R29),ISNUMBER(S29),ISNUMBER(V29)),SUM(R29,S29,V29),"")</f>
        <v/>
      </c>
      <c r="X29" s="318"/>
      <c r="Y29" s="318"/>
      <c r="Z29" s="318"/>
      <c r="AA29" s="209" t="str">
        <f t="shared" si="23"/>
        <v/>
      </c>
      <c r="AB29" s="907" t="str">
        <f t="shared" si="8"/>
        <v/>
      </c>
      <c r="AC29" s="560" t="str">
        <f>IF(ISNUMBER(AB29),IF(AND(AB29&gt;=(Parameters!F283*0.95), AB29&lt;=(Parameters!F283*1.05)), "Pass", "Fail (RW≠" &amp; Parameters!F283*100 &amp; "%)"),"")</f>
        <v/>
      </c>
      <c r="AD29" s="318"/>
      <c r="AE29" s="318"/>
      <c r="AF29" s="318"/>
      <c r="AG29" s="208"/>
      <c r="AH29" s="208"/>
      <c r="AI29" s="2251" t="str">
        <f t="shared" si="24"/>
        <v/>
      </c>
      <c r="AJ29" s="318"/>
      <c r="AK29" s="208"/>
      <c r="AL29" s="2246"/>
    </row>
    <row r="30" spans="1:38" ht="15" customHeight="1" x14ac:dyDescent="0.25">
      <c r="B30" s="616" t="s">
        <v>545</v>
      </c>
      <c r="C30" s="481"/>
      <c r="D30" s="318"/>
      <c r="E30" s="318"/>
      <c r="F30" s="318"/>
      <c r="G30" s="318"/>
      <c r="H30" s="318"/>
      <c r="I30" s="580" t="str">
        <f>IF(AND(ISNUMBER(D30),ISNUMBER(E30),ISNUMBER(H30)),SUM(D30,E30,H30),"")</f>
        <v/>
      </c>
      <c r="J30" s="318"/>
      <c r="K30" s="318"/>
      <c r="L30" s="318"/>
      <c r="M30" s="580" t="str">
        <f>IF(AND(ISNUMBER(J30),ISNUMBER(K30),ISNUMBER(L30)),SUM(J30:L30), "")</f>
        <v/>
      </c>
      <c r="N30" s="792"/>
      <c r="O30" s="318"/>
      <c r="P30" s="318"/>
      <c r="Q30" s="318"/>
      <c r="R30" s="318"/>
      <c r="S30" s="318"/>
      <c r="T30" s="318"/>
      <c r="U30" s="318"/>
      <c r="V30" s="318"/>
      <c r="W30" s="580" t="str">
        <f>IF(AND(ISNUMBER(R30),ISNUMBER(S30),ISNUMBER(V30)),SUM(R30,S30,V30),"")</f>
        <v/>
      </c>
      <c r="X30" s="318"/>
      <c r="Y30" s="318"/>
      <c r="Z30" s="318"/>
      <c r="AA30" s="209" t="str">
        <f t="shared" si="23"/>
        <v/>
      </c>
      <c r="AB30" s="907" t="str">
        <f t="shared" si="8"/>
        <v/>
      </c>
      <c r="AC30" s="560" t="str">
        <f>IF(ISNUMBER(AB30),IF(AND(AB30&gt;=(Parameters!F284*0.95), AB30&lt;=(Parameters!F284*1.05)), "Pass", "Fail (RW≠" &amp; Parameters!F284*100 &amp; "%)"),"")</f>
        <v/>
      </c>
      <c r="AD30" s="318"/>
      <c r="AE30" s="318"/>
      <c r="AF30" s="318"/>
      <c r="AG30" s="208"/>
      <c r="AH30" s="208"/>
      <c r="AI30" s="2251" t="str">
        <f t="shared" si="24"/>
        <v/>
      </c>
      <c r="AJ30" s="318"/>
      <c r="AK30" s="208"/>
      <c r="AL30" s="2246"/>
    </row>
    <row r="31" spans="1:38" ht="15" customHeight="1" x14ac:dyDescent="0.25">
      <c r="B31" s="616" t="s">
        <v>546</v>
      </c>
      <c r="C31" s="481"/>
      <c r="D31" s="318"/>
      <c r="E31" s="318"/>
      <c r="F31" s="318"/>
      <c r="G31" s="318"/>
      <c r="H31" s="318"/>
      <c r="I31" s="580" t="str">
        <f>IF(AND(ISNUMBER(D31),ISNUMBER(E31),ISNUMBER(H31)),SUM(D31,E31,H31),"")</f>
        <v/>
      </c>
      <c r="J31" s="318"/>
      <c r="K31" s="318"/>
      <c r="L31" s="318"/>
      <c r="M31" s="580" t="str">
        <f>IF(AND(ISNUMBER(J31),ISNUMBER(K31),ISNUMBER(L31)),SUM(J31:L31), "")</f>
        <v/>
      </c>
      <c r="N31" s="792"/>
      <c r="O31" s="318"/>
      <c r="P31" s="318"/>
      <c r="Q31" s="318"/>
      <c r="R31" s="318"/>
      <c r="S31" s="318"/>
      <c r="T31" s="318"/>
      <c r="U31" s="318"/>
      <c r="V31" s="318"/>
      <c r="W31" s="580" t="str">
        <f>IF(AND(ISNUMBER(R31),ISNUMBER(S31),ISNUMBER(V31)),SUM(R31,S31,V31),"")</f>
        <v/>
      </c>
      <c r="X31" s="318"/>
      <c r="Y31" s="318"/>
      <c r="Z31" s="318"/>
      <c r="AA31" s="209" t="str">
        <f t="shared" si="23"/>
        <v/>
      </c>
      <c r="AB31" s="907" t="str">
        <f t="shared" si="8"/>
        <v/>
      </c>
      <c r="AC31" s="560" t="str">
        <f>IF(ISNUMBER(AB31),IF(AND(AB31&gt;=(Parameters!F285*0.95), AB31&lt;=(Parameters!F285*1.05)), "Pass", "Fail (RW≠" &amp; Parameters!F285*100 &amp; "%)"),"")</f>
        <v/>
      </c>
      <c r="AD31" s="318"/>
      <c r="AE31" s="318"/>
      <c r="AF31" s="318"/>
      <c r="AG31" s="208"/>
      <c r="AH31" s="208"/>
      <c r="AI31" s="2251" t="str">
        <f t="shared" si="24"/>
        <v/>
      </c>
      <c r="AJ31" s="318"/>
      <c r="AK31" s="208"/>
      <c r="AL31" s="2246"/>
    </row>
    <row r="32" spans="1:38" ht="15" customHeight="1" x14ac:dyDescent="0.25">
      <c r="B32" s="616" t="s">
        <v>776</v>
      </c>
      <c r="C32" s="481"/>
      <c r="D32" s="318"/>
      <c r="E32" s="318"/>
      <c r="F32" s="318"/>
      <c r="G32" s="318"/>
      <c r="H32" s="318"/>
      <c r="I32" s="580" t="str">
        <f>IF(AND(ISNUMBER(D32),ISNUMBER(E32),ISNUMBER(H32)),SUM(D32,E32,H32),"")</f>
        <v/>
      </c>
      <c r="J32" s="318"/>
      <c r="K32" s="318"/>
      <c r="L32" s="318"/>
      <c r="M32" s="580" t="str">
        <f>IF(AND(ISNUMBER(J32),ISNUMBER(K32),ISNUMBER(L32)),SUM(J32:L32), "")</f>
        <v/>
      </c>
      <c r="N32" s="792"/>
      <c r="O32" s="318"/>
      <c r="P32" s="318"/>
      <c r="Q32" s="318"/>
      <c r="R32" s="318"/>
      <c r="S32" s="318"/>
      <c r="T32" s="318"/>
      <c r="U32" s="318"/>
      <c r="V32" s="318"/>
      <c r="W32" s="580" t="str">
        <f>IF(AND(ISNUMBER(R32),ISNUMBER(S32),ISNUMBER(V32)),SUM(R32,S32,V32),"")</f>
        <v/>
      </c>
      <c r="X32" s="318"/>
      <c r="Y32" s="318"/>
      <c r="Z32" s="318"/>
      <c r="AA32" s="209" t="str">
        <f t="shared" si="23"/>
        <v/>
      </c>
      <c r="AB32" s="907" t="str">
        <f t="shared" si="8"/>
        <v/>
      </c>
      <c r="AC32" s="560" t="str">
        <f>IF(ISNUMBER(AB32),IF(AND(AB32&gt;=(Parameters!F286*0.95), AB32&lt;=(Parameters!F286*1.05)), "Pass", "Fail (RW≠" &amp; Parameters!F286*100 &amp; "%)"),"")</f>
        <v/>
      </c>
      <c r="AD32" s="318"/>
      <c r="AE32" s="318"/>
      <c r="AF32" s="318"/>
      <c r="AG32" s="208"/>
      <c r="AH32" s="208"/>
      <c r="AI32" s="2251" t="str">
        <f t="shared" si="24"/>
        <v/>
      </c>
      <c r="AJ32" s="318"/>
      <c r="AK32" s="208"/>
      <c r="AL32" s="2246"/>
    </row>
    <row r="33" spans="1:38" ht="15" customHeight="1" x14ac:dyDescent="0.25">
      <c r="B33" s="243" t="s">
        <v>774</v>
      </c>
      <c r="C33" s="580">
        <f t="shared" ref="C33:N33" si="25">IF($D$6="No", 0, IF(AND(ISNUMBER(C34),ISNUMBER(C35),ISNUMBER(C36),ISNUMBER(C37),ISNUMBER(C38)),SUM(C34:C38),""))</f>
        <v>0</v>
      </c>
      <c r="D33" s="580">
        <f t="shared" si="25"/>
        <v>0</v>
      </c>
      <c r="E33" s="580">
        <f t="shared" si="25"/>
        <v>0</v>
      </c>
      <c r="F33" s="580">
        <f t="shared" si="25"/>
        <v>0</v>
      </c>
      <c r="G33" s="580">
        <f t="shared" si="25"/>
        <v>0</v>
      </c>
      <c r="H33" s="580">
        <f t="shared" si="25"/>
        <v>0</v>
      </c>
      <c r="I33" s="580">
        <f t="shared" si="25"/>
        <v>0</v>
      </c>
      <c r="J33" s="580">
        <f t="shared" si="25"/>
        <v>0</v>
      </c>
      <c r="K33" s="580">
        <f t="shared" si="25"/>
        <v>0</v>
      </c>
      <c r="L33" s="580">
        <f t="shared" si="25"/>
        <v>0</v>
      </c>
      <c r="M33" s="580">
        <f t="shared" si="25"/>
        <v>0</v>
      </c>
      <c r="N33" s="580">
        <f t="shared" si="25"/>
        <v>0</v>
      </c>
      <c r="O33" s="318"/>
      <c r="P33" s="318"/>
      <c r="Q33" s="580">
        <f t="shared" ref="Q33:AA33" si="26">IF($D$6="No", 0, IF(AND(ISNUMBER(Q34),ISNUMBER(Q35),ISNUMBER(Q36),ISNUMBER(Q37),ISNUMBER(Q38)),SUM(Q34:Q38),""))</f>
        <v>0</v>
      </c>
      <c r="R33" s="580">
        <f t="shared" si="26"/>
        <v>0</v>
      </c>
      <c r="S33" s="580">
        <f t="shared" si="26"/>
        <v>0</v>
      </c>
      <c r="T33" s="580">
        <f t="shared" si="26"/>
        <v>0</v>
      </c>
      <c r="U33" s="580">
        <f t="shared" si="26"/>
        <v>0</v>
      </c>
      <c r="V33" s="580">
        <f t="shared" si="26"/>
        <v>0</v>
      </c>
      <c r="W33" s="580">
        <f t="shared" si="26"/>
        <v>0</v>
      </c>
      <c r="X33" s="580">
        <f t="shared" si="26"/>
        <v>0</v>
      </c>
      <c r="Y33" s="580">
        <f t="shared" si="26"/>
        <v>0</v>
      </c>
      <c r="Z33" s="580">
        <f t="shared" si="26"/>
        <v>0</v>
      </c>
      <c r="AA33" s="209">
        <f t="shared" si="26"/>
        <v>0</v>
      </c>
      <c r="AB33" s="907" t="str">
        <f t="shared" si="8"/>
        <v/>
      </c>
      <c r="AC33" s="502"/>
      <c r="AD33" s="580">
        <f t="shared" ref="AD33:AK33" si="27">IF($D$6="No", 0, IF(AND(ISNUMBER(AD34),ISNUMBER(AD35),ISNUMBER(AD36),ISNUMBER(AD37),ISNUMBER(AD38)),SUM(AD34:AD38),""))</f>
        <v>0</v>
      </c>
      <c r="AE33" s="580">
        <f t="shared" si="27"/>
        <v>0</v>
      </c>
      <c r="AF33" s="580">
        <f t="shared" si="27"/>
        <v>0</v>
      </c>
      <c r="AG33" s="580">
        <f t="shared" si="27"/>
        <v>0</v>
      </c>
      <c r="AH33" s="209">
        <f t="shared" si="27"/>
        <v>0</v>
      </c>
      <c r="AI33" s="2251">
        <f t="shared" si="27"/>
        <v>0</v>
      </c>
      <c r="AJ33" s="580">
        <f t="shared" si="27"/>
        <v>0</v>
      </c>
      <c r="AK33" s="209">
        <f t="shared" si="27"/>
        <v>0</v>
      </c>
      <c r="AL33" s="2246"/>
    </row>
    <row r="34" spans="1:38" ht="15" customHeight="1" x14ac:dyDescent="0.25">
      <c r="B34" s="616" t="s">
        <v>775</v>
      </c>
      <c r="C34" s="481"/>
      <c r="D34" s="318"/>
      <c r="E34" s="318"/>
      <c r="F34" s="318"/>
      <c r="G34" s="318"/>
      <c r="H34" s="318"/>
      <c r="I34" s="580" t="str">
        <f>IF(AND(ISNUMBER(D34),ISNUMBER(E34),ISNUMBER(H34)),SUM(D34,E34,H34),"")</f>
        <v/>
      </c>
      <c r="J34" s="318"/>
      <c r="K34" s="318"/>
      <c r="L34" s="318"/>
      <c r="M34" s="580" t="str">
        <f>IF(AND(ISNUMBER(J34),ISNUMBER(K34),ISNUMBER(L34)),SUM(J34:L34), "")</f>
        <v/>
      </c>
      <c r="N34" s="792"/>
      <c r="O34" s="318"/>
      <c r="P34" s="318"/>
      <c r="Q34" s="318"/>
      <c r="R34" s="318"/>
      <c r="S34" s="318"/>
      <c r="T34" s="318"/>
      <c r="U34" s="318"/>
      <c r="V34" s="318"/>
      <c r="W34" s="580" t="str">
        <f>IF(AND(ISNUMBER(R34),ISNUMBER(S34),ISNUMBER(V34)),SUM(R34,S34,V34),"")</f>
        <v/>
      </c>
      <c r="X34" s="318"/>
      <c r="Y34" s="318"/>
      <c r="Z34" s="318"/>
      <c r="AA34" s="209" t="str">
        <f t="shared" ref="AA34:AA38" si="28">IF(AND(ISNUMBER(X34),ISNUMBER(Y34),ISNUMBER(Z34)),SUM(X34:Z34), "")</f>
        <v/>
      </c>
      <c r="AB34" s="907" t="str">
        <f t="shared" si="8"/>
        <v/>
      </c>
      <c r="AC34" s="560" t="str">
        <f>IF(ISNUMBER(AB34),IF(AND(AB34&gt;=(Parameters!F288*0.95), AB34&lt;=(Parameters!F288*1.05)), "Pass", "Fail (RW≠" &amp; Parameters!F288*100 &amp; "%)"),"")</f>
        <v/>
      </c>
      <c r="AD34" s="318"/>
      <c r="AE34" s="318"/>
      <c r="AF34" s="318"/>
      <c r="AG34" s="208"/>
      <c r="AH34" s="208"/>
      <c r="AI34" s="2251" t="str">
        <f t="shared" ref="AI34:AI38" si="29">IF(AND(ISNUMBER(AF34),ISNUMBER(AG34),ISNUMBER(AJ34)),AF34-AG34+AJ34,"")</f>
        <v/>
      </c>
      <c r="AJ34" s="318"/>
      <c r="AK34" s="208"/>
      <c r="AL34" s="2246"/>
    </row>
    <row r="35" spans="1:38" ht="15" customHeight="1" x14ac:dyDescent="0.25">
      <c r="B35" s="616" t="s">
        <v>544</v>
      </c>
      <c r="C35" s="481"/>
      <c r="D35" s="318"/>
      <c r="E35" s="318"/>
      <c r="F35" s="318"/>
      <c r="G35" s="318"/>
      <c r="H35" s="318"/>
      <c r="I35" s="580" t="str">
        <f>IF(AND(ISNUMBER(D35),ISNUMBER(E35),ISNUMBER(H35)),SUM(D35,E35,H35),"")</f>
        <v/>
      </c>
      <c r="J35" s="318"/>
      <c r="K35" s="318"/>
      <c r="L35" s="318"/>
      <c r="M35" s="580" t="str">
        <f>IF(AND(ISNUMBER(J35),ISNUMBER(K35),ISNUMBER(L35)),SUM(J35:L35), "")</f>
        <v/>
      </c>
      <c r="N35" s="792"/>
      <c r="O35" s="318"/>
      <c r="P35" s="318"/>
      <c r="Q35" s="318"/>
      <c r="R35" s="318"/>
      <c r="S35" s="318"/>
      <c r="T35" s="318"/>
      <c r="U35" s="318"/>
      <c r="V35" s="318"/>
      <c r="W35" s="580" t="str">
        <f>IF(AND(ISNUMBER(R35),ISNUMBER(S35),ISNUMBER(V35)),SUM(R35,S35,V35),"")</f>
        <v/>
      </c>
      <c r="X35" s="318"/>
      <c r="Y35" s="318"/>
      <c r="Z35" s="318"/>
      <c r="AA35" s="209" t="str">
        <f t="shared" si="28"/>
        <v/>
      </c>
      <c r="AB35" s="907" t="str">
        <f t="shared" si="8"/>
        <v/>
      </c>
      <c r="AC35" s="560" t="str">
        <f>IF(ISNUMBER(AB35),IF(AND(AB35&gt;=(Parameters!F289*0.95), AB35&lt;=(Parameters!F289*1.05)), "Pass", "Fail (RW≠" &amp; Parameters!F289*100 &amp; "%)"),"")</f>
        <v/>
      </c>
      <c r="AD35" s="318"/>
      <c r="AE35" s="318"/>
      <c r="AF35" s="318"/>
      <c r="AG35" s="208"/>
      <c r="AH35" s="208"/>
      <c r="AI35" s="2251" t="str">
        <f t="shared" si="29"/>
        <v/>
      </c>
      <c r="AJ35" s="318"/>
      <c r="AK35" s="208"/>
      <c r="AL35" s="2246"/>
    </row>
    <row r="36" spans="1:38" ht="15" customHeight="1" x14ac:dyDescent="0.25">
      <c r="B36" s="616" t="s">
        <v>545</v>
      </c>
      <c r="C36" s="481"/>
      <c r="D36" s="318"/>
      <c r="E36" s="318"/>
      <c r="F36" s="318"/>
      <c r="G36" s="318"/>
      <c r="H36" s="318"/>
      <c r="I36" s="580" t="str">
        <f>IF(AND(ISNUMBER(D36),ISNUMBER(E36),ISNUMBER(H36)),SUM(D36,E36,H36),"")</f>
        <v/>
      </c>
      <c r="J36" s="318"/>
      <c r="K36" s="318"/>
      <c r="L36" s="318"/>
      <c r="M36" s="580" t="str">
        <f>IF(AND(ISNUMBER(J36),ISNUMBER(K36),ISNUMBER(L36)),SUM(J36:L36), "")</f>
        <v/>
      </c>
      <c r="N36" s="792"/>
      <c r="O36" s="318"/>
      <c r="P36" s="318"/>
      <c r="Q36" s="318"/>
      <c r="R36" s="318"/>
      <c r="S36" s="318"/>
      <c r="T36" s="318"/>
      <c r="U36" s="318"/>
      <c r="V36" s="318"/>
      <c r="W36" s="580" t="str">
        <f>IF(AND(ISNUMBER(R36),ISNUMBER(S36),ISNUMBER(V36)),SUM(R36,S36,V36),"")</f>
        <v/>
      </c>
      <c r="X36" s="318"/>
      <c r="Y36" s="318"/>
      <c r="Z36" s="318"/>
      <c r="AA36" s="209" t="str">
        <f t="shared" si="28"/>
        <v/>
      </c>
      <c r="AB36" s="907" t="str">
        <f t="shared" si="8"/>
        <v/>
      </c>
      <c r="AC36" s="560" t="str">
        <f>IF(ISNUMBER(AB36),IF(AND(AB36&gt;=(Parameters!F290*0.95), AB36&lt;=(Parameters!F290*1.05)), "Pass", "Fail (RW≠" &amp; Parameters!F290*100 &amp; "%)"),"")</f>
        <v/>
      </c>
      <c r="AD36" s="318"/>
      <c r="AE36" s="318"/>
      <c r="AF36" s="318"/>
      <c r="AG36" s="208"/>
      <c r="AH36" s="208"/>
      <c r="AI36" s="2251" t="str">
        <f t="shared" si="29"/>
        <v/>
      </c>
      <c r="AJ36" s="318"/>
      <c r="AK36" s="208"/>
      <c r="AL36" s="2246"/>
    </row>
    <row r="37" spans="1:38" ht="15" customHeight="1" x14ac:dyDescent="0.25">
      <c r="B37" s="616" t="s">
        <v>546</v>
      </c>
      <c r="C37" s="481"/>
      <c r="D37" s="318"/>
      <c r="E37" s="318"/>
      <c r="F37" s="318"/>
      <c r="G37" s="318"/>
      <c r="H37" s="318"/>
      <c r="I37" s="580" t="str">
        <f>IF(AND(ISNUMBER(D37),ISNUMBER(E37),ISNUMBER(H37)),SUM(D37,E37,H37),"")</f>
        <v/>
      </c>
      <c r="J37" s="318"/>
      <c r="K37" s="318"/>
      <c r="L37" s="318"/>
      <c r="M37" s="580" t="str">
        <f>IF(AND(ISNUMBER(J37),ISNUMBER(K37),ISNUMBER(L37)),SUM(J37:L37), "")</f>
        <v/>
      </c>
      <c r="N37" s="792"/>
      <c r="O37" s="318"/>
      <c r="P37" s="318"/>
      <c r="Q37" s="318"/>
      <c r="R37" s="318"/>
      <c r="S37" s="318"/>
      <c r="T37" s="318"/>
      <c r="U37" s="318"/>
      <c r="V37" s="318"/>
      <c r="W37" s="580" t="str">
        <f>IF(AND(ISNUMBER(R37),ISNUMBER(S37),ISNUMBER(V37)),SUM(R37,S37,V37),"")</f>
        <v/>
      </c>
      <c r="X37" s="318"/>
      <c r="Y37" s="318"/>
      <c r="Z37" s="318"/>
      <c r="AA37" s="209" t="str">
        <f t="shared" si="28"/>
        <v/>
      </c>
      <c r="AB37" s="907" t="str">
        <f t="shared" si="8"/>
        <v/>
      </c>
      <c r="AC37" s="560" t="str">
        <f>IF(ISNUMBER(AB37),IF(AND(AB37&gt;=(Parameters!F291*0.95), AB37&lt;=(Parameters!F291*1.05)), "Pass", "Fail (RW≠" &amp; Parameters!F291*100 &amp; "%)"),"")</f>
        <v/>
      </c>
      <c r="AD37" s="318"/>
      <c r="AE37" s="318"/>
      <c r="AF37" s="318"/>
      <c r="AG37" s="208"/>
      <c r="AH37" s="208"/>
      <c r="AI37" s="2251" t="str">
        <f t="shared" si="29"/>
        <v/>
      </c>
      <c r="AJ37" s="318"/>
      <c r="AK37" s="208"/>
      <c r="AL37" s="2246"/>
    </row>
    <row r="38" spans="1:38" ht="15" customHeight="1" x14ac:dyDescent="0.25">
      <c r="B38" s="616" t="s">
        <v>776</v>
      </c>
      <c r="C38" s="481"/>
      <c r="D38" s="318"/>
      <c r="E38" s="318"/>
      <c r="F38" s="318"/>
      <c r="G38" s="318"/>
      <c r="H38" s="318"/>
      <c r="I38" s="580" t="str">
        <f>IF(AND(ISNUMBER(D38),ISNUMBER(E38),ISNUMBER(H38)),SUM(D38,E38,H38),"")</f>
        <v/>
      </c>
      <c r="J38" s="318"/>
      <c r="K38" s="318"/>
      <c r="L38" s="318"/>
      <c r="M38" s="580" t="str">
        <f>IF(AND(ISNUMBER(J38),ISNUMBER(K38),ISNUMBER(L38)),SUM(J38:L38), "")</f>
        <v/>
      </c>
      <c r="N38" s="792"/>
      <c r="O38" s="318"/>
      <c r="P38" s="318"/>
      <c r="Q38" s="318"/>
      <c r="R38" s="318"/>
      <c r="S38" s="318"/>
      <c r="T38" s="318"/>
      <c r="U38" s="318"/>
      <c r="V38" s="318"/>
      <c r="W38" s="580" t="str">
        <f>IF(AND(ISNUMBER(R38),ISNUMBER(S38),ISNUMBER(V38)),SUM(R38,S38,V38),"")</f>
        <v/>
      </c>
      <c r="X38" s="318"/>
      <c r="Y38" s="318"/>
      <c r="Z38" s="318"/>
      <c r="AA38" s="209" t="str">
        <f t="shared" si="28"/>
        <v/>
      </c>
      <c r="AB38" s="907" t="str">
        <f t="shared" si="8"/>
        <v/>
      </c>
      <c r="AC38" s="560" t="str">
        <f>IF(ISNUMBER(AB38),IF(AND(AB38&gt;=(Parameters!F292*0.95), AB38&lt;=(Parameters!F292*1.05)), "Pass", "Fail (RW≠" &amp; Parameters!F292*100 &amp; "%)"),"")</f>
        <v/>
      </c>
      <c r="AD38" s="318"/>
      <c r="AE38" s="318"/>
      <c r="AF38" s="318"/>
      <c r="AG38" s="208"/>
      <c r="AH38" s="208"/>
      <c r="AI38" s="2251" t="str">
        <f t="shared" si="29"/>
        <v/>
      </c>
      <c r="AJ38" s="318"/>
      <c r="AK38" s="208"/>
      <c r="AL38" s="2246"/>
    </row>
    <row r="39" spans="1:38" ht="15" customHeight="1" x14ac:dyDescent="0.25">
      <c r="A39" s="793"/>
      <c r="B39" s="536" t="s">
        <v>779</v>
      </c>
      <c r="C39" s="580" t="str">
        <f t="shared" ref="C39:I39" si="30">IF(AND(ISNUMBER(C40),ISNUMBER(C46)),SUM(C40,C46),"")</f>
        <v/>
      </c>
      <c r="D39" s="580" t="str">
        <f t="shared" si="30"/>
        <v/>
      </c>
      <c r="E39" s="580" t="str">
        <f t="shared" si="30"/>
        <v/>
      </c>
      <c r="F39" s="580" t="str">
        <f t="shared" si="30"/>
        <v/>
      </c>
      <c r="G39" s="580" t="str">
        <f t="shared" si="30"/>
        <v/>
      </c>
      <c r="H39" s="580" t="str">
        <f t="shared" si="30"/>
        <v/>
      </c>
      <c r="I39" s="580" t="str">
        <f t="shared" si="30"/>
        <v/>
      </c>
      <c r="J39" s="580" t="str">
        <f t="shared" ref="J39:K39" si="31">IF(AND(ISNUMBER(J40),ISNUMBER(J46)),SUM(J40,J46),"")</f>
        <v/>
      </c>
      <c r="K39" s="580" t="str">
        <f t="shared" si="31"/>
        <v/>
      </c>
      <c r="L39" s="580" t="str">
        <f t="shared" ref="L39" si="32">IF(AND(ISNUMBER(L40),ISNUMBER(L46)),SUM(L40,L46),"")</f>
        <v/>
      </c>
      <c r="M39" s="580" t="str">
        <f>IF(AND(ISNUMBER(M40),ISNUMBER(M46)),SUM(M40,M46),"")</f>
        <v/>
      </c>
      <c r="N39" s="580" t="str">
        <f>IF(AND(ISNUMBER(N40),ISNUMBER(N46)),SUM(N40,N46),"")</f>
        <v/>
      </c>
      <c r="O39" s="1019"/>
      <c r="P39" s="1019"/>
      <c r="Q39" s="580" t="str">
        <f t="shared" ref="Q39:W39" si="33">IF(AND(ISNUMBER(Q40),ISNUMBER(Q46)),SUM(Q40,Q46),"")</f>
        <v/>
      </c>
      <c r="R39" s="580" t="str">
        <f t="shared" si="33"/>
        <v/>
      </c>
      <c r="S39" s="580" t="str">
        <f t="shared" si="33"/>
        <v/>
      </c>
      <c r="T39" s="580" t="str">
        <f t="shared" si="33"/>
        <v/>
      </c>
      <c r="U39" s="580" t="str">
        <f t="shared" si="33"/>
        <v/>
      </c>
      <c r="V39" s="580" t="str">
        <f t="shared" si="33"/>
        <v/>
      </c>
      <c r="W39" s="580" t="str">
        <f t="shared" si="33"/>
        <v/>
      </c>
      <c r="X39" s="580" t="str">
        <f>IF(AND(ISNUMBER(X40),ISNUMBER(X46)),SUM(X40,X46),"")</f>
        <v/>
      </c>
      <c r="Y39" s="580" t="str">
        <f>IF(AND(ISNUMBER(Y40),ISNUMBER(Y46)),SUM(Y40,Y46),"")</f>
        <v/>
      </c>
      <c r="Z39" s="580" t="str">
        <f>IF(AND(ISNUMBER(Z40),ISNUMBER(Z46)),SUM(Z40,Z46),"")</f>
        <v/>
      </c>
      <c r="AA39" s="209" t="str">
        <f>IF(AND(ISNUMBER(AA40),ISNUMBER(AA46)),SUM(AA40,AA46),"")</f>
        <v/>
      </c>
      <c r="AB39" s="907" t="str">
        <f t="shared" si="8"/>
        <v/>
      </c>
      <c r="AC39" s="522"/>
      <c r="AD39" s="580" t="str">
        <f t="shared" ref="AD39:AK39" si="34">IF(AND(ISNUMBER(AD40),ISNUMBER(AD46)),SUM(AD40,AD46),"")</f>
        <v/>
      </c>
      <c r="AE39" s="580" t="str">
        <f t="shared" si="34"/>
        <v/>
      </c>
      <c r="AF39" s="580" t="str">
        <f t="shared" si="34"/>
        <v/>
      </c>
      <c r="AG39" s="580" t="str">
        <f t="shared" si="34"/>
        <v/>
      </c>
      <c r="AH39" s="209" t="str">
        <f t="shared" si="34"/>
        <v/>
      </c>
      <c r="AI39" s="2251" t="str">
        <f t="shared" si="34"/>
        <v/>
      </c>
      <c r="AJ39" s="580" t="str">
        <f t="shared" si="34"/>
        <v/>
      </c>
      <c r="AK39" s="209" t="str">
        <f t="shared" si="34"/>
        <v/>
      </c>
      <c r="AL39" s="2269"/>
    </row>
    <row r="40" spans="1:38" ht="15" customHeight="1" x14ac:dyDescent="0.25">
      <c r="B40" s="243" t="s">
        <v>780</v>
      </c>
      <c r="C40" s="580" t="str">
        <f t="shared" ref="C40:N40" si="35">IF(AND(ISNUMBER(C41), ISNUMBER(C42), ISNUMBER(C43), ISNUMBER(C44)), SUM(C41:C45), "")</f>
        <v/>
      </c>
      <c r="D40" s="580" t="str">
        <f t="shared" si="35"/>
        <v/>
      </c>
      <c r="E40" s="580" t="str">
        <f t="shared" si="35"/>
        <v/>
      </c>
      <c r="F40" s="580" t="str">
        <f t="shared" si="35"/>
        <v/>
      </c>
      <c r="G40" s="580" t="str">
        <f t="shared" si="35"/>
        <v/>
      </c>
      <c r="H40" s="580" t="str">
        <f t="shared" si="35"/>
        <v/>
      </c>
      <c r="I40" s="580" t="str">
        <f t="shared" si="35"/>
        <v/>
      </c>
      <c r="J40" s="580" t="str">
        <f t="shared" si="35"/>
        <v/>
      </c>
      <c r="K40" s="580" t="str">
        <f t="shared" si="35"/>
        <v/>
      </c>
      <c r="L40" s="580" t="str">
        <f t="shared" si="35"/>
        <v/>
      </c>
      <c r="M40" s="580" t="str">
        <f t="shared" si="35"/>
        <v/>
      </c>
      <c r="N40" s="580" t="str">
        <f t="shared" si="35"/>
        <v/>
      </c>
      <c r="O40" s="318"/>
      <c r="P40" s="318"/>
      <c r="Q40" s="580" t="str">
        <f t="shared" ref="Q40:AA40" si="36">IF(AND(ISNUMBER(Q41), ISNUMBER(Q42), ISNUMBER(Q43), ISNUMBER(Q44)), SUM(Q41:Q45), "")</f>
        <v/>
      </c>
      <c r="R40" s="580" t="str">
        <f t="shared" si="36"/>
        <v/>
      </c>
      <c r="S40" s="580" t="str">
        <f t="shared" si="36"/>
        <v/>
      </c>
      <c r="T40" s="580" t="str">
        <f t="shared" si="36"/>
        <v/>
      </c>
      <c r="U40" s="580" t="str">
        <f t="shared" si="36"/>
        <v/>
      </c>
      <c r="V40" s="580" t="str">
        <f t="shared" si="36"/>
        <v/>
      </c>
      <c r="W40" s="580" t="str">
        <f t="shared" si="36"/>
        <v/>
      </c>
      <c r="X40" s="580" t="str">
        <f t="shared" si="36"/>
        <v/>
      </c>
      <c r="Y40" s="580" t="str">
        <f t="shared" si="36"/>
        <v/>
      </c>
      <c r="Z40" s="580" t="str">
        <f t="shared" si="36"/>
        <v/>
      </c>
      <c r="AA40" s="209" t="str">
        <f t="shared" si="36"/>
        <v/>
      </c>
      <c r="AB40" s="907" t="str">
        <f t="shared" si="8"/>
        <v/>
      </c>
      <c r="AC40" s="502"/>
      <c r="AD40" s="580" t="str">
        <f>IF(AND(ISNUMBER(AD41), ISNUMBER(AD42), ISNUMBER(AD43), ISNUMBER(AD44)), SUM(AD41:AD45), "")</f>
        <v/>
      </c>
      <c r="AE40" s="580" t="str">
        <f>IF(AND(ISNUMBER(AE41), ISNUMBER(AE42), ISNUMBER(AE43), ISNUMBER(AE44)), SUM(AE41:AE45), "")</f>
        <v/>
      </c>
      <c r="AF40" s="580" t="str">
        <f>IF(AND(ISNUMBER(AF41), ISNUMBER(AF42), ISNUMBER(AF43), ISNUMBER(AF44)), SUM(AF41:AF45), "")</f>
        <v/>
      </c>
      <c r="AG40" s="580" t="str">
        <f>IF(AND(ISNUMBER(AG41), ISNUMBER(AG42), ISNUMBER(AG43), ISNUMBER(AG44)), SUM(AG41:AG45), "")</f>
        <v/>
      </c>
      <c r="AH40" s="209" t="str">
        <f>IF(AND(ISNUMBER(AH41), ISNUMBER(AH42), ISNUMBER(AH43), ISNUMBER(AH44)), SUM(AH41:AH45), "")</f>
        <v/>
      </c>
      <c r="AI40" s="2251" t="str">
        <f t="shared" ref="AI40:AK40" si="37">IF(AND(ISNUMBER(AI41), ISNUMBER(AI42), ISNUMBER(AI43), ISNUMBER(AI44)), SUM(AI41:AI45), "")</f>
        <v/>
      </c>
      <c r="AJ40" s="580" t="str">
        <f t="shared" si="37"/>
        <v/>
      </c>
      <c r="AK40" s="209" t="str">
        <f t="shared" si="37"/>
        <v/>
      </c>
      <c r="AL40" s="2246"/>
    </row>
    <row r="41" spans="1:38" ht="15" customHeight="1" x14ac:dyDescent="0.25">
      <c r="A41" s="484"/>
      <c r="B41" s="616" t="s">
        <v>781</v>
      </c>
      <c r="C41" s="481"/>
      <c r="D41" s="318"/>
      <c r="E41" s="318"/>
      <c r="F41" s="318"/>
      <c r="G41" s="318"/>
      <c r="H41" s="318"/>
      <c r="I41" s="580" t="str">
        <f>IF(AND(ISNUMBER(D41),ISNUMBER(E41),ISNUMBER(H41)),SUM(D41,E41,H41),"")</f>
        <v/>
      </c>
      <c r="J41" s="318"/>
      <c r="K41" s="318"/>
      <c r="L41" s="318"/>
      <c r="M41" s="580" t="str">
        <f>IF(AND(ISNUMBER(J41),ISNUMBER(K41),ISNUMBER(L41)),SUM(J41:L41), "")</f>
        <v/>
      </c>
      <c r="N41" s="792"/>
      <c r="O41" s="318"/>
      <c r="P41" s="318"/>
      <c r="Q41" s="318"/>
      <c r="R41" s="318"/>
      <c r="S41" s="318"/>
      <c r="T41" s="318"/>
      <c r="U41" s="318"/>
      <c r="V41" s="318"/>
      <c r="W41" s="580" t="str">
        <f>IF(AND(ISNUMBER(R41),ISNUMBER(S41),ISNUMBER(V41)),SUM(R41,S41,V41),"")</f>
        <v/>
      </c>
      <c r="X41" s="318"/>
      <c r="Y41" s="318"/>
      <c r="Z41" s="318"/>
      <c r="AA41" s="209" t="str">
        <f t="shared" ref="AA41:AA45" si="38">IF(AND(ISNUMBER(X41),ISNUMBER(Y41),ISNUMBER(Z41)),SUM(X41:Z41), "")</f>
        <v/>
      </c>
      <c r="AB41" s="907" t="str">
        <f t="shared" si="8"/>
        <v/>
      </c>
      <c r="AC41" s="560" t="str">
        <f>IF(ISNUMBER(AB41),IF(AND(AB41&gt;=(Parameters!F295*0.95), AB41&lt;=(Parameters!F295*1.05)), "Pass", "Fail (RW≠" &amp; Parameters!F295*100 &amp; "%)"),"")</f>
        <v/>
      </c>
      <c r="AD41" s="318"/>
      <c r="AE41" s="318"/>
      <c r="AF41" s="318"/>
      <c r="AG41" s="208"/>
      <c r="AH41" s="208"/>
      <c r="AI41" s="2251" t="str">
        <f t="shared" ref="AI41:AI44" si="39">IF(AND(ISNUMBER(AF41),ISNUMBER(AG41),ISNUMBER(AJ41)),AF41-AG41+AJ41,"")</f>
        <v/>
      </c>
      <c r="AJ41" s="318"/>
      <c r="AK41" s="208"/>
      <c r="AL41" s="2246"/>
    </row>
    <row r="42" spans="1:38" ht="15" customHeight="1" x14ac:dyDescent="0.25">
      <c r="B42" s="616" t="s">
        <v>782</v>
      </c>
      <c r="C42" s="481"/>
      <c r="D42" s="318"/>
      <c r="E42" s="318"/>
      <c r="F42" s="318"/>
      <c r="G42" s="318"/>
      <c r="H42" s="318"/>
      <c r="I42" s="580" t="str">
        <f>IF(AND(ISNUMBER(D42),ISNUMBER(E42),ISNUMBER(H42)),SUM(D42,E42,H42),"")</f>
        <v/>
      </c>
      <c r="J42" s="318"/>
      <c r="K42" s="318"/>
      <c r="L42" s="318"/>
      <c r="M42" s="580" t="str">
        <f>IF(AND(ISNUMBER(J42),ISNUMBER(K42),ISNUMBER(L42)),SUM(J42:L42), "")</f>
        <v/>
      </c>
      <c r="N42" s="792"/>
      <c r="O42" s="318"/>
      <c r="P42" s="318"/>
      <c r="Q42" s="318"/>
      <c r="R42" s="318"/>
      <c r="S42" s="318"/>
      <c r="T42" s="318"/>
      <c r="U42" s="318"/>
      <c r="V42" s="318"/>
      <c r="W42" s="580" t="str">
        <f>IF(AND(ISNUMBER(R42),ISNUMBER(S42),ISNUMBER(V42)),SUM(R42,S42,V42),"")</f>
        <v/>
      </c>
      <c r="X42" s="318"/>
      <c r="Y42" s="318"/>
      <c r="Z42" s="318"/>
      <c r="AA42" s="209" t="str">
        <f t="shared" si="38"/>
        <v/>
      </c>
      <c r="AB42" s="907" t="str">
        <f t="shared" si="8"/>
        <v/>
      </c>
      <c r="AC42" s="560" t="str">
        <f>IF(ISNUMBER(AB42),IF(AND(AB42&gt;=(Parameters!F296*0.95), AB42&lt;=(Parameters!F296*1.05)), "Pass", "Fail (RW≠" &amp; Parameters!F296*100 &amp; "%)"),"")</f>
        <v/>
      </c>
      <c r="AD42" s="318"/>
      <c r="AE42" s="318"/>
      <c r="AF42" s="318"/>
      <c r="AG42" s="208"/>
      <c r="AH42" s="208"/>
      <c r="AI42" s="2251" t="str">
        <f t="shared" si="39"/>
        <v/>
      </c>
      <c r="AJ42" s="318"/>
      <c r="AK42" s="208"/>
      <c r="AL42" s="2246"/>
    </row>
    <row r="43" spans="1:38" ht="15" customHeight="1" x14ac:dyDescent="0.25">
      <c r="B43" s="616" t="s">
        <v>783</v>
      </c>
      <c r="C43" s="481"/>
      <c r="D43" s="318"/>
      <c r="E43" s="318"/>
      <c r="F43" s="318"/>
      <c r="G43" s="318"/>
      <c r="H43" s="318"/>
      <c r="I43" s="580" t="str">
        <f>IF(AND(ISNUMBER(D43),ISNUMBER(E43),ISNUMBER(H43)),SUM(D43,E43,H43),"")</f>
        <v/>
      </c>
      <c r="J43" s="318"/>
      <c r="K43" s="318"/>
      <c r="L43" s="318"/>
      <c r="M43" s="580" t="str">
        <f>IF(AND(ISNUMBER(J43),ISNUMBER(K43),ISNUMBER(L43)),SUM(J43:L43), "")</f>
        <v/>
      </c>
      <c r="N43" s="792"/>
      <c r="O43" s="318"/>
      <c r="P43" s="318"/>
      <c r="Q43" s="318"/>
      <c r="R43" s="318"/>
      <c r="S43" s="318"/>
      <c r="T43" s="318"/>
      <c r="U43" s="318"/>
      <c r="V43" s="318"/>
      <c r="W43" s="580" t="str">
        <f>IF(AND(ISNUMBER(R43),ISNUMBER(S43),ISNUMBER(V43)),SUM(R43,S43,V43),"")</f>
        <v/>
      </c>
      <c r="X43" s="318"/>
      <c r="Y43" s="318"/>
      <c r="Z43" s="318"/>
      <c r="AA43" s="209" t="str">
        <f t="shared" si="38"/>
        <v/>
      </c>
      <c r="AB43" s="907" t="str">
        <f t="shared" si="8"/>
        <v/>
      </c>
      <c r="AC43" s="560" t="str">
        <f>IF(ISNUMBER(AB43),IF(AND(AB43&gt;=(Parameters!F297*0.95), AB43&lt;=(Parameters!F297*1.05)), "Pass", "Fail (RW≠" &amp; Parameters!F297*100 &amp; "%)"),"")</f>
        <v/>
      </c>
      <c r="AD43" s="318"/>
      <c r="AE43" s="318"/>
      <c r="AF43" s="318"/>
      <c r="AG43" s="208"/>
      <c r="AH43" s="208"/>
      <c r="AI43" s="2251" t="str">
        <f t="shared" si="39"/>
        <v/>
      </c>
      <c r="AJ43" s="318"/>
      <c r="AK43" s="208"/>
      <c r="AL43" s="2246"/>
    </row>
    <row r="44" spans="1:38" ht="15" customHeight="1" x14ac:dyDescent="0.25">
      <c r="B44" s="616" t="s">
        <v>784</v>
      </c>
      <c r="C44" s="481"/>
      <c r="D44" s="318"/>
      <c r="E44" s="318"/>
      <c r="F44" s="318"/>
      <c r="G44" s="318"/>
      <c r="H44" s="318"/>
      <c r="I44" s="580" t="str">
        <f>IF(AND(ISNUMBER(D44),ISNUMBER(E44),ISNUMBER(H44)),SUM(D44,E44,H44),"")</f>
        <v/>
      </c>
      <c r="J44" s="318"/>
      <c r="K44" s="318"/>
      <c r="L44" s="318"/>
      <c r="M44" s="580" t="str">
        <f>IF(AND(ISNUMBER(J44),ISNUMBER(K44),ISNUMBER(L44)),SUM(J44:L44), "")</f>
        <v/>
      </c>
      <c r="N44" s="792"/>
      <c r="O44" s="318"/>
      <c r="P44" s="318"/>
      <c r="Q44" s="318"/>
      <c r="R44" s="318"/>
      <c r="S44" s="318"/>
      <c r="T44" s="318"/>
      <c r="U44" s="318"/>
      <c r="V44" s="318"/>
      <c r="W44" s="580" t="str">
        <f>IF(AND(ISNUMBER(R44),ISNUMBER(S44),ISNUMBER(V44)),SUM(R44,S44,V44),"")</f>
        <v/>
      </c>
      <c r="X44" s="318"/>
      <c r="Y44" s="318"/>
      <c r="Z44" s="318"/>
      <c r="AA44" s="209" t="str">
        <f t="shared" si="38"/>
        <v/>
      </c>
      <c r="AB44" s="907" t="str">
        <f t="shared" si="8"/>
        <v/>
      </c>
      <c r="AC44" s="560" t="str">
        <f>IF(ISNUMBER(AB44),IF(AND(AB44&gt;=(Parameters!F298*0.95), AB44&lt;=(Parameters!F298*1.05)), "Pass", "Fail (RW≠" &amp; Parameters!F298*100 &amp; "%)"),"")</f>
        <v/>
      </c>
      <c r="AD44" s="318"/>
      <c r="AE44" s="318"/>
      <c r="AF44" s="318"/>
      <c r="AG44" s="208"/>
      <c r="AH44" s="208"/>
      <c r="AI44" s="2251" t="str">
        <f t="shared" si="39"/>
        <v/>
      </c>
      <c r="AJ44" s="318"/>
      <c r="AK44" s="208"/>
      <c r="AL44" s="2246"/>
    </row>
    <row r="45" spans="1:38" ht="15" customHeight="1" x14ac:dyDescent="0.25">
      <c r="B45" s="616" t="s">
        <v>977</v>
      </c>
      <c r="C45" s="1000"/>
      <c r="D45" s="1000"/>
      <c r="E45" s="1000"/>
      <c r="F45" s="1000"/>
      <c r="G45" s="1000"/>
      <c r="H45" s="1000"/>
      <c r="I45" s="580" t="str">
        <f>IF(AND(ISNUMBER(D45),ISNUMBER(E45),ISNUMBER(H45)),SUM(D45,E45,H45),"")</f>
        <v/>
      </c>
      <c r="J45" s="1000"/>
      <c r="K45" s="1000"/>
      <c r="L45" s="1000"/>
      <c r="M45" s="580" t="str">
        <f>IF(AND(ISNUMBER(J45),ISNUMBER(K45),ISNUMBER(L45)),SUM(J45:L45), "")</f>
        <v/>
      </c>
      <c r="N45" s="792"/>
      <c r="O45" s="318"/>
      <c r="P45" s="318"/>
      <c r="Q45" s="1000"/>
      <c r="R45" s="1000"/>
      <c r="S45" s="1000"/>
      <c r="T45" s="1000"/>
      <c r="U45" s="1000"/>
      <c r="V45" s="1000"/>
      <c r="W45" s="580" t="str">
        <f>IF(AND(ISNUMBER(R45),ISNUMBER(S45),ISNUMBER(V45)),SUM(R45,S45,V45),"")</f>
        <v/>
      </c>
      <c r="X45" s="1000"/>
      <c r="Y45" s="1000"/>
      <c r="Z45" s="1000"/>
      <c r="AA45" s="209" t="str">
        <f t="shared" si="38"/>
        <v/>
      </c>
      <c r="AB45" s="907" t="str">
        <f t="shared" si="8"/>
        <v/>
      </c>
      <c r="AC45" s="914"/>
      <c r="AD45" s="1000"/>
      <c r="AE45" s="1000"/>
      <c r="AF45" s="1000"/>
      <c r="AG45" s="1000"/>
      <c r="AH45" s="999"/>
      <c r="AI45" s="2260"/>
      <c r="AJ45" s="461"/>
      <c r="AK45" s="460"/>
      <c r="AL45" s="2246"/>
    </row>
    <row r="46" spans="1:38" ht="15" customHeight="1" x14ac:dyDescent="0.25">
      <c r="B46" s="243" t="s">
        <v>916</v>
      </c>
      <c r="C46" s="580" t="str">
        <f t="shared" ref="C46:N46" si="40">IF(AND(ISNUMBER(C47), ISNUMBER(C48), ISNUMBER(C49)), SUM(C47:C50), "")</f>
        <v/>
      </c>
      <c r="D46" s="580" t="str">
        <f t="shared" si="40"/>
        <v/>
      </c>
      <c r="E46" s="580" t="str">
        <f t="shared" si="40"/>
        <v/>
      </c>
      <c r="F46" s="580" t="str">
        <f t="shared" si="40"/>
        <v/>
      </c>
      <c r="G46" s="580" t="str">
        <f t="shared" si="40"/>
        <v/>
      </c>
      <c r="H46" s="580" t="str">
        <f t="shared" si="40"/>
        <v/>
      </c>
      <c r="I46" s="580" t="str">
        <f t="shared" si="40"/>
        <v/>
      </c>
      <c r="J46" s="580" t="str">
        <f t="shared" si="40"/>
        <v/>
      </c>
      <c r="K46" s="580" t="str">
        <f t="shared" si="40"/>
        <v/>
      </c>
      <c r="L46" s="580" t="str">
        <f t="shared" si="40"/>
        <v/>
      </c>
      <c r="M46" s="580" t="str">
        <f t="shared" si="40"/>
        <v/>
      </c>
      <c r="N46" s="580" t="str">
        <f t="shared" si="40"/>
        <v/>
      </c>
      <c r="O46" s="318"/>
      <c r="P46" s="318"/>
      <c r="Q46" s="580" t="str">
        <f t="shared" ref="Q46:AA46" si="41">IF(AND(ISNUMBER(Q47), ISNUMBER(Q48), ISNUMBER(Q49)), SUM(Q47:Q50), "")</f>
        <v/>
      </c>
      <c r="R46" s="580" t="str">
        <f t="shared" si="41"/>
        <v/>
      </c>
      <c r="S46" s="580" t="str">
        <f t="shared" si="41"/>
        <v/>
      </c>
      <c r="T46" s="580" t="str">
        <f t="shared" si="41"/>
        <v/>
      </c>
      <c r="U46" s="580" t="str">
        <f t="shared" si="41"/>
        <v/>
      </c>
      <c r="V46" s="580" t="str">
        <f t="shared" si="41"/>
        <v/>
      </c>
      <c r="W46" s="580" t="str">
        <f t="shared" si="41"/>
        <v/>
      </c>
      <c r="X46" s="580" t="str">
        <f t="shared" si="41"/>
        <v/>
      </c>
      <c r="Y46" s="580" t="str">
        <f t="shared" si="41"/>
        <v/>
      </c>
      <c r="Z46" s="580" t="str">
        <f t="shared" si="41"/>
        <v/>
      </c>
      <c r="AA46" s="209" t="str">
        <f t="shared" si="41"/>
        <v/>
      </c>
      <c r="AB46" s="907" t="str">
        <f t="shared" si="8"/>
        <v/>
      </c>
      <c r="AC46" s="914"/>
      <c r="AD46" s="580" t="str">
        <f>IF(AND(ISNUMBER(AD47), ISNUMBER(AD48), ISNUMBER(AD49)), SUM(AD47:AD50), "")</f>
        <v/>
      </c>
      <c r="AE46" s="580" t="str">
        <f t="shared" ref="AE46:AK46" si="42">IF(AND(ISNUMBER(AE47), ISNUMBER(AE48), ISNUMBER(AE49)), SUM(AE47:AE50), "")</f>
        <v/>
      </c>
      <c r="AF46" s="580" t="str">
        <f t="shared" si="42"/>
        <v/>
      </c>
      <c r="AG46" s="580" t="str">
        <f t="shared" si="42"/>
        <v/>
      </c>
      <c r="AH46" s="209" t="str">
        <f t="shared" si="42"/>
        <v/>
      </c>
      <c r="AI46" s="2251" t="str">
        <f t="shared" si="42"/>
        <v/>
      </c>
      <c r="AJ46" s="580" t="str">
        <f t="shared" si="42"/>
        <v/>
      </c>
      <c r="AK46" s="209" t="str">
        <f t="shared" si="42"/>
        <v/>
      </c>
      <c r="AL46" s="2246"/>
    </row>
    <row r="47" spans="1:38" ht="15" customHeight="1" x14ac:dyDescent="0.25">
      <c r="B47" s="616" t="s">
        <v>785</v>
      </c>
      <c r="C47" s="481"/>
      <c r="D47" s="318"/>
      <c r="E47" s="318"/>
      <c r="F47" s="318"/>
      <c r="G47" s="318"/>
      <c r="H47" s="318"/>
      <c r="I47" s="580" t="str">
        <f>IF(AND(ISNUMBER(D47),ISNUMBER(E47),ISNUMBER(H47)),SUM(D47,E47,H47),"")</f>
        <v/>
      </c>
      <c r="J47" s="318"/>
      <c r="K47" s="318"/>
      <c r="L47" s="318"/>
      <c r="M47" s="580" t="str">
        <f t="shared" ref="M47:M50" si="43">IF(AND(ISNUMBER(J47),ISNUMBER(K47),ISNUMBER(L47)),SUM(J47:L47), "")</f>
        <v/>
      </c>
      <c r="N47" s="792"/>
      <c r="O47" s="318"/>
      <c r="P47" s="318"/>
      <c r="Q47" s="318"/>
      <c r="R47" s="318"/>
      <c r="S47" s="318"/>
      <c r="T47" s="318"/>
      <c r="U47" s="318"/>
      <c r="V47" s="318"/>
      <c r="W47" s="580" t="str">
        <f>IF(AND(ISNUMBER(R47),ISNUMBER(S47),ISNUMBER(V47)),SUM(R47,S47,V47),"")</f>
        <v/>
      </c>
      <c r="X47" s="318"/>
      <c r="Y47" s="318"/>
      <c r="Z47" s="318"/>
      <c r="AA47" s="209" t="str">
        <f t="shared" ref="AA47:AA50" si="44">IF(AND(ISNUMBER(X47),ISNUMBER(Y47),ISNUMBER(Z47)),SUM(X47:Z47), "")</f>
        <v/>
      </c>
      <c r="AB47" s="907" t="str">
        <f t="shared" si="8"/>
        <v/>
      </c>
      <c r="AC47" s="560" t="str">
        <f>IF(ISNUMBER(AB47),IF(AND(AB47&gt;=(Parameters!F300*0.95), AB47&lt;=(Parameters!F300*1.05)), "Pass", "Fail (RW≠" &amp; Parameters!F300*100 &amp; "%)"),"")</f>
        <v/>
      </c>
      <c r="AD47" s="318"/>
      <c r="AE47" s="318"/>
      <c r="AF47" s="318"/>
      <c r="AG47" s="208"/>
      <c r="AH47" s="208"/>
      <c r="AI47" s="2251" t="str">
        <f t="shared" ref="AI47:AI49" si="45">IF(AND(ISNUMBER(AF47),ISNUMBER(AG47),ISNUMBER(AJ47)),AF47-AG47+AJ47,"")</f>
        <v/>
      </c>
      <c r="AJ47" s="318"/>
      <c r="AK47" s="208"/>
      <c r="AL47" s="2246"/>
    </row>
    <row r="48" spans="1:38" ht="15" customHeight="1" x14ac:dyDescent="0.25">
      <c r="B48" s="616" t="s">
        <v>783</v>
      </c>
      <c r="C48" s="481"/>
      <c r="D48" s="318"/>
      <c r="E48" s="318"/>
      <c r="F48" s="318"/>
      <c r="G48" s="318"/>
      <c r="H48" s="318"/>
      <c r="I48" s="580" t="str">
        <f>IF(AND(ISNUMBER(D48),ISNUMBER(E48),ISNUMBER(H48)),SUM(D48,E48,H48),"")</f>
        <v/>
      </c>
      <c r="J48" s="318"/>
      <c r="K48" s="318"/>
      <c r="L48" s="318"/>
      <c r="M48" s="580" t="str">
        <f t="shared" si="43"/>
        <v/>
      </c>
      <c r="N48" s="792"/>
      <c r="O48" s="318"/>
      <c r="P48" s="318"/>
      <c r="Q48" s="318"/>
      <c r="R48" s="318"/>
      <c r="S48" s="318"/>
      <c r="T48" s="318"/>
      <c r="U48" s="318"/>
      <c r="V48" s="318"/>
      <c r="W48" s="580" t="str">
        <f>IF(AND(ISNUMBER(R48),ISNUMBER(S48),ISNUMBER(V48)),SUM(R48,S48,V48),"")</f>
        <v/>
      </c>
      <c r="X48" s="318"/>
      <c r="Y48" s="318"/>
      <c r="Z48" s="318"/>
      <c r="AA48" s="209" t="str">
        <f t="shared" si="44"/>
        <v/>
      </c>
      <c r="AB48" s="907" t="str">
        <f t="shared" si="8"/>
        <v/>
      </c>
      <c r="AC48" s="560" t="str">
        <f>IF(ISNUMBER(AB48),IF(AND(AB48&gt;=(Parameters!F301*0.95), AB48&lt;=(Parameters!F301*1.05)), "Pass", "Fail (RW≠" &amp; Parameters!F301*100 &amp; "%)"),"")</f>
        <v/>
      </c>
      <c r="AD48" s="318"/>
      <c r="AE48" s="318"/>
      <c r="AF48" s="318"/>
      <c r="AG48" s="208"/>
      <c r="AH48" s="208"/>
      <c r="AI48" s="2251" t="str">
        <f t="shared" si="45"/>
        <v/>
      </c>
      <c r="AJ48" s="318"/>
      <c r="AK48" s="208"/>
      <c r="AL48" s="2246"/>
    </row>
    <row r="49" spans="1:38" ht="15" customHeight="1" x14ac:dyDescent="0.25">
      <c r="B49" s="616" t="s">
        <v>784</v>
      </c>
      <c r="C49" s="481"/>
      <c r="D49" s="318"/>
      <c r="E49" s="318"/>
      <c r="F49" s="318"/>
      <c r="G49" s="318"/>
      <c r="H49" s="318"/>
      <c r="I49" s="580" t="str">
        <f>IF(AND(ISNUMBER(D49),ISNUMBER(E49),ISNUMBER(H49)),SUM(D49,E49,H49),"")</f>
        <v/>
      </c>
      <c r="J49" s="318"/>
      <c r="K49" s="318"/>
      <c r="L49" s="318"/>
      <c r="M49" s="580" t="str">
        <f t="shared" si="43"/>
        <v/>
      </c>
      <c r="N49" s="792"/>
      <c r="O49" s="318"/>
      <c r="P49" s="318"/>
      <c r="Q49" s="318"/>
      <c r="R49" s="318"/>
      <c r="S49" s="318"/>
      <c r="T49" s="318"/>
      <c r="U49" s="318"/>
      <c r="V49" s="318"/>
      <c r="W49" s="580" t="str">
        <f>IF(AND(ISNUMBER(R49),ISNUMBER(S49),ISNUMBER(V49)),SUM(R49,S49,V49),"")</f>
        <v/>
      </c>
      <c r="X49" s="318"/>
      <c r="Y49" s="318"/>
      <c r="Z49" s="318"/>
      <c r="AA49" s="209" t="str">
        <f t="shared" si="44"/>
        <v/>
      </c>
      <c r="AB49" s="907" t="str">
        <f t="shared" si="8"/>
        <v/>
      </c>
      <c r="AC49" s="560" t="str">
        <f>IF(ISNUMBER(AB49),IF(AND(AB49&gt;=(Parameters!F302*0.95), AB49&lt;=(Parameters!F302*1.05)), "Pass", "Fail (RW≠" &amp; Parameters!F302*100 &amp; "%)"),"")</f>
        <v/>
      </c>
      <c r="AD49" s="318"/>
      <c r="AE49" s="318"/>
      <c r="AF49" s="318"/>
      <c r="AG49" s="208"/>
      <c r="AH49" s="208"/>
      <c r="AI49" s="2251" t="str">
        <f t="shared" si="45"/>
        <v/>
      </c>
      <c r="AJ49" s="318"/>
      <c r="AK49" s="208"/>
      <c r="AL49" s="2246"/>
    </row>
    <row r="50" spans="1:38" ht="15" customHeight="1" x14ac:dyDescent="0.25">
      <c r="B50" s="616" t="s">
        <v>977</v>
      </c>
      <c r="C50" s="1000"/>
      <c r="D50" s="1000"/>
      <c r="E50" s="1000"/>
      <c r="F50" s="1000"/>
      <c r="G50" s="1000"/>
      <c r="H50" s="1000"/>
      <c r="I50" s="580" t="str">
        <f>IF(AND(ISNUMBER(D50),ISNUMBER(E50),ISNUMBER(H50)),SUM(D50,E50,H50),"")</f>
        <v/>
      </c>
      <c r="J50" s="1000"/>
      <c r="K50" s="1000"/>
      <c r="L50" s="1000"/>
      <c r="M50" s="580" t="str">
        <f t="shared" si="43"/>
        <v/>
      </c>
      <c r="N50" s="792"/>
      <c r="O50" s="318"/>
      <c r="P50" s="318"/>
      <c r="Q50" s="1000"/>
      <c r="R50" s="1000"/>
      <c r="S50" s="1000"/>
      <c r="T50" s="1000"/>
      <c r="U50" s="1000"/>
      <c r="V50" s="1000"/>
      <c r="W50" s="580" t="str">
        <f>IF(AND(ISNUMBER(R50),ISNUMBER(S50),ISNUMBER(V50)),SUM(R50,S50,V50),"")</f>
        <v/>
      </c>
      <c r="X50" s="1000"/>
      <c r="Y50" s="1000"/>
      <c r="Z50" s="1000"/>
      <c r="AA50" s="209" t="str">
        <f t="shared" si="44"/>
        <v/>
      </c>
      <c r="AB50" s="907" t="str">
        <f t="shared" si="8"/>
        <v/>
      </c>
      <c r="AC50" s="914"/>
      <c r="AD50" s="1000"/>
      <c r="AE50" s="1000"/>
      <c r="AF50" s="1000"/>
      <c r="AG50" s="1000"/>
      <c r="AH50" s="999"/>
      <c r="AI50" s="2260"/>
      <c r="AJ50" s="461"/>
      <c r="AK50" s="460"/>
      <c r="AL50" s="2246"/>
    </row>
    <row r="51" spans="1:38" ht="15" customHeight="1" x14ac:dyDescent="0.25">
      <c r="A51" s="793"/>
      <c r="B51" s="267" t="s">
        <v>786</v>
      </c>
      <c r="C51" s="580" t="str">
        <f t="shared" ref="C51:I51" si="46">IF(AND(ISNUMBER(C52),ISNUMBER(C58)), SUM(C52,C58),"")</f>
        <v/>
      </c>
      <c r="D51" s="580" t="str">
        <f t="shared" si="46"/>
        <v/>
      </c>
      <c r="E51" s="580" t="str">
        <f t="shared" si="46"/>
        <v/>
      </c>
      <c r="F51" s="580" t="str">
        <f t="shared" si="46"/>
        <v/>
      </c>
      <c r="G51" s="580" t="str">
        <f t="shared" si="46"/>
        <v/>
      </c>
      <c r="H51" s="580" t="str">
        <f t="shared" si="46"/>
        <v/>
      </c>
      <c r="I51" s="580" t="str">
        <f t="shared" si="46"/>
        <v/>
      </c>
      <c r="J51" s="580" t="str">
        <f t="shared" ref="J51:K51" si="47">IF(AND(ISNUMBER(J52),ISNUMBER(J58)), SUM(J52,J58),"")</f>
        <v/>
      </c>
      <c r="K51" s="580" t="str">
        <f t="shared" si="47"/>
        <v/>
      </c>
      <c r="L51" s="580" t="str">
        <f t="shared" ref="L51" si="48">IF(AND(ISNUMBER(L52),ISNUMBER(L58)), SUM(L52,L58),"")</f>
        <v/>
      </c>
      <c r="M51" s="580" t="str">
        <f>IF(AND(ISNUMBER(M52),ISNUMBER(M58)), SUM(M52,M58),"")</f>
        <v/>
      </c>
      <c r="N51" s="580" t="str">
        <f>IF(AND(ISNUMBER(N52),ISNUMBER(N58)), SUM(N52,N58),"")</f>
        <v/>
      </c>
      <c r="O51" s="1019"/>
      <c r="P51" s="1019"/>
      <c r="Q51" s="580" t="str">
        <f t="shared" ref="Q51:W51" si="49">IF(AND(ISNUMBER(Q52),ISNUMBER(Q58)), SUM(Q52,Q58),"")</f>
        <v/>
      </c>
      <c r="R51" s="580" t="str">
        <f t="shared" si="49"/>
        <v/>
      </c>
      <c r="S51" s="580" t="str">
        <f t="shared" si="49"/>
        <v/>
      </c>
      <c r="T51" s="580" t="str">
        <f t="shared" si="49"/>
        <v/>
      </c>
      <c r="U51" s="580" t="str">
        <f t="shared" si="49"/>
        <v/>
      </c>
      <c r="V51" s="580" t="str">
        <f t="shared" si="49"/>
        <v/>
      </c>
      <c r="W51" s="580" t="str">
        <f t="shared" si="49"/>
        <v/>
      </c>
      <c r="X51" s="580" t="str">
        <f>IF(AND(ISNUMBER(X52),ISNUMBER(X58)), SUM(X52,X58),"")</f>
        <v/>
      </c>
      <c r="Y51" s="580" t="str">
        <f>IF(AND(ISNUMBER(Y52),ISNUMBER(Y58)), SUM(Y52,Y58),"")</f>
        <v/>
      </c>
      <c r="Z51" s="580" t="str">
        <f>IF(AND(ISNUMBER(Z52),ISNUMBER(Z58)), SUM(Z52,Z58),"")</f>
        <v/>
      </c>
      <c r="AA51" s="209" t="str">
        <f>IF(AND(ISNUMBER(AA52),ISNUMBER(AA58)), SUM(AA52,AA58),"")</f>
        <v/>
      </c>
      <c r="AB51" s="907" t="str">
        <f t="shared" si="8"/>
        <v/>
      </c>
      <c r="AC51" s="914"/>
      <c r="AD51" s="580" t="str">
        <f t="shared" ref="AD51" si="50">IF(AND(ISNUMBER(AD52),ISNUMBER(AD58)), SUM(AD52,AD58),"")</f>
        <v/>
      </c>
      <c r="AE51" s="580" t="str">
        <f>IF(AND(ISNUMBER(AE52),ISNUMBER(AE58)), SUM(AE52,AE58),"")</f>
        <v/>
      </c>
      <c r="AF51" s="580" t="str">
        <f t="shared" ref="AF51:AK51" si="51">IF(AND(ISNUMBER(AF52),ISNUMBER(AF58)), SUM(AF52,AF58),"")</f>
        <v/>
      </c>
      <c r="AG51" s="580" t="str">
        <f t="shared" si="51"/>
        <v/>
      </c>
      <c r="AH51" s="209" t="str">
        <f t="shared" si="51"/>
        <v/>
      </c>
      <c r="AI51" s="2251" t="str">
        <f t="shared" si="51"/>
        <v/>
      </c>
      <c r="AJ51" s="580" t="str">
        <f t="shared" si="51"/>
        <v/>
      </c>
      <c r="AK51" s="209" t="str">
        <f t="shared" si="51"/>
        <v/>
      </c>
      <c r="AL51" s="2269"/>
    </row>
    <row r="52" spans="1:38" ht="15" customHeight="1" x14ac:dyDescent="0.25">
      <c r="B52" s="240" t="s">
        <v>787</v>
      </c>
      <c r="C52" s="580">
        <f t="shared" ref="C52:N52" si="52">IF($D$6="No",0,IF(AND(ISNUMBER(C53),ISNUMBER(C54),ISNUMBER(C55),ISNUMBER(C56),ISNUMBER(C57)),SUM(C53:C57),""))</f>
        <v>0</v>
      </c>
      <c r="D52" s="580">
        <f t="shared" si="52"/>
        <v>0</v>
      </c>
      <c r="E52" s="580">
        <f t="shared" si="52"/>
        <v>0</v>
      </c>
      <c r="F52" s="580">
        <f t="shared" si="52"/>
        <v>0</v>
      </c>
      <c r="G52" s="580">
        <f t="shared" si="52"/>
        <v>0</v>
      </c>
      <c r="H52" s="580">
        <f t="shared" si="52"/>
        <v>0</v>
      </c>
      <c r="I52" s="580">
        <f t="shared" si="52"/>
        <v>0</v>
      </c>
      <c r="J52" s="580">
        <f t="shared" si="52"/>
        <v>0</v>
      </c>
      <c r="K52" s="580">
        <f t="shared" si="52"/>
        <v>0</v>
      </c>
      <c r="L52" s="580">
        <f t="shared" si="52"/>
        <v>0</v>
      </c>
      <c r="M52" s="580">
        <f t="shared" si="52"/>
        <v>0</v>
      </c>
      <c r="N52" s="580">
        <f t="shared" si="52"/>
        <v>0</v>
      </c>
      <c r="O52" s="318"/>
      <c r="P52" s="318"/>
      <c r="Q52" s="580">
        <f t="shared" ref="Q52:AA52" si="53">IF($D$6="No",0,IF(AND(ISNUMBER(Q53),ISNUMBER(Q54),ISNUMBER(Q55),ISNUMBER(Q56),ISNUMBER(Q57)),SUM(Q53:Q57),""))</f>
        <v>0</v>
      </c>
      <c r="R52" s="580">
        <f t="shared" si="53"/>
        <v>0</v>
      </c>
      <c r="S52" s="580">
        <f t="shared" si="53"/>
        <v>0</v>
      </c>
      <c r="T52" s="580">
        <f t="shared" si="53"/>
        <v>0</v>
      </c>
      <c r="U52" s="580">
        <f t="shared" si="53"/>
        <v>0</v>
      </c>
      <c r="V52" s="580">
        <f t="shared" si="53"/>
        <v>0</v>
      </c>
      <c r="W52" s="580">
        <f t="shared" si="53"/>
        <v>0</v>
      </c>
      <c r="X52" s="580">
        <f t="shared" si="53"/>
        <v>0</v>
      </c>
      <c r="Y52" s="580">
        <f t="shared" si="53"/>
        <v>0</v>
      </c>
      <c r="Z52" s="580">
        <f t="shared" si="53"/>
        <v>0</v>
      </c>
      <c r="AA52" s="209">
        <f t="shared" si="53"/>
        <v>0</v>
      </c>
      <c r="AB52" s="907" t="str">
        <f t="shared" si="8"/>
        <v/>
      </c>
      <c r="AC52" s="502"/>
      <c r="AD52" s="580">
        <f t="shared" ref="AD52:AK52" si="54">IF($D$6="No",0,IF(AND(ISNUMBER(AD53),ISNUMBER(AD54),ISNUMBER(AD55),ISNUMBER(AD56),ISNUMBER(AD57)),SUM(AD53:AD57),""))</f>
        <v>0</v>
      </c>
      <c r="AE52" s="580">
        <f t="shared" si="54"/>
        <v>0</v>
      </c>
      <c r="AF52" s="580">
        <f t="shared" si="54"/>
        <v>0</v>
      </c>
      <c r="AG52" s="580">
        <f t="shared" si="54"/>
        <v>0</v>
      </c>
      <c r="AH52" s="209">
        <f t="shared" si="54"/>
        <v>0</v>
      </c>
      <c r="AI52" s="2251">
        <f t="shared" si="54"/>
        <v>0</v>
      </c>
      <c r="AJ52" s="580">
        <f t="shared" si="54"/>
        <v>0</v>
      </c>
      <c r="AK52" s="209">
        <f t="shared" si="54"/>
        <v>0</v>
      </c>
      <c r="AL52" s="2246"/>
    </row>
    <row r="53" spans="1:38" ht="15" customHeight="1" x14ac:dyDescent="0.25">
      <c r="B53" s="615" t="s">
        <v>775</v>
      </c>
      <c r="C53" s="481"/>
      <c r="D53" s="318"/>
      <c r="E53" s="318"/>
      <c r="F53" s="318"/>
      <c r="G53" s="318"/>
      <c r="H53" s="318"/>
      <c r="I53" s="580" t="str">
        <f>IF(AND(ISNUMBER(D53),ISNUMBER(E53),ISNUMBER(H53)),SUM(D53,E53,H53),"")</f>
        <v/>
      </c>
      <c r="J53" s="318"/>
      <c r="K53" s="318"/>
      <c r="L53" s="318"/>
      <c r="M53" s="580" t="str">
        <f t="shared" ref="M53:M57" si="55">IF(AND(ISNUMBER(J53),ISNUMBER(K53),ISNUMBER(L53)),SUM(J53:L53), "")</f>
        <v/>
      </c>
      <c r="N53" s="792"/>
      <c r="O53" s="318"/>
      <c r="P53" s="318"/>
      <c r="Q53" s="318"/>
      <c r="R53" s="318"/>
      <c r="S53" s="318"/>
      <c r="T53" s="318"/>
      <c r="U53" s="318"/>
      <c r="V53" s="318"/>
      <c r="W53" s="580" t="str">
        <f>IF(AND(ISNUMBER(R53),ISNUMBER(S53),ISNUMBER(V53)),SUM(R53,S53,V53),"")</f>
        <v/>
      </c>
      <c r="X53" s="318"/>
      <c r="Y53" s="318"/>
      <c r="Z53" s="318"/>
      <c r="AA53" s="209" t="str">
        <f t="shared" ref="AA53:AA57" si="56">IF(AND(ISNUMBER(X53),ISNUMBER(Y53),ISNUMBER(Z53)),SUM(X53:Z53), "")</f>
        <v/>
      </c>
      <c r="AB53" s="907" t="str">
        <f t="shared" si="8"/>
        <v/>
      </c>
      <c r="AC53" s="560" t="str">
        <f>IF(ISNUMBER(AB53),IF(AND(AB53&gt;=(Parameters!F305*0.95), AB53&lt;=(Parameters!F305*1.05)), "Pass", "Fail (RW≠" &amp; Parameters!F305*100 &amp; "%)"),"")</f>
        <v/>
      </c>
      <c r="AD53" s="318"/>
      <c r="AE53" s="318"/>
      <c r="AF53" s="318"/>
      <c r="AG53" s="208"/>
      <c r="AH53" s="208"/>
      <c r="AI53" s="2251" t="str">
        <f t="shared" ref="AI53:AI57" si="57">IF(AND(ISNUMBER(AF53),ISNUMBER(AG53),ISNUMBER(AJ53)),AF53-AG53+AJ53,"")</f>
        <v/>
      </c>
      <c r="AJ53" s="318"/>
      <c r="AK53" s="208"/>
      <c r="AL53" s="2246"/>
    </row>
    <row r="54" spans="1:38" ht="15" customHeight="1" x14ac:dyDescent="0.25">
      <c r="B54" s="615" t="s">
        <v>544</v>
      </c>
      <c r="C54" s="481"/>
      <c r="D54" s="318"/>
      <c r="E54" s="318"/>
      <c r="F54" s="318"/>
      <c r="G54" s="318"/>
      <c r="H54" s="318"/>
      <c r="I54" s="580" t="str">
        <f>IF(AND(ISNUMBER(D54),ISNUMBER(E54),ISNUMBER(H54)),SUM(D54,E54,H54),"")</f>
        <v/>
      </c>
      <c r="J54" s="318"/>
      <c r="K54" s="318"/>
      <c r="L54" s="318"/>
      <c r="M54" s="580" t="str">
        <f t="shared" si="55"/>
        <v/>
      </c>
      <c r="N54" s="792"/>
      <c r="O54" s="318"/>
      <c r="P54" s="318"/>
      <c r="Q54" s="318"/>
      <c r="R54" s="318"/>
      <c r="S54" s="318"/>
      <c r="T54" s="318"/>
      <c r="U54" s="318"/>
      <c r="V54" s="318"/>
      <c r="W54" s="580" t="str">
        <f>IF(AND(ISNUMBER(R54),ISNUMBER(S54),ISNUMBER(V54)),SUM(R54,S54,V54),"")</f>
        <v/>
      </c>
      <c r="X54" s="318"/>
      <c r="Y54" s="318"/>
      <c r="Z54" s="318"/>
      <c r="AA54" s="209" t="str">
        <f t="shared" si="56"/>
        <v/>
      </c>
      <c r="AB54" s="907" t="str">
        <f t="shared" si="8"/>
        <v/>
      </c>
      <c r="AC54" s="560" t="str">
        <f>IF(ISNUMBER(AB54),IF(AND(AB54&gt;=(Parameters!F306*0.95), AB54&lt;=(Parameters!F306*1.05)), "Pass", "Fail (RW≠" &amp; Parameters!F306*100 &amp; "%)"),"")</f>
        <v/>
      </c>
      <c r="AD54" s="318"/>
      <c r="AE54" s="318"/>
      <c r="AF54" s="318"/>
      <c r="AG54" s="208"/>
      <c r="AH54" s="208"/>
      <c r="AI54" s="2251" t="str">
        <f t="shared" si="57"/>
        <v/>
      </c>
      <c r="AJ54" s="318"/>
      <c r="AK54" s="208"/>
      <c r="AL54" s="2246"/>
    </row>
    <row r="55" spans="1:38" ht="15" customHeight="1" x14ac:dyDescent="0.25">
      <c r="B55" s="615" t="s">
        <v>545</v>
      </c>
      <c r="C55" s="481"/>
      <c r="D55" s="318"/>
      <c r="E55" s="318"/>
      <c r="F55" s="318"/>
      <c r="G55" s="318"/>
      <c r="H55" s="318"/>
      <c r="I55" s="580" t="str">
        <f>IF(AND(ISNUMBER(D55),ISNUMBER(E55),ISNUMBER(H55)),SUM(D55,E55,H55),"")</f>
        <v/>
      </c>
      <c r="J55" s="318"/>
      <c r="K55" s="318"/>
      <c r="L55" s="318"/>
      <c r="M55" s="580" t="str">
        <f t="shared" si="55"/>
        <v/>
      </c>
      <c r="N55" s="792"/>
      <c r="O55" s="318"/>
      <c r="P55" s="318"/>
      <c r="Q55" s="318"/>
      <c r="R55" s="318"/>
      <c r="S55" s="318"/>
      <c r="T55" s="318"/>
      <c r="U55" s="318"/>
      <c r="V55" s="318"/>
      <c r="W55" s="580" t="str">
        <f>IF(AND(ISNUMBER(R55),ISNUMBER(S55),ISNUMBER(V55)),SUM(R55,S55,V55),"")</f>
        <v/>
      </c>
      <c r="X55" s="318"/>
      <c r="Y55" s="318"/>
      <c r="Z55" s="318"/>
      <c r="AA55" s="209" t="str">
        <f t="shared" si="56"/>
        <v/>
      </c>
      <c r="AB55" s="907" t="str">
        <f t="shared" si="8"/>
        <v/>
      </c>
      <c r="AC55" s="560" t="str">
        <f>IF(ISNUMBER(AB55),IF(AND(AB55&gt;=(Parameters!F307*0.95), AB55&lt;=(Parameters!F307*1.05)), "Pass", "Fail (RW≠" &amp; Parameters!F307*100 &amp; "%)"),"")</f>
        <v/>
      </c>
      <c r="AD55" s="318"/>
      <c r="AE55" s="318"/>
      <c r="AF55" s="318"/>
      <c r="AG55" s="208"/>
      <c r="AH55" s="208"/>
      <c r="AI55" s="2251" t="str">
        <f t="shared" si="57"/>
        <v/>
      </c>
      <c r="AJ55" s="318"/>
      <c r="AK55" s="208"/>
      <c r="AL55" s="2246"/>
    </row>
    <row r="56" spans="1:38" ht="15" customHeight="1" x14ac:dyDescent="0.25">
      <c r="B56" s="615" t="s">
        <v>546</v>
      </c>
      <c r="C56" s="481"/>
      <c r="D56" s="318"/>
      <c r="E56" s="318"/>
      <c r="F56" s="318"/>
      <c r="G56" s="318"/>
      <c r="H56" s="318"/>
      <c r="I56" s="580" t="str">
        <f>IF(AND(ISNUMBER(D56),ISNUMBER(E56),ISNUMBER(H56)),SUM(D56,E56,H56),"")</f>
        <v/>
      </c>
      <c r="J56" s="318"/>
      <c r="K56" s="318"/>
      <c r="L56" s="318"/>
      <c r="M56" s="580" t="str">
        <f t="shared" si="55"/>
        <v/>
      </c>
      <c r="N56" s="792"/>
      <c r="O56" s="318"/>
      <c r="P56" s="318"/>
      <c r="Q56" s="318"/>
      <c r="R56" s="318"/>
      <c r="S56" s="318"/>
      <c r="T56" s="318"/>
      <c r="U56" s="318"/>
      <c r="V56" s="318"/>
      <c r="W56" s="580" t="str">
        <f>IF(AND(ISNUMBER(R56),ISNUMBER(S56),ISNUMBER(V56)),SUM(R56,S56,V56),"")</f>
        <v/>
      </c>
      <c r="X56" s="318"/>
      <c r="Y56" s="318"/>
      <c r="Z56" s="318"/>
      <c r="AA56" s="209" t="str">
        <f t="shared" si="56"/>
        <v/>
      </c>
      <c r="AB56" s="907" t="str">
        <f t="shared" si="8"/>
        <v/>
      </c>
      <c r="AC56" s="560" t="str">
        <f>IF(ISNUMBER(AB56),IF(AND(AB56&gt;=(Parameters!F308*0.95), AB56&lt;=(Parameters!F308*1.05)), "Pass", "Fail (RW≠" &amp; Parameters!F308*100 &amp; "%)"),"")</f>
        <v/>
      </c>
      <c r="AD56" s="318"/>
      <c r="AE56" s="318"/>
      <c r="AF56" s="318"/>
      <c r="AG56" s="208"/>
      <c r="AH56" s="208"/>
      <c r="AI56" s="2251" t="str">
        <f t="shared" si="57"/>
        <v/>
      </c>
      <c r="AJ56" s="318"/>
      <c r="AK56" s="208"/>
      <c r="AL56" s="2246"/>
    </row>
    <row r="57" spans="1:38" ht="15" customHeight="1" x14ac:dyDescent="0.25">
      <c r="B57" s="615" t="s">
        <v>776</v>
      </c>
      <c r="C57" s="481"/>
      <c r="D57" s="318"/>
      <c r="E57" s="318"/>
      <c r="F57" s="318"/>
      <c r="G57" s="318"/>
      <c r="H57" s="318"/>
      <c r="I57" s="580" t="str">
        <f>IF(AND(ISNUMBER(D57),ISNUMBER(E57),ISNUMBER(H57)),SUM(D57,E57,H57),"")</f>
        <v/>
      </c>
      <c r="J57" s="318"/>
      <c r="K57" s="318"/>
      <c r="L57" s="318"/>
      <c r="M57" s="580" t="str">
        <f t="shared" si="55"/>
        <v/>
      </c>
      <c r="N57" s="792"/>
      <c r="O57" s="318"/>
      <c r="P57" s="318"/>
      <c r="Q57" s="318"/>
      <c r="R57" s="318"/>
      <c r="S57" s="318"/>
      <c r="T57" s="318"/>
      <c r="U57" s="318"/>
      <c r="V57" s="318"/>
      <c r="W57" s="580" t="str">
        <f>IF(AND(ISNUMBER(R57),ISNUMBER(S57),ISNUMBER(V57)),SUM(R57,S57,V57),"")</f>
        <v/>
      </c>
      <c r="X57" s="318"/>
      <c r="Y57" s="318"/>
      <c r="Z57" s="318"/>
      <c r="AA57" s="209" t="str">
        <f t="shared" si="56"/>
        <v/>
      </c>
      <c r="AB57" s="907" t="str">
        <f t="shared" si="8"/>
        <v/>
      </c>
      <c r="AC57" s="560" t="str">
        <f>IF(ISNUMBER(AB57),IF(AND(AB57&gt;=(Parameters!F309*0.95), AB57&lt;=(Parameters!F309*1.05)), "Pass", "Fail (RW≠" &amp; Parameters!F309*100 &amp; "%)"),"")</f>
        <v/>
      </c>
      <c r="AD57" s="318"/>
      <c r="AE57" s="318"/>
      <c r="AF57" s="318"/>
      <c r="AG57" s="208"/>
      <c r="AH57" s="208"/>
      <c r="AI57" s="2251" t="str">
        <f t="shared" si="57"/>
        <v/>
      </c>
      <c r="AJ57" s="318"/>
      <c r="AK57" s="208"/>
      <c r="AL57" s="2246"/>
    </row>
    <row r="58" spans="1:38" ht="15" customHeight="1" x14ac:dyDescent="0.25">
      <c r="B58" s="240" t="s">
        <v>788</v>
      </c>
      <c r="C58" s="580" t="str">
        <f t="shared" ref="C58:D58" si="58">IF(AND(ISNUMBER(C59),ISNUMBER(C60),ISNUMBER(C61),ISNUMBER(C62),ISNUMBER(C63),ISNUMBER(C64),ISNUMBER(C65)),SUM(C59:C65),"")</f>
        <v/>
      </c>
      <c r="D58" s="580" t="str">
        <f t="shared" si="58"/>
        <v/>
      </c>
      <c r="E58" s="580" t="str">
        <f t="shared" ref="E58:I58" si="59">IF(AND(ISNUMBER(E59),ISNUMBER(E60),ISNUMBER(E61),ISNUMBER(E62),ISNUMBER(E63),ISNUMBER(E64),ISNUMBER(E65)),SUM(E59:E65),"")</f>
        <v/>
      </c>
      <c r="F58" s="580" t="str">
        <f t="shared" si="59"/>
        <v/>
      </c>
      <c r="G58" s="580" t="str">
        <f t="shared" si="59"/>
        <v/>
      </c>
      <c r="H58" s="580" t="str">
        <f t="shared" si="59"/>
        <v/>
      </c>
      <c r="I58" s="580" t="str">
        <f t="shared" si="59"/>
        <v/>
      </c>
      <c r="J58" s="580" t="str">
        <f t="shared" ref="J58:K58" si="60">IF(AND(ISNUMBER(J59),ISNUMBER(J60),ISNUMBER(J61),ISNUMBER(J62),ISNUMBER(J63),ISNUMBER(J64),ISNUMBER(J65)),SUM(J59:J65),"")</f>
        <v/>
      </c>
      <c r="K58" s="580" t="str">
        <f t="shared" si="60"/>
        <v/>
      </c>
      <c r="L58" s="580" t="str">
        <f t="shared" ref="L58" si="61">IF(AND(ISNUMBER(L59),ISNUMBER(L60),ISNUMBER(L61),ISNUMBER(L62),ISNUMBER(L63),ISNUMBER(L64),ISNUMBER(L65)),SUM(L59:L65),"")</f>
        <v/>
      </c>
      <c r="M58" s="580" t="str">
        <f>IF(AND(ISNUMBER(M59),ISNUMBER(M60),ISNUMBER(M61),ISNUMBER(M62),ISNUMBER(M63),ISNUMBER(M64),ISNUMBER(M65)),SUM(M59:M65),"")</f>
        <v/>
      </c>
      <c r="N58" s="580" t="str">
        <f>IF(AND(ISNUMBER(N59),ISNUMBER(N60),ISNUMBER(N61),ISNUMBER(N62),ISNUMBER(N63),ISNUMBER(N64),ISNUMBER(N65)),SUM(N59:N65),"")</f>
        <v/>
      </c>
      <c r="O58" s="318"/>
      <c r="P58" s="318"/>
      <c r="Q58" s="580" t="str">
        <f t="shared" ref="Q58:W58" si="62">IF(AND(ISNUMBER(Q59),ISNUMBER(Q60),ISNUMBER(Q61),ISNUMBER(Q62),ISNUMBER(Q63),ISNUMBER(Q64),ISNUMBER(Q65)),SUM(Q59:Q65),"")</f>
        <v/>
      </c>
      <c r="R58" s="580" t="str">
        <f t="shared" si="62"/>
        <v/>
      </c>
      <c r="S58" s="580" t="str">
        <f t="shared" si="62"/>
        <v/>
      </c>
      <c r="T58" s="580" t="str">
        <f t="shared" si="62"/>
        <v/>
      </c>
      <c r="U58" s="580" t="str">
        <f t="shared" si="62"/>
        <v/>
      </c>
      <c r="V58" s="580" t="str">
        <f t="shared" si="62"/>
        <v/>
      </c>
      <c r="W58" s="580" t="str">
        <f t="shared" si="62"/>
        <v/>
      </c>
      <c r="X58" s="580" t="str">
        <f>IF(AND(ISNUMBER(X59),ISNUMBER(X60),ISNUMBER(X61),ISNUMBER(X62),ISNUMBER(X63),ISNUMBER(X64),ISNUMBER(X65)),SUM(X59:X65),"")</f>
        <v/>
      </c>
      <c r="Y58" s="580" t="str">
        <f>IF(AND(ISNUMBER(Y59),ISNUMBER(Y60),ISNUMBER(Y61),ISNUMBER(Y62),ISNUMBER(Y63),ISNUMBER(Y64),ISNUMBER(Y65)),SUM(Y59:Y65),"")</f>
        <v/>
      </c>
      <c r="Z58" s="580" t="str">
        <f>IF(AND(ISNUMBER(Z59),ISNUMBER(Z60),ISNUMBER(Z61),ISNUMBER(Z62),ISNUMBER(Z63),ISNUMBER(Z64),ISNUMBER(Z65)),SUM(Z59:Z65),"")</f>
        <v/>
      </c>
      <c r="AA58" s="209" t="str">
        <f>IF(AND(ISNUMBER(AA59),ISNUMBER(AA60),ISNUMBER(AA61),ISNUMBER(AA62),ISNUMBER(AA63),ISNUMBER(AA64),ISNUMBER(AA65)),SUM(AA59:AA65),"")</f>
        <v/>
      </c>
      <c r="AB58" s="907" t="str">
        <f t="shared" si="8"/>
        <v/>
      </c>
      <c r="AC58" s="502"/>
      <c r="AD58" s="580" t="str">
        <f t="shared" ref="AD58" si="63">IF(AND(ISNUMBER(AD59),ISNUMBER(AD60),ISNUMBER(AD61),ISNUMBER(AD62),ISNUMBER(AD63),ISNUMBER(AD64),ISNUMBER(AD65)),SUM(AD59:AD65),"")</f>
        <v/>
      </c>
      <c r="AE58" s="580" t="str">
        <f>IF(AND(ISNUMBER(AE59),ISNUMBER(AE60),ISNUMBER(AE61),ISNUMBER(AE62),ISNUMBER(AE63),ISNUMBER(AE64),ISNUMBER(AE65)),SUM(AE59:AE65),"")</f>
        <v/>
      </c>
      <c r="AF58" s="580" t="str">
        <f t="shared" ref="AF58:AK58" si="64">IF(AND(ISNUMBER(AF59),ISNUMBER(AF60),ISNUMBER(AF61),ISNUMBER(AF62),ISNUMBER(AF63),ISNUMBER(AF64),ISNUMBER(AF65)),SUM(AF59:AF65),"")</f>
        <v/>
      </c>
      <c r="AG58" s="580" t="str">
        <f t="shared" si="64"/>
        <v/>
      </c>
      <c r="AH58" s="209" t="str">
        <f t="shared" si="64"/>
        <v/>
      </c>
      <c r="AI58" s="2251" t="str">
        <f t="shared" si="64"/>
        <v/>
      </c>
      <c r="AJ58" s="580" t="str">
        <f t="shared" si="64"/>
        <v/>
      </c>
      <c r="AK58" s="209" t="str">
        <f t="shared" si="64"/>
        <v/>
      </c>
      <c r="AL58" s="2246"/>
    </row>
    <row r="59" spans="1:38" ht="15" customHeight="1" x14ac:dyDescent="0.25">
      <c r="B59" s="615" t="s">
        <v>789</v>
      </c>
      <c r="C59" s="481"/>
      <c r="D59" s="318"/>
      <c r="E59" s="318"/>
      <c r="F59" s="318"/>
      <c r="G59" s="318"/>
      <c r="H59" s="318"/>
      <c r="I59" s="580" t="str">
        <f t="shared" ref="I59:I65" si="65">IF(AND(ISNUMBER(D59),ISNUMBER(E59),ISNUMBER(H59)),SUM(D59,E59,H59),"")</f>
        <v/>
      </c>
      <c r="J59" s="318"/>
      <c r="K59" s="318"/>
      <c r="L59" s="318"/>
      <c r="M59" s="580" t="str">
        <f t="shared" ref="M59:M65" si="66">IF(AND(ISNUMBER(J59),ISNUMBER(K59),ISNUMBER(L59)),SUM(J59:L59), "")</f>
        <v/>
      </c>
      <c r="N59" s="792"/>
      <c r="O59" s="318"/>
      <c r="P59" s="318"/>
      <c r="Q59" s="318"/>
      <c r="R59" s="318"/>
      <c r="S59" s="318"/>
      <c r="T59" s="318"/>
      <c r="U59" s="318"/>
      <c r="V59" s="318"/>
      <c r="W59" s="580" t="str">
        <f t="shared" ref="W59:W65" si="67">IF(AND(ISNUMBER(R59),ISNUMBER(S59),ISNUMBER(V59)),SUM(R59,S59,V59),"")</f>
        <v/>
      </c>
      <c r="X59" s="318"/>
      <c r="Y59" s="318"/>
      <c r="Z59" s="318"/>
      <c r="AA59" s="209" t="str">
        <f t="shared" ref="AA59:AA65" si="68">IF(AND(ISNUMBER(X59),ISNUMBER(Y59),ISNUMBER(Z59)),SUM(X59:Z59), "")</f>
        <v/>
      </c>
      <c r="AB59" s="907" t="str">
        <f t="shared" si="8"/>
        <v/>
      </c>
      <c r="AC59" s="560" t="str">
        <f>IF(ISNUMBER(AB59),IF(AND(AB59&gt;=(Parameters!F311*0.95), AB59&lt;=(Parameters!F311*1.05)), "Pass", "Fail (RW≠" &amp; Parameters!F311*100 &amp; "%)"),"")</f>
        <v/>
      </c>
      <c r="AD59" s="318"/>
      <c r="AE59" s="318"/>
      <c r="AF59" s="318"/>
      <c r="AG59" s="208"/>
      <c r="AH59" s="208"/>
      <c r="AI59" s="2251" t="str">
        <f t="shared" ref="AI59:AI65" si="69">IF(AND(ISNUMBER(AF59),ISNUMBER(AG59),ISNUMBER(AJ59)),AF59-AG59+AJ59,"")</f>
        <v/>
      </c>
      <c r="AJ59" s="318"/>
      <c r="AK59" s="208"/>
      <c r="AL59" s="2246"/>
    </row>
    <row r="60" spans="1:38" ht="15" customHeight="1" x14ac:dyDescent="0.25">
      <c r="B60" s="615" t="s">
        <v>790</v>
      </c>
      <c r="C60" s="481"/>
      <c r="D60" s="318"/>
      <c r="E60" s="318"/>
      <c r="F60" s="318"/>
      <c r="G60" s="318"/>
      <c r="H60" s="318"/>
      <c r="I60" s="580" t="str">
        <f t="shared" si="65"/>
        <v/>
      </c>
      <c r="J60" s="318"/>
      <c r="K60" s="318"/>
      <c r="L60" s="318"/>
      <c r="M60" s="580" t="str">
        <f t="shared" si="66"/>
        <v/>
      </c>
      <c r="N60" s="792"/>
      <c r="O60" s="318"/>
      <c r="P60" s="318"/>
      <c r="Q60" s="318"/>
      <c r="R60" s="318"/>
      <c r="S60" s="318"/>
      <c r="T60" s="318"/>
      <c r="U60" s="318"/>
      <c r="V60" s="318"/>
      <c r="W60" s="580" t="str">
        <f t="shared" si="67"/>
        <v/>
      </c>
      <c r="X60" s="318"/>
      <c r="Y60" s="318"/>
      <c r="Z60" s="318"/>
      <c r="AA60" s="209" t="str">
        <f t="shared" si="68"/>
        <v/>
      </c>
      <c r="AB60" s="907" t="str">
        <f t="shared" si="8"/>
        <v/>
      </c>
      <c r="AC60" s="560" t="str">
        <f>IF(ISNUMBER(AB60),IF(AND(AB60&gt;=(Parameters!F312*0.95), AB60&lt;=(Parameters!F312*1.05)), "Pass", "Fail (RW≠" &amp; Parameters!F312*100 &amp; "%)"),"")</f>
        <v/>
      </c>
      <c r="AD60" s="318"/>
      <c r="AE60" s="318"/>
      <c r="AF60" s="318"/>
      <c r="AG60" s="208"/>
      <c r="AH60" s="208"/>
      <c r="AI60" s="2251" t="str">
        <f t="shared" si="69"/>
        <v/>
      </c>
      <c r="AJ60" s="318"/>
      <c r="AK60" s="208"/>
      <c r="AL60" s="2246"/>
    </row>
    <row r="61" spans="1:38" ht="15" customHeight="1" x14ac:dyDescent="0.25">
      <c r="B61" s="615" t="s">
        <v>791</v>
      </c>
      <c r="C61" s="481"/>
      <c r="D61" s="318"/>
      <c r="E61" s="318"/>
      <c r="F61" s="318"/>
      <c r="G61" s="318"/>
      <c r="H61" s="318"/>
      <c r="I61" s="580" t="str">
        <f t="shared" si="65"/>
        <v/>
      </c>
      <c r="J61" s="318"/>
      <c r="K61" s="318"/>
      <c r="L61" s="318"/>
      <c r="M61" s="580" t="str">
        <f t="shared" si="66"/>
        <v/>
      </c>
      <c r="N61" s="792"/>
      <c r="O61" s="318"/>
      <c r="P61" s="318"/>
      <c r="Q61" s="318"/>
      <c r="R61" s="318"/>
      <c r="S61" s="318"/>
      <c r="T61" s="318"/>
      <c r="U61" s="318"/>
      <c r="V61" s="318"/>
      <c r="W61" s="580" t="str">
        <f t="shared" si="67"/>
        <v/>
      </c>
      <c r="X61" s="318"/>
      <c r="Y61" s="318"/>
      <c r="Z61" s="318"/>
      <c r="AA61" s="209" t="str">
        <f t="shared" si="68"/>
        <v/>
      </c>
      <c r="AB61" s="907" t="str">
        <f t="shared" si="8"/>
        <v/>
      </c>
      <c r="AC61" s="560" t="str">
        <f>IF(ISNUMBER(AB61),IF(AND(AB61&gt;=(Parameters!F313*0.95), AB61&lt;=(Parameters!F313*1.05)), "Pass", "Fail (RW≠" &amp; Parameters!F313*100 &amp; "%)"),"")</f>
        <v/>
      </c>
      <c r="AD61" s="318"/>
      <c r="AE61" s="318"/>
      <c r="AF61" s="318"/>
      <c r="AG61" s="208"/>
      <c r="AH61" s="208"/>
      <c r="AI61" s="2251" t="str">
        <f t="shared" si="69"/>
        <v/>
      </c>
      <c r="AJ61" s="318"/>
      <c r="AK61" s="208"/>
      <c r="AL61" s="2246"/>
    </row>
    <row r="62" spans="1:38" ht="15" customHeight="1" x14ac:dyDescent="0.25">
      <c r="B62" s="615" t="s">
        <v>792</v>
      </c>
      <c r="C62" s="481"/>
      <c r="D62" s="318"/>
      <c r="E62" s="318"/>
      <c r="F62" s="318"/>
      <c r="G62" s="318"/>
      <c r="H62" s="318"/>
      <c r="I62" s="580" t="str">
        <f t="shared" si="65"/>
        <v/>
      </c>
      <c r="J62" s="318"/>
      <c r="K62" s="318"/>
      <c r="L62" s="318"/>
      <c r="M62" s="580" t="str">
        <f t="shared" si="66"/>
        <v/>
      </c>
      <c r="N62" s="792"/>
      <c r="O62" s="318"/>
      <c r="P62" s="318"/>
      <c r="Q62" s="318"/>
      <c r="R62" s="318"/>
      <c r="S62" s="318"/>
      <c r="T62" s="318"/>
      <c r="U62" s="318"/>
      <c r="V62" s="318"/>
      <c r="W62" s="580" t="str">
        <f t="shared" si="67"/>
        <v/>
      </c>
      <c r="X62" s="318"/>
      <c r="Y62" s="318"/>
      <c r="Z62" s="318"/>
      <c r="AA62" s="209" t="str">
        <f t="shared" si="68"/>
        <v/>
      </c>
      <c r="AB62" s="907" t="str">
        <f t="shared" si="8"/>
        <v/>
      </c>
      <c r="AC62" s="560" t="str">
        <f>IF(ISNUMBER(AB62),IF(AND(AB62&gt;=(Parameters!F314*0.95), AB62&lt;=(Parameters!F314*1.05)), "Pass", "Fail (RW≠" &amp; Parameters!F314*100 &amp; "%)"),"")</f>
        <v/>
      </c>
      <c r="AD62" s="318"/>
      <c r="AE62" s="318"/>
      <c r="AF62" s="318"/>
      <c r="AG62" s="208"/>
      <c r="AH62" s="208"/>
      <c r="AI62" s="2251" t="str">
        <f t="shared" si="69"/>
        <v/>
      </c>
      <c r="AJ62" s="318"/>
      <c r="AK62" s="208"/>
      <c r="AL62" s="2246"/>
    </row>
    <row r="63" spans="1:38" ht="15" customHeight="1" x14ac:dyDescent="0.25">
      <c r="B63" s="615" t="s">
        <v>793</v>
      </c>
      <c r="C63" s="481"/>
      <c r="D63" s="318"/>
      <c r="E63" s="318"/>
      <c r="F63" s="318"/>
      <c r="G63" s="318"/>
      <c r="H63" s="318"/>
      <c r="I63" s="580" t="str">
        <f t="shared" si="65"/>
        <v/>
      </c>
      <c r="J63" s="318"/>
      <c r="K63" s="318"/>
      <c r="L63" s="318"/>
      <c r="M63" s="580" t="str">
        <f t="shared" si="66"/>
        <v/>
      </c>
      <c r="N63" s="792"/>
      <c r="O63" s="318"/>
      <c r="P63" s="318"/>
      <c r="Q63" s="318"/>
      <c r="R63" s="318"/>
      <c r="S63" s="318"/>
      <c r="T63" s="318"/>
      <c r="U63" s="318"/>
      <c r="V63" s="318"/>
      <c r="W63" s="580" t="str">
        <f t="shared" si="67"/>
        <v/>
      </c>
      <c r="X63" s="318"/>
      <c r="Y63" s="318"/>
      <c r="Z63" s="318"/>
      <c r="AA63" s="209" t="str">
        <f t="shared" si="68"/>
        <v/>
      </c>
      <c r="AB63" s="907" t="str">
        <f t="shared" si="8"/>
        <v/>
      </c>
      <c r="AC63" s="560" t="str">
        <f>IF(ISNUMBER(AB63),IF(AND(AB63&gt;=(Parameters!F315*0.95), AB63&lt;=(Parameters!F315*1.05)), "Pass", "Fail (RW≠" &amp; Parameters!F315*100 &amp; "%)"),"")</f>
        <v/>
      </c>
      <c r="AD63" s="318"/>
      <c r="AE63" s="318"/>
      <c r="AF63" s="318"/>
      <c r="AG63" s="208"/>
      <c r="AH63" s="208"/>
      <c r="AI63" s="2251" t="str">
        <f t="shared" si="69"/>
        <v/>
      </c>
      <c r="AJ63" s="318"/>
      <c r="AK63" s="208"/>
      <c r="AL63" s="2246"/>
    </row>
    <row r="64" spans="1:38" ht="15" customHeight="1" x14ac:dyDescent="0.25">
      <c r="B64" s="615" t="s">
        <v>794</v>
      </c>
      <c r="C64" s="481"/>
      <c r="D64" s="318"/>
      <c r="E64" s="318"/>
      <c r="F64" s="318"/>
      <c r="G64" s="318"/>
      <c r="H64" s="318"/>
      <c r="I64" s="580" t="str">
        <f t="shared" si="65"/>
        <v/>
      </c>
      <c r="J64" s="318"/>
      <c r="K64" s="318"/>
      <c r="L64" s="318"/>
      <c r="M64" s="580" t="str">
        <f t="shared" si="66"/>
        <v/>
      </c>
      <c r="N64" s="792"/>
      <c r="O64" s="318"/>
      <c r="P64" s="318"/>
      <c r="Q64" s="318"/>
      <c r="R64" s="318"/>
      <c r="S64" s="318"/>
      <c r="T64" s="318"/>
      <c r="U64" s="318"/>
      <c r="V64" s="318"/>
      <c r="W64" s="580" t="str">
        <f t="shared" si="67"/>
        <v/>
      </c>
      <c r="X64" s="318"/>
      <c r="Y64" s="318"/>
      <c r="Z64" s="318"/>
      <c r="AA64" s="209" t="str">
        <f t="shared" si="68"/>
        <v/>
      </c>
      <c r="AB64" s="907" t="str">
        <f t="shared" si="8"/>
        <v/>
      </c>
      <c r="AC64" s="560" t="str">
        <f>IF(ISNUMBER(AB64),IF(AND(AB64&gt;=(Parameters!F316*0.95), AB64&lt;=(Parameters!F316*1.05)), "Pass", "Fail (RW≠" &amp; Parameters!F316*100 &amp; "%)"),"")</f>
        <v/>
      </c>
      <c r="AD64" s="318"/>
      <c r="AE64" s="318"/>
      <c r="AF64" s="318"/>
      <c r="AG64" s="208"/>
      <c r="AH64" s="208"/>
      <c r="AI64" s="2251" t="str">
        <f t="shared" si="69"/>
        <v/>
      </c>
      <c r="AJ64" s="318"/>
      <c r="AK64" s="208"/>
      <c r="AL64" s="2246"/>
    </row>
    <row r="65" spans="2:38" ht="15" customHeight="1" x14ac:dyDescent="0.25">
      <c r="B65" s="615" t="s">
        <v>795</v>
      </c>
      <c r="C65" s="481"/>
      <c r="D65" s="318"/>
      <c r="E65" s="318"/>
      <c r="F65" s="318"/>
      <c r="G65" s="318"/>
      <c r="H65" s="318"/>
      <c r="I65" s="580" t="str">
        <f t="shared" si="65"/>
        <v/>
      </c>
      <c r="J65" s="318"/>
      <c r="K65" s="318"/>
      <c r="L65" s="318"/>
      <c r="M65" s="580" t="str">
        <f t="shared" si="66"/>
        <v/>
      </c>
      <c r="N65" s="792"/>
      <c r="O65" s="318"/>
      <c r="P65" s="318"/>
      <c r="Q65" s="318"/>
      <c r="R65" s="318"/>
      <c r="S65" s="318"/>
      <c r="T65" s="318"/>
      <c r="U65" s="318"/>
      <c r="V65" s="318"/>
      <c r="W65" s="580" t="str">
        <f t="shared" si="67"/>
        <v/>
      </c>
      <c r="X65" s="318"/>
      <c r="Y65" s="318"/>
      <c r="Z65" s="318"/>
      <c r="AA65" s="209" t="str">
        <f t="shared" si="68"/>
        <v/>
      </c>
      <c r="AB65" s="907" t="str">
        <f t="shared" si="8"/>
        <v/>
      </c>
      <c r="AC65" s="560" t="str">
        <f>IF(ISNUMBER(AB65),IF(AND(AB65&gt;=(Parameters!F317*0.95), AB65&lt;=(Parameters!F317*1.05)), "Pass", "Fail (RW≠" &amp; Parameters!F317*100 &amp; "%)"),"")</f>
        <v/>
      </c>
      <c r="AD65" s="318"/>
      <c r="AE65" s="318"/>
      <c r="AF65" s="318"/>
      <c r="AG65" s="208"/>
      <c r="AH65" s="208"/>
      <c r="AI65" s="2251" t="str">
        <f t="shared" si="69"/>
        <v/>
      </c>
      <c r="AJ65" s="318"/>
      <c r="AK65" s="208"/>
      <c r="AL65" s="2246"/>
    </row>
    <row r="66" spans="2:38" ht="15" customHeight="1" x14ac:dyDescent="0.25">
      <c r="B66" s="267" t="s">
        <v>796</v>
      </c>
      <c r="C66" s="580" t="str">
        <f t="shared" ref="C66:N66" si="70">IF($D$6="No", C75, C67)</f>
        <v/>
      </c>
      <c r="D66" s="580" t="str">
        <f t="shared" si="70"/>
        <v/>
      </c>
      <c r="E66" s="580" t="str">
        <f t="shared" si="70"/>
        <v/>
      </c>
      <c r="F66" s="580" t="str">
        <f t="shared" si="70"/>
        <v/>
      </c>
      <c r="G66" s="580" t="str">
        <f t="shared" si="70"/>
        <v/>
      </c>
      <c r="H66" s="580" t="str">
        <f t="shared" si="70"/>
        <v/>
      </c>
      <c r="I66" s="580" t="str">
        <f t="shared" si="70"/>
        <v/>
      </c>
      <c r="J66" s="580" t="str">
        <f t="shared" si="70"/>
        <v/>
      </c>
      <c r="K66" s="580" t="str">
        <f t="shared" si="70"/>
        <v/>
      </c>
      <c r="L66" s="580" t="str">
        <f t="shared" si="70"/>
        <v/>
      </c>
      <c r="M66" s="580" t="str">
        <f t="shared" si="70"/>
        <v/>
      </c>
      <c r="N66" s="580" t="str">
        <f t="shared" si="70"/>
        <v/>
      </c>
      <c r="O66" s="318"/>
      <c r="P66" s="318"/>
      <c r="Q66" s="580" t="str">
        <f t="shared" ref="Q66:AA66" si="71">IF($D$6="No", Q75, Q67)</f>
        <v/>
      </c>
      <c r="R66" s="580" t="str">
        <f t="shared" si="71"/>
        <v/>
      </c>
      <c r="S66" s="580" t="str">
        <f t="shared" si="71"/>
        <v/>
      </c>
      <c r="T66" s="580" t="str">
        <f t="shared" si="71"/>
        <v/>
      </c>
      <c r="U66" s="580" t="str">
        <f t="shared" si="71"/>
        <v/>
      </c>
      <c r="V66" s="580" t="str">
        <f t="shared" si="71"/>
        <v/>
      </c>
      <c r="W66" s="580" t="str">
        <f t="shared" si="71"/>
        <v/>
      </c>
      <c r="X66" s="580" t="str">
        <f t="shared" si="71"/>
        <v/>
      </c>
      <c r="Y66" s="580" t="str">
        <f t="shared" si="71"/>
        <v/>
      </c>
      <c r="Z66" s="580" t="str">
        <f t="shared" si="71"/>
        <v/>
      </c>
      <c r="AA66" s="209" t="str">
        <f t="shared" si="71"/>
        <v/>
      </c>
      <c r="AB66" s="907" t="str">
        <f t="shared" si="8"/>
        <v/>
      </c>
      <c r="AC66" s="502"/>
      <c r="AD66" s="580" t="str">
        <f t="shared" ref="AD66:AK66" si="72">IF($D$6="No", AD75, AD67)</f>
        <v/>
      </c>
      <c r="AE66" s="580" t="str">
        <f t="shared" si="72"/>
        <v/>
      </c>
      <c r="AF66" s="580" t="str">
        <f t="shared" si="72"/>
        <v/>
      </c>
      <c r="AG66" s="580" t="str">
        <f t="shared" si="72"/>
        <v/>
      </c>
      <c r="AH66" s="209" t="str">
        <f t="shared" si="72"/>
        <v/>
      </c>
      <c r="AI66" s="2251" t="str">
        <f t="shared" si="72"/>
        <v/>
      </c>
      <c r="AJ66" s="580" t="str">
        <f t="shared" si="72"/>
        <v/>
      </c>
      <c r="AK66" s="209" t="str">
        <f t="shared" si="72"/>
        <v/>
      </c>
      <c r="AL66" s="2246"/>
    </row>
    <row r="67" spans="2:38" ht="15" customHeight="1" x14ac:dyDescent="0.25">
      <c r="B67" s="536" t="s">
        <v>797</v>
      </c>
      <c r="C67" s="580">
        <f t="shared" ref="C67:N67" si="73">IF($D$6="No", 0, IF(AND(ISNUMBER(C68),ISNUMBER(C74)), SUM(C68,C74),""))</f>
        <v>0</v>
      </c>
      <c r="D67" s="580">
        <f t="shared" si="73"/>
        <v>0</v>
      </c>
      <c r="E67" s="580">
        <f t="shared" si="73"/>
        <v>0</v>
      </c>
      <c r="F67" s="580">
        <f t="shared" si="73"/>
        <v>0</v>
      </c>
      <c r="G67" s="580">
        <f t="shared" si="73"/>
        <v>0</v>
      </c>
      <c r="H67" s="580">
        <f t="shared" si="73"/>
        <v>0</v>
      </c>
      <c r="I67" s="580">
        <f t="shared" si="73"/>
        <v>0</v>
      </c>
      <c r="J67" s="580">
        <f t="shared" si="73"/>
        <v>0</v>
      </c>
      <c r="K67" s="580">
        <f t="shared" si="73"/>
        <v>0</v>
      </c>
      <c r="L67" s="580">
        <f t="shared" si="73"/>
        <v>0</v>
      </c>
      <c r="M67" s="580">
        <f t="shared" si="73"/>
        <v>0</v>
      </c>
      <c r="N67" s="580">
        <f t="shared" si="73"/>
        <v>0</v>
      </c>
      <c r="O67" s="318"/>
      <c r="P67" s="318"/>
      <c r="Q67" s="580">
        <f t="shared" ref="Q67:AA67" si="74">IF($D$6="No", 0, IF(AND(ISNUMBER(Q68),ISNUMBER(Q74)), SUM(Q68,Q74),""))</f>
        <v>0</v>
      </c>
      <c r="R67" s="580">
        <f t="shared" si="74"/>
        <v>0</v>
      </c>
      <c r="S67" s="580">
        <f t="shared" si="74"/>
        <v>0</v>
      </c>
      <c r="T67" s="580">
        <f t="shared" si="74"/>
        <v>0</v>
      </c>
      <c r="U67" s="580">
        <f t="shared" si="74"/>
        <v>0</v>
      </c>
      <c r="V67" s="580">
        <f t="shared" si="74"/>
        <v>0</v>
      </c>
      <c r="W67" s="580">
        <f t="shared" si="74"/>
        <v>0</v>
      </c>
      <c r="X67" s="580">
        <f t="shared" si="74"/>
        <v>0</v>
      </c>
      <c r="Y67" s="580">
        <f t="shared" si="74"/>
        <v>0</v>
      </c>
      <c r="Z67" s="580">
        <f t="shared" si="74"/>
        <v>0</v>
      </c>
      <c r="AA67" s="209">
        <f t="shared" si="74"/>
        <v>0</v>
      </c>
      <c r="AB67" s="907" t="str">
        <f t="shared" si="8"/>
        <v/>
      </c>
      <c r="AC67" s="502"/>
      <c r="AD67" s="580">
        <f t="shared" ref="AD67:AK67" si="75">IF($D$6="No", 0, IF(AND(ISNUMBER(AD68),ISNUMBER(AD74)), SUM(AD68,AD74),""))</f>
        <v>0</v>
      </c>
      <c r="AE67" s="580">
        <f t="shared" si="75"/>
        <v>0</v>
      </c>
      <c r="AF67" s="580">
        <f t="shared" si="75"/>
        <v>0</v>
      </c>
      <c r="AG67" s="580">
        <f t="shared" si="75"/>
        <v>0</v>
      </c>
      <c r="AH67" s="209">
        <f t="shared" si="75"/>
        <v>0</v>
      </c>
      <c r="AI67" s="2251">
        <f t="shared" si="75"/>
        <v>0</v>
      </c>
      <c r="AJ67" s="580">
        <f t="shared" si="75"/>
        <v>0</v>
      </c>
      <c r="AK67" s="209">
        <f t="shared" si="75"/>
        <v>0</v>
      </c>
      <c r="AL67" s="2246"/>
    </row>
    <row r="68" spans="2:38" ht="15" customHeight="1" x14ac:dyDescent="0.25">
      <c r="B68" s="243" t="s">
        <v>798</v>
      </c>
      <c r="C68" s="580">
        <f t="shared" ref="C68:N68" si="76">IF($D$6="No", 0, IF(AND(ISNUMBER(C69),ISNUMBER(C70),ISNUMBER(C71),ISNUMBER(C72),ISNUMBER(C73)),SUM(C69:C73),""))</f>
        <v>0</v>
      </c>
      <c r="D68" s="580">
        <f t="shared" si="76"/>
        <v>0</v>
      </c>
      <c r="E68" s="580">
        <f t="shared" si="76"/>
        <v>0</v>
      </c>
      <c r="F68" s="580">
        <f t="shared" si="76"/>
        <v>0</v>
      </c>
      <c r="G68" s="580">
        <f t="shared" si="76"/>
        <v>0</v>
      </c>
      <c r="H68" s="580">
        <f t="shared" si="76"/>
        <v>0</v>
      </c>
      <c r="I68" s="580">
        <f t="shared" si="76"/>
        <v>0</v>
      </c>
      <c r="J68" s="580">
        <f t="shared" si="76"/>
        <v>0</v>
      </c>
      <c r="K68" s="580">
        <f t="shared" si="76"/>
        <v>0</v>
      </c>
      <c r="L68" s="580">
        <f t="shared" si="76"/>
        <v>0</v>
      </c>
      <c r="M68" s="580">
        <f t="shared" si="76"/>
        <v>0</v>
      </c>
      <c r="N68" s="580">
        <f t="shared" si="76"/>
        <v>0</v>
      </c>
      <c r="O68" s="318"/>
      <c r="P68" s="318"/>
      <c r="Q68" s="580">
        <f t="shared" ref="Q68:AA68" si="77">IF($D$6="No", 0, IF(AND(ISNUMBER(Q69),ISNUMBER(Q70),ISNUMBER(Q71),ISNUMBER(Q72),ISNUMBER(Q73)),SUM(Q69:Q73),""))</f>
        <v>0</v>
      </c>
      <c r="R68" s="580">
        <f t="shared" si="77"/>
        <v>0</v>
      </c>
      <c r="S68" s="580">
        <f t="shared" si="77"/>
        <v>0</v>
      </c>
      <c r="T68" s="580">
        <f t="shared" si="77"/>
        <v>0</v>
      </c>
      <c r="U68" s="580">
        <f t="shared" si="77"/>
        <v>0</v>
      </c>
      <c r="V68" s="580">
        <f t="shared" si="77"/>
        <v>0</v>
      </c>
      <c r="W68" s="580">
        <f t="shared" si="77"/>
        <v>0</v>
      </c>
      <c r="X68" s="580">
        <f t="shared" si="77"/>
        <v>0</v>
      </c>
      <c r="Y68" s="580">
        <f t="shared" si="77"/>
        <v>0</v>
      </c>
      <c r="Z68" s="580">
        <f t="shared" si="77"/>
        <v>0</v>
      </c>
      <c r="AA68" s="209">
        <f t="shared" si="77"/>
        <v>0</v>
      </c>
      <c r="AB68" s="907" t="str">
        <f t="shared" si="8"/>
        <v/>
      </c>
      <c r="AC68" s="502"/>
      <c r="AD68" s="580">
        <f t="shared" ref="AD68:AK68" si="78">IF($D$6="No", 0, IF(AND(ISNUMBER(AD69),ISNUMBER(AD70),ISNUMBER(AD71),ISNUMBER(AD72),ISNUMBER(AD73)),SUM(AD69:AD73),""))</f>
        <v>0</v>
      </c>
      <c r="AE68" s="580">
        <f t="shared" si="78"/>
        <v>0</v>
      </c>
      <c r="AF68" s="580">
        <f t="shared" si="78"/>
        <v>0</v>
      </c>
      <c r="AG68" s="580">
        <f t="shared" si="78"/>
        <v>0</v>
      </c>
      <c r="AH68" s="209">
        <f t="shared" si="78"/>
        <v>0</v>
      </c>
      <c r="AI68" s="2251">
        <f t="shared" si="78"/>
        <v>0</v>
      </c>
      <c r="AJ68" s="580">
        <f t="shared" si="78"/>
        <v>0</v>
      </c>
      <c r="AK68" s="209">
        <f t="shared" si="78"/>
        <v>0</v>
      </c>
      <c r="AL68" s="2246"/>
    </row>
    <row r="69" spans="2:38" ht="15" customHeight="1" x14ac:dyDescent="0.25">
      <c r="B69" s="616" t="s">
        <v>775</v>
      </c>
      <c r="C69" s="481"/>
      <c r="D69" s="318"/>
      <c r="E69" s="318"/>
      <c r="F69" s="318"/>
      <c r="G69" s="318"/>
      <c r="H69" s="318"/>
      <c r="I69" s="580" t="str">
        <f t="shared" ref="I69:I74" si="79">IF(AND(ISNUMBER(D69),ISNUMBER(E69),ISNUMBER(H69)),SUM(D69,E69,H69),"")</f>
        <v/>
      </c>
      <c r="J69" s="318"/>
      <c r="K69" s="318"/>
      <c r="L69" s="318"/>
      <c r="M69" s="580" t="str">
        <f t="shared" ref="M69:M74" si="80">IF(AND(ISNUMBER(J69),ISNUMBER(K69),ISNUMBER(L69)),SUM(J69:L69), "")</f>
        <v/>
      </c>
      <c r="N69" s="792"/>
      <c r="O69" s="318"/>
      <c r="P69" s="318"/>
      <c r="Q69" s="318"/>
      <c r="R69" s="318"/>
      <c r="S69" s="318"/>
      <c r="T69" s="318"/>
      <c r="U69" s="318"/>
      <c r="V69" s="318"/>
      <c r="W69" s="580" t="str">
        <f t="shared" ref="W69:W74" si="81">IF(AND(ISNUMBER(R69),ISNUMBER(S69),ISNUMBER(V69)),SUM(R69,S69,V69),"")</f>
        <v/>
      </c>
      <c r="X69" s="318"/>
      <c r="Y69" s="318"/>
      <c r="Z69" s="318"/>
      <c r="AA69" s="209" t="str">
        <f t="shared" ref="AA69:AA74" si="82">IF(AND(ISNUMBER(X69),ISNUMBER(Y69),ISNUMBER(Z69)),SUM(X69:Z69), "")</f>
        <v/>
      </c>
      <c r="AB69" s="907" t="str">
        <f t="shared" si="8"/>
        <v/>
      </c>
      <c r="AC69" s="560" t="str">
        <f>IF(ISNUMBER(AB69),IF(AND(AB69&gt;=(Parameters!F321*0.95), AB69&lt;=(Parameters!F321*1.05)), "Pass", "Fail (RW≠" &amp; Parameters!F321*100 &amp; "%)"),"")</f>
        <v/>
      </c>
      <c r="AD69" s="318"/>
      <c r="AE69" s="318"/>
      <c r="AF69" s="318"/>
      <c r="AG69" s="208"/>
      <c r="AH69" s="208"/>
      <c r="AI69" s="2251" t="str">
        <f t="shared" ref="AI69:AI74" si="83">IF(AND(ISNUMBER(AF69),ISNUMBER(AG69),ISNUMBER(AJ69)),AF69-AG69+AJ69,"")</f>
        <v/>
      </c>
      <c r="AJ69" s="318"/>
      <c r="AK69" s="208"/>
      <c r="AL69" s="2246"/>
    </row>
    <row r="70" spans="2:38" ht="15" customHeight="1" x14ac:dyDescent="0.25">
      <c r="B70" s="616" t="s">
        <v>544</v>
      </c>
      <c r="C70" s="481"/>
      <c r="D70" s="318"/>
      <c r="E70" s="318"/>
      <c r="F70" s="318"/>
      <c r="G70" s="318"/>
      <c r="H70" s="318"/>
      <c r="I70" s="580" t="str">
        <f t="shared" si="79"/>
        <v/>
      </c>
      <c r="J70" s="318"/>
      <c r="K70" s="318"/>
      <c r="L70" s="318"/>
      <c r="M70" s="580" t="str">
        <f t="shared" si="80"/>
        <v/>
      </c>
      <c r="N70" s="792"/>
      <c r="O70" s="318"/>
      <c r="P70" s="318"/>
      <c r="Q70" s="318"/>
      <c r="R70" s="318"/>
      <c r="S70" s="318"/>
      <c r="T70" s="318"/>
      <c r="U70" s="318"/>
      <c r="V70" s="318"/>
      <c r="W70" s="580" t="str">
        <f t="shared" si="81"/>
        <v/>
      </c>
      <c r="X70" s="318"/>
      <c r="Y70" s="318"/>
      <c r="Z70" s="318"/>
      <c r="AA70" s="209" t="str">
        <f t="shared" si="82"/>
        <v/>
      </c>
      <c r="AB70" s="907" t="str">
        <f t="shared" si="8"/>
        <v/>
      </c>
      <c r="AC70" s="560" t="str">
        <f>IF(ISNUMBER(AB70),IF(AND(AB70&gt;=(Parameters!F322*0.95), AB70&lt;=(Parameters!F322*1.05)), "Pass", "Fail (RW≠" &amp; Parameters!F322*100 &amp; "%)"),"")</f>
        <v/>
      </c>
      <c r="AD70" s="318"/>
      <c r="AE70" s="318"/>
      <c r="AF70" s="318"/>
      <c r="AG70" s="208"/>
      <c r="AH70" s="208"/>
      <c r="AI70" s="2251" t="str">
        <f t="shared" si="83"/>
        <v/>
      </c>
      <c r="AJ70" s="318"/>
      <c r="AK70" s="208"/>
      <c r="AL70" s="2246"/>
    </row>
    <row r="71" spans="2:38" ht="15" customHeight="1" x14ac:dyDescent="0.25">
      <c r="B71" s="616" t="s">
        <v>545</v>
      </c>
      <c r="C71" s="481"/>
      <c r="D71" s="318"/>
      <c r="E71" s="318"/>
      <c r="F71" s="318"/>
      <c r="G71" s="318"/>
      <c r="H71" s="318"/>
      <c r="I71" s="580" t="str">
        <f t="shared" si="79"/>
        <v/>
      </c>
      <c r="J71" s="318"/>
      <c r="K71" s="318"/>
      <c r="L71" s="318"/>
      <c r="M71" s="580" t="str">
        <f t="shared" si="80"/>
        <v/>
      </c>
      <c r="N71" s="792"/>
      <c r="O71" s="318"/>
      <c r="P71" s="318"/>
      <c r="Q71" s="318"/>
      <c r="R71" s="318"/>
      <c r="S71" s="318"/>
      <c r="T71" s="318"/>
      <c r="U71" s="318"/>
      <c r="V71" s="318"/>
      <c r="W71" s="580" t="str">
        <f t="shared" si="81"/>
        <v/>
      </c>
      <c r="X71" s="318"/>
      <c r="Y71" s="318"/>
      <c r="Z71" s="318"/>
      <c r="AA71" s="209" t="str">
        <f t="shared" si="82"/>
        <v/>
      </c>
      <c r="AB71" s="907" t="str">
        <f t="shared" si="8"/>
        <v/>
      </c>
      <c r="AC71" s="560" t="str">
        <f>IF(ISNUMBER(AB71),IF(AND(AB71&gt;=(Parameters!F323*0.95), AB71&lt;=(Parameters!F323*1.05)), "Pass", "Fail (RW≠" &amp; Parameters!F323*100 &amp; "%)"),"")</f>
        <v/>
      </c>
      <c r="AD71" s="318"/>
      <c r="AE71" s="318"/>
      <c r="AF71" s="318"/>
      <c r="AG71" s="208"/>
      <c r="AH71" s="208"/>
      <c r="AI71" s="2251" t="str">
        <f t="shared" si="83"/>
        <v/>
      </c>
      <c r="AJ71" s="318"/>
      <c r="AK71" s="208"/>
      <c r="AL71" s="2246"/>
    </row>
    <row r="72" spans="2:38" ht="15" customHeight="1" x14ac:dyDescent="0.25">
      <c r="B72" s="616" t="s">
        <v>547</v>
      </c>
      <c r="C72" s="481"/>
      <c r="D72" s="318"/>
      <c r="E72" s="318"/>
      <c r="F72" s="318"/>
      <c r="G72" s="318"/>
      <c r="H72" s="318"/>
      <c r="I72" s="580" t="str">
        <f t="shared" si="79"/>
        <v/>
      </c>
      <c r="J72" s="318"/>
      <c r="K72" s="318"/>
      <c r="L72" s="318"/>
      <c r="M72" s="580" t="str">
        <f t="shared" si="80"/>
        <v/>
      </c>
      <c r="N72" s="792"/>
      <c r="O72" s="318"/>
      <c r="P72" s="318"/>
      <c r="Q72" s="318"/>
      <c r="R72" s="318"/>
      <c r="S72" s="318"/>
      <c r="T72" s="318"/>
      <c r="U72" s="318"/>
      <c r="V72" s="318"/>
      <c r="W72" s="580" t="str">
        <f t="shared" si="81"/>
        <v/>
      </c>
      <c r="X72" s="318"/>
      <c r="Y72" s="318"/>
      <c r="Z72" s="318"/>
      <c r="AA72" s="209" t="str">
        <f t="shared" si="82"/>
        <v/>
      </c>
      <c r="AB72" s="907" t="str">
        <f t="shared" si="8"/>
        <v/>
      </c>
      <c r="AC72" s="560" t="str">
        <f>IF(ISNUMBER(AB72),IF(AND(AB72&gt;=(Parameters!F324*0.95), AB72&lt;=(Parameters!F324*1.05)), "Pass", "Fail (RW≠" &amp; Parameters!F324*100 &amp; "%)"),"")</f>
        <v/>
      </c>
      <c r="AD72" s="318"/>
      <c r="AE72" s="318"/>
      <c r="AF72" s="318"/>
      <c r="AG72" s="208"/>
      <c r="AH72" s="208"/>
      <c r="AI72" s="2251" t="str">
        <f t="shared" si="83"/>
        <v/>
      </c>
      <c r="AJ72" s="318"/>
      <c r="AK72" s="208"/>
      <c r="AL72" s="2246"/>
    </row>
    <row r="73" spans="2:38" ht="15" customHeight="1" x14ac:dyDescent="0.25">
      <c r="B73" s="616" t="s">
        <v>799</v>
      </c>
      <c r="C73" s="481"/>
      <c r="D73" s="318"/>
      <c r="E73" s="318"/>
      <c r="F73" s="318"/>
      <c r="G73" s="318"/>
      <c r="H73" s="318"/>
      <c r="I73" s="580" t="str">
        <f t="shared" si="79"/>
        <v/>
      </c>
      <c r="J73" s="318"/>
      <c r="K73" s="318"/>
      <c r="L73" s="318"/>
      <c r="M73" s="580" t="str">
        <f t="shared" si="80"/>
        <v/>
      </c>
      <c r="N73" s="792"/>
      <c r="O73" s="318"/>
      <c r="P73" s="318"/>
      <c r="Q73" s="318"/>
      <c r="R73" s="318"/>
      <c r="S73" s="318"/>
      <c r="T73" s="318"/>
      <c r="U73" s="318"/>
      <c r="V73" s="318"/>
      <c r="W73" s="580" t="str">
        <f t="shared" si="81"/>
        <v/>
      </c>
      <c r="X73" s="318"/>
      <c r="Y73" s="318"/>
      <c r="Z73" s="318"/>
      <c r="AA73" s="209" t="str">
        <f t="shared" si="82"/>
        <v/>
      </c>
      <c r="AB73" s="907" t="str">
        <f t="shared" si="8"/>
        <v/>
      </c>
      <c r="AC73" s="560" t="str">
        <f>IF(ISNUMBER(AB73),IF(AND(AB73&gt;=(Parameters!F325*0.95), AB73&lt;=(Parameters!F325*1.05)), "Pass", "Fail (RW≠" &amp; Parameters!F325*100 &amp; "%)"),"")</f>
        <v/>
      </c>
      <c r="AD73" s="318"/>
      <c r="AE73" s="318"/>
      <c r="AF73" s="318"/>
      <c r="AG73" s="208"/>
      <c r="AH73" s="208"/>
      <c r="AI73" s="2251" t="str">
        <f t="shared" si="83"/>
        <v/>
      </c>
      <c r="AJ73" s="318"/>
      <c r="AK73" s="208"/>
      <c r="AL73" s="2246"/>
    </row>
    <row r="74" spans="2:38" ht="15" customHeight="1" x14ac:dyDescent="0.25">
      <c r="B74" s="243" t="s">
        <v>800</v>
      </c>
      <c r="C74" s="481"/>
      <c r="D74" s="318"/>
      <c r="E74" s="318"/>
      <c r="F74" s="318"/>
      <c r="G74" s="318"/>
      <c r="H74" s="318"/>
      <c r="I74" s="580" t="str">
        <f t="shared" si="79"/>
        <v/>
      </c>
      <c r="J74" s="318"/>
      <c r="K74" s="318"/>
      <c r="L74" s="318"/>
      <c r="M74" s="580" t="str">
        <f t="shared" si="80"/>
        <v/>
      </c>
      <c r="N74" s="792"/>
      <c r="O74" s="318"/>
      <c r="P74" s="318"/>
      <c r="Q74" s="318"/>
      <c r="R74" s="318"/>
      <c r="S74" s="318"/>
      <c r="T74" s="318"/>
      <c r="U74" s="318"/>
      <c r="V74" s="318"/>
      <c r="W74" s="580" t="str">
        <f t="shared" si="81"/>
        <v/>
      </c>
      <c r="X74" s="318"/>
      <c r="Y74" s="318"/>
      <c r="Z74" s="318"/>
      <c r="AA74" s="209" t="str">
        <f t="shared" si="82"/>
        <v/>
      </c>
      <c r="AB74" s="907" t="str">
        <f t="shared" si="8"/>
        <v/>
      </c>
      <c r="AC74" s="560" t="str">
        <f>IF(ISNUMBER(AB74),IF(AND(AB74&gt;=(Parameters!F326*0.95), AB74&lt;=(Parameters!F326*1.05)), "Pass", "Fail (RW≠" &amp; Parameters!F326*100 &amp; "%)"),"")</f>
        <v/>
      </c>
      <c r="AD74" s="318"/>
      <c r="AE74" s="318"/>
      <c r="AF74" s="318"/>
      <c r="AG74" s="208"/>
      <c r="AH74" s="208"/>
      <c r="AI74" s="2251" t="str">
        <f t="shared" si="83"/>
        <v/>
      </c>
      <c r="AJ74" s="318"/>
      <c r="AK74" s="208"/>
      <c r="AL74" s="2246"/>
    </row>
    <row r="75" spans="2:38" ht="15" customHeight="1" x14ac:dyDescent="0.25">
      <c r="B75" s="536" t="s">
        <v>801</v>
      </c>
      <c r="C75" s="580" t="str">
        <f t="shared" ref="C75:N75" si="84">IF($D$6="Yes", 0, IF(AND(ISNUMBER(C76),ISNUMBER(C77)), SUM(C76,C77),""))</f>
        <v/>
      </c>
      <c r="D75" s="580" t="str">
        <f t="shared" si="84"/>
        <v/>
      </c>
      <c r="E75" s="580" t="str">
        <f t="shared" si="84"/>
        <v/>
      </c>
      <c r="F75" s="580" t="str">
        <f t="shared" si="84"/>
        <v/>
      </c>
      <c r="G75" s="580" t="str">
        <f t="shared" si="84"/>
        <v/>
      </c>
      <c r="H75" s="580" t="str">
        <f t="shared" si="84"/>
        <v/>
      </c>
      <c r="I75" s="580" t="str">
        <f t="shared" si="84"/>
        <v/>
      </c>
      <c r="J75" s="580" t="str">
        <f t="shared" si="84"/>
        <v/>
      </c>
      <c r="K75" s="580" t="str">
        <f t="shared" si="84"/>
        <v/>
      </c>
      <c r="L75" s="580" t="str">
        <f t="shared" si="84"/>
        <v/>
      </c>
      <c r="M75" s="580" t="str">
        <f t="shared" si="84"/>
        <v/>
      </c>
      <c r="N75" s="580" t="str">
        <f t="shared" si="84"/>
        <v/>
      </c>
      <c r="O75" s="318"/>
      <c r="P75" s="318"/>
      <c r="Q75" s="580" t="str">
        <f t="shared" ref="Q75:AA75" si="85">IF($D$6="Yes", 0, IF(AND(ISNUMBER(Q76),ISNUMBER(Q77)), SUM(Q76,Q77),""))</f>
        <v/>
      </c>
      <c r="R75" s="580" t="str">
        <f t="shared" si="85"/>
        <v/>
      </c>
      <c r="S75" s="580" t="str">
        <f t="shared" si="85"/>
        <v/>
      </c>
      <c r="T75" s="580" t="str">
        <f t="shared" si="85"/>
        <v/>
      </c>
      <c r="U75" s="580" t="str">
        <f t="shared" si="85"/>
        <v/>
      </c>
      <c r="V75" s="580" t="str">
        <f t="shared" si="85"/>
        <v/>
      </c>
      <c r="W75" s="580" t="str">
        <f t="shared" si="85"/>
        <v/>
      </c>
      <c r="X75" s="580" t="str">
        <f t="shared" si="85"/>
        <v/>
      </c>
      <c r="Y75" s="580" t="str">
        <f t="shared" si="85"/>
        <v/>
      </c>
      <c r="Z75" s="580" t="str">
        <f t="shared" si="85"/>
        <v/>
      </c>
      <c r="AA75" s="209" t="str">
        <f t="shared" si="85"/>
        <v/>
      </c>
      <c r="AB75" s="907" t="str">
        <f t="shared" si="8"/>
        <v/>
      </c>
      <c r="AC75" s="502"/>
      <c r="AD75" s="580" t="str">
        <f t="shared" ref="AD75:AK75" si="86">IF($D$6="Yes", 0, IF(AND(ISNUMBER(AD76),ISNUMBER(AD77)), SUM(AD76,AD77),""))</f>
        <v/>
      </c>
      <c r="AE75" s="580" t="str">
        <f t="shared" si="86"/>
        <v/>
      </c>
      <c r="AF75" s="580" t="str">
        <f t="shared" si="86"/>
        <v/>
      </c>
      <c r="AG75" s="580" t="str">
        <f t="shared" si="86"/>
        <v/>
      </c>
      <c r="AH75" s="209" t="str">
        <f t="shared" si="86"/>
        <v/>
      </c>
      <c r="AI75" s="2251" t="str">
        <f t="shared" si="86"/>
        <v/>
      </c>
      <c r="AJ75" s="580" t="str">
        <f t="shared" si="86"/>
        <v/>
      </c>
      <c r="AK75" s="209" t="str">
        <f t="shared" si="86"/>
        <v/>
      </c>
      <c r="AL75" s="2246"/>
    </row>
    <row r="76" spans="2:38" ht="15" customHeight="1" x14ac:dyDescent="0.25">
      <c r="B76" s="615" t="s">
        <v>802</v>
      </c>
      <c r="C76" s="481"/>
      <c r="D76" s="318"/>
      <c r="E76" s="318"/>
      <c r="F76" s="318"/>
      <c r="G76" s="318"/>
      <c r="H76" s="318"/>
      <c r="I76" s="580" t="str">
        <f t="shared" ref="I76:I78" si="87">IF(AND(ISNUMBER(D76),ISNUMBER(E76),ISNUMBER(H76)),SUM(D76,E76,H76),"")</f>
        <v/>
      </c>
      <c r="J76" s="318"/>
      <c r="K76" s="318"/>
      <c r="L76" s="318"/>
      <c r="M76" s="580" t="str">
        <f t="shared" ref="M76:M78" si="88">IF(AND(ISNUMBER(J76),ISNUMBER(K76),ISNUMBER(L76)),SUM(J76:L76), "")</f>
        <v/>
      </c>
      <c r="N76" s="792"/>
      <c r="O76" s="318"/>
      <c r="P76" s="318"/>
      <c r="Q76" s="318"/>
      <c r="R76" s="318"/>
      <c r="S76" s="318"/>
      <c r="T76" s="318"/>
      <c r="U76" s="318"/>
      <c r="V76" s="318"/>
      <c r="W76" s="580" t="str">
        <f>IF(AND(ISNUMBER(R76),ISNUMBER(S76),ISNUMBER(V76)),SUM(R76,S76,V76),"")</f>
        <v/>
      </c>
      <c r="X76" s="318"/>
      <c r="Y76" s="318"/>
      <c r="Z76" s="318"/>
      <c r="AA76" s="209" t="str">
        <f t="shared" ref="AA76:AA78" si="89">IF(AND(ISNUMBER(X76),ISNUMBER(Y76),ISNUMBER(Z76)),SUM(X76:Z76), "")</f>
        <v/>
      </c>
      <c r="AB76" s="907" t="str">
        <f t="shared" si="8"/>
        <v/>
      </c>
      <c r="AC76" s="560" t="str">
        <f>IF(ISNUMBER(AB76),IF(AND(AB76&gt;=(Parameters!F328*0.95), AB76&lt;=(Parameters!F328*1.05)), "Pass", "Fail (RW≠" &amp; Parameters!F328*100 &amp; "%)"),"")</f>
        <v/>
      </c>
      <c r="AD76" s="318"/>
      <c r="AE76" s="318"/>
      <c r="AF76" s="318"/>
      <c r="AG76" s="208"/>
      <c r="AH76" s="208"/>
      <c r="AI76" s="2251" t="str">
        <f t="shared" ref="AI76:AI78" si="90">IF(AND(ISNUMBER(AF76),ISNUMBER(AG76),ISNUMBER(AJ76)),AF76-AG76+AJ76,"")</f>
        <v/>
      </c>
      <c r="AJ76" s="318"/>
      <c r="AK76" s="208"/>
      <c r="AL76" s="2246"/>
    </row>
    <row r="77" spans="2:38" ht="15" customHeight="1" x14ac:dyDescent="0.25">
      <c r="B77" s="615" t="s">
        <v>803</v>
      </c>
      <c r="C77" s="481"/>
      <c r="D77" s="318"/>
      <c r="E77" s="318"/>
      <c r="F77" s="318"/>
      <c r="G77" s="318"/>
      <c r="H77" s="318"/>
      <c r="I77" s="580" t="str">
        <f t="shared" si="87"/>
        <v/>
      </c>
      <c r="J77" s="318"/>
      <c r="K77" s="318"/>
      <c r="L77" s="318"/>
      <c r="M77" s="580" t="str">
        <f t="shared" si="88"/>
        <v/>
      </c>
      <c r="N77" s="792"/>
      <c r="O77" s="318"/>
      <c r="P77" s="318"/>
      <c r="Q77" s="318"/>
      <c r="R77" s="318"/>
      <c r="S77" s="318"/>
      <c r="T77" s="318"/>
      <c r="U77" s="318"/>
      <c r="V77" s="318"/>
      <c r="W77" s="580" t="str">
        <f>IF(AND(ISNUMBER(R77),ISNUMBER(S77),ISNUMBER(V77)),SUM(R77,S77,V77),"")</f>
        <v/>
      </c>
      <c r="X77" s="318"/>
      <c r="Y77" s="318"/>
      <c r="Z77" s="318"/>
      <c r="AA77" s="209" t="str">
        <f t="shared" si="89"/>
        <v/>
      </c>
      <c r="AB77" s="907" t="str">
        <f t="shared" si="8"/>
        <v/>
      </c>
      <c r="AC77" s="560" t="str">
        <f>IF(ISNUMBER(AB77),IF(AND(AB77&gt;=(Parameters!F329*0.95), AB77&lt;=(Parameters!F329*1.05)), "Pass", "Fail (RW≠" &amp; Parameters!F329*100 &amp; "%)"),"")</f>
        <v/>
      </c>
      <c r="AD77" s="318"/>
      <c r="AE77" s="318"/>
      <c r="AF77" s="318"/>
      <c r="AG77" s="208"/>
      <c r="AH77" s="208"/>
      <c r="AI77" s="2251" t="str">
        <f t="shared" si="90"/>
        <v/>
      </c>
      <c r="AJ77" s="318"/>
      <c r="AK77" s="208"/>
      <c r="AL77" s="2246"/>
    </row>
    <row r="78" spans="2:38" ht="15" customHeight="1" x14ac:dyDescent="0.25">
      <c r="B78" s="267" t="s">
        <v>663</v>
      </c>
      <c r="C78" s="481"/>
      <c r="D78" s="318"/>
      <c r="E78" s="318"/>
      <c r="F78" s="318"/>
      <c r="G78" s="318"/>
      <c r="H78" s="318"/>
      <c r="I78" s="580" t="str">
        <f t="shared" si="87"/>
        <v/>
      </c>
      <c r="J78" s="318"/>
      <c r="K78" s="318"/>
      <c r="L78" s="318"/>
      <c r="M78" s="580" t="str">
        <f t="shared" si="88"/>
        <v/>
      </c>
      <c r="N78" s="792"/>
      <c r="O78" s="318"/>
      <c r="P78" s="318"/>
      <c r="Q78" s="318"/>
      <c r="R78" s="318"/>
      <c r="S78" s="318"/>
      <c r="T78" s="318"/>
      <c r="U78" s="318"/>
      <c r="V78" s="318"/>
      <c r="W78" s="580" t="str">
        <f>IF(AND(ISNUMBER(R78),ISNUMBER(S78),ISNUMBER(V78)),SUM(R78,S78,V78),"")</f>
        <v/>
      </c>
      <c r="X78" s="318"/>
      <c r="Y78" s="318"/>
      <c r="Z78" s="318"/>
      <c r="AA78" s="209" t="str">
        <f t="shared" si="89"/>
        <v/>
      </c>
      <c r="AB78" s="907" t="str">
        <f t="shared" si="8"/>
        <v/>
      </c>
      <c r="AC78" s="560" t="str">
        <f>IF(ISNUMBER(AB78),IF(AND(AB78&gt;=(Parameters!F330*0.95), AB78&lt;=(Parameters!F330*1.05)), "Pass", "Fail (RW≠" &amp; Parameters!F330*100 &amp; "%)"),"")</f>
        <v/>
      </c>
      <c r="AD78" s="318"/>
      <c r="AE78" s="318"/>
      <c r="AF78" s="318"/>
      <c r="AG78" s="208"/>
      <c r="AH78" s="208"/>
      <c r="AI78" s="2251" t="str">
        <f t="shared" si="90"/>
        <v/>
      </c>
      <c r="AJ78" s="318"/>
      <c r="AK78" s="208"/>
      <c r="AL78" s="2246"/>
    </row>
    <row r="79" spans="2:38" ht="15" customHeight="1" x14ac:dyDescent="0.25">
      <c r="B79" s="267" t="s">
        <v>804</v>
      </c>
      <c r="C79" s="580" t="str">
        <f t="shared" ref="C79:N79" si="91">IF(AND(OR(ISNUMBER(C80), $D$6="No"), ISNUMBER(C81), ISNUMBER(C85), ISNUMBER(C86)), SUM(C80,C81,C85,C86), "")</f>
        <v/>
      </c>
      <c r="D79" s="580" t="str">
        <f t="shared" si="91"/>
        <v/>
      </c>
      <c r="E79" s="580" t="str">
        <f t="shared" si="91"/>
        <v/>
      </c>
      <c r="F79" s="580" t="str">
        <f t="shared" si="91"/>
        <v/>
      </c>
      <c r="G79" s="580" t="str">
        <f t="shared" si="91"/>
        <v/>
      </c>
      <c r="H79" s="580" t="str">
        <f t="shared" si="91"/>
        <v/>
      </c>
      <c r="I79" s="580" t="str">
        <f t="shared" si="91"/>
        <v/>
      </c>
      <c r="J79" s="580" t="str">
        <f t="shared" si="91"/>
        <v/>
      </c>
      <c r="K79" s="580" t="str">
        <f t="shared" si="91"/>
        <v/>
      </c>
      <c r="L79" s="580" t="str">
        <f t="shared" si="91"/>
        <v/>
      </c>
      <c r="M79" s="580" t="str">
        <f t="shared" si="91"/>
        <v/>
      </c>
      <c r="N79" s="580" t="str">
        <f t="shared" si="91"/>
        <v/>
      </c>
      <c r="O79" s="318"/>
      <c r="P79" s="318"/>
      <c r="Q79" s="580" t="str">
        <f t="shared" ref="Q79:AA79" si="92">IF(AND(OR(ISNUMBER(Q80), $D$6="No"), ISNUMBER(Q81), ISNUMBER(Q85), ISNUMBER(Q86)), SUM(Q80,Q81,Q85,Q86), "")</f>
        <v/>
      </c>
      <c r="R79" s="580" t="str">
        <f t="shared" si="92"/>
        <v/>
      </c>
      <c r="S79" s="580" t="str">
        <f t="shared" si="92"/>
        <v/>
      </c>
      <c r="T79" s="580" t="str">
        <f t="shared" si="92"/>
        <v/>
      </c>
      <c r="U79" s="580" t="str">
        <f t="shared" si="92"/>
        <v/>
      </c>
      <c r="V79" s="580" t="str">
        <f t="shared" si="92"/>
        <v/>
      </c>
      <c r="W79" s="580" t="str">
        <f t="shared" si="92"/>
        <v/>
      </c>
      <c r="X79" s="580" t="str">
        <f t="shared" si="92"/>
        <v/>
      </c>
      <c r="Y79" s="580" t="str">
        <f t="shared" si="92"/>
        <v/>
      </c>
      <c r="Z79" s="580" t="str">
        <f t="shared" si="92"/>
        <v/>
      </c>
      <c r="AA79" s="209" t="str">
        <f t="shared" si="92"/>
        <v/>
      </c>
      <c r="AB79" s="907" t="str">
        <f t="shared" si="8"/>
        <v/>
      </c>
      <c r="AC79" s="502"/>
      <c r="AD79" s="580" t="str">
        <f>IF(AND(OR(ISNUMBER(AD80), $D$6="No"), ISNUMBER(AD81), ISNUMBER(AD85), ISNUMBER(AD86)), SUM(AD80,AD81,AD85,AD86), "")</f>
        <v/>
      </c>
      <c r="AE79" s="580" t="str">
        <f>IF(AND(OR(ISNUMBER(AE80), $D$6="No"), ISNUMBER(AE81), ISNUMBER(AE85), ISNUMBER(AE86)), SUM(AE80,AE81,AE85,AE86), "")</f>
        <v/>
      </c>
      <c r="AF79" s="580" t="str">
        <f>IF(AND(OR(ISNUMBER(AF80), $D$6="No"), ISNUMBER(AF81), ISNUMBER(AF85), ISNUMBER(AF86)), SUM(AF80,AF81,AF85,AF86), "")</f>
        <v/>
      </c>
      <c r="AG79" s="580" t="str">
        <f>IF(AND(OR(ISNUMBER(AG80), $D$6="No"), ISNUMBER(AG81), ISNUMBER(AG85), ISNUMBER(AG86)), SUM(AG80,AG81,AG85,AG86), "")</f>
        <v/>
      </c>
      <c r="AH79" s="209" t="str">
        <f>IF(AND(OR(ISNUMBER(AH80), $D$6="No"), ISNUMBER(AH81), ISNUMBER(AH85), ISNUMBER(AH86)), SUM(AH80,AH81,AH85,AH86), "")</f>
        <v/>
      </c>
      <c r="AI79" s="2251" t="str">
        <f t="shared" ref="AI79:AK79" si="93">IF(AND(OR(ISNUMBER(AI80), $C$6="No"), ISNUMBER(AI81), ISNUMBER(AI85), ISNUMBER(AI86)), SUM(AI80,AI81,AI85,AI86), "")</f>
        <v/>
      </c>
      <c r="AJ79" s="580" t="str">
        <f t="shared" si="93"/>
        <v/>
      </c>
      <c r="AK79" s="209" t="str">
        <f t="shared" si="93"/>
        <v/>
      </c>
      <c r="AL79" s="2246"/>
    </row>
    <row r="80" spans="2:38" ht="15" customHeight="1" x14ac:dyDescent="0.25">
      <c r="B80" s="240" t="s">
        <v>805</v>
      </c>
      <c r="C80" s="481"/>
      <c r="D80" s="318"/>
      <c r="E80" s="318"/>
      <c r="F80" s="318"/>
      <c r="G80" s="318"/>
      <c r="H80" s="318"/>
      <c r="I80" s="580" t="str">
        <f>IF(AND(ISNUMBER(D80),ISNUMBER(E80),ISNUMBER(H80)),SUM(D80,E80,H80),"")</f>
        <v/>
      </c>
      <c r="J80" s="318"/>
      <c r="K80" s="318"/>
      <c r="L80" s="318"/>
      <c r="M80" s="580" t="str">
        <f>IF(AND(ISNUMBER(J80),ISNUMBER(K80),ISNUMBER(L80)),SUM(J80:L80), "")</f>
        <v/>
      </c>
      <c r="N80" s="792"/>
      <c r="O80" s="318"/>
      <c r="P80" s="318"/>
      <c r="Q80" s="318"/>
      <c r="R80" s="318"/>
      <c r="S80" s="318"/>
      <c r="T80" s="318"/>
      <c r="U80" s="318"/>
      <c r="V80" s="318"/>
      <c r="W80" s="580" t="str">
        <f>IF(AND(ISNUMBER(R80),ISNUMBER(S80),ISNUMBER(V80)),SUM(R80,S80,V80),"")</f>
        <v/>
      </c>
      <c r="X80" s="318"/>
      <c r="Y80" s="318"/>
      <c r="Z80" s="318"/>
      <c r="AA80" s="209" t="str">
        <f>IF(AND(ISNUMBER(X80),ISNUMBER(Y80),ISNUMBER(Z80)),SUM(X80:Z80), "")</f>
        <v/>
      </c>
      <c r="AB80" s="907" t="str">
        <f t="shared" si="8"/>
        <v/>
      </c>
      <c r="AC80" s="502"/>
      <c r="AD80" s="318"/>
      <c r="AE80" s="318"/>
      <c r="AF80" s="318"/>
      <c r="AG80" s="208"/>
      <c r="AH80" s="208"/>
      <c r="AI80" s="2251" t="str">
        <f t="shared" ref="AI80" si="94">IF(AND(ISNUMBER(AF80),ISNUMBER(AG80),ISNUMBER(AJ80)),AF80-AG80+AJ80,"")</f>
        <v/>
      </c>
      <c r="AJ80" s="318"/>
      <c r="AK80" s="208"/>
      <c r="AL80" s="2246"/>
    </row>
    <row r="81" spans="2:38" ht="15" customHeight="1" x14ac:dyDescent="0.25">
      <c r="B81" s="240" t="s">
        <v>810</v>
      </c>
      <c r="C81" s="580" t="str">
        <f>IF(AND(ISNUMBER(C82),ISNUMBER(C83),ISNUMBER(C84)),SUM(C82:C84),"")</f>
        <v/>
      </c>
      <c r="D81" s="580" t="str">
        <f t="shared" ref="D81:I81" si="95">IF(AND(ISNUMBER(D82),ISNUMBER(D83),ISNUMBER(D84)),SUM(D82:D84),"")</f>
        <v/>
      </c>
      <c r="E81" s="580" t="str">
        <f t="shared" si="95"/>
        <v/>
      </c>
      <c r="F81" s="580" t="str">
        <f t="shared" si="95"/>
        <v/>
      </c>
      <c r="G81" s="580" t="str">
        <f t="shared" si="95"/>
        <v/>
      </c>
      <c r="H81" s="580" t="str">
        <f t="shared" si="95"/>
        <v/>
      </c>
      <c r="I81" s="580" t="str">
        <f t="shared" si="95"/>
        <v/>
      </c>
      <c r="J81" s="580" t="str">
        <f t="shared" ref="J81:K81" si="96">IF(AND(ISNUMBER(J82),ISNUMBER(J83),ISNUMBER(J84)),SUM(J82:J84),"")</f>
        <v/>
      </c>
      <c r="K81" s="580" t="str">
        <f t="shared" si="96"/>
        <v/>
      </c>
      <c r="L81" s="580" t="str">
        <f t="shared" ref="L81" si="97">IF(AND(ISNUMBER(L82),ISNUMBER(L83),ISNUMBER(L84)),SUM(L82:L84),"")</f>
        <v/>
      </c>
      <c r="M81" s="580" t="str">
        <f>IF(AND(ISNUMBER(M82),ISNUMBER(M83),ISNUMBER(M84)),SUM(M82:M84),"")</f>
        <v/>
      </c>
      <c r="N81" s="580" t="str">
        <f>IF(AND(ISNUMBER(N82),ISNUMBER(N83),ISNUMBER(N84)),SUM(N82:N84),"")</f>
        <v/>
      </c>
      <c r="O81" s="318"/>
      <c r="P81" s="318"/>
      <c r="Q81" s="580" t="str">
        <f t="shared" ref="Q81:V81" si="98">IF(AND(ISNUMBER(Q82),ISNUMBER(Q83),ISNUMBER(Q84)),SUM(Q82:Q84),"")</f>
        <v/>
      </c>
      <c r="R81" s="580" t="str">
        <f t="shared" si="98"/>
        <v/>
      </c>
      <c r="S81" s="580" t="str">
        <f t="shared" si="98"/>
        <v/>
      </c>
      <c r="T81" s="580" t="str">
        <f t="shared" si="98"/>
        <v/>
      </c>
      <c r="U81" s="580" t="str">
        <f t="shared" si="98"/>
        <v/>
      </c>
      <c r="V81" s="580" t="str">
        <f t="shared" si="98"/>
        <v/>
      </c>
      <c r="W81" s="580" t="str">
        <f>IF(AND(ISNUMBER(W82),ISNUMBER(W83),ISNUMBER(W84)), SUM(W82,W83,W84),"")</f>
        <v/>
      </c>
      <c r="X81" s="580" t="str">
        <f>IF(AND(ISNUMBER(X82),ISNUMBER(X83),ISNUMBER(X84)), SUM(X82,X83,X84),"")</f>
        <v/>
      </c>
      <c r="Y81" s="580" t="str">
        <f>IF(AND(ISNUMBER(Y82),ISNUMBER(Y83),ISNUMBER(Y84)), SUM(Y82,Y83,Y84),"")</f>
        <v/>
      </c>
      <c r="Z81" s="580" t="str">
        <f>IF(AND(ISNUMBER(Z82),ISNUMBER(Z83),ISNUMBER(Z84)), SUM(Z82,Z83,Z84),"")</f>
        <v/>
      </c>
      <c r="AA81" s="209" t="str">
        <f>IF(AND(ISNUMBER(AA82),ISNUMBER(AA83),ISNUMBER(AA84)), SUM(AA82,AA83,AA84),"")</f>
        <v/>
      </c>
      <c r="AB81" s="907" t="str">
        <f t="shared" si="8"/>
        <v/>
      </c>
      <c r="AC81" s="502"/>
      <c r="AD81" s="580" t="str">
        <f t="shared" ref="AD81" si="99">IF(AND(ISNUMBER(AD82),ISNUMBER(AD83),ISNUMBER(AD84)),SUM(AD82:AD84),"")</f>
        <v/>
      </c>
      <c r="AE81" s="580" t="str">
        <f>IF(AND(ISNUMBER(AE82),ISNUMBER(AE83),ISNUMBER(AE84)),SUM(AE82:AE84),"")</f>
        <v/>
      </c>
      <c r="AF81" s="580" t="str">
        <f t="shared" ref="AF81:AK81" si="100">IF(AND(ISNUMBER(AF82),ISNUMBER(AF83),ISNUMBER(AF84)),SUM(AF82:AF84),"")</f>
        <v/>
      </c>
      <c r="AG81" s="580" t="str">
        <f t="shared" si="100"/>
        <v/>
      </c>
      <c r="AH81" s="209" t="str">
        <f t="shared" si="100"/>
        <v/>
      </c>
      <c r="AI81" s="2251" t="str">
        <f t="shared" si="100"/>
        <v/>
      </c>
      <c r="AJ81" s="580" t="str">
        <f t="shared" si="100"/>
        <v/>
      </c>
      <c r="AK81" s="209" t="str">
        <f t="shared" si="100"/>
        <v/>
      </c>
      <c r="AL81" s="2246"/>
    </row>
    <row r="82" spans="2:38" ht="15" customHeight="1" x14ac:dyDescent="0.25">
      <c r="B82" s="617" t="s">
        <v>806</v>
      </c>
      <c r="C82" s="481"/>
      <c r="D82" s="318"/>
      <c r="E82" s="318"/>
      <c r="F82" s="318"/>
      <c r="G82" s="318"/>
      <c r="H82" s="318"/>
      <c r="I82" s="580" t="str">
        <f t="shared" ref="I82:I86" si="101">IF(AND(ISNUMBER(D82),ISNUMBER(E82),ISNUMBER(H82)),SUM(D82,E82,H82),"")</f>
        <v/>
      </c>
      <c r="J82" s="318"/>
      <c r="K82" s="318"/>
      <c r="L82" s="318"/>
      <c r="M82" s="580" t="str">
        <f t="shared" ref="M82:M86" si="102">IF(AND(ISNUMBER(J82),ISNUMBER(K82),ISNUMBER(L82)),SUM(J82:L82), "")</f>
        <v/>
      </c>
      <c r="N82" s="792"/>
      <c r="O82" s="318"/>
      <c r="P82" s="318"/>
      <c r="Q82" s="318"/>
      <c r="R82" s="318"/>
      <c r="S82" s="318"/>
      <c r="T82" s="318"/>
      <c r="U82" s="318"/>
      <c r="V82" s="318"/>
      <c r="W82" s="580" t="str">
        <f>IF(AND(ISNUMBER(R82),ISNUMBER(S82),ISNUMBER(V82)),SUM(R82,S82,V82),"")</f>
        <v/>
      </c>
      <c r="X82" s="318"/>
      <c r="Y82" s="318"/>
      <c r="Z82" s="318"/>
      <c r="AA82" s="209" t="str">
        <f t="shared" ref="AA82:AA86" si="103">IF(AND(ISNUMBER(X82),ISNUMBER(Y82),ISNUMBER(Z82)),SUM(X82:Z82), "")</f>
        <v/>
      </c>
      <c r="AB82" s="907" t="str">
        <f t="shared" si="8"/>
        <v/>
      </c>
      <c r="AC82" s="560" t="str">
        <f>IF(ISNUMBER(AB82),IF(AND(AB82&gt;=(Parameters!F334*0.95), AB82&lt;=(Parameters!F334*1.05)), "Pass", "Fail (RW≠" &amp; Parameters!F334*100 &amp; "%)"),"")</f>
        <v/>
      </c>
      <c r="AD82" s="318"/>
      <c r="AE82" s="318"/>
      <c r="AF82" s="318"/>
      <c r="AG82" s="208"/>
      <c r="AH82" s="208"/>
      <c r="AI82" s="2251" t="str">
        <f t="shared" ref="AI82:AI86" si="104">IF(AND(ISNUMBER(AF82),ISNUMBER(AG82),ISNUMBER(AJ82)),AF82-AG82+AJ82,"")</f>
        <v/>
      </c>
      <c r="AJ82" s="318"/>
      <c r="AK82" s="208"/>
      <c r="AL82" s="2246"/>
    </row>
    <row r="83" spans="2:38" ht="15" customHeight="1" x14ac:dyDescent="0.25">
      <c r="B83" s="617" t="s">
        <v>807</v>
      </c>
      <c r="C83" s="481"/>
      <c r="D83" s="318"/>
      <c r="E83" s="318"/>
      <c r="F83" s="318"/>
      <c r="G83" s="318"/>
      <c r="H83" s="318"/>
      <c r="I83" s="580" t="str">
        <f t="shared" si="101"/>
        <v/>
      </c>
      <c r="J83" s="318"/>
      <c r="K83" s="318"/>
      <c r="L83" s="318"/>
      <c r="M83" s="580" t="str">
        <f t="shared" si="102"/>
        <v/>
      </c>
      <c r="N83" s="792"/>
      <c r="O83" s="318"/>
      <c r="P83" s="318"/>
      <c r="Q83" s="318"/>
      <c r="R83" s="318"/>
      <c r="S83" s="318"/>
      <c r="T83" s="318"/>
      <c r="U83" s="318"/>
      <c r="V83" s="318"/>
      <c r="W83" s="580" t="str">
        <f>IF(AND(ISNUMBER(R83),ISNUMBER(S83),ISNUMBER(V83)),SUM(R83,S83,V83),"")</f>
        <v/>
      </c>
      <c r="X83" s="318"/>
      <c r="Y83" s="318"/>
      <c r="Z83" s="318"/>
      <c r="AA83" s="209" t="str">
        <f t="shared" si="103"/>
        <v/>
      </c>
      <c r="AB83" s="907" t="str">
        <f t="shared" si="8"/>
        <v/>
      </c>
      <c r="AC83" s="560" t="str">
        <f>IF(ISNUMBER(AB83),IF(AND(AB83&gt;=(Parameters!F335*0.95), AB83&lt;=(Parameters!F335*1.05)), "Pass", "Fail (RW≠" &amp; Parameters!F335*100 &amp; "%)"),"")</f>
        <v/>
      </c>
      <c r="AD83" s="318"/>
      <c r="AE83" s="318"/>
      <c r="AF83" s="318"/>
      <c r="AG83" s="208"/>
      <c r="AH83" s="208"/>
      <c r="AI83" s="2251" t="str">
        <f t="shared" si="104"/>
        <v/>
      </c>
      <c r="AJ83" s="318"/>
      <c r="AK83" s="208"/>
      <c r="AL83" s="2246"/>
    </row>
    <row r="84" spans="2:38" ht="15" customHeight="1" x14ac:dyDescent="0.25">
      <c r="B84" s="615" t="s">
        <v>808</v>
      </c>
      <c r="C84" s="481"/>
      <c r="D84" s="318"/>
      <c r="E84" s="318"/>
      <c r="F84" s="318"/>
      <c r="G84" s="318"/>
      <c r="H84" s="318"/>
      <c r="I84" s="580" t="str">
        <f t="shared" si="101"/>
        <v/>
      </c>
      <c r="J84" s="318"/>
      <c r="K84" s="318"/>
      <c r="L84" s="318"/>
      <c r="M84" s="580" t="str">
        <f t="shared" si="102"/>
        <v/>
      </c>
      <c r="N84" s="792"/>
      <c r="O84" s="318"/>
      <c r="P84" s="318"/>
      <c r="Q84" s="318"/>
      <c r="R84" s="318"/>
      <c r="S84" s="318"/>
      <c r="T84" s="318"/>
      <c r="U84" s="318"/>
      <c r="V84" s="318"/>
      <c r="W84" s="580" t="str">
        <f>IF(AND(ISNUMBER(R84),ISNUMBER(S84),ISNUMBER(V84)),SUM(R84,S84,V84),"")</f>
        <v/>
      </c>
      <c r="X84" s="318"/>
      <c r="Y84" s="318"/>
      <c r="Z84" s="318"/>
      <c r="AA84" s="209" t="str">
        <f t="shared" si="103"/>
        <v/>
      </c>
      <c r="AB84" s="907" t="str">
        <f t="shared" si="8"/>
        <v/>
      </c>
      <c r="AC84" s="560" t="str">
        <f>IF(ISNUMBER(AB84),IF(AND(AB84&gt;=(Parameters!F336*0.95), AB84&lt;=(Parameters!F336*1.05)), "Pass", "Fail (RW≠" &amp; Parameters!F336*100 &amp; "%)"),"")</f>
        <v/>
      </c>
      <c r="AD84" s="318"/>
      <c r="AE84" s="318"/>
      <c r="AF84" s="318"/>
      <c r="AG84" s="208"/>
      <c r="AH84" s="208"/>
      <c r="AI84" s="2251" t="str">
        <f t="shared" si="104"/>
        <v/>
      </c>
      <c r="AJ84" s="318"/>
      <c r="AK84" s="208"/>
      <c r="AL84" s="2246"/>
    </row>
    <row r="85" spans="2:38" ht="15" customHeight="1" x14ac:dyDescent="0.25">
      <c r="B85" s="240" t="s">
        <v>809</v>
      </c>
      <c r="C85" s="481"/>
      <c r="D85" s="318"/>
      <c r="E85" s="318"/>
      <c r="F85" s="318"/>
      <c r="G85" s="318"/>
      <c r="H85" s="318"/>
      <c r="I85" s="580" t="str">
        <f t="shared" si="101"/>
        <v/>
      </c>
      <c r="J85" s="318"/>
      <c r="K85" s="318"/>
      <c r="L85" s="318"/>
      <c r="M85" s="580" t="str">
        <f t="shared" si="102"/>
        <v/>
      </c>
      <c r="N85" s="792"/>
      <c r="O85" s="318"/>
      <c r="P85" s="318"/>
      <c r="Q85" s="318"/>
      <c r="R85" s="318"/>
      <c r="S85" s="318"/>
      <c r="T85" s="318"/>
      <c r="U85" s="318"/>
      <c r="V85" s="318"/>
      <c r="W85" s="580" t="str">
        <f>IF(AND(ISNUMBER(R85),ISNUMBER(S85),ISNUMBER(V85)),SUM(R85,S85,V85),"")</f>
        <v/>
      </c>
      <c r="X85" s="318"/>
      <c r="Y85" s="318"/>
      <c r="Z85" s="318"/>
      <c r="AA85" s="209" t="str">
        <f t="shared" si="103"/>
        <v/>
      </c>
      <c r="AB85" s="907" t="str">
        <f t="shared" si="8"/>
        <v/>
      </c>
      <c r="AC85" s="560" t="str">
        <f>IF(ISNUMBER(AB85),IF(AND(AB85&gt;=(Parameters!F337*0.95), AB85&lt;=(Parameters!F337*1.05)), "Pass", "Fail (RW≠" &amp; Parameters!F337*100 &amp; "%)"),"")</f>
        <v/>
      </c>
      <c r="AD85" s="318"/>
      <c r="AE85" s="318"/>
      <c r="AF85" s="318"/>
      <c r="AG85" s="208"/>
      <c r="AH85" s="208"/>
      <c r="AI85" s="2251" t="str">
        <f t="shared" si="104"/>
        <v/>
      </c>
      <c r="AJ85" s="318"/>
      <c r="AK85" s="208"/>
      <c r="AL85" s="2246"/>
    </row>
    <row r="86" spans="2:38" ht="15" customHeight="1" x14ac:dyDescent="0.25">
      <c r="B86" s="240" t="s">
        <v>811</v>
      </c>
      <c r="C86" s="481"/>
      <c r="D86" s="318"/>
      <c r="E86" s="318"/>
      <c r="F86" s="318"/>
      <c r="G86" s="318"/>
      <c r="H86" s="318"/>
      <c r="I86" s="580" t="str">
        <f t="shared" si="101"/>
        <v/>
      </c>
      <c r="J86" s="318"/>
      <c r="K86" s="318"/>
      <c r="L86" s="318"/>
      <c r="M86" s="580" t="str">
        <f t="shared" si="102"/>
        <v/>
      </c>
      <c r="N86" s="792"/>
      <c r="O86" s="318"/>
      <c r="P86" s="318"/>
      <c r="Q86" s="318"/>
      <c r="R86" s="318"/>
      <c r="S86" s="318"/>
      <c r="T86" s="318"/>
      <c r="U86" s="318"/>
      <c r="V86" s="318"/>
      <c r="W86" s="580" t="str">
        <f>IF(AND(ISNUMBER(R86),ISNUMBER(S86),ISNUMBER(V86)),SUM(R86,S86,V86),"")</f>
        <v/>
      </c>
      <c r="X86" s="318"/>
      <c r="Y86" s="318"/>
      <c r="Z86" s="318"/>
      <c r="AA86" s="209" t="str">
        <f t="shared" si="103"/>
        <v/>
      </c>
      <c r="AB86" s="907" t="str">
        <f t="shared" si="8"/>
        <v/>
      </c>
      <c r="AC86" s="560" t="str">
        <f>IF(ISNUMBER(AB86),IF(AND(AB86&gt;=(Parameters!F338*0.95), AB86&lt;=(Parameters!F338*1.05)), "Pass", "Fail (RW≠" &amp; Parameters!F338*100 &amp; "%)"),"")</f>
        <v/>
      </c>
      <c r="AD86" s="318"/>
      <c r="AE86" s="318"/>
      <c r="AF86" s="318"/>
      <c r="AG86" s="208"/>
      <c r="AH86" s="208"/>
      <c r="AI86" s="2251" t="str">
        <f t="shared" si="104"/>
        <v/>
      </c>
      <c r="AJ86" s="318"/>
      <c r="AK86" s="208"/>
      <c r="AL86" s="2246"/>
    </row>
    <row r="87" spans="2:38" ht="15" customHeight="1" x14ac:dyDescent="0.25">
      <c r="B87" s="519" t="s">
        <v>812</v>
      </c>
      <c r="C87" s="580" t="str">
        <f t="shared" ref="C87:D87" si="105">IF(AND(ISNUMBER(C88),ISNUMBER(C89),ISNUMBER(C90)),SUM(C88:C90),"")</f>
        <v/>
      </c>
      <c r="D87" s="580" t="str">
        <f t="shared" si="105"/>
        <v/>
      </c>
      <c r="E87" s="580" t="str">
        <f t="shared" ref="E87:I87" si="106">IF(AND(ISNUMBER(E88),ISNUMBER(E89),ISNUMBER(E90)),SUM(E88:E90),"")</f>
        <v/>
      </c>
      <c r="F87" s="580" t="str">
        <f t="shared" si="106"/>
        <v/>
      </c>
      <c r="G87" s="580" t="str">
        <f t="shared" si="106"/>
        <v/>
      </c>
      <c r="H87" s="580" t="str">
        <f t="shared" si="106"/>
        <v/>
      </c>
      <c r="I87" s="580" t="str">
        <f t="shared" si="106"/>
        <v/>
      </c>
      <c r="J87" s="580" t="str">
        <f t="shared" ref="J87:K87" si="107">IF(AND(ISNUMBER(J88),ISNUMBER(J89),ISNUMBER(J90)),SUM(J88:J90),"")</f>
        <v/>
      </c>
      <c r="K87" s="580" t="str">
        <f t="shared" si="107"/>
        <v/>
      </c>
      <c r="L87" s="580" t="str">
        <f t="shared" ref="L87" si="108">IF(AND(ISNUMBER(L88),ISNUMBER(L89),ISNUMBER(L90)),SUM(L88:L90),"")</f>
        <v/>
      </c>
      <c r="M87" s="580" t="str">
        <f>IF(AND(ISNUMBER(M88),ISNUMBER(M89),ISNUMBER(M90)),SUM(M88:M90),"")</f>
        <v/>
      </c>
      <c r="N87" s="580" t="str">
        <f>IF(AND(ISNUMBER(N88),ISNUMBER(N89),ISNUMBER(N90)),SUM(N88:N90),"")</f>
        <v/>
      </c>
      <c r="O87" s="318"/>
      <c r="P87" s="318"/>
      <c r="Q87" s="580" t="str">
        <f t="shared" ref="Q87:V87" si="109">IF(AND(ISNUMBER(Q88),ISNUMBER(Q89),ISNUMBER(Q90)),SUM(Q88:Q90),"")</f>
        <v/>
      </c>
      <c r="R87" s="580" t="str">
        <f t="shared" si="109"/>
        <v/>
      </c>
      <c r="S87" s="580" t="str">
        <f t="shared" si="109"/>
        <v/>
      </c>
      <c r="T87" s="580" t="str">
        <f t="shared" si="109"/>
        <v/>
      </c>
      <c r="U87" s="580" t="str">
        <f t="shared" si="109"/>
        <v/>
      </c>
      <c r="V87" s="580" t="str">
        <f t="shared" si="109"/>
        <v/>
      </c>
      <c r="W87" s="580" t="str">
        <f>IF(AND(ISNUMBER(W88),ISNUMBER(W89),ISNUMBER(W90)),SUM(W88:W90),"")</f>
        <v/>
      </c>
      <c r="X87" s="580" t="str">
        <f>IF(AND(ISNUMBER(X88),ISNUMBER(X89),ISNUMBER(X90)),SUM(X88:X90),"")</f>
        <v/>
      </c>
      <c r="Y87" s="580" t="str">
        <f>IF(AND(ISNUMBER(Y88),ISNUMBER(Y89),ISNUMBER(Y90)),SUM(Y88:Y90),"")</f>
        <v/>
      </c>
      <c r="Z87" s="580" t="str">
        <f>IF(AND(ISNUMBER(Z88),ISNUMBER(Z89),ISNUMBER(Z90)),SUM(Z88:Z90),"")</f>
        <v/>
      </c>
      <c r="AA87" s="209" t="str">
        <f>IF(AND(ISNUMBER(AA88),ISNUMBER(AA89),ISNUMBER(AA90)),SUM(AA88:AA90),"")</f>
        <v/>
      </c>
      <c r="AB87" s="907" t="str">
        <f t="shared" ref="AB87:AB143" si="110">IF(AND(ISNUMBER(W87), ISNUMBER(AA87)),IF(W87&lt;&gt;0,(AA87/W87),""),"")</f>
        <v/>
      </c>
      <c r="AC87" s="502"/>
      <c r="AD87" s="580" t="str">
        <f t="shared" ref="AD87" si="111">IF(AND(ISNUMBER(AD88),ISNUMBER(AD89),ISNUMBER(AD90)),SUM(AD88:AD90),"")</f>
        <v/>
      </c>
      <c r="AE87" s="580" t="str">
        <f>IF(AND(ISNUMBER(AE88),ISNUMBER(AE89),ISNUMBER(AE90)),SUM(AE88:AE90),"")</f>
        <v/>
      </c>
      <c r="AF87" s="580" t="str">
        <f t="shared" ref="AF87:AK87" si="112">IF(AND(ISNUMBER(AF88),ISNUMBER(AF89),ISNUMBER(AF90)),SUM(AF88:AF90),"")</f>
        <v/>
      </c>
      <c r="AG87" s="580" t="str">
        <f t="shared" si="112"/>
        <v/>
      </c>
      <c r="AH87" s="209" t="str">
        <f t="shared" si="112"/>
        <v/>
      </c>
      <c r="AI87" s="2251" t="str">
        <f t="shared" si="112"/>
        <v/>
      </c>
      <c r="AJ87" s="580" t="str">
        <f>IF(AND(ISNUMBER(AJ88),ISNUMBER(AJ89),ISNUMBER(AJ90)),SUM(AJ88:AJ90),"")</f>
        <v/>
      </c>
      <c r="AK87" s="209" t="str">
        <f t="shared" si="112"/>
        <v/>
      </c>
      <c r="AL87" s="2246"/>
    </row>
    <row r="88" spans="2:38" ht="15" customHeight="1" x14ac:dyDescent="0.25">
      <c r="B88" s="336" t="s">
        <v>813</v>
      </c>
      <c r="C88" s="481"/>
      <c r="D88" s="318"/>
      <c r="E88" s="318"/>
      <c r="F88" s="318"/>
      <c r="G88" s="318"/>
      <c r="H88" s="318"/>
      <c r="I88" s="580" t="str">
        <f t="shared" ref="I88:I91" si="113">IF(AND(ISNUMBER(D88),ISNUMBER(E88),ISNUMBER(H88)),SUM(D88,E88,H88),"")</f>
        <v/>
      </c>
      <c r="J88" s="318"/>
      <c r="K88" s="318"/>
      <c r="L88" s="318"/>
      <c r="M88" s="580" t="str">
        <f t="shared" ref="M88:M91" si="114">IF(AND(ISNUMBER(J88),ISNUMBER(K88),ISNUMBER(L88)),SUM(J88:L88), "")</f>
        <v/>
      </c>
      <c r="N88" s="792"/>
      <c r="O88" s="318"/>
      <c r="P88" s="318"/>
      <c r="Q88" s="318"/>
      <c r="R88" s="318"/>
      <c r="S88" s="318"/>
      <c r="T88" s="318"/>
      <c r="U88" s="318"/>
      <c r="V88" s="318"/>
      <c r="W88" s="580" t="str">
        <f>IF(AND(ISNUMBER(R88),ISNUMBER(S88),ISNUMBER(V88)),SUM(R88,S88,V88),"")</f>
        <v/>
      </c>
      <c r="X88" s="318"/>
      <c r="Y88" s="318"/>
      <c r="Z88" s="318"/>
      <c r="AA88" s="209" t="str">
        <f t="shared" ref="AA88:AA91" si="115">IF(AND(ISNUMBER(X88),ISNUMBER(Y88),ISNUMBER(Z88)),SUM(X88:Z88), "")</f>
        <v/>
      </c>
      <c r="AB88" s="907" t="str">
        <f t="shared" si="110"/>
        <v/>
      </c>
      <c r="AC88" s="560" t="str">
        <f>IF(ISNUMBER(AB88),IF(AND(AB88&gt;=(Parameters!F340*0.95), AB88&lt;=(Parameters!F340*1.05)), "Pass", "Fail (RW≠" &amp; Parameters!F340*100 &amp; "%)"),"")</f>
        <v/>
      </c>
      <c r="AD88" s="318"/>
      <c r="AE88" s="318"/>
      <c r="AF88" s="318"/>
      <c r="AG88" s="208"/>
      <c r="AH88" s="208"/>
      <c r="AI88" s="2251" t="str">
        <f t="shared" ref="AI88:AI91" si="116">IF(AND(ISNUMBER(AF88),ISNUMBER(AG88),ISNUMBER(AJ88)),AF88-AG88+AJ88,"")</f>
        <v/>
      </c>
      <c r="AJ88" s="318"/>
      <c r="AK88" s="208"/>
      <c r="AL88" s="2246"/>
    </row>
    <row r="89" spans="2:38" ht="15" customHeight="1" x14ac:dyDescent="0.25">
      <c r="B89" s="336" t="s">
        <v>814</v>
      </c>
      <c r="C89" s="481"/>
      <c r="D89" s="318"/>
      <c r="E89" s="318"/>
      <c r="F89" s="318"/>
      <c r="G89" s="318"/>
      <c r="H89" s="318"/>
      <c r="I89" s="580" t="str">
        <f t="shared" si="113"/>
        <v/>
      </c>
      <c r="J89" s="318"/>
      <c r="K89" s="318"/>
      <c r="L89" s="318"/>
      <c r="M89" s="580" t="str">
        <f t="shared" si="114"/>
        <v/>
      </c>
      <c r="N89" s="792"/>
      <c r="O89" s="318"/>
      <c r="P89" s="318"/>
      <c r="Q89" s="318"/>
      <c r="R89" s="318"/>
      <c r="S89" s="318"/>
      <c r="T89" s="318"/>
      <c r="U89" s="318"/>
      <c r="V89" s="318"/>
      <c r="W89" s="580" t="str">
        <f>IF(AND(ISNUMBER(R89),ISNUMBER(S89),ISNUMBER(V89)),SUM(R89,S89,V89),"")</f>
        <v/>
      </c>
      <c r="X89" s="318"/>
      <c r="Y89" s="318"/>
      <c r="Z89" s="318"/>
      <c r="AA89" s="209" t="str">
        <f t="shared" si="115"/>
        <v/>
      </c>
      <c r="AB89" s="907" t="str">
        <f t="shared" si="110"/>
        <v/>
      </c>
      <c r="AC89" s="560" t="str">
        <f>IF(ISNUMBER(AB89),IF(AND(AB89&gt;=(Parameters!F341*0.95), AB89&lt;=(Parameters!F341*1.05)), "Pass", "Fail (RW≠" &amp; Parameters!F341*100 &amp; "%)"),"")</f>
        <v/>
      </c>
      <c r="AD89" s="318"/>
      <c r="AE89" s="318"/>
      <c r="AF89" s="318"/>
      <c r="AG89" s="208"/>
      <c r="AH89" s="208"/>
      <c r="AI89" s="2251" t="str">
        <f t="shared" si="116"/>
        <v/>
      </c>
      <c r="AJ89" s="318"/>
      <c r="AK89" s="208"/>
      <c r="AL89" s="2246"/>
    </row>
    <row r="90" spans="2:38" ht="15" customHeight="1" x14ac:dyDescent="0.25">
      <c r="B90" s="336" t="s">
        <v>815</v>
      </c>
      <c r="C90" s="481"/>
      <c r="D90" s="318"/>
      <c r="E90" s="318"/>
      <c r="F90" s="318"/>
      <c r="G90" s="318"/>
      <c r="H90" s="318"/>
      <c r="I90" s="580" t="str">
        <f t="shared" si="113"/>
        <v/>
      </c>
      <c r="J90" s="318"/>
      <c r="K90" s="318"/>
      <c r="L90" s="318"/>
      <c r="M90" s="580" t="str">
        <f t="shared" si="114"/>
        <v/>
      </c>
      <c r="N90" s="792"/>
      <c r="O90" s="318"/>
      <c r="P90" s="318"/>
      <c r="Q90" s="318"/>
      <c r="R90" s="318"/>
      <c r="S90" s="318"/>
      <c r="T90" s="318"/>
      <c r="U90" s="318"/>
      <c r="V90" s="318"/>
      <c r="W90" s="580" t="str">
        <f>IF(AND(ISNUMBER(R90),ISNUMBER(S90),ISNUMBER(V90)),SUM(R90,S90,V90),"")</f>
        <v/>
      </c>
      <c r="X90" s="318"/>
      <c r="Y90" s="318"/>
      <c r="Z90" s="318"/>
      <c r="AA90" s="209" t="str">
        <f t="shared" si="115"/>
        <v/>
      </c>
      <c r="AB90" s="907" t="str">
        <f t="shared" si="110"/>
        <v/>
      </c>
      <c r="AC90" s="560" t="str">
        <f>IF(ISNUMBER(AB90),IF(AND(AB90&gt;=(Parameters!F342*0.95), AB90&lt;=(Parameters!F342*1.05)), "Pass", "Fail (RW≠" &amp; Parameters!F342*100 &amp; "%)"),"")</f>
        <v/>
      </c>
      <c r="AD90" s="318"/>
      <c r="AE90" s="318"/>
      <c r="AF90" s="318"/>
      <c r="AG90" s="208"/>
      <c r="AH90" s="208"/>
      <c r="AI90" s="2251" t="str">
        <f t="shared" si="116"/>
        <v/>
      </c>
      <c r="AJ90" s="318"/>
      <c r="AK90" s="208"/>
      <c r="AL90" s="2246"/>
    </row>
    <row r="91" spans="2:38" ht="30" customHeight="1" x14ac:dyDescent="0.25">
      <c r="B91" s="2292" t="s">
        <v>954</v>
      </c>
      <c r="C91" s="481"/>
      <c r="D91" s="318"/>
      <c r="E91" s="318"/>
      <c r="F91" s="318"/>
      <c r="G91" s="318"/>
      <c r="H91" s="318"/>
      <c r="I91" s="580" t="str">
        <f t="shared" si="113"/>
        <v/>
      </c>
      <c r="J91" s="318"/>
      <c r="K91" s="318"/>
      <c r="L91" s="318"/>
      <c r="M91" s="580" t="str">
        <f t="shared" si="114"/>
        <v/>
      </c>
      <c r="N91" s="792"/>
      <c r="O91" s="318"/>
      <c r="P91" s="318"/>
      <c r="Q91" s="318"/>
      <c r="R91" s="318"/>
      <c r="S91" s="318"/>
      <c r="T91" s="318"/>
      <c r="U91" s="318"/>
      <c r="V91" s="318"/>
      <c r="W91" s="580" t="str">
        <f>IF(AND(ISNUMBER(R91),ISNUMBER(S91),ISNUMBER(V91)),SUM(R91,S91,V91),"")</f>
        <v/>
      </c>
      <c r="X91" s="318"/>
      <c r="Y91" s="318"/>
      <c r="Z91" s="318"/>
      <c r="AA91" s="209" t="str">
        <f t="shared" si="115"/>
        <v/>
      </c>
      <c r="AB91" s="907" t="str">
        <f t="shared" si="110"/>
        <v/>
      </c>
      <c r="AC91" s="502"/>
      <c r="AD91" s="318"/>
      <c r="AE91" s="318"/>
      <c r="AF91" s="318"/>
      <c r="AG91" s="208"/>
      <c r="AH91" s="208"/>
      <c r="AI91" s="2251" t="str">
        <f t="shared" si="116"/>
        <v/>
      </c>
      <c r="AJ91" s="318"/>
      <c r="AK91" s="208"/>
      <c r="AL91" s="2246"/>
    </row>
    <row r="92" spans="2:38" ht="15" customHeight="1" x14ac:dyDescent="0.25">
      <c r="B92" s="519" t="s">
        <v>816</v>
      </c>
      <c r="C92" s="580" t="str">
        <f>IF(AND(ISNUMBER(C93),ISNUMBER(C94)),SUM(C93:C94),"")</f>
        <v/>
      </c>
      <c r="D92" s="580" t="str">
        <f t="shared" ref="D92:I92" si="117">IF(AND(ISNUMBER(D93),ISNUMBER(D94)),SUM(D93:D94),"")</f>
        <v/>
      </c>
      <c r="E92" s="580" t="str">
        <f t="shared" si="117"/>
        <v/>
      </c>
      <c r="F92" s="580" t="str">
        <f t="shared" si="117"/>
        <v/>
      </c>
      <c r="G92" s="580" t="str">
        <f t="shared" si="117"/>
        <v/>
      </c>
      <c r="H92" s="580" t="str">
        <f t="shared" si="117"/>
        <v/>
      </c>
      <c r="I92" s="580" t="str">
        <f t="shared" si="117"/>
        <v/>
      </c>
      <c r="J92" s="580" t="str">
        <f t="shared" ref="J92:K92" si="118">IF(AND(ISNUMBER(J93),ISNUMBER(J94)),SUM(J93:J94),"")</f>
        <v/>
      </c>
      <c r="K92" s="580" t="str">
        <f t="shared" si="118"/>
        <v/>
      </c>
      <c r="L92" s="580" t="str">
        <f t="shared" ref="L92" si="119">IF(AND(ISNUMBER(L93),ISNUMBER(L94)),SUM(L93:L94),"")</f>
        <v/>
      </c>
      <c r="M92" s="580" t="str">
        <f>IF(AND(ISNUMBER(M93),ISNUMBER(M94)),SUM(M93:M94),"")</f>
        <v/>
      </c>
      <c r="N92" s="580" t="str">
        <f>IF(AND(ISNUMBER(N93),ISNUMBER(N94)),SUM(N93:N94),"")</f>
        <v/>
      </c>
      <c r="O92" s="318"/>
      <c r="P92" s="318"/>
      <c r="Q92" s="580" t="str">
        <f>IF(AND(ISNUMBER(Q93),ISNUMBER(Q94)),SUM(Q93:Q94),"")</f>
        <v/>
      </c>
      <c r="R92" s="580" t="str">
        <f t="shared" ref="R92:V92" si="120">IF(AND(ISNUMBER(R93),ISNUMBER(R94)),SUM(R93:R94),"")</f>
        <v/>
      </c>
      <c r="S92" s="580" t="str">
        <f t="shared" si="120"/>
        <v/>
      </c>
      <c r="T92" s="580" t="str">
        <f t="shared" si="120"/>
        <v/>
      </c>
      <c r="U92" s="580" t="str">
        <f t="shared" si="120"/>
        <v/>
      </c>
      <c r="V92" s="580" t="str">
        <f t="shared" si="120"/>
        <v/>
      </c>
      <c r="W92" s="580" t="str">
        <f>IF(AND(ISNUMBER(W93),ISNUMBER(W94)),SUM(W93:W94),"")</f>
        <v/>
      </c>
      <c r="X92" s="580" t="str">
        <f t="shared" ref="X92" si="121">IF(AND(ISNUMBER(X93),ISNUMBER(X94)),SUM(X93:X94),"")</f>
        <v/>
      </c>
      <c r="Y92" s="580" t="str">
        <f t="shared" ref="Y92:AA92" si="122">IF(AND(ISNUMBER(Y93),ISNUMBER(Y94)),SUM(Y93:Y94),"")</f>
        <v/>
      </c>
      <c r="Z92" s="580" t="str">
        <f t="shared" ref="Z92" si="123">IF(AND(ISNUMBER(Z93),ISNUMBER(Z94)),SUM(Z93:Z94),"")</f>
        <v/>
      </c>
      <c r="AA92" s="209" t="str">
        <f t="shared" si="122"/>
        <v/>
      </c>
      <c r="AB92" s="907" t="str">
        <f t="shared" si="110"/>
        <v/>
      </c>
      <c r="AC92" s="502"/>
      <c r="AD92" s="580" t="str">
        <f>IF(AND(ISNUMBER(AD93),ISNUMBER(AD94)),SUM(AD93:AD94),"")</f>
        <v/>
      </c>
      <c r="AE92" s="580" t="str">
        <f>IF(AND(ISNUMBER(AE93),ISNUMBER(AE94)),SUM(AE93:AE94),"")</f>
        <v/>
      </c>
      <c r="AF92" s="580" t="str">
        <f t="shared" ref="AF92:AK92" si="124">IF(AND(ISNUMBER(AF93),ISNUMBER(AF94)),SUM(AF93:AF94),"")</f>
        <v/>
      </c>
      <c r="AG92" s="580" t="str">
        <f t="shared" si="124"/>
        <v/>
      </c>
      <c r="AH92" s="209" t="str">
        <f t="shared" si="124"/>
        <v/>
      </c>
      <c r="AI92" s="2251" t="str">
        <f t="shared" si="124"/>
        <v/>
      </c>
      <c r="AJ92" s="580" t="str">
        <f t="shared" si="124"/>
        <v/>
      </c>
      <c r="AK92" s="209" t="str">
        <f t="shared" si="124"/>
        <v/>
      </c>
      <c r="AL92" s="2246"/>
    </row>
    <row r="93" spans="2:38" ht="15" customHeight="1" x14ac:dyDescent="0.25">
      <c r="B93" s="336" t="s">
        <v>818</v>
      </c>
      <c r="C93" s="481"/>
      <c r="D93" s="318"/>
      <c r="E93" s="318"/>
      <c r="F93" s="318"/>
      <c r="G93" s="318"/>
      <c r="H93" s="318"/>
      <c r="I93" s="580" t="str">
        <f t="shared" ref="I93:I94" si="125">IF(AND(ISNUMBER(D93),ISNUMBER(E93),ISNUMBER(H93)),SUM(D93,E93,H93),"")</f>
        <v/>
      </c>
      <c r="J93" s="318"/>
      <c r="K93" s="318"/>
      <c r="L93" s="318"/>
      <c r="M93" s="580" t="str">
        <f t="shared" ref="M93:M98" si="126">IF(AND(ISNUMBER(J93),ISNUMBER(K93),ISNUMBER(L93)),SUM(J93:L93), "")</f>
        <v/>
      </c>
      <c r="N93" s="792"/>
      <c r="O93" s="318"/>
      <c r="P93" s="318"/>
      <c r="Q93" s="318"/>
      <c r="R93" s="318"/>
      <c r="S93" s="318"/>
      <c r="T93" s="318"/>
      <c r="U93" s="318"/>
      <c r="V93" s="318"/>
      <c r="W93" s="580" t="str">
        <f>IF(AND(ISNUMBER(R93),ISNUMBER(S93),ISNUMBER(V93)),SUM(R93,S93,V93),"")</f>
        <v/>
      </c>
      <c r="X93" s="318"/>
      <c r="Y93" s="318"/>
      <c r="Z93" s="318"/>
      <c r="AA93" s="209" t="str">
        <f t="shared" ref="AA93:AA94" si="127">IF(AND(ISNUMBER(X93),ISNUMBER(Y93),ISNUMBER(Z93)),SUM(X93:Z93), "")</f>
        <v/>
      </c>
      <c r="AB93" s="907" t="str">
        <f t="shared" si="110"/>
        <v/>
      </c>
      <c r="AC93" s="502"/>
      <c r="AD93" s="318"/>
      <c r="AE93" s="318"/>
      <c r="AF93" s="318"/>
      <c r="AG93" s="208"/>
      <c r="AH93" s="208"/>
      <c r="AI93" s="2251" t="str">
        <f t="shared" ref="AI93:AI94" si="128">IF(AND(ISNUMBER(AF93),ISNUMBER(AG93),ISNUMBER(AJ93)),AF93-AG93+AJ93,"")</f>
        <v/>
      </c>
      <c r="AJ93" s="318"/>
      <c r="AK93" s="208"/>
      <c r="AL93" s="2246"/>
    </row>
    <row r="94" spans="2:38" ht="15" customHeight="1" x14ac:dyDescent="0.25">
      <c r="B94" s="336" t="s">
        <v>817</v>
      </c>
      <c r="C94" s="481"/>
      <c r="D94" s="318"/>
      <c r="E94" s="318"/>
      <c r="F94" s="318"/>
      <c r="G94" s="318"/>
      <c r="H94" s="318"/>
      <c r="I94" s="580" t="str">
        <f t="shared" si="125"/>
        <v/>
      </c>
      <c r="J94" s="318"/>
      <c r="K94" s="318"/>
      <c r="L94" s="318"/>
      <c r="M94" s="580" t="str">
        <f t="shared" si="126"/>
        <v/>
      </c>
      <c r="N94" s="792"/>
      <c r="O94" s="318"/>
      <c r="P94" s="318"/>
      <c r="Q94" s="318"/>
      <c r="R94" s="318"/>
      <c r="S94" s="318"/>
      <c r="T94" s="318"/>
      <c r="U94" s="318"/>
      <c r="V94" s="318"/>
      <c r="W94" s="580" t="str">
        <f>IF(AND(ISNUMBER(R94),ISNUMBER(S94),ISNUMBER(V94)),SUM(R94,S94,V94),"")</f>
        <v/>
      </c>
      <c r="X94" s="318"/>
      <c r="Y94" s="318"/>
      <c r="Z94" s="318"/>
      <c r="AA94" s="209" t="str">
        <f t="shared" si="127"/>
        <v/>
      </c>
      <c r="AB94" s="907" t="str">
        <f t="shared" si="110"/>
        <v/>
      </c>
      <c r="AC94" s="502"/>
      <c r="AD94" s="318"/>
      <c r="AE94" s="318"/>
      <c r="AF94" s="318"/>
      <c r="AG94" s="208"/>
      <c r="AH94" s="208"/>
      <c r="AI94" s="2251" t="str">
        <f t="shared" si="128"/>
        <v/>
      </c>
      <c r="AJ94" s="318"/>
      <c r="AK94" s="208"/>
      <c r="AL94" s="2246"/>
    </row>
    <row r="95" spans="2:38" ht="15" customHeight="1" x14ac:dyDescent="0.25">
      <c r="B95" s="267" t="s">
        <v>272</v>
      </c>
      <c r="C95" s="580" t="str">
        <f t="shared" ref="C95:D95" si="129">IF(AND(ISNUMBER(C96),ISNUMBER(C97),ISNUMBER(C98)),SUM(C96:C98),"")</f>
        <v/>
      </c>
      <c r="D95" s="580" t="str">
        <f t="shared" si="129"/>
        <v/>
      </c>
      <c r="E95" s="580" t="str">
        <f t="shared" ref="E95:I95" si="130">IF(AND(ISNUMBER(E96),ISNUMBER(E97),ISNUMBER(E98)),SUM(E96:E98),"")</f>
        <v/>
      </c>
      <c r="F95" s="580" t="str">
        <f t="shared" si="130"/>
        <v/>
      </c>
      <c r="G95" s="580" t="str">
        <f t="shared" si="130"/>
        <v/>
      </c>
      <c r="H95" s="580" t="str">
        <f t="shared" si="130"/>
        <v/>
      </c>
      <c r="I95" s="580" t="str">
        <f t="shared" si="130"/>
        <v/>
      </c>
      <c r="J95" s="580" t="str">
        <f t="shared" ref="J95:K95" si="131">IF(AND(ISNUMBER(J96),ISNUMBER(J97),ISNUMBER(J98)),SUM(J96:J98),"")</f>
        <v/>
      </c>
      <c r="K95" s="580" t="str">
        <f t="shared" si="131"/>
        <v/>
      </c>
      <c r="L95" s="580" t="str">
        <f t="shared" ref="L95" si="132">IF(AND(ISNUMBER(L96),ISNUMBER(L97),ISNUMBER(L98)),SUM(L96:L98),"")</f>
        <v/>
      </c>
      <c r="M95" s="580" t="str">
        <f t="shared" si="126"/>
        <v/>
      </c>
      <c r="N95" s="580" t="str">
        <f>IF(AND(ISNUMBER(N96),ISNUMBER(N97),ISNUMBER(N98)),SUM(N96:N98),"")</f>
        <v/>
      </c>
      <c r="O95" s="318"/>
      <c r="P95" s="318"/>
      <c r="Q95" s="580" t="str">
        <f t="shared" ref="Q95:W95" si="133">IF(AND(ISNUMBER(Q96),ISNUMBER(Q97),ISNUMBER(Q98)),SUM(Q96:Q98),"")</f>
        <v/>
      </c>
      <c r="R95" s="580" t="str">
        <f t="shared" si="133"/>
        <v/>
      </c>
      <c r="S95" s="580" t="str">
        <f t="shared" si="133"/>
        <v/>
      </c>
      <c r="T95" s="580" t="str">
        <f t="shared" si="133"/>
        <v/>
      </c>
      <c r="U95" s="580" t="str">
        <f t="shared" si="133"/>
        <v/>
      </c>
      <c r="V95" s="580" t="str">
        <f t="shared" si="133"/>
        <v/>
      </c>
      <c r="W95" s="580" t="str">
        <f t="shared" si="133"/>
        <v/>
      </c>
      <c r="X95" s="580" t="str">
        <f>IF(AND(ISNUMBER(X96),ISNUMBER(X97),ISNUMBER(X98)),SUM(X96:X98),"")</f>
        <v/>
      </c>
      <c r="Y95" s="580" t="str">
        <f>IF(AND(ISNUMBER(Y96),ISNUMBER(Y97),ISNUMBER(Y98)),SUM(Y96:Y98),"")</f>
        <v/>
      </c>
      <c r="Z95" s="580" t="str">
        <f>IF(AND(ISNUMBER(Z96),ISNUMBER(Z97),ISNUMBER(Z98)),SUM(Z96:Z98),"")</f>
        <v/>
      </c>
      <c r="AA95" s="209" t="str">
        <f>IF(AND(ISNUMBER(AA96),ISNUMBER(AA97),ISNUMBER(AA98)),SUM(AA96:AA98),"")</f>
        <v/>
      </c>
      <c r="AB95" s="907" t="str">
        <f t="shared" si="110"/>
        <v/>
      </c>
      <c r="AC95" s="502"/>
      <c r="AD95" s="580" t="str">
        <f t="shared" ref="AD95" si="134">IF(AND(ISNUMBER(AD96),ISNUMBER(AD97),ISNUMBER(AD98)),SUM(AD96:AD98),"")</f>
        <v/>
      </c>
      <c r="AE95" s="580" t="str">
        <f>IF(AND(ISNUMBER(AE96),ISNUMBER(AE97),ISNUMBER(AE98)),SUM(AE96:AE98),"")</f>
        <v/>
      </c>
      <c r="AF95" s="580" t="str">
        <f t="shared" ref="AF95:AK95" si="135">IF(AND(ISNUMBER(AF96),ISNUMBER(AF97),ISNUMBER(AF98)),SUM(AF96:AF98),"")</f>
        <v/>
      </c>
      <c r="AG95" s="580" t="str">
        <f t="shared" si="135"/>
        <v/>
      </c>
      <c r="AH95" s="209" t="str">
        <f t="shared" si="135"/>
        <v/>
      </c>
      <c r="AI95" s="2251" t="str">
        <f t="shared" si="135"/>
        <v/>
      </c>
      <c r="AJ95" s="580" t="str">
        <f t="shared" si="135"/>
        <v/>
      </c>
      <c r="AK95" s="209" t="str">
        <f t="shared" si="135"/>
        <v/>
      </c>
      <c r="AL95" s="2246"/>
    </row>
    <row r="96" spans="2:38" ht="15" customHeight="1" x14ac:dyDescent="0.25">
      <c r="B96" s="240" t="s">
        <v>884</v>
      </c>
      <c r="C96" s="481"/>
      <c r="D96" s="318"/>
      <c r="E96" s="318"/>
      <c r="F96" s="318"/>
      <c r="G96" s="318"/>
      <c r="H96" s="318"/>
      <c r="I96" s="580" t="str">
        <f t="shared" ref="I96:I98" si="136">IF(AND(ISNUMBER(D96),ISNUMBER(E96),ISNUMBER(H96)),SUM(D96,E96,H96),"")</f>
        <v/>
      </c>
      <c r="J96" s="318"/>
      <c r="K96" s="318"/>
      <c r="L96" s="318"/>
      <c r="M96" s="580" t="str">
        <f t="shared" si="126"/>
        <v/>
      </c>
      <c r="N96" s="792"/>
      <c r="O96" s="318"/>
      <c r="P96" s="318"/>
      <c r="Q96" s="318"/>
      <c r="R96" s="318"/>
      <c r="S96" s="318"/>
      <c r="T96" s="318"/>
      <c r="U96" s="318"/>
      <c r="V96" s="318"/>
      <c r="W96" s="580" t="str">
        <f>IF(AND(ISNUMBER(R96),ISNUMBER(S96),ISNUMBER(V96)),SUM(R96,S96,V96),"")</f>
        <v/>
      </c>
      <c r="X96" s="318"/>
      <c r="Y96" s="318"/>
      <c r="Z96" s="318"/>
      <c r="AA96" s="209" t="str">
        <f t="shared" ref="AA96:AA98" si="137">IF(AND(ISNUMBER(X96),ISNUMBER(Y96),ISNUMBER(Z96)),SUM(X96:Z96), "")</f>
        <v/>
      </c>
      <c r="AB96" s="907" t="str">
        <f t="shared" si="110"/>
        <v/>
      </c>
      <c r="AC96" s="560" t="str">
        <f>IF(ISNUMBER(AB96), IF(AND(AB96&gt;=(Parameters!F348*0.95), AB96&lt;=(Parameters!G348*1.05)), "Pass", IF(AB96&lt;Parameters!F348, "Fail (RW&lt;" &amp; Parameters!F348*100 &amp; "%)", "Fail (RW&gt;" &amp; Parameters!G348*100 &amp; "%)")), "")</f>
        <v/>
      </c>
      <c r="AD96" s="318"/>
      <c r="AE96" s="318"/>
      <c r="AF96" s="318"/>
      <c r="AG96" s="208"/>
      <c r="AH96" s="208"/>
      <c r="AI96" s="2251" t="str">
        <f t="shared" ref="AI96:AI98" si="138">IF(AND(ISNUMBER(AF96),ISNUMBER(AG96),ISNUMBER(AJ96)),AF96-AG96+AJ96,"")</f>
        <v/>
      </c>
      <c r="AJ96" s="318"/>
      <c r="AK96" s="208"/>
      <c r="AL96" s="2246"/>
    </row>
    <row r="97" spans="2:38" ht="15" customHeight="1" x14ac:dyDescent="0.25">
      <c r="B97" s="485" t="s">
        <v>885</v>
      </c>
      <c r="C97" s="481"/>
      <c r="D97" s="318"/>
      <c r="E97" s="318"/>
      <c r="F97" s="318"/>
      <c r="G97" s="318"/>
      <c r="H97" s="318"/>
      <c r="I97" s="580" t="str">
        <f t="shared" si="136"/>
        <v/>
      </c>
      <c r="J97" s="318"/>
      <c r="K97" s="318"/>
      <c r="L97" s="318"/>
      <c r="M97" s="580" t="str">
        <f t="shared" si="126"/>
        <v/>
      </c>
      <c r="N97" s="792"/>
      <c r="O97" s="318"/>
      <c r="P97" s="318"/>
      <c r="Q97" s="318"/>
      <c r="R97" s="318"/>
      <c r="S97" s="318"/>
      <c r="T97" s="318"/>
      <c r="U97" s="318"/>
      <c r="V97" s="318"/>
      <c r="W97" s="580" t="str">
        <f>IF(AND(ISNUMBER(R97),ISNUMBER(S97),ISNUMBER(V97)),SUM(R97,S97,V97),"")</f>
        <v/>
      </c>
      <c r="X97" s="318"/>
      <c r="Y97" s="318"/>
      <c r="Z97" s="318"/>
      <c r="AA97" s="209" t="str">
        <f t="shared" si="137"/>
        <v/>
      </c>
      <c r="AB97" s="907" t="str">
        <f t="shared" si="110"/>
        <v/>
      </c>
      <c r="AC97" s="560" t="str">
        <f>IF(ISNUMBER(AB97), IF(AND(AB97&gt;=(Parameters!F349*0.95), AB97&lt;=(Parameters!G349*1.05)), "Pass", IF(AB97&lt;Parameters!F349, "Fail (RW&lt;" &amp; Parameters!F349*100 &amp; "%)", "Fail (RW&gt;" &amp; Parameters!G349*100 &amp; "%)")), "")</f>
        <v/>
      </c>
      <c r="AD97" s="318"/>
      <c r="AE97" s="318"/>
      <c r="AF97" s="318"/>
      <c r="AG97" s="208"/>
      <c r="AH97" s="208"/>
      <c r="AI97" s="2251" t="str">
        <f t="shared" si="138"/>
        <v/>
      </c>
      <c r="AJ97" s="318"/>
      <c r="AK97" s="208"/>
      <c r="AL97" s="2246"/>
    </row>
    <row r="98" spans="2:38" ht="15" customHeight="1" x14ac:dyDescent="0.25">
      <c r="B98" s="485" t="s">
        <v>820</v>
      </c>
      <c r="C98" s="481"/>
      <c r="D98" s="318"/>
      <c r="E98" s="318"/>
      <c r="F98" s="318"/>
      <c r="G98" s="318"/>
      <c r="H98" s="318"/>
      <c r="I98" s="580" t="str">
        <f t="shared" si="136"/>
        <v/>
      </c>
      <c r="J98" s="318"/>
      <c r="K98" s="318"/>
      <c r="L98" s="318"/>
      <c r="M98" s="580" t="str">
        <f t="shared" si="126"/>
        <v/>
      </c>
      <c r="N98" s="792"/>
      <c r="O98" s="318"/>
      <c r="P98" s="318"/>
      <c r="Q98" s="318"/>
      <c r="R98" s="318"/>
      <c r="S98" s="318"/>
      <c r="T98" s="318"/>
      <c r="U98" s="318"/>
      <c r="V98" s="318"/>
      <c r="W98" s="580" t="str">
        <f>IF(AND(ISNUMBER(R98),ISNUMBER(S98),ISNUMBER(V98)),SUM(R98,S98,V98),"")</f>
        <v/>
      </c>
      <c r="X98" s="318"/>
      <c r="Y98" s="318"/>
      <c r="Z98" s="318"/>
      <c r="AA98" s="209" t="str">
        <f t="shared" si="137"/>
        <v/>
      </c>
      <c r="AB98" s="907" t="str">
        <f t="shared" si="110"/>
        <v/>
      </c>
      <c r="AC98" s="560" t="str">
        <f>IF(ISNUMBER(AB98), IF(AND(AB98&gt;=(Parameters!F350*0.95), AB98&lt;=(Parameters!G350*1.05)), "Pass", IF(AB98&lt;Parameters!F350, "Fail (RW&lt;" &amp; Parameters!F350*100 &amp; "%)", "Fail (RW&gt;" &amp; Parameters!G350*100 &amp; "%)")), "")</f>
        <v/>
      </c>
      <c r="AD98" s="318"/>
      <c r="AE98" s="318"/>
      <c r="AF98" s="318"/>
      <c r="AG98" s="208"/>
      <c r="AH98" s="208"/>
      <c r="AI98" s="2251" t="str">
        <f t="shared" si="138"/>
        <v/>
      </c>
      <c r="AJ98" s="318"/>
      <c r="AK98" s="208"/>
      <c r="AL98" s="2246"/>
    </row>
    <row r="99" spans="2:38" ht="15" customHeight="1" x14ac:dyDescent="0.25">
      <c r="B99" s="482" t="s">
        <v>821</v>
      </c>
      <c r="C99" s="580" t="str">
        <f>IF(AND(ISNUMBER(C100),ISNUMBER(C113),ISNUMBER(C122),ISNUMBER(C130),ISNUMBER(C135)),SUM(C100,C113,C122,C130,C135),"")</f>
        <v/>
      </c>
      <c r="D99" s="580" t="str">
        <f t="shared" ref="D99:I99" si="139">IF(AND(ISNUMBER(D100),ISNUMBER(D113),ISNUMBER(D122),ISNUMBER(D130),ISNUMBER(D135)),SUM(D100,D113,D122,D130,D135),"")</f>
        <v/>
      </c>
      <c r="E99" s="580" t="str">
        <f t="shared" si="139"/>
        <v/>
      </c>
      <c r="F99" s="580" t="str">
        <f t="shared" si="139"/>
        <v/>
      </c>
      <c r="G99" s="580" t="str">
        <f t="shared" si="139"/>
        <v/>
      </c>
      <c r="H99" s="580" t="str">
        <f t="shared" si="139"/>
        <v/>
      </c>
      <c r="I99" s="580" t="str">
        <f t="shared" si="139"/>
        <v/>
      </c>
      <c r="J99" s="580" t="str">
        <f t="shared" ref="J99:K99" si="140">IF(AND(ISNUMBER(J100),ISNUMBER(J113),ISNUMBER(J122),ISNUMBER(J130),ISNUMBER(J135)),SUM(J100,J113,J122,J130,J135),"")</f>
        <v/>
      </c>
      <c r="K99" s="580" t="str">
        <f t="shared" si="140"/>
        <v/>
      </c>
      <c r="L99" s="580" t="str">
        <f t="shared" ref="L99" si="141">IF(AND(ISNUMBER(L100),ISNUMBER(L113),ISNUMBER(L122),ISNUMBER(L130),ISNUMBER(L135)),SUM(L100,L113,L122,L130,L135),"")</f>
        <v/>
      </c>
      <c r="M99" s="580" t="str">
        <f>IF(AND(ISNUMBER(M100),ISNUMBER(M113),ISNUMBER(M122),ISNUMBER(M130),ISNUMBER(M135)),SUM(M100,M113,M122,M130,M135),"")</f>
        <v/>
      </c>
      <c r="N99" s="580" t="str">
        <f>IF(AND(ISNUMBER(N100),ISNUMBER(N113),ISNUMBER(N122),ISNUMBER(N130),ISNUMBER(N135)),SUM(N100,N113,N122,N130,N135),"")</f>
        <v/>
      </c>
      <c r="O99" s="318"/>
      <c r="P99" s="318"/>
      <c r="Q99" s="580" t="str">
        <f t="shared" ref="Q99:W99" si="142">IF(AND(ISNUMBER(Q100),ISNUMBER(Q113),ISNUMBER(Q122),ISNUMBER(Q130),ISNUMBER(Q135)),SUM(Q100,Q113,Q122,Q130,Q135),"")</f>
        <v/>
      </c>
      <c r="R99" s="580" t="str">
        <f t="shared" si="142"/>
        <v/>
      </c>
      <c r="S99" s="580" t="str">
        <f t="shared" si="142"/>
        <v/>
      </c>
      <c r="T99" s="580" t="str">
        <f t="shared" si="142"/>
        <v/>
      </c>
      <c r="U99" s="580" t="str">
        <f t="shared" si="142"/>
        <v/>
      </c>
      <c r="V99" s="580" t="str">
        <f t="shared" si="142"/>
        <v/>
      </c>
      <c r="W99" s="580" t="str">
        <f t="shared" si="142"/>
        <v/>
      </c>
      <c r="X99" s="580" t="str">
        <f>IF(AND(ISNUMBER(X100),ISNUMBER(X113),ISNUMBER(X122),ISNUMBER(X130),ISNUMBER(X135)),SUM(X100,X113,X122,X130,X135),"")</f>
        <v/>
      </c>
      <c r="Y99" s="580" t="str">
        <f>IF(AND(ISNUMBER(Y100),ISNUMBER(Y113),ISNUMBER(Y122),ISNUMBER(Y130),ISNUMBER(Y135)),SUM(Y100,Y113,Y122,Y130,Y135),"")</f>
        <v/>
      </c>
      <c r="Z99" s="580" t="str">
        <f>IF(AND(ISNUMBER(Z100),ISNUMBER(Z113),ISNUMBER(Z122),ISNUMBER(Z130),ISNUMBER(Z135)),SUM(Z100,Z113,Z122,Z130,Z135),"")</f>
        <v/>
      </c>
      <c r="AA99" s="209" t="str">
        <f>IF(AND(ISNUMBER(AA100),ISNUMBER(AA113),ISNUMBER(AA122),ISNUMBER(AA130),ISNUMBER(AA135)),SUM(AA100,AA113,AA122,AA130,AA135),"")</f>
        <v/>
      </c>
      <c r="AB99" s="907" t="str">
        <f t="shared" si="110"/>
        <v/>
      </c>
      <c r="AC99" s="502"/>
      <c r="AD99" s="580" t="str">
        <f t="shared" ref="AD99:AK99" si="143">IF(AND(ISNUMBER(AD100),ISNUMBER(AD113),ISNUMBER(AD122),ISNUMBER(AD130),ISNUMBER(AD135)),SUM(AD100,AD113,AD122,AD130,AD135),"")</f>
        <v/>
      </c>
      <c r="AE99" s="580" t="str">
        <f t="shared" si="143"/>
        <v/>
      </c>
      <c r="AF99" s="580" t="str">
        <f t="shared" si="143"/>
        <v/>
      </c>
      <c r="AG99" s="580" t="str">
        <f t="shared" si="143"/>
        <v/>
      </c>
      <c r="AH99" s="209" t="str">
        <f t="shared" si="143"/>
        <v/>
      </c>
      <c r="AI99" s="2251" t="str">
        <f t="shared" si="143"/>
        <v/>
      </c>
      <c r="AJ99" s="580" t="str">
        <f t="shared" si="143"/>
        <v/>
      </c>
      <c r="AK99" s="209" t="str">
        <f t="shared" si="143"/>
        <v/>
      </c>
      <c r="AL99" s="2246"/>
    </row>
    <row r="100" spans="2:38" ht="15" customHeight="1" x14ac:dyDescent="0.25">
      <c r="B100" s="487" t="s">
        <v>823</v>
      </c>
      <c r="C100" s="580" t="str">
        <f>IF(AND(ISNUMBER(C101),ISNUMBER(C109)),SUM(C101,C109),"")</f>
        <v/>
      </c>
      <c r="D100" s="580" t="str">
        <f t="shared" ref="D100:I100" si="144">IF(AND(ISNUMBER(D101),ISNUMBER(D109)),SUM(D101,D109),"")</f>
        <v/>
      </c>
      <c r="E100" s="580" t="str">
        <f t="shared" si="144"/>
        <v/>
      </c>
      <c r="F100" s="580" t="str">
        <f t="shared" si="144"/>
        <v/>
      </c>
      <c r="G100" s="580" t="str">
        <f t="shared" si="144"/>
        <v/>
      </c>
      <c r="H100" s="580" t="str">
        <f t="shared" si="144"/>
        <v/>
      </c>
      <c r="I100" s="580" t="str">
        <f t="shared" si="144"/>
        <v/>
      </c>
      <c r="J100" s="580" t="str">
        <f t="shared" ref="J100:K100" si="145">IF(AND(ISNUMBER(J101),ISNUMBER(J109)),SUM(J101,J109),"")</f>
        <v/>
      </c>
      <c r="K100" s="580" t="str">
        <f t="shared" si="145"/>
        <v/>
      </c>
      <c r="L100" s="580" t="str">
        <f t="shared" ref="L100" si="146">IF(AND(ISNUMBER(L101),ISNUMBER(L109)),SUM(L101,L109),"")</f>
        <v/>
      </c>
      <c r="M100" s="580" t="str">
        <f>IF(AND(ISNUMBER(M101),ISNUMBER(M109)),SUM(M101,M109),"")</f>
        <v/>
      </c>
      <c r="N100" s="580" t="str">
        <f>IF(AND(ISNUMBER(N101),ISNUMBER(N109)),SUM(N101,N109),"")</f>
        <v/>
      </c>
      <c r="O100" s="318"/>
      <c r="P100" s="318"/>
      <c r="Q100" s="580" t="str">
        <f t="shared" ref="Q100:W100" si="147">IF(AND(ISNUMBER(Q101),ISNUMBER(Q109)),SUM(Q101,Q109),"")</f>
        <v/>
      </c>
      <c r="R100" s="580" t="str">
        <f t="shared" si="147"/>
        <v/>
      </c>
      <c r="S100" s="580" t="str">
        <f t="shared" si="147"/>
        <v/>
      </c>
      <c r="T100" s="580" t="str">
        <f t="shared" si="147"/>
        <v/>
      </c>
      <c r="U100" s="580" t="str">
        <f t="shared" si="147"/>
        <v/>
      </c>
      <c r="V100" s="580" t="str">
        <f t="shared" si="147"/>
        <v/>
      </c>
      <c r="W100" s="580" t="str">
        <f t="shared" si="147"/>
        <v/>
      </c>
      <c r="X100" s="580" t="str">
        <f>IF(AND(ISNUMBER(X101),ISNUMBER(X109)),SUM(X101,X109),"")</f>
        <v/>
      </c>
      <c r="Y100" s="580" t="str">
        <f>IF(AND(ISNUMBER(Y101),ISNUMBER(Y109)),SUM(Y101,Y109),"")</f>
        <v/>
      </c>
      <c r="Z100" s="580" t="str">
        <f>IF(AND(ISNUMBER(Z101),ISNUMBER(Z109)),SUM(Z101,Z109),"")</f>
        <v/>
      </c>
      <c r="AA100" s="209" t="str">
        <f>IF(AND(ISNUMBER(AA101),ISNUMBER(AA109)),SUM(AA101,AA109),"")</f>
        <v/>
      </c>
      <c r="AB100" s="907" t="str">
        <f t="shared" si="110"/>
        <v/>
      </c>
      <c r="AC100" s="502"/>
      <c r="AD100" s="580" t="str">
        <f t="shared" ref="AD100" si="148">IF(AND(ISNUMBER(AD101),ISNUMBER(AD109)),SUM(AD101,AD109),"")</f>
        <v/>
      </c>
      <c r="AE100" s="580" t="str">
        <f>IF(AND(ISNUMBER(AE101),ISNUMBER(AE109)),SUM(AE101,AE109),"")</f>
        <v/>
      </c>
      <c r="AF100" s="580" t="str">
        <f t="shared" ref="AF100:AK100" si="149">IF(AND(ISNUMBER(AF101),ISNUMBER(AF109)),SUM(AF101,AF109),"")</f>
        <v/>
      </c>
      <c r="AG100" s="580" t="str">
        <f t="shared" si="149"/>
        <v/>
      </c>
      <c r="AH100" s="209" t="str">
        <f t="shared" si="149"/>
        <v/>
      </c>
      <c r="AI100" s="2251" t="str">
        <f t="shared" si="149"/>
        <v/>
      </c>
      <c r="AJ100" s="580" t="str">
        <f t="shared" si="149"/>
        <v/>
      </c>
      <c r="AK100" s="209" t="str">
        <f t="shared" si="149"/>
        <v/>
      </c>
      <c r="AL100" s="2246"/>
    </row>
    <row r="101" spans="2:38" ht="15" customHeight="1" x14ac:dyDescent="0.25">
      <c r="B101" s="613" t="s">
        <v>822</v>
      </c>
      <c r="C101" s="580">
        <f t="shared" ref="C101:N101" si="150">IF($D$7="Yes", 0, IF(AND(ISNUMBER(C102),ISNUMBER(C103),ISNUMBER(C104),ISNUMBER(C105),ISNUMBER(C106),ISNUMBER(C107),ISNUMBER(C108)),SUM(C102:C108),""))</f>
        <v>0</v>
      </c>
      <c r="D101" s="580">
        <f t="shared" si="150"/>
        <v>0</v>
      </c>
      <c r="E101" s="580">
        <f t="shared" si="150"/>
        <v>0</v>
      </c>
      <c r="F101" s="580">
        <f t="shared" si="150"/>
        <v>0</v>
      </c>
      <c r="G101" s="580">
        <f t="shared" si="150"/>
        <v>0</v>
      </c>
      <c r="H101" s="580">
        <f t="shared" si="150"/>
        <v>0</v>
      </c>
      <c r="I101" s="580">
        <f t="shared" si="150"/>
        <v>0</v>
      </c>
      <c r="J101" s="580">
        <f t="shared" si="150"/>
        <v>0</v>
      </c>
      <c r="K101" s="580">
        <f t="shared" si="150"/>
        <v>0</v>
      </c>
      <c r="L101" s="580">
        <f t="shared" si="150"/>
        <v>0</v>
      </c>
      <c r="M101" s="580">
        <f t="shared" si="150"/>
        <v>0</v>
      </c>
      <c r="N101" s="580">
        <f t="shared" si="150"/>
        <v>0</v>
      </c>
      <c r="O101" s="318"/>
      <c r="P101" s="318"/>
      <c r="Q101" s="580">
        <f t="shared" ref="Q101:AA101" si="151">IF($D$7="Yes", 0, IF(AND(ISNUMBER(Q102),ISNUMBER(Q103),ISNUMBER(Q104),ISNUMBER(Q105),ISNUMBER(Q106),ISNUMBER(Q107),ISNUMBER(Q108)),SUM(Q102:Q108),""))</f>
        <v>0</v>
      </c>
      <c r="R101" s="580">
        <f t="shared" si="151"/>
        <v>0</v>
      </c>
      <c r="S101" s="580">
        <f t="shared" si="151"/>
        <v>0</v>
      </c>
      <c r="T101" s="580">
        <f t="shared" si="151"/>
        <v>0</v>
      </c>
      <c r="U101" s="580">
        <f t="shared" si="151"/>
        <v>0</v>
      </c>
      <c r="V101" s="580">
        <f t="shared" si="151"/>
        <v>0</v>
      </c>
      <c r="W101" s="580">
        <f t="shared" si="151"/>
        <v>0</v>
      </c>
      <c r="X101" s="580">
        <f t="shared" si="151"/>
        <v>0</v>
      </c>
      <c r="Y101" s="580">
        <f t="shared" si="151"/>
        <v>0</v>
      </c>
      <c r="Z101" s="580">
        <f t="shared" si="151"/>
        <v>0</v>
      </c>
      <c r="AA101" s="209">
        <f t="shared" si="151"/>
        <v>0</v>
      </c>
      <c r="AB101" s="907" t="str">
        <f t="shared" si="110"/>
        <v/>
      </c>
      <c r="AC101" s="502"/>
      <c r="AD101" s="580">
        <f t="shared" ref="AD101:AK101" si="152">IF($D$7="Yes", 0, IF(AND(ISNUMBER(AD102),ISNUMBER(AD103),ISNUMBER(AD104),ISNUMBER(AD105),ISNUMBER(AD106),ISNUMBER(AD107),ISNUMBER(AD108)),SUM(AD102:AD108),""))</f>
        <v>0</v>
      </c>
      <c r="AE101" s="580">
        <f t="shared" si="152"/>
        <v>0</v>
      </c>
      <c r="AF101" s="580">
        <f t="shared" si="152"/>
        <v>0</v>
      </c>
      <c r="AG101" s="580">
        <f t="shared" si="152"/>
        <v>0</v>
      </c>
      <c r="AH101" s="209">
        <f t="shared" si="152"/>
        <v>0</v>
      </c>
      <c r="AI101" s="2251">
        <f t="shared" si="152"/>
        <v>0</v>
      </c>
      <c r="AJ101" s="580">
        <f t="shared" si="152"/>
        <v>0</v>
      </c>
      <c r="AK101" s="209">
        <f t="shared" si="152"/>
        <v>0</v>
      </c>
      <c r="AL101" s="2246"/>
    </row>
    <row r="102" spans="2:38" ht="15" customHeight="1" x14ac:dyDescent="0.25">
      <c r="B102" s="614" t="s">
        <v>667</v>
      </c>
      <c r="C102" s="481"/>
      <c r="D102" s="318"/>
      <c r="E102" s="318"/>
      <c r="F102" s="318"/>
      <c r="G102" s="318"/>
      <c r="H102" s="318"/>
      <c r="I102" s="580" t="str">
        <f t="shared" ref="I102:I108" si="153">IF(AND(ISNUMBER(D102),ISNUMBER(E102),ISNUMBER(H102)),SUM(D102,E102,H102),"")</f>
        <v/>
      </c>
      <c r="J102" s="318"/>
      <c r="K102" s="318"/>
      <c r="L102" s="318"/>
      <c r="M102" s="580" t="str">
        <f t="shared" ref="M102:M108" si="154">IF(AND(ISNUMBER(J102),ISNUMBER(K102),ISNUMBER(L102)),SUM(J102:L102), "")</f>
        <v/>
      </c>
      <c r="N102" s="792"/>
      <c r="O102" s="318"/>
      <c r="P102" s="318"/>
      <c r="Q102" s="318"/>
      <c r="R102" s="318"/>
      <c r="S102" s="318"/>
      <c r="T102" s="318"/>
      <c r="U102" s="318"/>
      <c r="V102" s="318"/>
      <c r="W102" s="580" t="str">
        <f t="shared" ref="W102:W108" si="155">IF(AND(ISNUMBER(R102),ISNUMBER(S102),ISNUMBER(V102)),SUM(R102,S102,V102),"")</f>
        <v/>
      </c>
      <c r="X102" s="318"/>
      <c r="Y102" s="318"/>
      <c r="Z102" s="318"/>
      <c r="AA102" s="209" t="str">
        <f t="shared" ref="AA102:AA108" si="156">IF(AND(ISNUMBER(X102),ISNUMBER(Y102),ISNUMBER(Z102)),SUM(X102:Z102), "")</f>
        <v/>
      </c>
      <c r="AB102" s="907" t="str">
        <f t="shared" si="110"/>
        <v/>
      </c>
      <c r="AC102" s="560" t="str">
        <f>IF(ISNUMBER(AB102), IF(AND(AB102&gt;=(Parameters!F354*0.95), AB102&lt;=(Parameters!G354*1.05)), "Pass", IF(AB102&lt;Parameters!F354, "Fail (RW&lt;" &amp; Parameters!F354*100 &amp; "%)", "Fail (RW&gt;" &amp; Parameters!G354*100 &amp; "%)")), "")</f>
        <v/>
      </c>
      <c r="AD102" s="318"/>
      <c r="AE102" s="318"/>
      <c r="AF102" s="318"/>
      <c r="AG102" s="208"/>
      <c r="AH102" s="208"/>
      <c r="AI102" s="2251" t="str">
        <f t="shared" ref="AI102:AI108" si="157">IF(AND(ISNUMBER(AF102),ISNUMBER(AG102),ISNUMBER(AJ102)),AF102-AG102+AJ102,"")</f>
        <v/>
      </c>
      <c r="AJ102" s="318"/>
      <c r="AK102" s="208"/>
      <c r="AL102" s="2246"/>
    </row>
    <row r="103" spans="2:38" ht="15" customHeight="1" x14ac:dyDescent="0.25">
      <c r="B103" s="614" t="s">
        <v>668</v>
      </c>
      <c r="C103" s="481"/>
      <c r="D103" s="318"/>
      <c r="E103" s="318"/>
      <c r="F103" s="318"/>
      <c r="G103" s="318"/>
      <c r="H103" s="318"/>
      <c r="I103" s="580" t="str">
        <f t="shared" si="153"/>
        <v/>
      </c>
      <c r="J103" s="318"/>
      <c r="K103" s="318"/>
      <c r="L103" s="318"/>
      <c r="M103" s="580" t="str">
        <f t="shared" si="154"/>
        <v/>
      </c>
      <c r="N103" s="792"/>
      <c r="O103" s="318"/>
      <c r="P103" s="318"/>
      <c r="Q103" s="318"/>
      <c r="R103" s="318"/>
      <c r="S103" s="318"/>
      <c r="T103" s="318"/>
      <c r="U103" s="318"/>
      <c r="V103" s="318"/>
      <c r="W103" s="580" t="str">
        <f t="shared" si="155"/>
        <v/>
      </c>
      <c r="X103" s="318"/>
      <c r="Y103" s="318"/>
      <c r="Z103" s="318"/>
      <c r="AA103" s="209" t="str">
        <f t="shared" si="156"/>
        <v/>
      </c>
      <c r="AB103" s="907" t="str">
        <f t="shared" si="110"/>
        <v/>
      </c>
      <c r="AC103" s="560" t="str">
        <f>IF(ISNUMBER(AB103), IF(AND(AB103&gt;=(Parameters!F355*0.95), AB103&lt;=(Parameters!G355*1.05)), "Pass", IF(AB103&lt;Parameters!F355, "Fail (RW&lt;" &amp; Parameters!F355*100 &amp; "%)", "Fail (RW&gt;" &amp; Parameters!G355*100 &amp; "%)")), "")</f>
        <v/>
      </c>
      <c r="AD103" s="318"/>
      <c r="AE103" s="318"/>
      <c r="AF103" s="318"/>
      <c r="AG103" s="208"/>
      <c r="AH103" s="208"/>
      <c r="AI103" s="2251" t="str">
        <f t="shared" si="157"/>
        <v/>
      </c>
      <c r="AJ103" s="318"/>
      <c r="AK103" s="208"/>
      <c r="AL103" s="2246"/>
    </row>
    <row r="104" spans="2:38" ht="15" customHeight="1" x14ac:dyDescent="0.25">
      <c r="B104" s="614" t="s">
        <v>669</v>
      </c>
      <c r="C104" s="481"/>
      <c r="D104" s="318"/>
      <c r="E104" s="318"/>
      <c r="F104" s="318"/>
      <c r="G104" s="318"/>
      <c r="H104" s="318"/>
      <c r="I104" s="580" t="str">
        <f t="shared" si="153"/>
        <v/>
      </c>
      <c r="J104" s="318"/>
      <c r="K104" s="318"/>
      <c r="L104" s="318"/>
      <c r="M104" s="580" t="str">
        <f t="shared" si="154"/>
        <v/>
      </c>
      <c r="N104" s="792"/>
      <c r="O104" s="318"/>
      <c r="P104" s="318"/>
      <c r="Q104" s="318"/>
      <c r="R104" s="318"/>
      <c r="S104" s="318"/>
      <c r="T104" s="318"/>
      <c r="U104" s="318"/>
      <c r="V104" s="318"/>
      <c r="W104" s="580" t="str">
        <f t="shared" si="155"/>
        <v/>
      </c>
      <c r="X104" s="318"/>
      <c r="Y104" s="318"/>
      <c r="Z104" s="318"/>
      <c r="AA104" s="209" t="str">
        <f t="shared" si="156"/>
        <v/>
      </c>
      <c r="AB104" s="907" t="str">
        <f t="shared" si="110"/>
        <v/>
      </c>
      <c r="AC104" s="560" t="str">
        <f>IF(ISNUMBER(AB104), IF(AND(AB104&gt;=(Parameters!F356*0.95), AB104&lt;=(Parameters!G356*1.05)), "Pass", IF(AB104&lt;Parameters!F356, "Fail (RW&lt;" &amp; Parameters!F356*100 &amp; "%)", "Fail (RW&gt;" &amp; Parameters!G356*100 &amp; "%)")), "")</f>
        <v/>
      </c>
      <c r="AD104" s="318"/>
      <c r="AE104" s="318"/>
      <c r="AF104" s="318"/>
      <c r="AG104" s="208"/>
      <c r="AH104" s="208"/>
      <c r="AI104" s="2251" t="str">
        <f t="shared" si="157"/>
        <v/>
      </c>
      <c r="AJ104" s="318"/>
      <c r="AK104" s="208"/>
      <c r="AL104" s="2246"/>
    </row>
    <row r="105" spans="2:38" ht="15" customHeight="1" x14ac:dyDescent="0.25">
      <c r="B105" s="614" t="s">
        <v>670</v>
      </c>
      <c r="C105" s="481"/>
      <c r="D105" s="318"/>
      <c r="E105" s="318"/>
      <c r="F105" s="318"/>
      <c r="G105" s="318"/>
      <c r="H105" s="318"/>
      <c r="I105" s="580" t="str">
        <f t="shared" si="153"/>
        <v/>
      </c>
      <c r="J105" s="318"/>
      <c r="K105" s="318"/>
      <c r="L105" s="318"/>
      <c r="M105" s="580" t="str">
        <f t="shared" si="154"/>
        <v/>
      </c>
      <c r="N105" s="792"/>
      <c r="O105" s="318"/>
      <c r="P105" s="318"/>
      <c r="Q105" s="318"/>
      <c r="R105" s="318"/>
      <c r="S105" s="318"/>
      <c r="T105" s="318"/>
      <c r="U105" s="318"/>
      <c r="V105" s="318"/>
      <c r="W105" s="580" t="str">
        <f t="shared" si="155"/>
        <v/>
      </c>
      <c r="X105" s="318"/>
      <c r="Y105" s="318"/>
      <c r="Z105" s="318"/>
      <c r="AA105" s="209" t="str">
        <f t="shared" si="156"/>
        <v/>
      </c>
      <c r="AB105" s="907" t="str">
        <f t="shared" si="110"/>
        <v/>
      </c>
      <c r="AC105" s="560" t="str">
        <f>IF(ISNUMBER(AB105), IF(AND(AB105&gt;=(Parameters!F357*0.95), AB105&lt;=(Parameters!G357*1.05)), "Pass", IF(AB105&lt;Parameters!F357, "Fail (RW&lt;" &amp; Parameters!F357*100 &amp; "%)", "Fail (RW&gt;" &amp; Parameters!G357*100 &amp; "%)")), "")</f>
        <v/>
      </c>
      <c r="AD105" s="318"/>
      <c r="AE105" s="318"/>
      <c r="AF105" s="318"/>
      <c r="AG105" s="208"/>
      <c r="AH105" s="208"/>
      <c r="AI105" s="2251" t="str">
        <f t="shared" si="157"/>
        <v/>
      </c>
      <c r="AJ105" s="318"/>
      <c r="AK105" s="208"/>
      <c r="AL105" s="2246"/>
    </row>
    <row r="106" spans="2:38" ht="15" customHeight="1" x14ac:dyDescent="0.25">
      <c r="B106" s="614" t="s">
        <v>671</v>
      </c>
      <c r="C106" s="481"/>
      <c r="D106" s="318"/>
      <c r="E106" s="318"/>
      <c r="F106" s="318"/>
      <c r="G106" s="318"/>
      <c r="H106" s="318"/>
      <c r="I106" s="580" t="str">
        <f t="shared" si="153"/>
        <v/>
      </c>
      <c r="J106" s="318"/>
      <c r="K106" s="318"/>
      <c r="L106" s="318"/>
      <c r="M106" s="580" t="str">
        <f t="shared" si="154"/>
        <v/>
      </c>
      <c r="N106" s="792"/>
      <c r="O106" s="318"/>
      <c r="P106" s="318"/>
      <c r="Q106" s="318"/>
      <c r="R106" s="318"/>
      <c r="S106" s="318"/>
      <c r="T106" s="318"/>
      <c r="U106" s="318"/>
      <c r="V106" s="318"/>
      <c r="W106" s="580" t="str">
        <f t="shared" si="155"/>
        <v/>
      </c>
      <c r="X106" s="318"/>
      <c r="Y106" s="318"/>
      <c r="Z106" s="318"/>
      <c r="AA106" s="209" t="str">
        <f t="shared" si="156"/>
        <v/>
      </c>
      <c r="AB106" s="907" t="str">
        <f t="shared" si="110"/>
        <v/>
      </c>
      <c r="AC106" s="560" t="str">
        <f>IF(ISNUMBER(AB106), IF(AND(AB106&gt;=(Parameters!F358*0.95), AB106&lt;=(Parameters!G358*1.05)), "Pass", IF(AB106&lt;Parameters!F358, "Fail (RW&lt;" &amp; Parameters!F358*100 &amp; "%)", "Fail (RW&gt;" &amp; Parameters!G358*100 &amp; "%)")), "")</f>
        <v/>
      </c>
      <c r="AD106" s="318"/>
      <c r="AE106" s="318"/>
      <c r="AF106" s="318"/>
      <c r="AG106" s="208"/>
      <c r="AH106" s="208"/>
      <c r="AI106" s="2251" t="str">
        <f t="shared" si="157"/>
        <v/>
      </c>
      <c r="AJ106" s="318"/>
      <c r="AK106" s="208"/>
      <c r="AL106" s="2246"/>
    </row>
    <row r="107" spans="2:38" ht="15" customHeight="1" x14ac:dyDescent="0.25">
      <c r="B107" s="614" t="s">
        <v>672</v>
      </c>
      <c r="C107" s="481"/>
      <c r="D107" s="318"/>
      <c r="E107" s="318"/>
      <c r="F107" s="318"/>
      <c r="G107" s="318"/>
      <c r="H107" s="318"/>
      <c r="I107" s="580" t="str">
        <f t="shared" si="153"/>
        <v/>
      </c>
      <c r="J107" s="318"/>
      <c r="K107" s="318"/>
      <c r="L107" s="318"/>
      <c r="M107" s="580" t="str">
        <f t="shared" si="154"/>
        <v/>
      </c>
      <c r="N107" s="792"/>
      <c r="O107" s="318"/>
      <c r="P107" s="318"/>
      <c r="Q107" s="318"/>
      <c r="R107" s="318"/>
      <c r="S107" s="318"/>
      <c r="T107" s="318"/>
      <c r="U107" s="318"/>
      <c r="V107" s="318"/>
      <c r="W107" s="580" t="str">
        <f t="shared" si="155"/>
        <v/>
      </c>
      <c r="X107" s="318"/>
      <c r="Y107" s="318"/>
      <c r="Z107" s="318"/>
      <c r="AA107" s="209" t="str">
        <f t="shared" si="156"/>
        <v/>
      </c>
      <c r="AB107" s="907" t="str">
        <f t="shared" si="110"/>
        <v/>
      </c>
      <c r="AC107" s="560" t="str">
        <f>IF(ISNUMBER(AB107), IF(AND(AB107&gt;=(Parameters!F359*0.95), AB107&lt;=(Parameters!G359*1.05)), "Pass", IF(AB107&lt;Parameters!F359, "Fail (RW&lt;" &amp; Parameters!F359*100 &amp; "%)", "Fail (RW&gt;" &amp; Parameters!G359*100 &amp; "%)")), "")</f>
        <v/>
      </c>
      <c r="AD107" s="318"/>
      <c r="AE107" s="318"/>
      <c r="AF107" s="318"/>
      <c r="AG107" s="208"/>
      <c r="AH107" s="208"/>
      <c r="AI107" s="2251" t="str">
        <f t="shared" si="157"/>
        <v/>
      </c>
      <c r="AJ107" s="318"/>
      <c r="AK107" s="208"/>
      <c r="AL107" s="2246"/>
    </row>
    <row r="108" spans="2:38" ht="15" customHeight="1" x14ac:dyDescent="0.25">
      <c r="B108" s="614" t="s">
        <v>673</v>
      </c>
      <c r="C108" s="481"/>
      <c r="D108" s="318"/>
      <c r="E108" s="318"/>
      <c r="F108" s="318"/>
      <c r="G108" s="318"/>
      <c r="H108" s="318"/>
      <c r="I108" s="580" t="str">
        <f t="shared" si="153"/>
        <v/>
      </c>
      <c r="J108" s="318"/>
      <c r="K108" s="318"/>
      <c r="L108" s="318"/>
      <c r="M108" s="580" t="str">
        <f t="shared" si="154"/>
        <v/>
      </c>
      <c r="N108" s="792"/>
      <c r="O108" s="318"/>
      <c r="P108" s="318"/>
      <c r="Q108" s="318"/>
      <c r="R108" s="318"/>
      <c r="S108" s="318"/>
      <c r="T108" s="318"/>
      <c r="U108" s="318"/>
      <c r="V108" s="318"/>
      <c r="W108" s="580" t="str">
        <f t="shared" si="155"/>
        <v/>
      </c>
      <c r="X108" s="318"/>
      <c r="Y108" s="318"/>
      <c r="Z108" s="318"/>
      <c r="AA108" s="209" t="str">
        <f t="shared" si="156"/>
        <v/>
      </c>
      <c r="AB108" s="907" t="str">
        <f t="shared" si="110"/>
        <v/>
      </c>
      <c r="AC108" s="502"/>
      <c r="AD108" s="318"/>
      <c r="AE108" s="318"/>
      <c r="AF108" s="318"/>
      <c r="AG108" s="208"/>
      <c r="AH108" s="208"/>
      <c r="AI108" s="2251" t="str">
        <f t="shared" si="157"/>
        <v/>
      </c>
      <c r="AJ108" s="318"/>
      <c r="AK108" s="208"/>
      <c r="AL108" s="2246"/>
    </row>
    <row r="109" spans="2:38" ht="15" customHeight="1" x14ac:dyDescent="0.25">
      <c r="B109" s="613" t="s">
        <v>824</v>
      </c>
      <c r="C109" s="580" t="str">
        <f t="shared" ref="C109:N109" si="158">IF($D$7="No", 0, IF(AND(ISNUMBER(C110), ISNUMBER(C111), ISNUMBER(C112)), SUM(C110:C112), ""))</f>
        <v/>
      </c>
      <c r="D109" s="580" t="str">
        <f t="shared" si="158"/>
        <v/>
      </c>
      <c r="E109" s="580" t="str">
        <f t="shared" si="158"/>
        <v/>
      </c>
      <c r="F109" s="580" t="str">
        <f t="shared" si="158"/>
        <v/>
      </c>
      <c r="G109" s="580" t="str">
        <f t="shared" si="158"/>
        <v/>
      </c>
      <c r="H109" s="580" t="str">
        <f t="shared" si="158"/>
        <v/>
      </c>
      <c r="I109" s="580" t="str">
        <f t="shared" si="158"/>
        <v/>
      </c>
      <c r="J109" s="580" t="str">
        <f t="shared" si="158"/>
        <v/>
      </c>
      <c r="K109" s="580" t="str">
        <f t="shared" si="158"/>
        <v/>
      </c>
      <c r="L109" s="580" t="str">
        <f t="shared" si="158"/>
        <v/>
      </c>
      <c r="M109" s="580" t="str">
        <f t="shared" si="158"/>
        <v/>
      </c>
      <c r="N109" s="580" t="str">
        <f t="shared" si="158"/>
        <v/>
      </c>
      <c r="O109" s="318"/>
      <c r="P109" s="318"/>
      <c r="Q109" s="580" t="str">
        <f t="shared" ref="Q109:AA109" si="159">IF($D$7="No", 0, IF(AND(ISNUMBER(Q110), ISNUMBER(Q111), ISNUMBER(Q112)), SUM(Q110:Q112), ""))</f>
        <v/>
      </c>
      <c r="R109" s="580" t="str">
        <f t="shared" si="159"/>
        <v/>
      </c>
      <c r="S109" s="580" t="str">
        <f t="shared" si="159"/>
        <v/>
      </c>
      <c r="T109" s="580" t="str">
        <f t="shared" si="159"/>
        <v/>
      </c>
      <c r="U109" s="580" t="str">
        <f t="shared" si="159"/>
        <v/>
      </c>
      <c r="V109" s="580" t="str">
        <f t="shared" si="159"/>
        <v/>
      </c>
      <c r="W109" s="580" t="str">
        <f t="shared" si="159"/>
        <v/>
      </c>
      <c r="X109" s="580" t="str">
        <f t="shared" si="159"/>
        <v/>
      </c>
      <c r="Y109" s="580" t="str">
        <f t="shared" si="159"/>
        <v/>
      </c>
      <c r="Z109" s="580" t="str">
        <f t="shared" si="159"/>
        <v/>
      </c>
      <c r="AA109" s="209" t="str">
        <f t="shared" si="159"/>
        <v/>
      </c>
      <c r="AB109" s="907" t="str">
        <f t="shared" si="110"/>
        <v/>
      </c>
      <c r="AC109" s="502"/>
      <c r="AD109" s="580" t="str">
        <f t="shared" ref="AD109:AK109" si="160">IF($D$7="No", 0, IF(AND(ISNUMBER(AD110), ISNUMBER(AD111), ISNUMBER(AD112)), SUM(AD110:AD112), ""))</f>
        <v/>
      </c>
      <c r="AE109" s="580" t="str">
        <f t="shared" si="160"/>
        <v/>
      </c>
      <c r="AF109" s="580" t="str">
        <f t="shared" si="160"/>
        <v/>
      </c>
      <c r="AG109" s="580" t="str">
        <f t="shared" si="160"/>
        <v/>
      </c>
      <c r="AH109" s="209" t="str">
        <f t="shared" si="160"/>
        <v/>
      </c>
      <c r="AI109" s="2251" t="str">
        <f t="shared" si="160"/>
        <v/>
      </c>
      <c r="AJ109" s="580" t="str">
        <f t="shared" si="160"/>
        <v/>
      </c>
      <c r="AK109" s="209" t="str">
        <f t="shared" si="160"/>
        <v/>
      </c>
      <c r="AL109" s="2246"/>
    </row>
    <row r="110" spans="2:38" ht="15" customHeight="1" x14ac:dyDescent="0.25">
      <c r="B110" s="614" t="s">
        <v>952</v>
      </c>
      <c r="C110" s="481"/>
      <c r="D110" s="318"/>
      <c r="E110" s="318"/>
      <c r="F110" s="318"/>
      <c r="G110" s="318"/>
      <c r="H110" s="318"/>
      <c r="I110" s="580" t="str">
        <f t="shared" ref="I110:I112" si="161">IF(AND(ISNUMBER(D110),ISNUMBER(E110),ISNUMBER(H110)),SUM(D110,E110,H110),"")</f>
        <v/>
      </c>
      <c r="J110" s="318"/>
      <c r="K110" s="318"/>
      <c r="L110" s="318"/>
      <c r="M110" s="580" t="str">
        <f t="shared" ref="M110:M112" si="162">IF(AND(ISNUMBER(J110),ISNUMBER(K110),ISNUMBER(L110)),SUM(J110:L110), "")</f>
        <v/>
      </c>
      <c r="N110" s="792"/>
      <c r="O110" s="318"/>
      <c r="P110" s="318"/>
      <c r="Q110" s="318"/>
      <c r="R110" s="318"/>
      <c r="S110" s="318"/>
      <c r="T110" s="318"/>
      <c r="U110" s="318"/>
      <c r="V110" s="318"/>
      <c r="W110" s="580" t="str">
        <f>IF(AND(ISNUMBER(R110),ISNUMBER(S110),ISNUMBER(V110)),SUM(R110,S110,V110),"")</f>
        <v/>
      </c>
      <c r="X110" s="318"/>
      <c r="Y110" s="318"/>
      <c r="Z110" s="318"/>
      <c r="AA110" s="209" t="str">
        <f t="shared" ref="AA110:AA112" si="163">IF(AND(ISNUMBER(X110),ISNUMBER(Y110),ISNUMBER(Z110)),SUM(X110:Z110), "")</f>
        <v/>
      </c>
      <c r="AB110" s="907" t="str">
        <f t="shared" si="110"/>
        <v/>
      </c>
      <c r="AC110" s="560" t="str">
        <f>IF(ISNUMBER(AB110), IF(AND(AB110&gt;=(Parameters!F362*0.95), AB110&lt;=(Parameters!G362*1.05)), "Pass", IF(AB110&lt;Parameters!F362, "Fail (RW&lt;" &amp; Parameters!F362*100 &amp; "%)", "Fail (RW&gt;" &amp; Parameters!G362*100 &amp; "%)")), "")</f>
        <v/>
      </c>
      <c r="AD110" s="318"/>
      <c r="AE110" s="318"/>
      <c r="AF110" s="318"/>
      <c r="AG110" s="208"/>
      <c r="AH110" s="208"/>
      <c r="AI110" s="2251" t="str">
        <f t="shared" ref="AI110:AI112" si="164">IF(AND(ISNUMBER(AF110),ISNUMBER(AG110),ISNUMBER(AJ110)),AF110-AG110+AJ110,"")</f>
        <v/>
      </c>
      <c r="AJ110" s="318"/>
      <c r="AK110" s="208"/>
      <c r="AL110" s="2246"/>
    </row>
    <row r="111" spans="2:38" ht="15" customHeight="1" x14ac:dyDescent="0.25">
      <c r="B111" s="614" t="s">
        <v>953</v>
      </c>
      <c r="C111" s="481"/>
      <c r="D111" s="318"/>
      <c r="E111" s="318"/>
      <c r="F111" s="318"/>
      <c r="G111" s="318"/>
      <c r="H111" s="318"/>
      <c r="I111" s="580" t="str">
        <f t="shared" si="161"/>
        <v/>
      </c>
      <c r="J111" s="318"/>
      <c r="K111" s="318"/>
      <c r="L111" s="318"/>
      <c r="M111" s="580" t="str">
        <f t="shared" si="162"/>
        <v/>
      </c>
      <c r="N111" s="792"/>
      <c r="O111" s="318"/>
      <c r="P111" s="318"/>
      <c r="Q111" s="318"/>
      <c r="R111" s="318"/>
      <c r="S111" s="318"/>
      <c r="T111" s="318"/>
      <c r="U111" s="318"/>
      <c r="V111" s="318"/>
      <c r="W111" s="580" t="str">
        <f>IF(AND(ISNUMBER(R111),ISNUMBER(S111),ISNUMBER(V111)),SUM(R111,S111,V111),"")</f>
        <v/>
      </c>
      <c r="X111" s="318"/>
      <c r="Y111" s="318"/>
      <c r="Z111" s="318"/>
      <c r="AA111" s="209" t="str">
        <f t="shared" si="163"/>
        <v/>
      </c>
      <c r="AB111" s="907" t="str">
        <f t="shared" si="110"/>
        <v/>
      </c>
      <c r="AC111" s="502"/>
      <c r="AD111" s="318"/>
      <c r="AE111" s="318"/>
      <c r="AF111" s="318"/>
      <c r="AG111" s="208"/>
      <c r="AH111" s="208"/>
      <c r="AI111" s="2251" t="str">
        <f t="shared" si="164"/>
        <v/>
      </c>
      <c r="AJ111" s="318"/>
      <c r="AK111" s="208"/>
      <c r="AL111" s="2246"/>
    </row>
    <row r="112" spans="2:38" ht="15" customHeight="1" x14ac:dyDescent="0.25">
      <c r="B112" s="614" t="s">
        <v>673</v>
      </c>
      <c r="C112" s="481"/>
      <c r="D112" s="318"/>
      <c r="E112" s="318"/>
      <c r="F112" s="318"/>
      <c r="G112" s="318"/>
      <c r="H112" s="318"/>
      <c r="I112" s="580" t="str">
        <f t="shared" si="161"/>
        <v/>
      </c>
      <c r="J112" s="318"/>
      <c r="K112" s="318"/>
      <c r="L112" s="318"/>
      <c r="M112" s="580" t="str">
        <f t="shared" si="162"/>
        <v/>
      </c>
      <c r="N112" s="792"/>
      <c r="O112" s="318"/>
      <c r="P112" s="318"/>
      <c r="Q112" s="318"/>
      <c r="R112" s="318"/>
      <c r="S112" s="318"/>
      <c r="T112" s="318"/>
      <c r="U112" s="318"/>
      <c r="V112" s="318"/>
      <c r="W112" s="580" t="str">
        <f>IF(AND(ISNUMBER(R112),ISNUMBER(S112),ISNUMBER(V112)),SUM(R112,S112,V112),"")</f>
        <v/>
      </c>
      <c r="X112" s="318"/>
      <c r="Y112" s="318"/>
      <c r="Z112" s="318"/>
      <c r="AA112" s="209" t="str">
        <f t="shared" si="163"/>
        <v/>
      </c>
      <c r="AB112" s="907" t="str">
        <f t="shared" si="110"/>
        <v/>
      </c>
      <c r="AC112" s="502"/>
      <c r="AD112" s="318"/>
      <c r="AE112" s="318"/>
      <c r="AF112" s="318"/>
      <c r="AG112" s="208"/>
      <c r="AH112" s="208"/>
      <c r="AI112" s="2251" t="str">
        <f t="shared" si="164"/>
        <v/>
      </c>
      <c r="AJ112" s="318"/>
      <c r="AK112" s="208"/>
      <c r="AL112" s="2246"/>
    </row>
    <row r="113" spans="2:38" ht="15" customHeight="1" x14ac:dyDescent="0.25">
      <c r="B113" s="487" t="s">
        <v>825</v>
      </c>
      <c r="C113" s="580" t="str">
        <f>IF(AND(ISNUMBER(C114),ISNUMBER(C118)),SUM(C114,C118),"")</f>
        <v/>
      </c>
      <c r="D113" s="580" t="str">
        <f t="shared" ref="D113:I113" si="165">IF(AND(ISNUMBER(D114),ISNUMBER(D118)),SUM(D114,D118),"")</f>
        <v/>
      </c>
      <c r="E113" s="580" t="str">
        <f t="shared" si="165"/>
        <v/>
      </c>
      <c r="F113" s="580" t="str">
        <f t="shared" si="165"/>
        <v/>
      </c>
      <c r="G113" s="580" t="str">
        <f t="shared" si="165"/>
        <v/>
      </c>
      <c r="H113" s="580" t="str">
        <f t="shared" si="165"/>
        <v/>
      </c>
      <c r="I113" s="580" t="str">
        <f t="shared" si="165"/>
        <v/>
      </c>
      <c r="J113" s="580" t="str">
        <f t="shared" ref="J113:K113" si="166">IF(AND(ISNUMBER(J114),ISNUMBER(J118)),SUM(J114,J118),"")</f>
        <v/>
      </c>
      <c r="K113" s="580" t="str">
        <f t="shared" si="166"/>
        <v/>
      </c>
      <c r="L113" s="580" t="str">
        <f t="shared" ref="L113" si="167">IF(AND(ISNUMBER(L114),ISNUMBER(L118)),SUM(L114,L118),"")</f>
        <v/>
      </c>
      <c r="M113" s="580" t="str">
        <f>IF(AND(ISNUMBER(M114),ISNUMBER(M118)),SUM(M114,M118),"")</f>
        <v/>
      </c>
      <c r="N113" s="580" t="str">
        <f>IF(AND(ISNUMBER(N114),ISNUMBER(N118)),SUM(N114,N118),"")</f>
        <v/>
      </c>
      <c r="O113" s="318"/>
      <c r="P113" s="318"/>
      <c r="Q113" s="580" t="str">
        <f>IF(AND(ISNUMBER(Q114),ISNUMBER(Q118)),SUM(Q114,Q118),"")</f>
        <v/>
      </c>
      <c r="R113" s="580" t="str">
        <f t="shared" ref="R113:W113" si="168">IF(AND(ISNUMBER(R114),ISNUMBER(R118)),SUM(R114,R118),"")</f>
        <v/>
      </c>
      <c r="S113" s="580" t="str">
        <f t="shared" si="168"/>
        <v/>
      </c>
      <c r="T113" s="580" t="str">
        <f t="shared" si="168"/>
        <v/>
      </c>
      <c r="U113" s="580" t="str">
        <f t="shared" si="168"/>
        <v/>
      </c>
      <c r="V113" s="580" t="str">
        <f t="shared" si="168"/>
        <v/>
      </c>
      <c r="W113" s="580" t="str">
        <f t="shared" si="168"/>
        <v/>
      </c>
      <c r="X113" s="580" t="str">
        <f>IF(AND(ISNUMBER(X114),ISNUMBER(X118)),SUM(X114,X118),"")</f>
        <v/>
      </c>
      <c r="Y113" s="580" t="str">
        <f>IF(AND(ISNUMBER(Y114),ISNUMBER(Y118)),SUM(Y114,Y118),"")</f>
        <v/>
      </c>
      <c r="Z113" s="580" t="str">
        <f>IF(AND(ISNUMBER(Z114),ISNUMBER(Z118)),SUM(Z114,Z118),"")</f>
        <v/>
      </c>
      <c r="AA113" s="209" t="str">
        <f>IF(AND(ISNUMBER(AA114),ISNUMBER(AA118)),SUM(AA114,AA118),"")</f>
        <v/>
      </c>
      <c r="AB113" s="907" t="str">
        <f t="shared" si="110"/>
        <v/>
      </c>
      <c r="AC113" s="502"/>
      <c r="AD113" s="580" t="str">
        <f t="shared" ref="AD113" si="169">IF(AND(ISNUMBER(AD114),ISNUMBER(AD118)),SUM(AD114,AD118),"")</f>
        <v/>
      </c>
      <c r="AE113" s="580" t="str">
        <f>IF(AND(ISNUMBER(AE114),ISNUMBER(AE118)),SUM(AE114,AE118),"")</f>
        <v/>
      </c>
      <c r="AF113" s="580" t="str">
        <f t="shared" ref="AF113:AK113" si="170">IF(AND(ISNUMBER(AF114),ISNUMBER(AF118)),SUM(AF114,AF118),"")</f>
        <v/>
      </c>
      <c r="AG113" s="580" t="str">
        <f t="shared" si="170"/>
        <v/>
      </c>
      <c r="AH113" s="209" t="str">
        <f t="shared" si="170"/>
        <v/>
      </c>
      <c r="AI113" s="2251" t="str">
        <f t="shared" si="170"/>
        <v/>
      </c>
      <c r="AJ113" s="580" t="str">
        <f t="shared" si="170"/>
        <v/>
      </c>
      <c r="AK113" s="209" t="str">
        <f t="shared" si="170"/>
        <v/>
      </c>
      <c r="AL113" s="2246"/>
    </row>
    <row r="114" spans="2:38" ht="15" customHeight="1" x14ac:dyDescent="0.25">
      <c r="B114" s="613" t="s">
        <v>822</v>
      </c>
      <c r="C114" s="580">
        <f t="shared" ref="C114:N114" si="171">IF($D$7="Yes", 0, IF(AND(ISNUMBER(C115),ISNUMBER(C116),ISNUMBER(C117)),SUM(C115:C117),""))</f>
        <v>0</v>
      </c>
      <c r="D114" s="580">
        <f t="shared" si="171"/>
        <v>0</v>
      </c>
      <c r="E114" s="580">
        <f t="shared" si="171"/>
        <v>0</v>
      </c>
      <c r="F114" s="580">
        <f t="shared" si="171"/>
        <v>0</v>
      </c>
      <c r="G114" s="580">
        <f t="shared" si="171"/>
        <v>0</v>
      </c>
      <c r="H114" s="580">
        <f t="shared" si="171"/>
        <v>0</v>
      </c>
      <c r="I114" s="580">
        <f t="shared" si="171"/>
        <v>0</v>
      </c>
      <c r="J114" s="580">
        <f t="shared" si="171"/>
        <v>0</v>
      </c>
      <c r="K114" s="580">
        <f t="shared" si="171"/>
        <v>0</v>
      </c>
      <c r="L114" s="580">
        <f t="shared" si="171"/>
        <v>0</v>
      </c>
      <c r="M114" s="580">
        <f t="shared" si="171"/>
        <v>0</v>
      </c>
      <c r="N114" s="580">
        <f t="shared" si="171"/>
        <v>0</v>
      </c>
      <c r="O114" s="318"/>
      <c r="P114" s="318"/>
      <c r="Q114" s="580">
        <f t="shared" ref="Q114:AA114" si="172">IF($D$7="Yes", 0, IF(AND(ISNUMBER(Q115),ISNUMBER(Q116),ISNUMBER(Q117)),SUM(Q115:Q117),""))</f>
        <v>0</v>
      </c>
      <c r="R114" s="580">
        <f t="shared" si="172"/>
        <v>0</v>
      </c>
      <c r="S114" s="580">
        <f t="shared" si="172"/>
        <v>0</v>
      </c>
      <c r="T114" s="580">
        <f t="shared" si="172"/>
        <v>0</v>
      </c>
      <c r="U114" s="580">
        <f t="shared" si="172"/>
        <v>0</v>
      </c>
      <c r="V114" s="580">
        <f t="shared" si="172"/>
        <v>0</v>
      </c>
      <c r="W114" s="580">
        <f t="shared" si="172"/>
        <v>0</v>
      </c>
      <c r="X114" s="580">
        <f t="shared" si="172"/>
        <v>0</v>
      </c>
      <c r="Y114" s="580">
        <f t="shared" si="172"/>
        <v>0</v>
      </c>
      <c r="Z114" s="580">
        <f t="shared" si="172"/>
        <v>0</v>
      </c>
      <c r="AA114" s="209">
        <f t="shared" si="172"/>
        <v>0</v>
      </c>
      <c r="AB114" s="907" t="str">
        <f t="shared" si="110"/>
        <v/>
      </c>
      <c r="AC114" s="502"/>
      <c r="AD114" s="580">
        <f t="shared" ref="AD114:AK114" si="173">IF($D$7="Yes", 0, IF(AND(ISNUMBER(AD115),ISNUMBER(AD116),ISNUMBER(AD117)),SUM(AD115:AD117),""))</f>
        <v>0</v>
      </c>
      <c r="AE114" s="580">
        <f t="shared" si="173"/>
        <v>0</v>
      </c>
      <c r="AF114" s="580">
        <f t="shared" si="173"/>
        <v>0</v>
      </c>
      <c r="AG114" s="580">
        <f t="shared" si="173"/>
        <v>0</v>
      </c>
      <c r="AH114" s="209">
        <f t="shared" si="173"/>
        <v>0</v>
      </c>
      <c r="AI114" s="2251">
        <f t="shared" si="173"/>
        <v>0</v>
      </c>
      <c r="AJ114" s="580">
        <f t="shared" si="173"/>
        <v>0</v>
      </c>
      <c r="AK114" s="209">
        <f t="shared" si="173"/>
        <v>0</v>
      </c>
      <c r="AL114" s="2246"/>
    </row>
    <row r="115" spans="2:38" ht="15" customHeight="1" x14ac:dyDescent="0.25">
      <c r="B115" s="614" t="s">
        <v>873</v>
      </c>
      <c r="C115" s="481"/>
      <c r="D115" s="318"/>
      <c r="E115" s="318"/>
      <c r="F115" s="318"/>
      <c r="G115" s="318"/>
      <c r="H115" s="318"/>
      <c r="I115" s="580" t="str">
        <f t="shared" ref="I115:I117" si="174">IF(AND(ISNUMBER(D115),ISNUMBER(E115),ISNUMBER(H115)),SUM(D115,E115,H115),"")</f>
        <v/>
      </c>
      <c r="J115" s="318"/>
      <c r="K115" s="318"/>
      <c r="L115" s="318"/>
      <c r="M115" s="580" t="str">
        <f t="shared" ref="M115:M117" si="175">IF(AND(ISNUMBER(J115),ISNUMBER(K115),ISNUMBER(L115)),SUM(J115:L115), "")</f>
        <v/>
      </c>
      <c r="N115" s="792"/>
      <c r="O115" s="318"/>
      <c r="P115" s="318"/>
      <c r="Q115" s="318"/>
      <c r="R115" s="318"/>
      <c r="S115" s="318"/>
      <c r="T115" s="318"/>
      <c r="U115" s="318"/>
      <c r="V115" s="318"/>
      <c r="W115" s="580" t="str">
        <f>IF(AND(ISNUMBER(R115),ISNUMBER(S115),ISNUMBER(V115)),SUM(R115,S115,V115),"")</f>
        <v/>
      </c>
      <c r="X115" s="318"/>
      <c r="Y115" s="318"/>
      <c r="Z115" s="318"/>
      <c r="AA115" s="209" t="str">
        <f t="shared" ref="AA115:AA117" si="176">IF(AND(ISNUMBER(X115),ISNUMBER(Y115),ISNUMBER(Z115)),SUM(X115:Z115), "")</f>
        <v/>
      </c>
      <c r="AB115" s="907" t="str">
        <f t="shared" si="110"/>
        <v/>
      </c>
      <c r="AC115" s="502"/>
      <c r="AD115" s="318"/>
      <c r="AE115" s="318"/>
      <c r="AF115" s="318"/>
      <c r="AG115" s="208"/>
      <c r="AH115" s="208"/>
      <c r="AI115" s="2251" t="str">
        <f t="shared" ref="AI115:AI117" si="177">IF(AND(ISNUMBER(AF115),ISNUMBER(AG115),ISNUMBER(AJ115)),AF115-AG115+AJ115,"")</f>
        <v/>
      </c>
      <c r="AJ115" s="318"/>
      <c r="AK115" s="208"/>
      <c r="AL115" s="2246"/>
    </row>
    <row r="116" spans="2:38" ht="15" customHeight="1" x14ac:dyDescent="0.25">
      <c r="B116" s="614" t="s">
        <v>674</v>
      </c>
      <c r="C116" s="481"/>
      <c r="D116" s="318"/>
      <c r="E116" s="318"/>
      <c r="F116" s="318"/>
      <c r="G116" s="318"/>
      <c r="H116" s="318"/>
      <c r="I116" s="580" t="str">
        <f t="shared" si="174"/>
        <v/>
      </c>
      <c r="J116" s="318"/>
      <c r="K116" s="318"/>
      <c r="L116" s="318"/>
      <c r="M116" s="580" t="str">
        <f t="shared" si="175"/>
        <v/>
      </c>
      <c r="N116" s="792"/>
      <c r="O116" s="318"/>
      <c r="P116" s="318"/>
      <c r="Q116" s="318"/>
      <c r="R116" s="318"/>
      <c r="S116" s="318"/>
      <c r="T116" s="318"/>
      <c r="U116" s="318"/>
      <c r="V116" s="318"/>
      <c r="W116" s="580" t="str">
        <f>IF(AND(ISNUMBER(R116),ISNUMBER(S116),ISNUMBER(V116)),SUM(R116,S116,V116),"")</f>
        <v/>
      </c>
      <c r="X116" s="318"/>
      <c r="Y116" s="318"/>
      <c r="Z116" s="318"/>
      <c r="AA116" s="209" t="str">
        <f t="shared" si="176"/>
        <v/>
      </c>
      <c r="AB116" s="907" t="str">
        <f t="shared" si="110"/>
        <v/>
      </c>
      <c r="AC116" s="502"/>
      <c r="AD116" s="318"/>
      <c r="AE116" s="318"/>
      <c r="AF116" s="318"/>
      <c r="AG116" s="208"/>
      <c r="AH116" s="208"/>
      <c r="AI116" s="2251" t="str">
        <f t="shared" si="177"/>
        <v/>
      </c>
      <c r="AJ116" s="318"/>
      <c r="AK116" s="208"/>
      <c r="AL116" s="2246"/>
    </row>
    <row r="117" spans="2:38" ht="15" customHeight="1" x14ac:dyDescent="0.25">
      <c r="B117" s="614" t="s">
        <v>673</v>
      </c>
      <c r="C117" s="481"/>
      <c r="D117" s="318"/>
      <c r="E117" s="318"/>
      <c r="F117" s="318"/>
      <c r="G117" s="318"/>
      <c r="H117" s="318"/>
      <c r="I117" s="580" t="str">
        <f t="shared" si="174"/>
        <v/>
      </c>
      <c r="J117" s="318"/>
      <c r="K117" s="318"/>
      <c r="L117" s="318"/>
      <c r="M117" s="580" t="str">
        <f t="shared" si="175"/>
        <v/>
      </c>
      <c r="N117" s="792"/>
      <c r="O117" s="318"/>
      <c r="P117" s="318"/>
      <c r="Q117" s="318"/>
      <c r="R117" s="318"/>
      <c r="S117" s="318"/>
      <c r="T117" s="318"/>
      <c r="U117" s="318"/>
      <c r="V117" s="318"/>
      <c r="W117" s="580" t="str">
        <f>IF(AND(ISNUMBER(R117),ISNUMBER(S117),ISNUMBER(V117)),SUM(R117,S117,V117),"")</f>
        <v/>
      </c>
      <c r="X117" s="318"/>
      <c r="Y117" s="318"/>
      <c r="Z117" s="318"/>
      <c r="AA117" s="209" t="str">
        <f t="shared" si="176"/>
        <v/>
      </c>
      <c r="AB117" s="907" t="str">
        <f t="shared" si="110"/>
        <v/>
      </c>
      <c r="AC117" s="502"/>
      <c r="AD117" s="318"/>
      <c r="AE117" s="318"/>
      <c r="AF117" s="318"/>
      <c r="AG117" s="208"/>
      <c r="AH117" s="208"/>
      <c r="AI117" s="2251" t="str">
        <f t="shared" si="177"/>
        <v/>
      </c>
      <c r="AJ117" s="318"/>
      <c r="AK117" s="208"/>
      <c r="AL117" s="2246"/>
    </row>
    <row r="118" spans="2:38" ht="15" customHeight="1" x14ac:dyDescent="0.25">
      <c r="B118" s="613" t="s">
        <v>824</v>
      </c>
      <c r="C118" s="580" t="str">
        <f t="shared" ref="C118:N118" si="178">IF($D$7="No", 0, IF(AND(ISNUMBER(C119), ISNUMBER(C120), ISNUMBER(C121)), SUM(C119:C121), ""))</f>
        <v/>
      </c>
      <c r="D118" s="580" t="str">
        <f t="shared" si="178"/>
        <v/>
      </c>
      <c r="E118" s="580" t="str">
        <f t="shared" si="178"/>
        <v/>
      </c>
      <c r="F118" s="580" t="str">
        <f t="shared" si="178"/>
        <v/>
      </c>
      <c r="G118" s="580" t="str">
        <f t="shared" si="178"/>
        <v/>
      </c>
      <c r="H118" s="580" t="str">
        <f t="shared" si="178"/>
        <v/>
      </c>
      <c r="I118" s="580" t="str">
        <f t="shared" si="178"/>
        <v/>
      </c>
      <c r="J118" s="580" t="str">
        <f t="shared" si="178"/>
        <v/>
      </c>
      <c r="K118" s="580" t="str">
        <f t="shared" si="178"/>
        <v/>
      </c>
      <c r="L118" s="580" t="str">
        <f t="shared" si="178"/>
        <v/>
      </c>
      <c r="M118" s="580" t="str">
        <f t="shared" si="178"/>
        <v/>
      </c>
      <c r="N118" s="580" t="str">
        <f t="shared" si="178"/>
        <v/>
      </c>
      <c r="O118" s="318"/>
      <c r="P118" s="318"/>
      <c r="Q118" s="580" t="str">
        <f t="shared" ref="Q118:AA118" si="179">IF($D$7="No", 0, IF(AND(ISNUMBER(Q119), ISNUMBER(Q120), ISNUMBER(Q121)), SUM(Q119:Q121), ""))</f>
        <v/>
      </c>
      <c r="R118" s="580" t="str">
        <f t="shared" si="179"/>
        <v/>
      </c>
      <c r="S118" s="580" t="str">
        <f t="shared" si="179"/>
        <v/>
      </c>
      <c r="T118" s="580" t="str">
        <f t="shared" si="179"/>
        <v/>
      </c>
      <c r="U118" s="580" t="str">
        <f t="shared" si="179"/>
        <v/>
      </c>
      <c r="V118" s="580" t="str">
        <f t="shared" si="179"/>
        <v/>
      </c>
      <c r="W118" s="580" t="str">
        <f t="shared" si="179"/>
        <v/>
      </c>
      <c r="X118" s="580" t="str">
        <f t="shared" si="179"/>
        <v/>
      </c>
      <c r="Y118" s="580" t="str">
        <f t="shared" si="179"/>
        <v/>
      </c>
      <c r="Z118" s="580" t="str">
        <f t="shared" si="179"/>
        <v/>
      </c>
      <c r="AA118" s="209" t="str">
        <f t="shared" si="179"/>
        <v/>
      </c>
      <c r="AB118" s="907" t="str">
        <f t="shared" si="110"/>
        <v/>
      </c>
      <c r="AC118" s="502"/>
      <c r="AD118" s="580" t="str">
        <f t="shared" ref="AD118:AK118" si="180">IF($D$7="No", 0, IF(AND(ISNUMBER(AD119), ISNUMBER(AD120), ISNUMBER(AD121)), SUM(AD119:AD121), ""))</f>
        <v/>
      </c>
      <c r="AE118" s="580" t="str">
        <f t="shared" si="180"/>
        <v/>
      </c>
      <c r="AF118" s="580" t="str">
        <f t="shared" si="180"/>
        <v/>
      </c>
      <c r="AG118" s="580" t="str">
        <f t="shared" si="180"/>
        <v/>
      </c>
      <c r="AH118" s="209" t="str">
        <f t="shared" si="180"/>
        <v/>
      </c>
      <c r="AI118" s="2251" t="str">
        <f t="shared" si="180"/>
        <v/>
      </c>
      <c r="AJ118" s="580" t="str">
        <f t="shared" si="180"/>
        <v/>
      </c>
      <c r="AK118" s="209" t="str">
        <f t="shared" si="180"/>
        <v/>
      </c>
      <c r="AL118" s="2246"/>
    </row>
    <row r="119" spans="2:38" ht="15" customHeight="1" x14ac:dyDescent="0.25">
      <c r="B119" s="614" t="s">
        <v>952</v>
      </c>
      <c r="C119" s="481"/>
      <c r="D119" s="318"/>
      <c r="E119" s="318"/>
      <c r="F119" s="318"/>
      <c r="G119" s="318"/>
      <c r="H119" s="318"/>
      <c r="I119" s="580" t="str">
        <f t="shared" ref="I119:I121" si="181">IF(AND(ISNUMBER(D119),ISNUMBER(E119),ISNUMBER(H119)),SUM(D119,E119,H119),"")</f>
        <v/>
      </c>
      <c r="J119" s="318"/>
      <c r="K119" s="318"/>
      <c r="L119" s="318"/>
      <c r="M119" s="580" t="str">
        <f t="shared" ref="M119:M121" si="182">IF(AND(ISNUMBER(J119),ISNUMBER(K119),ISNUMBER(L119)),SUM(J119:L119), "")</f>
        <v/>
      </c>
      <c r="N119" s="792"/>
      <c r="O119" s="318"/>
      <c r="P119" s="318"/>
      <c r="Q119" s="318"/>
      <c r="R119" s="318"/>
      <c r="S119" s="318"/>
      <c r="T119" s="318"/>
      <c r="U119" s="318"/>
      <c r="V119" s="318"/>
      <c r="W119" s="580" t="str">
        <f>IF(AND(ISNUMBER(R119),ISNUMBER(S119),ISNUMBER(V119)),SUM(R119,S119,V119),"")</f>
        <v/>
      </c>
      <c r="X119" s="318"/>
      <c r="Y119" s="318"/>
      <c r="Z119" s="318"/>
      <c r="AA119" s="209" t="str">
        <f t="shared" ref="AA119:AA121" si="183">IF(AND(ISNUMBER(X119),ISNUMBER(Y119),ISNUMBER(Z119)),SUM(X119:Z119), "")</f>
        <v/>
      </c>
      <c r="AB119" s="907" t="str">
        <f t="shared" si="110"/>
        <v/>
      </c>
      <c r="AC119" s="502"/>
      <c r="AD119" s="318"/>
      <c r="AE119" s="318"/>
      <c r="AF119" s="318"/>
      <c r="AG119" s="208"/>
      <c r="AH119" s="208"/>
      <c r="AI119" s="2251" t="str">
        <f t="shared" ref="AI119:AI121" si="184">IF(AND(ISNUMBER(AF119),ISNUMBER(AG119),ISNUMBER(AJ119)),AF119-AG119+AJ119,"")</f>
        <v/>
      </c>
      <c r="AJ119" s="318"/>
      <c r="AK119" s="208"/>
      <c r="AL119" s="2246"/>
    </row>
    <row r="120" spans="2:38" ht="15" customHeight="1" x14ac:dyDescent="0.25">
      <c r="B120" s="614" t="s">
        <v>953</v>
      </c>
      <c r="C120" s="481"/>
      <c r="D120" s="318"/>
      <c r="E120" s="318"/>
      <c r="F120" s="318"/>
      <c r="G120" s="318"/>
      <c r="H120" s="318"/>
      <c r="I120" s="580" t="str">
        <f t="shared" si="181"/>
        <v/>
      </c>
      <c r="J120" s="318"/>
      <c r="K120" s="318"/>
      <c r="L120" s="318"/>
      <c r="M120" s="580" t="str">
        <f t="shared" si="182"/>
        <v/>
      </c>
      <c r="N120" s="792"/>
      <c r="O120" s="318"/>
      <c r="P120" s="318"/>
      <c r="Q120" s="318"/>
      <c r="R120" s="318"/>
      <c r="S120" s="318"/>
      <c r="T120" s="318"/>
      <c r="U120" s="318"/>
      <c r="V120" s="318"/>
      <c r="W120" s="580" t="str">
        <f>IF(AND(ISNUMBER(R120),ISNUMBER(S120),ISNUMBER(V120)),SUM(R120,S120,V120),"")</f>
        <v/>
      </c>
      <c r="X120" s="318"/>
      <c r="Y120" s="318"/>
      <c r="Z120" s="318"/>
      <c r="AA120" s="209" t="str">
        <f t="shared" si="183"/>
        <v/>
      </c>
      <c r="AB120" s="907" t="str">
        <f t="shared" si="110"/>
        <v/>
      </c>
      <c r="AC120" s="502"/>
      <c r="AD120" s="318"/>
      <c r="AE120" s="318"/>
      <c r="AF120" s="318"/>
      <c r="AG120" s="208"/>
      <c r="AH120" s="208"/>
      <c r="AI120" s="2251" t="str">
        <f t="shared" si="184"/>
        <v/>
      </c>
      <c r="AJ120" s="318"/>
      <c r="AK120" s="208"/>
      <c r="AL120" s="2246"/>
    </row>
    <row r="121" spans="2:38" ht="15" customHeight="1" x14ac:dyDescent="0.25">
      <c r="B121" s="614" t="s">
        <v>673</v>
      </c>
      <c r="C121" s="481"/>
      <c r="D121" s="318"/>
      <c r="E121" s="318"/>
      <c r="F121" s="318"/>
      <c r="G121" s="318"/>
      <c r="H121" s="318"/>
      <c r="I121" s="580" t="str">
        <f t="shared" si="181"/>
        <v/>
      </c>
      <c r="J121" s="318"/>
      <c r="K121" s="318"/>
      <c r="L121" s="318"/>
      <c r="M121" s="580" t="str">
        <f t="shared" si="182"/>
        <v/>
      </c>
      <c r="N121" s="792"/>
      <c r="O121" s="318"/>
      <c r="P121" s="318"/>
      <c r="Q121" s="318"/>
      <c r="R121" s="318"/>
      <c r="S121" s="318"/>
      <c r="T121" s="318"/>
      <c r="U121" s="318"/>
      <c r="V121" s="318"/>
      <c r="W121" s="580" t="str">
        <f>IF(AND(ISNUMBER(R121),ISNUMBER(S121),ISNUMBER(V121)),SUM(R121,S121,V121),"")</f>
        <v/>
      </c>
      <c r="X121" s="318"/>
      <c r="Y121" s="318"/>
      <c r="Z121" s="318"/>
      <c r="AA121" s="209" t="str">
        <f t="shared" si="183"/>
        <v/>
      </c>
      <c r="AB121" s="907" t="str">
        <f t="shared" si="110"/>
        <v/>
      </c>
      <c r="AC121" s="502"/>
      <c r="AD121" s="318"/>
      <c r="AE121" s="318"/>
      <c r="AF121" s="318"/>
      <c r="AG121" s="208"/>
      <c r="AH121" s="208"/>
      <c r="AI121" s="2251" t="str">
        <f t="shared" si="184"/>
        <v/>
      </c>
      <c r="AJ121" s="318"/>
      <c r="AK121" s="208"/>
      <c r="AL121" s="2246"/>
    </row>
    <row r="122" spans="2:38" ht="15" customHeight="1" x14ac:dyDescent="0.25">
      <c r="B122" s="487" t="s">
        <v>826</v>
      </c>
      <c r="C122" s="580" t="str">
        <f t="shared" ref="C122:D122" si="185">IF(AND(ISNUMBER(C123),ISNUMBER(C124),ISNUMBER(C125),ISNUMBER(C126),ISNUMBER(C127),ISNUMBER(C128),ISNUMBER(C129)),SUM(C123:C129),"")</f>
        <v/>
      </c>
      <c r="D122" s="580" t="str">
        <f t="shared" si="185"/>
        <v/>
      </c>
      <c r="E122" s="580" t="str">
        <f t="shared" ref="E122:I122" si="186">IF(AND(ISNUMBER(E123),ISNUMBER(E124),ISNUMBER(E125),ISNUMBER(E126),ISNUMBER(E127),ISNUMBER(E128),ISNUMBER(E129)),SUM(E123:E129),"")</f>
        <v/>
      </c>
      <c r="F122" s="580" t="str">
        <f t="shared" si="186"/>
        <v/>
      </c>
      <c r="G122" s="580" t="str">
        <f t="shared" si="186"/>
        <v/>
      </c>
      <c r="H122" s="580" t="str">
        <f t="shared" si="186"/>
        <v/>
      </c>
      <c r="I122" s="580" t="str">
        <f t="shared" si="186"/>
        <v/>
      </c>
      <c r="J122" s="580" t="str">
        <f t="shared" ref="J122:K122" si="187">IF(AND(ISNUMBER(J123),ISNUMBER(J124),ISNUMBER(J125),ISNUMBER(J126),ISNUMBER(J127),ISNUMBER(J128),ISNUMBER(J129)),SUM(J123:J129),"")</f>
        <v/>
      </c>
      <c r="K122" s="580" t="str">
        <f t="shared" si="187"/>
        <v/>
      </c>
      <c r="L122" s="580" t="str">
        <f t="shared" ref="L122" si="188">IF(AND(ISNUMBER(L123),ISNUMBER(L124),ISNUMBER(L125),ISNUMBER(L126),ISNUMBER(L127),ISNUMBER(L128),ISNUMBER(L129)),SUM(L123:L129),"")</f>
        <v/>
      </c>
      <c r="M122" s="580" t="str">
        <f>IF(AND(ISNUMBER(M123),ISNUMBER(M124),ISNUMBER(M125),ISNUMBER(M126),ISNUMBER(M127),ISNUMBER(M128),ISNUMBER(M129)),SUM(M123:M129),"")</f>
        <v/>
      </c>
      <c r="N122" s="580" t="str">
        <f>IF(AND(ISNUMBER(N123),ISNUMBER(N124),ISNUMBER(N125),ISNUMBER(N126),ISNUMBER(N127),ISNUMBER(N128),ISNUMBER(N129)),SUM(N123:N129),"")</f>
        <v/>
      </c>
      <c r="O122" s="318"/>
      <c r="P122" s="318"/>
      <c r="Q122" s="580" t="str">
        <f t="shared" ref="Q122:W122" si="189">IF(AND(ISNUMBER(Q123),ISNUMBER(Q124),ISNUMBER(Q125),ISNUMBER(Q126),ISNUMBER(Q127),ISNUMBER(Q128),ISNUMBER(Q129)),SUM(Q123:Q129),"")</f>
        <v/>
      </c>
      <c r="R122" s="580" t="str">
        <f t="shared" si="189"/>
        <v/>
      </c>
      <c r="S122" s="580" t="str">
        <f t="shared" si="189"/>
        <v/>
      </c>
      <c r="T122" s="580" t="str">
        <f t="shared" si="189"/>
        <v/>
      </c>
      <c r="U122" s="580" t="str">
        <f t="shared" si="189"/>
        <v/>
      </c>
      <c r="V122" s="580" t="str">
        <f t="shared" si="189"/>
        <v/>
      </c>
      <c r="W122" s="580" t="str">
        <f t="shared" si="189"/>
        <v/>
      </c>
      <c r="X122" s="580" t="str">
        <f>IF(AND(ISNUMBER(X123),ISNUMBER(X124),ISNUMBER(X125),ISNUMBER(X126),ISNUMBER(X127),ISNUMBER(X128),ISNUMBER(X129)),SUM(X123:X129),"")</f>
        <v/>
      </c>
      <c r="Y122" s="580" t="str">
        <f>IF(AND(ISNUMBER(Y123),ISNUMBER(Y124),ISNUMBER(Y125),ISNUMBER(Y126),ISNUMBER(Y127),ISNUMBER(Y128),ISNUMBER(Y129)),SUM(Y123:Y129),"")</f>
        <v/>
      </c>
      <c r="Z122" s="580" t="str">
        <f>IF(AND(ISNUMBER(Z123),ISNUMBER(Z124),ISNUMBER(Z125),ISNUMBER(Z126),ISNUMBER(Z127),ISNUMBER(Z128),ISNUMBER(Z129)),SUM(Z123:Z129),"")</f>
        <v/>
      </c>
      <c r="AA122" s="209" t="str">
        <f>IF(AND(ISNUMBER(AA123),ISNUMBER(AA124),ISNUMBER(AA125),ISNUMBER(AA126),ISNUMBER(AA127),ISNUMBER(AA128),ISNUMBER(AA129)),SUM(AA123:AA129),"")</f>
        <v/>
      </c>
      <c r="AB122" s="907" t="str">
        <f t="shared" si="110"/>
        <v/>
      </c>
      <c r="AC122" s="502"/>
      <c r="AD122" s="580" t="str">
        <f t="shared" ref="AD122" si="190">IF(AND(ISNUMBER(AD123),ISNUMBER(AD124),ISNUMBER(AD125),ISNUMBER(AD126),ISNUMBER(AD127),ISNUMBER(AD128),ISNUMBER(AD129)),SUM(AD123:AD129),"")</f>
        <v/>
      </c>
      <c r="AE122" s="580" t="str">
        <f>IF(AND(ISNUMBER(AE123),ISNUMBER(AE124),ISNUMBER(AE125),ISNUMBER(AE126),ISNUMBER(AE127),ISNUMBER(AE128),ISNUMBER(AE129)),SUM(AE123:AE129),"")</f>
        <v/>
      </c>
      <c r="AF122" s="580" t="str">
        <f t="shared" ref="AF122:AK122" si="191">IF(AND(ISNUMBER(AF123),ISNUMBER(AF124),ISNUMBER(AF125),ISNUMBER(AF126),ISNUMBER(AF127),ISNUMBER(AF128),ISNUMBER(AF129)),SUM(AF123:AF129),"")</f>
        <v/>
      </c>
      <c r="AG122" s="580" t="str">
        <f t="shared" si="191"/>
        <v/>
      </c>
      <c r="AH122" s="209" t="str">
        <f t="shared" si="191"/>
        <v/>
      </c>
      <c r="AI122" s="2251" t="str">
        <f t="shared" si="191"/>
        <v/>
      </c>
      <c r="AJ122" s="580" t="str">
        <f t="shared" si="191"/>
        <v/>
      </c>
      <c r="AK122" s="209" t="str">
        <f t="shared" si="191"/>
        <v/>
      </c>
      <c r="AL122" s="2246"/>
    </row>
    <row r="123" spans="2:38" ht="15" customHeight="1" x14ac:dyDescent="0.25">
      <c r="B123" s="614" t="s">
        <v>667</v>
      </c>
      <c r="C123" s="481"/>
      <c r="D123" s="318"/>
      <c r="E123" s="318"/>
      <c r="F123" s="318"/>
      <c r="G123" s="318"/>
      <c r="H123" s="318"/>
      <c r="I123" s="580" t="str">
        <f t="shared" ref="I123:I129" si="192">IF(AND(ISNUMBER(D123),ISNUMBER(E123),ISNUMBER(H123)),SUM(D123,E123,H123),"")</f>
        <v/>
      </c>
      <c r="J123" s="318"/>
      <c r="K123" s="318"/>
      <c r="L123" s="318"/>
      <c r="M123" s="580" t="str">
        <f t="shared" ref="M123:M129" si="193">IF(AND(ISNUMBER(J123),ISNUMBER(K123),ISNUMBER(L123)),SUM(J123:L123), "")</f>
        <v/>
      </c>
      <c r="N123" s="792"/>
      <c r="O123" s="318"/>
      <c r="P123" s="318"/>
      <c r="Q123" s="318"/>
      <c r="R123" s="318"/>
      <c r="S123" s="318"/>
      <c r="T123" s="318"/>
      <c r="U123" s="318"/>
      <c r="V123" s="318"/>
      <c r="W123" s="580" t="str">
        <f t="shared" ref="W123:W129" si="194">IF(AND(ISNUMBER(R123),ISNUMBER(S123),ISNUMBER(V123)),SUM(R123,S123,V123),"")</f>
        <v/>
      </c>
      <c r="X123" s="318"/>
      <c r="Y123" s="318"/>
      <c r="Z123" s="318"/>
      <c r="AA123" s="209" t="str">
        <f t="shared" ref="AA123:AA129" si="195">IF(AND(ISNUMBER(X123),ISNUMBER(Y123),ISNUMBER(Z123)),SUM(X123:Z123), "")</f>
        <v/>
      </c>
      <c r="AB123" s="907" t="str">
        <f t="shared" si="110"/>
        <v/>
      </c>
      <c r="AC123" s="560" t="str">
        <f>IF(ISNUMBER(AB123),IF(AND(AB123&gt;=(Parameters!F375*0.95), AB123&lt;=(Parameters!F375*1.05)), "Pass", "Fail (RW≠" &amp; Parameters!F375*100 &amp; "%)"),"")</f>
        <v/>
      </c>
      <c r="AD123" s="318"/>
      <c r="AE123" s="318"/>
      <c r="AF123" s="318"/>
      <c r="AG123" s="208"/>
      <c r="AH123" s="208"/>
      <c r="AI123" s="2251" t="str">
        <f t="shared" ref="AI123:AI129" si="196">IF(AND(ISNUMBER(AF123),ISNUMBER(AG123),ISNUMBER(AJ123)),AF123-AG123+AJ123,"")</f>
        <v/>
      </c>
      <c r="AJ123" s="318"/>
      <c r="AK123" s="208"/>
      <c r="AL123" s="2246"/>
    </row>
    <row r="124" spans="2:38" ht="15" customHeight="1" x14ac:dyDescent="0.25">
      <c r="B124" s="614" t="s">
        <v>668</v>
      </c>
      <c r="C124" s="481"/>
      <c r="D124" s="318"/>
      <c r="E124" s="318"/>
      <c r="F124" s="318"/>
      <c r="G124" s="318"/>
      <c r="H124" s="318"/>
      <c r="I124" s="580" t="str">
        <f t="shared" si="192"/>
        <v/>
      </c>
      <c r="J124" s="318"/>
      <c r="K124" s="318"/>
      <c r="L124" s="318"/>
      <c r="M124" s="580" t="str">
        <f t="shared" si="193"/>
        <v/>
      </c>
      <c r="N124" s="792"/>
      <c r="O124" s="318"/>
      <c r="P124" s="318"/>
      <c r="Q124" s="318"/>
      <c r="R124" s="318"/>
      <c r="S124" s="318"/>
      <c r="T124" s="318"/>
      <c r="U124" s="318"/>
      <c r="V124" s="318"/>
      <c r="W124" s="580" t="str">
        <f t="shared" si="194"/>
        <v/>
      </c>
      <c r="X124" s="318"/>
      <c r="Y124" s="318"/>
      <c r="Z124" s="318"/>
      <c r="AA124" s="209" t="str">
        <f t="shared" si="195"/>
        <v/>
      </c>
      <c r="AB124" s="907" t="str">
        <f t="shared" si="110"/>
        <v/>
      </c>
      <c r="AC124" s="560" t="str">
        <f>IF(ISNUMBER(AB124),IF(AND(AB124&gt;=(Parameters!F376*0.95), AB124&lt;=(Parameters!F376*1.05)), "Pass", "Fail (RW≠" &amp; Parameters!F376*100 &amp; "%)"),"")</f>
        <v/>
      </c>
      <c r="AD124" s="318"/>
      <c r="AE124" s="318"/>
      <c r="AF124" s="318"/>
      <c r="AG124" s="208"/>
      <c r="AH124" s="208"/>
      <c r="AI124" s="2251" t="str">
        <f t="shared" si="196"/>
        <v/>
      </c>
      <c r="AJ124" s="318"/>
      <c r="AK124" s="208"/>
      <c r="AL124" s="2246"/>
    </row>
    <row r="125" spans="2:38" ht="15" customHeight="1" x14ac:dyDescent="0.25">
      <c r="B125" s="614" t="s">
        <v>669</v>
      </c>
      <c r="C125" s="481"/>
      <c r="D125" s="318"/>
      <c r="E125" s="318"/>
      <c r="F125" s="318"/>
      <c r="G125" s="318"/>
      <c r="H125" s="318"/>
      <c r="I125" s="580" t="str">
        <f t="shared" si="192"/>
        <v/>
      </c>
      <c r="J125" s="318"/>
      <c r="K125" s="318"/>
      <c r="L125" s="318"/>
      <c r="M125" s="580" t="str">
        <f t="shared" si="193"/>
        <v/>
      </c>
      <c r="N125" s="792"/>
      <c r="O125" s="318"/>
      <c r="P125" s="318"/>
      <c r="Q125" s="318"/>
      <c r="R125" s="318"/>
      <c r="S125" s="318"/>
      <c r="T125" s="318"/>
      <c r="U125" s="318"/>
      <c r="V125" s="318"/>
      <c r="W125" s="580" t="str">
        <f t="shared" si="194"/>
        <v/>
      </c>
      <c r="X125" s="318"/>
      <c r="Y125" s="318"/>
      <c r="Z125" s="318"/>
      <c r="AA125" s="209" t="str">
        <f t="shared" si="195"/>
        <v/>
      </c>
      <c r="AB125" s="907" t="str">
        <f t="shared" si="110"/>
        <v/>
      </c>
      <c r="AC125" s="560" t="str">
        <f>IF(ISNUMBER(AB125),IF(AND(AB125&gt;=(Parameters!F377*0.95), AB125&lt;=(Parameters!F377*1.05)), "Pass", "Fail (RW≠" &amp; Parameters!F377*100 &amp; "%)"),"")</f>
        <v/>
      </c>
      <c r="AD125" s="318"/>
      <c r="AE125" s="318"/>
      <c r="AF125" s="318"/>
      <c r="AG125" s="208"/>
      <c r="AH125" s="208"/>
      <c r="AI125" s="2251" t="str">
        <f t="shared" si="196"/>
        <v/>
      </c>
      <c r="AJ125" s="318"/>
      <c r="AK125" s="208"/>
      <c r="AL125" s="2246"/>
    </row>
    <row r="126" spans="2:38" ht="15" customHeight="1" x14ac:dyDescent="0.25">
      <c r="B126" s="614" t="s">
        <v>670</v>
      </c>
      <c r="C126" s="481"/>
      <c r="D126" s="318"/>
      <c r="E126" s="318"/>
      <c r="F126" s="318"/>
      <c r="G126" s="318"/>
      <c r="H126" s="318"/>
      <c r="I126" s="580" t="str">
        <f t="shared" si="192"/>
        <v/>
      </c>
      <c r="J126" s="318"/>
      <c r="K126" s="318"/>
      <c r="L126" s="318"/>
      <c r="M126" s="580" t="str">
        <f t="shared" si="193"/>
        <v/>
      </c>
      <c r="N126" s="792"/>
      <c r="O126" s="318"/>
      <c r="P126" s="318"/>
      <c r="Q126" s="318"/>
      <c r="R126" s="318"/>
      <c r="S126" s="318"/>
      <c r="T126" s="318"/>
      <c r="U126" s="318"/>
      <c r="V126" s="318"/>
      <c r="W126" s="580" t="str">
        <f t="shared" si="194"/>
        <v/>
      </c>
      <c r="X126" s="318"/>
      <c r="Y126" s="318"/>
      <c r="Z126" s="318"/>
      <c r="AA126" s="209" t="str">
        <f t="shared" si="195"/>
        <v/>
      </c>
      <c r="AB126" s="907" t="str">
        <f t="shared" si="110"/>
        <v/>
      </c>
      <c r="AC126" s="560" t="str">
        <f>IF(ISNUMBER(AB126),IF(AND(AB126&gt;=(Parameters!F378*0.95), AB126&lt;=(Parameters!F378*1.05)), "Pass", "Fail (RW≠" &amp; Parameters!F378*100 &amp; "%)"),"")</f>
        <v/>
      </c>
      <c r="AD126" s="318"/>
      <c r="AE126" s="318"/>
      <c r="AF126" s="318"/>
      <c r="AG126" s="208"/>
      <c r="AH126" s="208"/>
      <c r="AI126" s="2251" t="str">
        <f t="shared" si="196"/>
        <v/>
      </c>
      <c r="AJ126" s="318"/>
      <c r="AK126" s="208"/>
      <c r="AL126" s="2246"/>
    </row>
    <row r="127" spans="2:38" ht="15" customHeight="1" x14ac:dyDescent="0.25">
      <c r="B127" s="614" t="s">
        <v>671</v>
      </c>
      <c r="C127" s="481"/>
      <c r="D127" s="318"/>
      <c r="E127" s="318"/>
      <c r="F127" s="318"/>
      <c r="G127" s="318"/>
      <c r="H127" s="318"/>
      <c r="I127" s="580" t="str">
        <f t="shared" si="192"/>
        <v/>
      </c>
      <c r="J127" s="318"/>
      <c r="K127" s="318"/>
      <c r="L127" s="318"/>
      <c r="M127" s="580" t="str">
        <f t="shared" si="193"/>
        <v/>
      </c>
      <c r="N127" s="792"/>
      <c r="O127" s="318"/>
      <c r="P127" s="318"/>
      <c r="Q127" s="318"/>
      <c r="R127" s="318"/>
      <c r="S127" s="318"/>
      <c r="T127" s="318"/>
      <c r="U127" s="318"/>
      <c r="V127" s="318"/>
      <c r="W127" s="580" t="str">
        <f t="shared" si="194"/>
        <v/>
      </c>
      <c r="X127" s="318"/>
      <c r="Y127" s="318"/>
      <c r="Z127" s="318"/>
      <c r="AA127" s="209" t="str">
        <f t="shared" si="195"/>
        <v/>
      </c>
      <c r="AB127" s="907" t="str">
        <f t="shared" si="110"/>
        <v/>
      </c>
      <c r="AC127" s="560" t="str">
        <f>IF(ISNUMBER(AB127),IF(AND(AB127&gt;=(Parameters!F379*0.95), AB127&lt;=(Parameters!F379*1.05)), "Pass", "Fail (RW≠" &amp; Parameters!F379*100 &amp; "%)"),"")</f>
        <v/>
      </c>
      <c r="AD127" s="318"/>
      <c r="AE127" s="318"/>
      <c r="AF127" s="318"/>
      <c r="AG127" s="208"/>
      <c r="AH127" s="208"/>
      <c r="AI127" s="2251" t="str">
        <f t="shared" si="196"/>
        <v/>
      </c>
      <c r="AJ127" s="318"/>
      <c r="AK127" s="208"/>
      <c r="AL127" s="2246"/>
    </row>
    <row r="128" spans="2:38" ht="15" customHeight="1" x14ac:dyDescent="0.25">
      <c r="B128" s="614" t="s">
        <v>672</v>
      </c>
      <c r="C128" s="481"/>
      <c r="D128" s="318"/>
      <c r="E128" s="318"/>
      <c r="F128" s="318"/>
      <c r="G128" s="318"/>
      <c r="H128" s="318"/>
      <c r="I128" s="580" t="str">
        <f t="shared" si="192"/>
        <v/>
      </c>
      <c r="J128" s="318"/>
      <c r="K128" s="318"/>
      <c r="L128" s="318"/>
      <c r="M128" s="580" t="str">
        <f t="shared" si="193"/>
        <v/>
      </c>
      <c r="N128" s="792"/>
      <c r="O128" s="318"/>
      <c r="P128" s="318"/>
      <c r="Q128" s="318"/>
      <c r="R128" s="318"/>
      <c r="S128" s="318"/>
      <c r="T128" s="318"/>
      <c r="U128" s="318"/>
      <c r="V128" s="318"/>
      <c r="W128" s="580" t="str">
        <f t="shared" si="194"/>
        <v/>
      </c>
      <c r="X128" s="318"/>
      <c r="Y128" s="318"/>
      <c r="Z128" s="318"/>
      <c r="AA128" s="209" t="str">
        <f t="shared" si="195"/>
        <v/>
      </c>
      <c r="AB128" s="907" t="str">
        <f t="shared" si="110"/>
        <v/>
      </c>
      <c r="AC128" s="560" t="str">
        <f>IF(ISNUMBER(AB128),IF(AND(AB128&gt;=(Parameters!F380*0.95), AB128&lt;=(Parameters!F380*1.05)), "Pass", "Fail (RW≠" &amp; Parameters!F380*100 &amp; "%)"),"")</f>
        <v/>
      </c>
      <c r="AD128" s="318"/>
      <c r="AE128" s="318"/>
      <c r="AF128" s="318"/>
      <c r="AG128" s="208"/>
      <c r="AH128" s="208"/>
      <c r="AI128" s="2251" t="str">
        <f t="shared" si="196"/>
        <v/>
      </c>
      <c r="AJ128" s="318"/>
      <c r="AK128" s="208"/>
      <c r="AL128" s="2246"/>
    </row>
    <row r="129" spans="2:38" ht="15" customHeight="1" x14ac:dyDescent="0.25">
      <c r="B129" s="614" t="s">
        <v>673</v>
      </c>
      <c r="C129" s="481"/>
      <c r="D129" s="318"/>
      <c r="E129" s="318"/>
      <c r="F129" s="318"/>
      <c r="G129" s="318"/>
      <c r="H129" s="318"/>
      <c r="I129" s="580" t="str">
        <f t="shared" si="192"/>
        <v/>
      </c>
      <c r="J129" s="318"/>
      <c r="K129" s="318"/>
      <c r="L129" s="318"/>
      <c r="M129" s="580" t="str">
        <f t="shared" si="193"/>
        <v/>
      </c>
      <c r="N129" s="792"/>
      <c r="O129" s="318"/>
      <c r="P129" s="318"/>
      <c r="Q129" s="318"/>
      <c r="R129" s="318"/>
      <c r="S129" s="318"/>
      <c r="T129" s="318"/>
      <c r="U129" s="318"/>
      <c r="V129" s="318"/>
      <c r="W129" s="580" t="str">
        <f t="shared" si="194"/>
        <v/>
      </c>
      <c r="X129" s="318"/>
      <c r="Y129" s="318"/>
      <c r="Z129" s="318"/>
      <c r="AA129" s="209" t="str">
        <f t="shared" si="195"/>
        <v/>
      </c>
      <c r="AB129" s="907" t="str">
        <f t="shared" si="110"/>
        <v/>
      </c>
      <c r="AC129" s="560" t="str">
        <f>IF(ISNUMBER(AB129),IF(AND(AB129&gt;=(Parameters!F381*0.95), AB129&lt;=(Parameters!F381*1.05)), "Pass", "Fail (RW≠" &amp; Parameters!F381*100 &amp; "%)"),"")</f>
        <v/>
      </c>
      <c r="AD129" s="318"/>
      <c r="AE129" s="318"/>
      <c r="AF129" s="318"/>
      <c r="AG129" s="208"/>
      <c r="AH129" s="208"/>
      <c r="AI129" s="2251" t="str">
        <f t="shared" si="196"/>
        <v/>
      </c>
      <c r="AJ129" s="318"/>
      <c r="AK129" s="208"/>
      <c r="AL129" s="2246"/>
    </row>
    <row r="130" spans="2:38" ht="15" customHeight="1" x14ac:dyDescent="0.25">
      <c r="B130" s="487" t="s">
        <v>827</v>
      </c>
      <c r="C130" s="580" t="str">
        <f t="shared" ref="C130:D130" si="197">IF(AND(ISNUMBER(C131),ISNUMBER(C132),ISNUMBER(C133),ISNUMBER(C134)),SUM(C131:C134),"")</f>
        <v/>
      </c>
      <c r="D130" s="580" t="str">
        <f t="shared" si="197"/>
        <v/>
      </c>
      <c r="E130" s="580" t="str">
        <f t="shared" ref="E130:I130" si="198">IF(AND(ISNUMBER(E131),ISNUMBER(E132),ISNUMBER(E133),ISNUMBER(E134)),SUM(E131:E134),"")</f>
        <v/>
      </c>
      <c r="F130" s="580" t="str">
        <f t="shared" si="198"/>
        <v/>
      </c>
      <c r="G130" s="580" t="str">
        <f t="shared" si="198"/>
        <v/>
      </c>
      <c r="H130" s="580" t="str">
        <f t="shared" si="198"/>
        <v/>
      </c>
      <c r="I130" s="580" t="str">
        <f t="shared" si="198"/>
        <v/>
      </c>
      <c r="J130" s="580" t="str">
        <f t="shared" ref="J130:K130" si="199">IF(AND(ISNUMBER(J131),ISNUMBER(J132),ISNUMBER(J133),ISNUMBER(J134)),SUM(J131:J134),"")</f>
        <v/>
      </c>
      <c r="K130" s="580" t="str">
        <f t="shared" si="199"/>
        <v/>
      </c>
      <c r="L130" s="580" t="str">
        <f t="shared" ref="L130" si="200">IF(AND(ISNUMBER(L131),ISNUMBER(L132),ISNUMBER(L133),ISNUMBER(L134)),SUM(L131:L134),"")</f>
        <v/>
      </c>
      <c r="M130" s="580" t="str">
        <f>IF(AND(ISNUMBER(M131),ISNUMBER(M132),ISNUMBER(M133),ISNUMBER(M134)),SUM(M131:M134),"")</f>
        <v/>
      </c>
      <c r="N130" s="580" t="str">
        <f>IF(AND(ISNUMBER(N131),ISNUMBER(N132),ISNUMBER(N133),ISNUMBER(N134)),SUM(N131:N134),"")</f>
        <v/>
      </c>
      <c r="O130" s="318"/>
      <c r="P130" s="318"/>
      <c r="Q130" s="580" t="str">
        <f t="shared" ref="Q130:W130" si="201">IF(AND(ISNUMBER(Q131),ISNUMBER(Q132),ISNUMBER(Q133),ISNUMBER(Q134)),SUM(Q131:Q134),"")</f>
        <v/>
      </c>
      <c r="R130" s="580" t="str">
        <f t="shared" si="201"/>
        <v/>
      </c>
      <c r="S130" s="580" t="str">
        <f t="shared" si="201"/>
        <v/>
      </c>
      <c r="T130" s="580" t="str">
        <f t="shared" si="201"/>
        <v/>
      </c>
      <c r="U130" s="580" t="str">
        <f t="shared" si="201"/>
        <v/>
      </c>
      <c r="V130" s="580" t="str">
        <f t="shared" si="201"/>
        <v/>
      </c>
      <c r="W130" s="580" t="str">
        <f t="shared" si="201"/>
        <v/>
      </c>
      <c r="X130" s="580" t="str">
        <f>IF(AND(ISNUMBER(X131),ISNUMBER(X132),ISNUMBER(X133),ISNUMBER(X134)),SUM(X131:X134),"")</f>
        <v/>
      </c>
      <c r="Y130" s="580" t="str">
        <f>IF(AND(ISNUMBER(Y131),ISNUMBER(Y132),ISNUMBER(Y133),ISNUMBER(Y134)),SUM(Y131:Y134),"")</f>
        <v/>
      </c>
      <c r="Z130" s="580" t="str">
        <f>IF(AND(ISNUMBER(Z131),ISNUMBER(Z132),ISNUMBER(Z133),ISNUMBER(Z134)),SUM(Z131:Z134),"")</f>
        <v/>
      </c>
      <c r="AA130" s="209" t="str">
        <f>IF(AND(ISNUMBER(AA131),ISNUMBER(AA132),ISNUMBER(AA133),ISNUMBER(AA134)),SUM(AA131:AA134),"")</f>
        <v/>
      </c>
      <c r="AB130" s="907" t="str">
        <f t="shared" si="110"/>
        <v/>
      </c>
      <c r="AC130" s="502"/>
      <c r="AD130" s="580" t="str">
        <f>IF(AND(ISNUMBER(AD131),ISNUMBER(AD132),ISNUMBER(AD133),ISNUMBER(AD134)),SUM(AD131:AD134),"")</f>
        <v/>
      </c>
      <c r="AE130" s="580" t="str">
        <f>IF(AND(ISNUMBER(AE131),ISNUMBER(AE132),ISNUMBER(AE133),ISNUMBER(AE134)),SUM(AE131:AE134),"")</f>
        <v/>
      </c>
      <c r="AF130" s="580" t="str">
        <f>IF(AND(ISNUMBER(AF131),ISNUMBER(AF132),ISNUMBER(AF133),ISNUMBER(AF134)),SUM(AF131:AF134),"")</f>
        <v/>
      </c>
      <c r="AG130" s="580" t="str">
        <f>IF(AND(ISNUMBER(AG131),ISNUMBER(AG132),ISNUMBER(AG133),ISNUMBER(AG134)),SUM(AG131:AG134),"")</f>
        <v/>
      </c>
      <c r="AH130" s="209" t="str">
        <f>IF(AND(ISNUMBER(AH131),ISNUMBER(AH132),ISNUMBER(AH133),ISNUMBER(AH134)),SUM(AH131:AH134),"")</f>
        <v/>
      </c>
      <c r="AI130" s="2251" t="str">
        <f t="shared" ref="AI130:AK130" si="202">IF(AND(ISNUMBER(AI131),ISNUMBER(AI132),ISNUMBER(AI133),ISNUMBER(AI134)),SUM(AI131:AI134),"")</f>
        <v/>
      </c>
      <c r="AJ130" s="580" t="str">
        <f t="shared" si="202"/>
        <v/>
      </c>
      <c r="AK130" s="209" t="str">
        <f t="shared" si="202"/>
        <v/>
      </c>
      <c r="AL130" s="2246"/>
    </row>
    <row r="131" spans="2:38" ht="15" customHeight="1" x14ac:dyDescent="0.25">
      <c r="B131" s="614" t="s">
        <v>675</v>
      </c>
      <c r="C131" s="481"/>
      <c r="D131" s="318"/>
      <c r="E131" s="318"/>
      <c r="F131" s="318"/>
      <c r="G131" s="318"/>
      <c r="H131" s="318"/>
      <c r="I131" s="580" t="str">
        <f t="shared" ref="I131:I134" si="203">IF(AND(ISNUMBER(D131),ISNUMBER(E131),ISNUMBER(H131)),SUM(D131,E131,H131),"")</f>
        <v/>
      </c>
      <c r="J131" s="318"/>
      <c r="K131" s="318"/>
      <c r="L131" s="318"/>
      <c r="M131" s="580" t="str">
        <f t="shared" ref="M131:M134" si="204">IF(AND(ISNUMBER(J131),ISNUMBER(K131),ISNUMBER(L131)),SUM(J131:L131), "")</f>
        <v/>
      </c>
      <c r="N131" s="792"/>
      <c r="O131" s="318"/>
      <c r="P131" s="318"/>
      <c r="Q131" s="318"/>
      <c r="R131" s="318"/>
      <c r="S131" s="318"/>
      <c r="T131" s="318"/>
      <c r="U131" s="318"/>
      <c r="V131" s="318"/>
      <c r="W131" s="580" t="str">
        <f>IF(AND(ISNUMBER(R131),ISNUMBER(S131),ISNUMBER(V131)),SUM(R131,S131,V131),"")</f>
        <v/>
      </c>
      <c r="X131" s="318"/>
      <c r="Y131" s="318"/>
      <c r="Z131" s="318"/>
      <c r="AA131" s="209" t="str">
        <f t="shared" ref="AA131:AA134" si="205">IF(AND(ISNUMBER(X131),ISNUMBER(Y131),ISNUMBER(Z131)),SUM(X131:Z131), "")</f>
        <v/>
      </c>
      <c r="AB131" s="907" t="str">
        <f t="shared" si="110"/>
        <v/>
      </c>
      <c r="AC131" s="560" t="str">
        <f>IF(ISNUMBER(AB131),IF(AND(AB131&gt;=(Parameters!F383*0.95), AB131&lt;=(Parameters!F383*1.05)), "Pass", "Fail (RW≠" &amp; Parameters!F383*100 &amp; "%)"),"")</f>
        <v/>
      </c>
      <c r="AD131" s="318"/>
      <c r="AE131" s="318"/>
      <c r="AF131" s="318"/>
      <c r="AG131" s="208"/>
      <c r="AH131" s="208"/>
      <c r="AI131" s="2251" t="str">
        <f t="shared" ref="AI131:AI134" si="206">IF(AND(ISNUMBER(AF131),ISNUMBER(AG131),ISNUMBER(AJ131)),AF131-AG131+AJ131,"")</f>
        <v/>
      </c>
      <c r="AJ131" s="318"/>
      <c r="AK131" s="208"/>
      <c r="AL131" s="2246"/>
    </row>
    <row r="132" spans="2:38" ht="15" customHeight="1" x14ac:dyDescent="0.25">
      <c r="B132" s="614" t="s">
        <v>676</v>
      </c>
      <c r="C132" s="481"/>
      <c r="D132" s="318"/>
      <c r="E132" s="318"/>
      <c r="F132" s="318"/>
      <c r="G132" s="318"/>
      <c r="H132" s="318"/>
      <c r="I132" s="580" t="str">
        <f t="shared" si="203"/>
        <v/>
      </c>
      <c r="J132" s="318"/>
      <c r="K132" s="318"/>
      <c r="L132" s="318"/>
      <c r="M132" s="580" t="str">
        <f t="shared" si="204"/>
        <v/>
      </c>
      <c r="N132" s="792"/>
      <c r="O132" s="318"/>
      <c r="P132" s="318"/>
      <c r="Q132" s="318"/>
      <c r="R132" s="318"/>
      <c r="S132" s="318"/>
      <c r="T132" s="318"/>
      <c r="U132" s="318"/>
      <c r="V132" s="318"/>
      <c r="W132" s="580" t="str">
        <f>IF(AND(ISNUMBER(R132),ISNUMBER(S132),ISNUMBER(V132)),SUM(R132,S132,V132),"")</f>
        <v/>
      </c>
      <c r="X132" s="318"/>
      <c r="Y132" s="318"/>
      <c r="Z132" s="318"/>
      <c r="AA132" s="209" t="str">
        <f t="shared" si="205"/>
        <v/>
      </c>
      <c r="AB132" s="907" t="str">
        <f t="shared" si="110"/>
        <v/>
      </c>
      <c r="AC132" s="560" t="str">
        <f>IF(ISNUMBER(AB132),IF(AND(AB132&gt;=(Parameters!F384*0.95), AB132&lt;=(Parameters!F384*1.05)), "Pass", "Fail (RW≠" &amp; Parameters!F384*100 &amp; "%)"),"")</f>
        <v/>
      </c>
      <c r="AD132" s="318"/>
      <c r="AE132" s="318"/>
      <c r="AF132" s="318"/>
      <c r="AG132" s="208"/>
      <c r="AH132" s="208"/>
      <c r="AI132" s="2251" t="str">
        <f t="shared" si="206"/>
        <v/>
      </c>
      <c r="AJ132" s="318"/>
      <c r="AK132" s="208"/>
      <c r="AL132" s="2246"/>
    </row>
    <row r="133" spans="2:38" ht="15" customHeight="1" x14ac:dyDescent="0.25">
      <c r="B133" s="614" t="s">
        <v>677</v>
      </c>
      <c r="C133" s="481"/>
      <c r="D133" s="318"/>
      <c r="E133" s="318"/>
      <c r="F133" s="318"/>
      <c r="G133" s="318"/>
      <c r="H133" s="318"/>
      <c r="I133" s="580" t="str">
        <f t="shared" si="203"/>
        <v/>
      </c>
      <c r="J133" s="318"/>
      <c r="K133" s="318"/>
      <c r="L133" s="318"/>
      <c r="M133" s="580" t="str">
        <f t="shared" si="204"/>
        <v/>
      </c>
      <c r="N133" s="792"/>
      <c r="O133" s="318"/>
      <c r="P133" s="318"/>
      <c r="Q133" s="318"/>
      <c r="R133" s="318"/>
      <c r="S133" s="318"/>
      <c r="T133" s="318"/>
      <c r="U133" s="318"/>
      <c r="V133" s="318"/>
      <c r="W133" s="580" t="str">
        <f>IF(AND(ISNUMBER(R133),ISNUMBER(S133),ISNUMBER(V133)),SUM(R133,S133,V133),"")</f>
        <v/>
      </c>
      <c r="X133" s="318"/>
      <c r="Y133" s="318"/>
      <c r="Z133" s="318"/>
      <c r="AA133" s="209" t="str">
        <f t="shared" si="205"/>
        <v/>
      </c>
      <c r="AB133" s="907" t="str">
        <f t="shared" si="110"/>
        <v/>
      </c>
      <c r="AC133" s="560" t="str">
        <f>IF(ISNUMBER(AB133),IF(AND(AB133&gt;=(Parameters!F385*0.95), AB133&lt;=(Parameters!F385*1.05)), "Pass", "Fail (RW≠" &amp; Parameters!F385*100 &amp; "%)"),"")</f>
        <v/>
      </c>
      <c r="AD133" s="318"/>
      <c r="AE133" s="318"/>
      <c r="AF133" s="318"/>
      <c r="AG133" s="208"/>
      <c r="AH133" s="208"/>
      <c r="AI133" s="2251" t="str">
        <f t="shared" si="206"/>
        <v/>
      </c>
      <c r="AJ133" s="318"/>
      <c r="AK133" s="208"/>
      <c r="AL133" s="2246"/>
    </row>
    <row r="134" spans="2:38" ht="15" customHeight="1" x14ac:dyDescent="0.25">
      <c r="B134" s="614" t="s">
        <v>673</v>
      </c>
      <c r="C134" s="481"/>
      <c r="D134" s="318"/>
      <c r="E134" s="318"/>
      <c r="F134" s="318"/>
      <c r="G134" s="318"/>
      <c r="H134" s="318"/>
      <c r="I134" s="580" t="str">
        <f t="shared" si="203"/>
        <v/>
      </c>
      <c r="J134" s="318"/>
      <c r="K134" s="318"/>
      <c r="L134" s="318"/>
      <c r="M134" s="580" t="str">
        <f t="shared" si="204"/>
        <v/>
      </c>
      <c r="N134" s="792"/>
      <c r="O134" s="318"/>
      <c r="P134" s="318"/>
      <c r="Q134" s="318"/>
      <c r="R134" s="318"/>
      <c r="S134" s="318"/>
      <c r="T134" s="318"/>
      <c r="U134" s="318"/>
      <c r="V134" s="318"/>
      <c r="W134" s="580" t="str">
        <f>IF(AND(ISNUMBER(R134),ISNUMBER(S134),ISNUMBER(V134)),SUM(R134,S134,V134),"")</f>
        <v/>
      </c>
      <c r="X134" s="318"/>
      <c r="Y134" s="318"/>
      <c r="Z134" s="318"/>
      <c r="AA134" s="209" t="str">
        <f t="shared" si="205"/>
        <v/>
      </c>
      <c r="AB134" s="907" t="str">
        <f t="shared" si="110"/>
        <v/>
      </c>
      <c r="AC134" s="560" t="str">
        <f>IF(ISNUMBER(AB134),IF(AND(AB134&gt;=(Parameters!F386*0.95), AB134&lt;=(Parameters!F386*1.05)), "Pass", "Fail (RW≠" &amp; Parameters!F386*100 &amp; "%)"),"")</f>
        <v/>
      </c>
      <c r="AD134" s="318"/>
      <c r="AE134" s="318"/>
      <c r="AF134" s="318"/>
      <c r="AG134" s="208"/>
      <c r="AH134" s="208"/>
      <c r="AI134" s="2251" t="str">
        <f t="shared" si="206"/>
        <v/>
      </c>
      <c r="AJ134" s="318"/>
      <c r="AK134" s="208"/>
      <c r="AL134" s="2246"/>
    </row>
    <row r="135" spans="2:38" ht="15" customHeight="1" x14ac:dyDescent="0.25">
      <c r="B135" s="487" t="s">
        <v>828</v>
      </c>
      <c r="C135" s="580" t="str">
        <f t="shared" ref="C135:D135" si="207">IF(AND(ISNUMBER(C136),ISNUMBER(C137)),SUM(C136:C137),"")</f>
        <v/>
      </c>
      <c r="D135" s="580" t="str">
        <f t="shared" si="207"/>
        <v/>
      </c>
      <c r="E135" s="580" t="str">
        <f t="shared" ref="E135:I135" si="208">IF(AND(ISNUMBER(E136),ISNUMBER(E137)),SUM(E136:E137),"")</f>
        <v/>
      </c>
      <c r="F135" s="580" t="str">
        <f t="shared" si="208"/>
        <v/>
      </c>
      <c r="G135" s="580" t="str">
        <f t="shared" si="208"/>
        <v/>
      </c>
      <c r="H135" s="580" t="str">
        <f t="shared" si="208"/>
        <v/>
      </c>
      <c r="I135" s="580" t="str">
        <f t="shared" si="208"/>
        <v/>
      </c>
      <c r="J135" s="580" t="str">
        <f t="shared" ref="J135:K135" si="209">IF(AND(ISNUMBER(J136),ISNUMBER(J137)),SUM(J136:J137),"")</f>
        <v/>
      </c>
      <c r="K135" s="580" t="str">
        <f t="shared" si="209"/>
        <v/>
      </c>
      <c r="L135" s="580" t="str">
        <f t="shared" ref="L135" si="210">IF(AND(ISNUMBER(L136),ISNUMBER(L137)),SUM(L136:L137),"")</f>
        <v/>
      </c>
      <c r="M135" s="580" t="str">
        <f>IF(AND(ISNUMBER(M136),ISNUMBER(M137)),SUM(M136:M137),"")</f>
        <v/>
      </c>
      <c r="N135" s="580" t="str">
        <f>IF(AND(ISNUMBER(N136),ISNUMBER(N137)),SUM(N136:N137),"")</f>
        <v/>
      </c>
      <c r="O135" s="318"/>
      <c r="P135" s="318"/>
      <c r="Q135" s="580" t="str">
        <f t="shared" ref="Q135:W135" si="211">IF(AND(ISNUMBER(Q136),ISNUMBER(Q137)),SUM(Q136:Q137),"")</f>
        <v/>
      </c>
      <c r="R135" s="580" t="str">
        <f t="shared" si="211"/>
        <v/>
      </c>
      <c r="S135" s="580" t="str">
        <f t="shared" si="211"/>
        <v/>
      </c>
      <c r="T135" s="580" t="str">
        <f t="shared" si="211"/>
        <v/>
      </c>
      <c r="U135" s="580" t="str">
        <f t="shared" si="211"/>
        <v/>
      </c>
      <c r="V135" s="580" t="str">
        <f t="shared" si="211"/>
        <v/>
      </c>
      <c r="W135" s="580" t="str">
        <f t="shared" si="211"/>
        <v/>
      </c>
      <c r="X135" s="580" t="str">
        <f>IF(AND(ISNUMBER(X136),ISNUMBER(X137)),SUM(X136:X137),"")</f>
        <v/>
      </c>
      <c r="Y135" s="580" t="str">
        <f>IF(AND(ISNUMBER(Y136),ISNUMBER(Y137)),SUM(Y136:Y137),"")</f>
        <v/>
      </c>
      <c r="Z135" s="580" t="str">
        <f>IF(AND(ISNUMBER(Z136),ISNUMBER(Z137)),SUM(Z136:Z137),"")</f>
        <v/>
      </c>
      <c r="AA135" s="209" t="str">
        <f>IF(AND(ISNUMBER(AA136),ISNUMBER(AA137)),SUM(AA136:AA137),"")</f>
        <v/>
      </c>
      <c r="AB135" s="907" t="str">
        <f t="shared" si="110"/>
        <v/>
      </c>
      <c r="AC135" s="502"/>
      <c r="AD135" s="580" t="str">
        <f t="shared" ref="AD135:AK135" si="212">IF(AND(ISNUMBER(AD136),ISNUMBER(AD137)),SUM(AD136:AD137),"")</f>
        <v/>
      </c>
      <c r="AE135" s="580" t="str">
        <f t="shared" si="212"/>
        <v/>
      </c>
      <c r="AF135" s="580" t="str">
        <f t="shared" si="212"/>
        <v/>
      </c>
      <c r="AG135" s="580" t="str">
        <f t="shared" si="212"/>
        <v/>
      </c>
      <c r="AH135" s="209" t="str">
        <f t="shared" si="212"/>
        <v/>
      </c>
      <c r="AI135" s="2251" t="str">
        <f t="shared" si="212"/>
        <v/>
      </c>
      <c r="AJ135" s="580" t="str">
        <f t="shared" si="212"/>
        <v/>
      </c>
      <c r="AK135" s="209" t="str">
        <f t="shared" si="212"/>
        <v/>
      </c>
      <c r="AL135" s="2246"/>
    </row>
    <row r="136" spans="2:38" ht="15" customHeight="1" x14ac:dyDescent="0.25">
      <c r="B136" s="614" t="s">
        <v>678</v>
      </c>
      <c r="C136" s="481"/>
      <c r="D136" s="318"/>
      <c r="E136" s="318"/>
      <c r="F136" s="318"/>
      <c r="G136" s="318"/>
      <c r="H136" s="318"/>
      <c r="I136" s="580" t="str">
        <f t="shared" ref="I136:I139" si="213">IF(AND(ISNUMBER(D136),ISNUMBER(E136),ISNUMBER(H136)),SUM(D136,E136,H136),"")</f>
        <v/>
      </c>
      <c r="J136" s="318"/>
      <c r="K136" s="318"/>
      <c r="L136" s="318"/>
      <c r="M136" s="580" t="str">
        <f t="shared" ref="M136:M139" si="214">IF(AND(ISNUMBER(J136),ISNUMBER(K136),ISNUMBER(L136)),SUM(J136:L136), "")</f>
        <v/>
      </c>
      <c r="N136" s="792"/>
      <c r="O136" s="318"/>
      <c r="P136" s="318"/>
      <c r="Q136" s="318"/>
      <c r="R136" s="318"/>
      <c r="S136" s="318"/>
      <c r="T136" s="318"/>
      <c r="U136" s="318"/>
      <c r="V136" s="318"/>
      <c r="W136" s="580" t="str">
        <f t="shared" ref="W136:W142" si="215">IF(AND(ISNUMBER(R136),ISNUMBER(S136),ISNUMBER(V136)),SUM(R136,S136,V136),"")</f>
        <v/>
      </c>
      <c r="X136" s="318"/>
      <c r="Y136" s="318"/>
      <c r="Z136" s="318"/>
      <c r="AA136" s="209" t="str">
        <f t="shared" ref="AA136:AA142" si="216">IF(AND(ISNUMBER(X136),ISNUMBER(Y136),ISNUMBER(Z136)),SUM(X136:Z136), "")</f>
        <v/>
      </c>
      <c r="AB136" s="907" t="str">
        <f t="shared" si="110"/>
        <v/>
      </c>
      <c r="AC136" s="560" t="str">
        <f>IF(ISNUMBER(AB136),IF(AND(AB136&gt;=(Parameters!F388*0.95), AB136&lt;=(Parameters!F388*1.05)), "Pass", "Fail (RW≠" &amp; Parameters!F388*100 &amp; "%)"),"")</f>
        <v/>
      </c>
      <c r="AD136" s="318"/>
      <c r="AE136" s="318"/>
      <c r="AF136" s="318"/>
      <c r="AG136" s="208"/>
      <c r="AH136" s="208"/>
      <c r="AI136" s="2251" t="str">
        <f t="shared" ref="AI136:AI139" si="217">IF(AND(ISNUMBER(AF136),ISNUMBER(AG136),ISNUMBER(AJ136)),AF136-AG136+AJ136,"")</f>
        <v/>
      </c>
      <c r="AJ136" s="318"/>
      <c r="AK136" s="208"/>
      <c r="AL136" s="2246"/>
    </row>
    <row r="137" spans="2:38" ht="15" customHeight="1" x14ac:dyDescent="0.25">
      <c r="B137" s="614" t="s">
        <v>679</v>
      </c>
      <c r="C137" s="481"/>
      <c r="D137" s="318"/>
      <c r="E137" s="318"/>
      <c r="F137" s="318"/>
      <c r="G137" s="318"/>
      <c r="H137" s="318"/>
      <c r="I137" s="580" t="str">
        <f t="shared" si="213"/>
        <v/>
      </c>
      <c r="J137" s="318"/>
      <c r="K137" s="318"/>
      <c r="L137" s="318"/>
      <c r="M137" s="580" t="str">
        <f t="shared" si="214"/>
        <v/>
      </c>
      <c r="N137" s="792"/>
      <c r="O137" s="318"/>
      <c r="P137" s="318"/>
      <c r="Q137" s="318"/>
      <c r="R137" s="318"/>
      <c r="S137" s="318"/>
      <c r="T137" s="318"/>
      <c r="U137" s="318"/>
      <c r="V137" s="318"/>
      <c r="W137" s="580" t="str">
        <f t="shared" si="215"/>
        <v/>
      </c>
      <c r="X137" s="318"/>
      <c r="Y137" s="318"/>
      <c r="Z137" s="318"/>
      <c r="AA137" s="209" t="str">
        <f t="shared" si="216"/>
        <v/>
      </c>
      <c r="AB137" s="907" t="str">
        <f t="shared" si="110"/>
        <v/>
      </c>
      <c r="AC137" s="560" t="str">
        <f>IF(ISNUMBER(AB137),IF(AND(AB137&gt;=(Parameters!F389*0.95), AB137&lt;=(Parameters!F389*1.05)), "Pass", "Fail (RW≠" &amp; Parameters!F389*100 &amp; "%)"),"")</f>
        <v/>
      </c>
      <c r="AD137" s="318"/>
      <c r="AE137" s="318"/>
      <c r="AF137" s="318"/>
      <c r="AG137" s="208"/>
      <c r="AH137" s="208"/>
      <c r="AI137" s="2251" t="str">
        <f t="shared" si="217"/>
        <v/>
      </c>
      <c r="AJ137" s="318"/>
      <c r="AK137" s="208"/>
      <c r="AL137" s="2246"/>
    </row>
    <row r="138" spans="2:38" ht="15" customHeight="1" x14ac:dyDescent="0.25">
      <c r="B138" s="482" t="s">
        <v>890</v>
      </c>
      <c r="C138" s="481"/>
      <c r="D138" s="318"/>
      <c r="E138" s="318"/>
      <c r="F138" s="318"/>
      <c r="G138" s="318"/>
      <c r="H138" s="318"/>
      <c r="I138" s="580" t="str">
        <f t="shared" si="213"/>
        <v/>
      </c>
      <c r="J138" s="318"/>
      <c r="K138" s="318"/>
      <c r="L138" s="318"/>
      <c r="M138" s="580" t="str">
        <f t="shared" si="214"/>
        <v/>
      </c>
      <c r="N138" s="480"/>
      <c r="O138" s="318"/>
      <c r="P138" s="318"/>
      <c r="Q138" s="318"/>
      <c r="R138" s="318"/>
      <c r="S138" s="318"/>
      <c r="T138" s="318"/>
      <c r="U138" s="318"/>
      <c r="V138" s="318"/>
      <c r="W138" s="580" t="str">
        <f t="shared" si="215"/>
        <v/>
      </c>
      <c r="X138" s="318"/>
      <c r="Y138" s="318"/>
      <c r="Z138" s="318"/>
      <c r="AA138" s="209" t="str">
        <f t="shared" si="216"/>
        <v/>
      </c>
      <c r="AB138" s="907" t="str">
        <f t="shared" si="110"/>
        <v/>
      </c>
      <c r="AC138" s="502"/>
      <c r="AD138" s="318"/>
      <c r="AE138" s="318"/>
      <c r="AF138" s="318"/>
      <c r="AG138" s="208"/>
      <c r="AH138" s="208"/>
      <c r="AI138" s="2251" t="str">
        <f t="shared" si="217"/>
        <v/>
      </c>
      <c r="AJ138" s="318"/>
      <c r="AK138" s="208"/>
      <c r="AL138" s="2246"/>
    </row>
    <row r="139" spans="2:38" ht="15" customHeight="1" x14ac:dyDescent="0.25">
      <c r="B139" s="758" t="s">
        <v>840</v>
      </c>
      <c r="C139" s="481"/>
      <c r="D139" s="318"/>
      <c r="E139" s="318"/>
      <c r="F139" s="318"/>
      <c r="G139" s="318"/>
      <c r="H139" s="318"/>
      <c r="I139" s="580" t="str">
        <f t="shared" si="213"/>
        <v/>
      </c>
      <c r="J139" s="318"/>
      <c r="K139" s="318"/>
      <c r="L139" s="318"/>
      <c r="M139" s="580" t="str">
        <f t="shared" si="214"/>
        <v/>
      </c>
      <c r="N139" s="480"/>
      <c r="O139" s="480"/>
      <c r="P139" s="480"/>
      <c r="Q139" s="318"/>
      <c r="R139" s="318"/>
      <c r="S139" s="318"/>
      <c r="T139" s="318"/>
      <c r="U139" s="318"/>
      <c r="V139" s="318"/>
      <c r="W139" s="580" t="str">
        <f t="shared" si="215"/>
        <v/>
      </c>
      <c r="X139" s="318"/>
      <c r="Y139" s="318"/>
      <c r="Z139" s="318"/>
      <c r="AA139" s="209" t="str">
        <f t="shared" si="216"/>
        <v/>
      </c>
      <c r="AB139" s="907" t="str">
        <f t="shared" si="110"/>
        <v/>
      </c>
      <c r="AC139" s="502"/>
      <c r="AD139" s="318"/>
      <c r="AE139" s="318"/>
      <c r="AF139" s="318"/>
      <c r="AG139" s="208"/>
      <c r="AH139" s="208"/>
      <c r="AI139" s="2251" t="str">
        <f t="shared" si="217"/>
        <v/>
      </c>
      <c r="AJ139" s="318"/>
      <c r="AK139" s="208"/>
      <c r="AL139" s="2246"/>
    </row>
    <row r="140" spans="2:38" ht="15" customHeight="1" x14ac:dyDescent="0.25">
      <c r="B140" s="760" t="str">
        <f>"Check: row" &amp; ROW(C139) &amp; " ≤ row "&amp; ROW(C138)</f>
        <v>Check: row139 ≤ row 138</v>
      </c>
      <c r="C140" s="794" t="str">
        <f t="shared" ref="C140:H140" si="218">IF(AND(ISNUMBER(C138), ISNUMBER(C139)), IF(C139&lt;=C138, "Pass", "Fail"), "")</f>
        <v/>
      </c>
      <c r="D140" s="794" t="str">
        <f t="shared" si="218"/>
        <v/>
      </c>
      <c r="E140" s="794" t="str">
        <f t="shared" si="218"/>
        <v/>
      </c>
      <c r="F140" s="794" t="str">
        <f t="shared" si="218"/>
        <v/>
      </c>
      <c r="G140" s="794" t="str">
        <f t="shared" si="218"/>
        <v/>
      </c>
      <c r="H140" s="794" t="str">
        <f t="shared" si="218"/>
        <v/>
      </c>
      <c r="I140" s="480"/>
      <c r="J140" s="794" t="str">
        <f>IF(AND(ISNUMBER(J138), ISNUMBER(J139)), IF(J139&lt;=J138, "Pass", "Fail"), "")</f>
        <v/>
      </c>
      <c r="K140" s="794" t="str">
        <f>IF(AND(ISNUMBER(K138), ISNUMBER(K139)), IF(K139&lt;=K138, "Pass", "Fail"), "")</f>
        <v/>
      </c>
      <c r="L140" s="794" t="str">
        <f>IF(AND(ISNUMBER(L138), ISNUMBER(L139)), IF(L139&lt;=L138, "Pass", "Fail"), "")</f>
        <v/>
      </c>
      <c r="M140" s="480"/>
      <c r="N140" s="480"/>
      <c r="O140" s="480"/>
      <c r="P140" s="480"/>
      <c r="Q140" s="794" t="str">
        <f t="shared" ref="Q140:W140" si="219">IF(AND(ISNUMBER(Q138), ISNUMBER(Q139)), IF(Q139&lt;=Q138, "Pass", "Fail"), "")</f>
        <v/>
      </c>
      <c r="R140" s="794" t="str">
        <f t="shared" si="219"/>
        <v/>
      </c>
      <c r="S140" s="794" t="str">
        <f t="shared" si="219"/>
        <v/>
      </c>
      <c r="T140" s="794" t="str">
        <f t="shared" si="219"/>
        <v/>
      </c>
      <c r="U140" s="794" t="str">
        <f t="shared" si="219"/>
        <v/>
      </c>
      <c r="V140" s="794" t="str">
        <f t="shared" si="219"/>
        <v/>
      </c>
      <c r="W140" s="794" t="str">
        <f t="shared" si="219"/>
        <v/>
      </c>
      <c r="X140" s="794" t="str">
        <f>IF(AND(ISNUMBER(X138), ISNUMBER(X139)), IF(X139&lt;=X138, "Pass", "Fail"), "")</f>
        <v/>
      </c>
      <c r="Y140" s="794" t="str">
        <f>IF(AND(ISNUMBER(Y138), ISNUMBER(Y139)), IF(Y139&lt;=Y138, "Pass", "Fail"), "")</f>
        <v/>
      </c>
      <c r="Z140" s="794" t="str">
        <f>IF(AND(ISNUMBER(Z138), ISNUMBER(Z139)), IF(Z139&lt;=Z138, "Pass", "Fail"), "")</f>
        <v/>
      </c>
      <c r="AA140" s="499"/>
      <c r="AB140" s="480"/>
      <c r="AC140" s="502"/>
      <c r="AD140" s="794" t="str">
        <f>IF(AND(ISNUMBER(AD138), ISNUMBER(AD139)), IF(AD139&lt;=AD138, "Pass", "Fail"), "")</f>
        <v/>
      </c>
      <c r="AE140" s="794" t="str">
        <f>IF(AND(ISNUMBER(AE138), ISNUMBER(AE139)), IF(AE139&lt;=AE138, "Pass", "Fail"), "")</f>
        <v/>
      </c>
      <c r="AF140" s="794" t="str">
        <f>IF(AND(ISNUMBER(AF138), ISNUMBER(AF139)), IF(AF139&lt;=AF138, "Pass", "Fail"), "")</f>
        <v/>
      </c>
      <c r="AG140" s="794" t="str">
        <f>IF(AND(ISNUMBER(AG138), ISNUMBER(AG139)), IF(AG139&lt;=AG138, "Pass", "Fail"), "")</f>
        <v/>
      </c>
      <c r="AH140" s="795" t="str">
        <f>IF(AND(ISNUMBER(AH138), ISNUMBER(AH139)), IF(AH139&lt;=AH138, "Pass", "Fail"), "")</f>
        <v/>
      </c>
      <c r="AI140" s="2261" t="str">
        <f t="shared" ref="AI140:AK140" si="220">IF(AND(ISNUMBER(AI138), ISNUMBER(AI139)), IF(AI139&lt;=AI138, "Pass", "Fail"), "")</f>
        <v/>
      </c>
      <c r="AJ140" s="808" t="str">
        <f t="shared" si="220"/>
        <v/>
      </c>
      <c r="AK140" s="795" t="str">
        <f t="shared" si="220"/>
        <v/>
      </c>
      <c r="AL140" s="2246"/>
    </row>
    <row r="141" spans="2:38" ht="15" customHeight="1" x14ac:dyDescent="0.25">
      <c r="B141" s="759" t="s">
        <v>680</v>
      </c>
      <c r="C141" s="481"/>
      <c r="D141" s="318"/>
      <c r="E141" s="318"/>
      <c r="F141" s="318"/>
      <c r="G141" s="318"/>
      <c r="H141" s="318"/>
      <c r="I141" s="580" t="str">
        <f>IF(AND(ISNUMBER(D141),ISNUMBER(E141),ISNUMBER(H141)),SUM(D141,E141,H141),"")</f>
        <v/>
      </c>
      <c r="J141" s="318"/>
      <c r="K141" s="318"/>
      <c r="L141" s="318"/>
      <c r="M141" s="580" t="str">
        <f t="shared" ref="M141:M142" si="221">IF(AND(ISNUMBER(J141),ISNUMBER(K141),ISNUMBER(L141)),SUM(J141:L141), "")</f>
        <v/>
      </c>
      <c r="N141" s="480"/>
      <c r="O141" s="318"/>
      <c r="P141" s="318"/>
      <c r="Q141" s="318"/>
      <c r="R141" s="318"/>
      <c r="S141" s="318"/>
      <c r="T141" s="318"/>
      <c r="U141" s="318"/>
      <c r="V141" s="318"/>
      <c r="W141" s="580" t="str">
        <f t="shared" si="215"/>
        <v/>
      </c>
      <c r="X141" s="318"/>
      <c r="Y141" s="318"/>
      <c r="Z141" s="318"/>
      <c r="AA141" s="209" t="str">
        <f t="shared" si="216"/>
        <v/>
      </c>
      <c r="AB141" s="907" t="str">
        <f t="shared" si="110"/>
        <v/>
      </c>
      <c r="AC141" s="502"/>
      <c r="AD141" s="318"/>
      <c r="AE141" s="318"/>
      <c r="AF141" s="318"/>
      <c r="AG141" s="208"/>
      <c r="AH141" s="208"/>
      <c r="AI141" s="2251" t="str">
        <f t="shared" ref="AI141:AI142" si="222">IF(AND(ISNUMBER(AF141),ISNUMBER(AG141),ISNUMBER(AJ141)),AF141-AG141+AJ141,"")</f>
        <v/>
      </c>
      <c r="AJ141" s="318"/>
      <c r="AK141" s="208"/>
      <c r="AL141" s="2246"/>
    </row>
    <row r="142" spans="2:38" ht="15" customHeight="1" x14ac:dyDescent="0.25">
      <c r="B142" s="488" t="s">
        <v>37</v>
      </c>
      <c r="C142" s="489"/>
      <c r="D142" s="320"/>
      <c r="E142" s="320"/>
      <c r="F142" s="320"/>
      <c r="G142" s="320"/>
      <c r="H142" s="320"/>
      <c r="I142" s="580" t="str">
        <f>IF(AND(ISNUMBER(D142),ISNUMBER(E142),ISNUMBER(H142)),SUM(D142,E142,H142),"")</f>
        <v/>
      </c>
      <c r="J142" s="320"/>
      <c r="K142" s="320"/>
      <c r="L142" s="320"/>
      <c r="M142" s="580" t="str">
        <f t="shared" si="221"/>
        <v/>
      </c>
      <c r="N142" s="796"/>
      <c r="O142" s="320"/>
      <c r="P142" s="320"/>
      <c r="Q142" s="320"/>
      <c r="R142" s="320"/>
      <c r="S142" s="320"/>
      <c r="T142" s="320"/>
      <c r="U142" s="320"/>
      <c r="V142" s="320"/>
      <c r="W142" s="580" t="str">
        <f t="shared" si="215"/>
        <v/>
      </c>
      <c r="X142" s="320"/>
      <c r="Y142" s="320"/>
      <c r="Z142" s="320"/>
      <c r="AA142" s="209" t="str">
        <f t="shared" si="216"/>
        <v/>
      </c>
      <c r="AB142" s="907" t="str">
        <f t="shared" si="110"/>
        <v/>
      </c>
      <c r="AC142" s="966"/>
      <c r="AD142" s="320"/>
      <c r="AE142" s="320"/>
      <c r="AF142" s="320"/>
      <c r="AG142" s="358"/>
      <c r="AH142" s="358"/>
      <c r="AI142" s="2251" t="str">
        <f t="shared" si="222"/>
        <v/>
      </c>
      <c r="AJ142" s="318"/>
      <c r="AK142" s="208"/>
      <c r="AL142" s="2246"/>
    </row>
    <row r="143" spans="2:38" ht="15" customHeight="1" x14ac:dyDescent="0.25">
      <c r="B143" s="847" t="s">
        <v>955</v>
      </c>
      <c r="C143" s="848"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848" t="str">
        <f t="shared" si="223"/>
        <v xml:space="preserve"> </v>
      </c>
      <c r="E143" s="848" t="str">
        <f t="shared" si="223"/>
        <v xml:space="preserve"> </v>
      </c>
      <c r="F143" s="848" t="str">
        <f t="shared" si="223"/>
        <v xml:space="preserve"> </v>
      </c>
      <c r="G143" s="848" t="str">
        <f t="shared" si="223"/>
        <v xml:space="preserve"> </v>
      </c>
      <c r="H143" s="848" t="str">
        <f t="shared" si="223"/>
        <v xml:space="preserve"> </v>
      </c>
      <c r="I143" s="848" t="str">
        <f t="shared" si="223"/>
        <v xml:space="preserve"> </v>
      </c>
      <c r="J143" s="848" t="str">
        <f t="shared" ref="J143:K143" si="224">IF(AND(ISNUMBER(J19),ISNUMBER(J24),ISNUMBER(J51), ISNUMBER(J66), ISNUMBER(J78),ISNUMBER(J79),ISNUMBER(J87),ISNUMBER(J91),ISNUMBER(J92),ISNUMBER(J95),ISNUMBER(J99), ISNUMBER(J138),ISNUMBER(J141), ISNUMBER(J142)), SUM(J19,J24,J51,J66,J78,J79,J87,J91,J92,J95,J99,J138,J141, J142)," ")</f>
        <v xml:space="preserve"> </v>
      </c>
      <c r="K143" s="848" t="str">
        <f t="shared" si="224"/>
        <v xml:space="preserve"> </v>
      </c>
      <c r="L143" s="848" t="str">
        <f t="shared" ref="L143" si="225">IF(AND(ISNUMBER(L19),ISNUMBER(L24),ISNUMBER(L51), ISNUMBER(L66), ISNUMBER(L78),ISNUMBER(L79),ISNUMBER(L87),ISNUMBER(L91),ISNUMBER(L92),ISNUMBER(L95),ISNUMBER(L99), ISNUMBER(L138),ISNUMBER(L141), ISNUMBER(L142)), SUM(L19,L24,L51,L66,L78,L79,L87,L91,L92,L95,L99,L138,L141, L142)," ")</f>
        <v xml:space="preserve"> </v>
      </c>
      <c r="M143" s="848" t="str">
        <f>IF(AND(ISNUMBER(M19),ISNUMBER(M24),ISNUMBER(M51), ISNUMBER(M66), ISNUMBER(M78),ISNUMBER(M79),ISNUMBER(M87),ISNUMBER(M91),ISNUMBER(M92),ISNUMBER(M95),ISNUMBER(M99), ISNUMBER(M138),ISNUMBER(M141), ISNUMBER(M142)), SUM(M19,M24,M51,M66,M78,M79,M87,M91,M92,M95,M99,M138,M141, M142)," ")</f>
        <v xml:space="preserve"> </v>
      </c>
      <c r="N143" s="848" t="str">
        <f>IF(AND(ISNUMBER(N19),ISNUMBER(N24),ISNUMBER(N51), ISNUMBER(N66), ISNUMBER(N78),ISNUMBER(N79),ISNUMBER(N87),ISNUMBER(N91),ISNUMBER(N92),ISNUMBER(N95),ISNUMBER(N99), ISNUMBER(N142)), SUM(N19,N24,N51,N66,N78,N79,N87,N91,N92,N95,N99,N142)," ")</f>
        <v xml:space="preserve"> </v>
      </c>
      <c r="O143" s="318"/>
      <c r="P143" s="318"/>
      <c r="Q143" s="848"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848" t="str">
        <f t="shared" si="226"/>
        <v xml:space="preserve"> </v>
      </c>
      <c r="S143" s="848" t="str">
        <f t="shared" si="226"/>
        <v xml:space="preserve"> </v>
      </c>
      <c r="T143" s="848" t="str">
        <f t="shared" si="226"/>
        <v xml:space="preserve"> </v>
      </c>
      <c r="U143" s="848" t="str">
        <f t="shared" si="226"/>
        <v xml:space="preserve"> </v>
      </c>
      <c r="V143" s="848" t="str">
        <f t="shared" si="226"/>
        <v xml:space="preserve"> </v>
      </c>
      <c r="W143" s="848" t="str">
        <f t="shared" si="226"/>
        <v xml:space="preserve"> </v>
      </c>
      <c r="X143" s="848" t="str">
        <f>IF(AND(ISNUMBER(X19),ISNUMBER(X24),ISNUMBER(X51), ISNUMBER(X66), ISNUMBER(X78),ISNUMBER(X79),ISNUMBER(X87),ISNUMBER(X91),ISNUMBER(X92),ISNUMBER(X95),ISNUMBER(X99), ISNUMBER(X138),ISNUMBER(X141), ISNUMBER(X142)), SUM(X19,X24,X51,X66,X78,X79,X87,X91,X92,X95,X99,X138,X141, X142)," ")</f>
        <v xml:space="preserve"> </v>
      </c>
      <c r="Y143" s="848" t="str">
        <f>IF(AND(ISNUMBER(Y19),ISNUMBER(Y24),ISNUMBER(Y51), ISNUMBER(Y66), ISNUMBER(Y78),ISNUMBER(Y79),ISNUMBER(Y87),ISNUMBER(Y91),ISNUMBER(Y92),ISNUMBER(Y95),ISNUMBER(Y99), ISNUMBER(Y138),ISNUMBER(Y141), ISNUMBER(Y142)), SUM(Y19,Y24,Y51,Y66,Y78,Y79,Y87,Y91,Y92,Y95,Y99,Y138,Y141, Y142)," ")</f>
        <v xml:space="preserve"> </v>
      </c>
      <c r="Z143" s="848" t="str">
        <f>IF(AND(ISNUMBER(Z19),ISNUMBER(Z24),ISNUMBER(Z51), ISNUMBER(Z66), ISNUMBER(Z78),ISNUMBER(Z79),ISNUMBER(Z87),ISNUMBER(Z91),ISNUMBER(Z92),ISNUMBER(Z95),ISNUMBER(Z99), ISNUMBER(Z138),ISNUMBER(Z141), ISNUMBER(Z142)), SUM(Z19,Z24,Z51,Z66,Z78,Z79,Z87,Z91,Z92,Z95,Z99,Z138,Z141, Z142)," ")</f>
        <v xml:space="preserve"> </v>
      </c>
      <c r="AA143" s="849" t="str">
        <f>IF(AND(ISNUMBER(AA19),ISNUMBER(AA24),ISNUMBER(AA51), ISNUMBER(AA66), ISNUMBER(AA78),ISNUMBER(AA79),ISNUMBER(AA87),ISNUMBER(AA91),ISNUMBER(AA92),ISNUMBER(AA95),ISNUMBER(AA99), ISNUMBER(AA138),ISNUMBER(AA141), ISNUMBER(AA142)), SUM(AA19,AA24,AA51,AA66,AA78,AA79,AA87,AA91,AA92,AA95,AA99,AA138,AA141, AA142)," ")</f>
        <v xml:space="preserve"> </v>
      </c>
      <c r="AB143" s="1020" t="str">
        <f t="shared" si="110"/>
        <v/>
      </c>
      <c r="AC143" s="502"/>
      <c r="AD143" s="848" t="str">
        <f>IF(AND(ISNUMBER(AD19),ISNUMBER(AD24),ISNUMBER(AD51), ISNUMBER(AD66), ISNUMBER(AD78),ISNUMBER(AD79),ISNUMBER(AD87),ISNUMBER(AD91),ISNUMBER(AD92),ISNUMBER(AD95),ISNUMBER(AD99), ISNUMBER(AD138),ISNUMBER(AD141), ISNUMBER(AD142)), SUM(AD19,AD24,AD51,AD66,AD78,AD79,AD87,AD91,AD92,AD95,AD99,AD138,AD141, AD142)," ")</f>
        <v xml:space="preserve"> </v>
      </c>
      <c r="AE143" s="848" t="str">
        <f>IF(AND(ISNUMBER(AE19),ISNUMBER(AE24),ISNUMBER(AE51), ISNUMBER(AE66), ISNUMBER(AE78),ISNUMBER(AE79),ISNUMBER(AE87),ISNUMBER(AE91),ISNUMBER(AE92),ISNUMBER(AE95),ISNUMBER(AE99), ISNUMBER(AE138),ISNUMBER(AE141), ISNUMBER(AE142)), SUM(AE19,AE24,AE51,AE66,AE78,AE79,AE87,AE91,AE92,AE95,AE99,AE138,AE141, AE142)," ")</f>
        <v xml:space="preserve"> </v>
      </c>
      <c r="AF143" s="848" t="str">
        <f>IF(AND(ISNUMBER(AF19),ISNUMBER(AF24),ISNUMBER(AF51), ISNUMBER(AF66), ISNUMBER(AF78),ISNUMBER(AF79),ISNUMBER(AF87),ISNUMBER(AF91),ISNUMBER(AF92),ISNUMBER(AF95),ISNUMBER(AF99), ISNUMBER(AF138),ISNUMBER(AF141), ISNUMBER(AF142)), SUM(AF19,AF24,AF51,AF66,AF78,AF79,AF87,AF91,AF92,AF95,AF99,AF138,AF141, AF142)," ")</f>
        <v xml:space="preserve"> </v>
      </c>
      <c r="AG143" s="848" t="str">
        <f>IF(AND(ISNUMBER(AG19),ISNUMBER(AG24),ISNUMBER(AG51), ISNUMBER(AG66), ISNUMBER(AG78),ISNUMBER(AG79),ISNUMBER(AG87),ISNUMBER(AG91),ISNUMBER(AG92),ISNUMBER(AG95),ISNUMBER(AG99), ISNUMBER(AG138),ISNUMBER(AG141), ISNUMBER(AG142)), SUM(AG19,AG24,AG51,AG66,AG78,AG79,AG87,AG91,AG92,AG95,AG99,AG138,AG141, AG142)," ")</f>
        <v xml:space="preserve"> </v>
      </c>
      <c r="AH143" s="849" t="str">
        <f>IF(AND(ISNUMBER(AH19),ISNUMBER(AH24),ISNUMBER(AH51), ISNUMBER(AH66), ISNUMBER(AH78),ISNUMBER(AH79),ISNUMBER(AH87),ISNUMBER(AH91),ISNUMBER(AH92),ISNUMBER(AH95),ISNUMBER(AH99), ISNUMBER(AH138),ISNUMBER(AH141), ISNUMBER(AH142)), SUM(AH19,AH24,AH51,AH66,AH78,AH79,AH87,AH91,AH92,AH95,AH99,AH138,AH141, AH142)," ")</f>
        <v xml:space="preserve"> </v>
      </c>
      <c r="AI143" s="2262" t="str">
        <f t="shared" ref="AI143:AK143" si="227">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848" t="str">
        <f t="shared" si="227"/>
        <v xml:space="preserve"> </v>
      </c>
      <c r="AK143" s="849" t="str">
        <f t="shared" si="227"/>
        <v xml:space="preserve"> </v>
      </c>
      <c r="AL143" s="2246"/>
    </row>
    <row r="144" spans="2:38" ht="15" customHeight="1" x14ac:dyDescent="0.25">
      <c r="B144" s="374" t="str">
        <f>"Check: cell I" &amp; ROW(I138) &amp; " = cell N"&amp; ROW(N143)</f>
        <v>Check: cell I138 = cell N143</v>
      </c>
      <c r="C144" s="503"/>
      <c r="D144" s="500"/>
      <c r="E144" s="500"/>
      <c r="F144" s="500"/>
      <c r="G144" s="500"/>
      <c r="H144" s="500"/>
      <c r="I144" s="500"/>
      <c r="J144" s="500"/>
      <c r="K144" s="500"/>
      <c r="L144" s="500"/>
      <c r="M144" s="500"/>
      <c r="N144" s="555" t="str">
        <f>IF(AND(ISNUMBER(I138),ISNUMBER(N143)), IF(I138=N143, "Pass", "Fail"),"")</f>
        <v/>
      </c>
      <c r="O144" s="492"/>
      <c r="P144" s="492"/>
      <c r="Q144" s="500"/>
      <c r="R144" s="500"/>
      <c r="S144" s="500"/>
      <c r="T144" s="500"/>
      <c r="U144" s="500"/>
      <c r="V144" s="500"/>
      <c r="W144" s="500"/>
      <c r="X144" s="500"/>
      <c r="Y144" s="500"/>
      <c r="Z144" s="500"/>
      <c r="AA144" s="501"/>
      <c r="AB144" s="500"/>
      <c r="AC144" s="503"/>
      <c r="AD144" s="500"/>
      <c r="AE144" s="500"/>
      <c r="AF144" s="500"/>
      <c r="AG144" s="500"/>
      <c r="AH144" s="501"/>
      <c r="AI144" s="2266"/>
      <c r="AJ144" s="491"/>
      <c r="AK144" s="967"/>
      <c r="AL144" s="2246"/>
    </row>
    <row r="145" spans="1:38" ht="45" customHeight="1" x14ac:dyDescent="0.25">
      <c r="B145" s="1993" t="s">
        <v>1517</v>
      </c>
      <c r="C145" s="1339"/>
      <c r="D145" s="1339"/>
      <c r="E145" s="1339"/>
      <c r="F145" s="1339"/>
      <c r="G145" s="1339"/>
      <c r="H145" s="1339"/>
      <c r="I145" s="1038" t="str">
        <f>IF(AND(ISNUMBER(D145),ISNUMBER(E145),ISNUMBER(H145)),SUM(D145,E145,H145),"")</f>
        <v/>
      </c>
      <c r="J145" s="2022"/>
      <c r="K145" s="2022"/>
      <c r="L145" s="2022"/>
      <c r="M145" s="1038" t="str">
        <f t="shared" ref="M145:M146" si="228">IF(AND(ISNUMBER(J145),ISNUMBER(K145),ISNUMBER(L145)),SUM(J145:L145), "")</f>
        <v/>
      </c>
      <c r="N145" s="1990"/>
      <c r="O145" s="1339"/>
      <c r="P145" s="1339"/>
      <c r="Q145" s="1614"/>
      <c r="R145" s="1614"/>
      <c r="S145" s="1614"/>
      <c r="T145" s="1614"/>
      <c r="U145" s="1614"/>
      <c r="V145" s="1614"/>
      <c r="W145" s="1614"/>
      <c r="X145" s="1614"/>
      <c r="Y145" s="1614"/>
      <c r="Z145" s="1614"/>
      <c r="AA145" s="1614"/>
      <c r="AB145" s="1614"/>
      <c r="AC145" s="1614"/>
      <c r="AD145" s="1614"/>
      <c r="AE145" s="1614"/>
      <c r="AF145" s="1614"/>
      <c r="AG145" s="1614"/>
      <c r="AH145" s="1888"/>
      <c r="AI145" s="2267"/>
      <c r="AJ145" s="1614"/>
      <c r="AK145" s="1888"/>
      <c r="AL145" s="2246"/>
    </row>
    <row r="146" spans="1:38" ht="45" customHeight="1" x14ac:dyDescent="0.25">
      <c r="B146" s="1994" t="s">
        <v>1518</v>
      </c>
      <c r="C146" s="1274"/>
      <c r="D146" s="1274"/>
      <c r="E146" s="1274"/>
      <c r="F146" s="1274"/>
      <c r="G146" s="1274"/>
      <c r="H146" s="1274"/>
      <c r="I146" s="1041" t="str">
        <f>IF(AND(ISNUMBER(D146),ISNUMBER(E146),ISNUMBER(H146)),SUM(D146,E146,H146),"")</f>
        <v/>
      </c>
      <c r="J146" s="1274"/>
      <c r="K146" s="1274"/>
      <c r="L146" s="1274"/>
      <c r="M146" s="1041" t="str">
        <f t="shared" si="228"/>
        <v/>
      </c>
      <c r="N146" s="800"/>
      <c r="O146" s="1274"/>
      <c r="P146" s="1274"/>
      <c r="Q146" s="1735"/>
      <c r="R146" s="1735"/>
      <c r="S146" s="1735"/>
      <c r="T146" s="1735"/>
      <c r="U146" s="1735"/>
      <c r="V146" s="1735"/>
      <c r="W146" s="1735"/>
      <c r="X146" s="1735"/>
      <c r="Y146" s="1735"/>
      <c r="Z146" s="1735"/>
      <c r="AA146" s="1735"/>
      <c r="AB146" s="1735"/>
      <c r="AC146" s="1735"/>
      <c r="AD146" s="1735"/>
      <c r="AE146" s="1735"/>
      <c r="AF146" s="1735"/>
      <c r="AG146" s="1735"/>
      <c r="AH146" s="1991"/>
      <c r="AI146" s="2263"/>
      <c r="AJ146" s="1735"/>
      <c r="AK146" s="1991"/>
      <c r="AL146" s="2246"/>
    </row>
    <row r="147" spans="1:38" ht="60" customHeight="1" x14ac:dyDescent="0.25">
      <c r="A147" s="493" t="s">
        <v>2160</v>
      </c>
      <c r="B147" s="494"/>
      <c r="C147" s="192"/>
      <c r="D147" s="192"/>
      <c r="E147" s="192"/>
      <c r="F147" s="192"/>
      <c r="G147" s="192"/>
      <c r="H147" s="192"/>
      <c r="I147" s="192"/>
      <c r="J147" s="192"/>
      <c r="AC147" s="477"/>
      <c r="AD147" s="477"/>
      <c r="AE147" s="477"/>
      <c r="AF147" s="477"/>
      <c r="AG147" s="477"/>
      <c r="AH147" s="477"/>
      <c r="AI147" s="2245"/>
      <c r="AJ147" s="2245"/>
      <c r="AK147" s="2245"/>
      <c r="AL147" s="2246"/>
    </row>
    <row r="148" spans="1:38" ht="15" customHeight="1" x14ac:dyDescent="0.3">
      <c r="A148" s="493"/>
      <c r="B148" s="1078"/>
      <c r="C148" s="2751" t="s">
        <v>681</v>
      </c>
      <c r="D148" s="2752"/>
      <c r="E148" s="2752"/>
      <c r="F148" s="2752"/>
      <c r="G148" s="2752"/>
      <c r="H148" s="2752"/>
      <c r="I148" s="2752"/>
      <c r="J148" s="2753"/>
      <c r="AD148" s="477"/>
      <c r="AE148" s="477"/>
      <c r="AF148" s="477"/>
      <c r="AG148" s="477"/>
      <c r="AH148" s="477"/>
      <c r="AI148" s="2245"/>
      <c r="AJ148" s="2245"/>
      <c r="AK148" s="2245"/>
      <c r="AL148" s="2246"/>
    </row>
    <row r="149" spans="1:38" ht="15" customHeight="1" x14ac:dyDescent="0.25">
      <c r="A149" s="505"/>
      <c r="B149" s="206"/>
      <c r="C149" s="2183" t="s">
        <v>652</v>
      </c>
      <c r="D149" s="2746" t="s">
        <v>1691</v>
      </c>
      <c r="E149" s="2746" t="s">
        <v>657</v>
      </c>
      <c r="F149" s="2746" t="s">
        <v>1692</v>
      </c>
      <c r="G149" s="2184"/>
      <c r="H149" s="2728" t="s">
        <v>653</v>
      </c>
      <c r="I149" s="2746" t="s">
        <v>41</v>
      </c>
      <c r="J149" s="2754" t="s">
        <v>595</v>
      </c>
      <c r="AD149" s="477"/>
      <c r="AE149" s="477"/>
      <c r="AF149" s="477"/>
      <c r="AG149" s="477"/>
      <c r="AH149" s="477"/>
      <c r="AI149" s="2245"/>
      <c r="AJ149" s="2245"/>
      <c r="AK149" s="2245"/>
      <c r="AL149" s="2246"/>
    </row>
    <row r="150" spans="1:38" ht="15" customHeight="1" x14ac:dyDescent="0.25">
      <c r="A150" s="505"/>
      <c r="B150" s="206"/>
      <c r="C150" s="2182"/>
      <c r="D150" s="2750"/>
      <c r="E150" s="2750"/>
      <c r="F150" s="2750"/>
      <c r="G150" s="2184"/>
      <c r="H150" s="2733"/>
      <c r="I150" s="2750"/>
      <c r="J150" s="2755"/>
      <c r="AD150" s="477"/>
      <c r="AE150" s="477"/>
      <c r="AF150" s="477"/>
      <c r="AG150" s="477"/>
      <c r="AH150" s="477"/>
      <c r="AI150" s="2245"/>
      <c r="AJ150" s="2245"/>
      <c r="AK150" s="2245"/>
      <c r="AL150" s="2246"/>
    </row>
    <row r="151" spans="1:38" ht="45" customHeight="1" x14ac:dyDescent="0.25">
      <c r="A151" s="505"/>
      <c r="B151" s="2297"/>
      <c r="C151" s="2284"/>
      <c r="D151" s="2747"/>
      <c r="E151" s="2747"/>
      <c r="F151" s="2747"/>
      <c r="G151" s="2289"/>
      <c r="H151" s="2729"/>
      <c r="I151" s="2747"/>
      <c r="J151" s="2756"/>
      <c r="Z151" s="477"/>
      <c r="AA151" s="477"/>
      <c r="AB151" s="477"/>
      <c r="AC151" s="477"/>
      <c r="AD151" s="477"/>
      <c r="AE151" s="477"/>
      <c r="AF151" s="477"/>
      <c r="AG151" s="477"/>
      <c r="AH151" s="477"/>
      <c r="AI151" s="2245"/>
      <c r="AJ151" s="2245"/>
      <c r="AK151" s="2245"/>
      <c r="AL151" s="2246"/>
    </row>
    <row r="152" spans="1:38" ht="15" customHeight="1" x14ac:dyDescent="0.25">
      <c r="A152" s="505"/>
      <c r="B152" s="495" t="s">
        <v>829</v>
      </c>
      <c r="C152" s="580" t="str">
        <f>IF(AND(ISNUMBER(C153),ISNUMBER(C154)), SUM(C153,C154),"")</f>
        <v/>
      </c>
      <c r="D152" s="580" t="str">
        <f t="shared" ref="D152:J152" si="229">IF(AND(ISNUMBER(D153),ISNUMBER(D154)), SUM(D153,D154),"")</f>
        <v/>
      </c>
      <c r="E152" s="580" t="str">
        <f t="shared" si="229"/>
        <v/>
      </c>
      <c r="F152" s="580" t="str">
        <f>IF(AND(ISNUMBER(F153),ISNUMBER(F154)), SUM(F153,F154),"")</f>
        <v/>
      </c>
      <c r="H152" s="580" t="str">
        <f t="shared" si="229"/>
        <v/>
      </c>
      <c r="I152" s="580" t="str">
        <f t="shared" si="229"/>
        <v/>
      </c>
      <c r="J152" s="915" t="str">
        <f t="shared" si="229"/>
        <v/>
      </c>
      <c r="Z152" s="477"/>
      <c r="AA152" s="477"/>
      <c r="AB152" s="477"/>
      <c r="AC152" s="477"/>
      <c r="AD152" s="477"/>
      <c r="AE152" s="477"/>
      <c r="AF152" s="477"/>
      <c r="AG152" s="477"/>
      <c r="AH152" s="477"/>
      <c r="AI152" s="2245"/>
      <c r="AJ152" s="2245"/>
      <c r="AK152" s="2245"/>
      <c r="AL152" s="2246"/>
    </row>
    <row r="153" spans="1:38" ht="15" customHeight="1" x14ac:dyDescent="0.25">
      <c r="A153" s="505"/>
      <c r="B153" s="486" t="s">
        <v>830</v>
      </c>
      <c r="C153" s="797"/>
      <c r="D153" s="792"/>
      <c r="E153" s="792"/>
      <c r="F153" s="792"/>
      <c r="H153" s="580" t="str">
        <f>IF(AND(ISNUMBER(D153),ISNUMBER(E153),ISNUMBER(F153)),SUM(D153,E153,F153),"")</f>
        <v/>
      </c>
      <c r="I153" s="792"/>
      <c r="J153" s="798"/>
      <c r="Z153" s="477"/>
      <c r="AA153" s="477"/>
      <c r="AB153" s="477"/>
      <c r="AC153" s="477"/>
      <c r="AD153" s="477"/>
      <c r="AE153" s="477"/>
      <c r="AF153" s="477"/>
      <c r="AG153" s="477"/>
      <c r="AH153" s="477"/>
      <c r="AI153" s="2245"/>
      <c r="AJ153" s="2245"/>
      <c r="AK153" s="2245"/>
      <c r="AL153" s="2246"/>
    </row>
    <row r="154" spans="1:38" ht="15" customHeight="1" x14ac:dyDescent="0.25">
      <c r="A154" s="505"/>
      <c r="B154" s="496" t="s">
        <v>831</v>
      </c>
      <c r="C154" s="799"/>
      <c r="D154" s="800"/>
      <c r="E154" s="800"/>
      <c r="F154" s="800"/>
      <c r="H154" s="580" t="str">
        <f>IF(AND(ISNUMBER(D154),ISNUMBER(E154),ISNUMBER(F154)),SUM(D154,E154,F154),"")</f>
        <v/>
      </c>
      <c r="I154" s="800"/>
      <c r="J154" s="801"/>
      <c r="Z154" s="477"/>
      <c r="AA154" s="477"/>
      <c r="AB154" s="477"/>
      <c r="AC154" s="477"/>
      <c r="AD154" s="477"/>
      <c r="AE154" s="477"/>
      <c r="AF154" s="477"/>
      <c r="AG154" s="477"/>
      <c r="AH154" s="477"/>
      <c r="AI154" s="2245"/>
      <c r="AJ154" s="2245"/>
      <c r="AK154" s="2245"/>
      <c r="AL154" s="2246"/>
    </row>
    <row r="155" spans="1:38" ht="15" customHeight="1" x14ac:dyDescent="0.25">
      <c r="A155" s="505"/>
      <c r="B155" s="1212" t="str">
        <f>"Check: row " &amp; ROW(B152) &amp;" = row " &amp; ROW(B87)</f>
        <v>Check: row 152 = row 87</v>
      </c>
      <c r="C155" s="787" t="str">
        <f>IF(AND(ISNUMBER(C152), ISNUMBER(C87)), IF(C152=C87, "Pass", "Fail"), "")</f>
        <v/>
      </c>
      <c r="D155" s="1213" t="str">
        <f>IF(AND(ISNUMBER(D152), ISNUMBER(D87)), IF(D152=D87, "Pass", "Fail"), "")</f>
        <v/>
      </c>
      <c r="E155" s="1213" t="str">
        <f>IF(AND(ISNUMBER(E152), ISNUMBER(E87)), IF(E152=E87, "Pass", "Fail"), "")</f>
        <v/>
      </c>
      <c r="F155" s="1213" t="str">
        <f>IF(AND(ISNUMBER(F152), ISNUMBER(H87)), IF(F152=H87, "Pass", "Fail"), "")</f>
        <v/>
      </c>
      <c r="H155" s="1213" t="str">
        <f>IF(AND(ISNUMBER(H152), ISNUMBER(I87)), IF(H152=I87, "Pass", "Fail"), "")</f>
        <v/>
      </c>
      <c r="I155" s="1213" t="str">
        <f>IF(AND(ISNUMBER(I152), ISNUMBER(M87)), IF(I152=M87, "Pass", "Fail"), "")</f>
        <v/>
      </c>
      <c r="J155" s="1214" t="str">
        <f>IF(AND(ISNUMBER(J152), ISNUMBER(N87)), IF(J152=N87, "Pass", "Fail"), "")</f>
        <v/>
      </c>
      <c r="Z155" s="477"/>
      <c r="AA155" s="477"/>
      <c r="AB155" s="477"/>
      <c r="AC155" s="477"/>
      <c r="AD155" s="477"/>
      <c r="AE155" s="477"/>
      <c r="AF155" s="477"/>
      <c r="AG155" s="477"/>
      <c r="AH155" s="477"/>
      <c r="AI155" s="2245"/>
      <c r="AJ155" s="2245"/>
      <c r="AK155" s="2245"/>
      <c r="AL155" s="2246"/>
    </row>
    <row r="156" spans="1:38" ht="15" customHeight="1" x14ac:dyDescent="0.25">
      <c r="A156" s="1036"/>
      <c r="B156" s="525"/>
      <c r="C156" s="525"/>
      <c r="D156" s="525"/>
      <c r="E156" s="525"/>
      <c r="F156" s="525"/>
      <c r="G156" s="525"/>
      <c r="H156" s="525"/>
      <c r="I156" s="525"/>
      <c r="J156" s="525"/>
      <c r="K156" s="525"/>
      <c r="L156" s="525"/>
      <c r="M156" s="525"/>
      <c r="N156" s="549"/>
      <c r="O156" s="549"/>
      <c r="P156" s="549"/>
      <c r="Q156" s="549"/>
      <c r="R156" s="549"/>
      <c r="S156" s="549"/>
      <c r="T156" s="549"/>
      <c r="U156" s="549"/>
      <c r="V156" s="549"/>
      <c r="W156" s="549"/>
      <c r="X156" s="549"/>
      <c r="Y156" s="549"/>
      <c r="Z156" s="549"/>
      <c r="AA156" s="549"/>
      <c r="AB156" s="2298"/>
      <c r="AC156" s="2298"/>
      <c r="AD156" s="2298"/>
      <c r="AE156" s="2298"/>
      <c r="AF156" s="2298"/>
      <c r="AG156" s="2298"/>
      <c r="AH156" s="2298"/>
      <c r="AI156" s="2299"/>
      <c r="AJ156" s="2299"/>
      <c r="AK156" s="2299"/>
      <c r="AL156" s="2247"/>
    </row>
  </sheetData>
  <mergeCells count="46">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C19:AD143 H152:J154 C152:F154 AF19:AK143 C145:AK146">
    <cfRule type="cellIs" dxfId="88" priority="2601" stopIfTrue="1" operator="lessThan">
      <formula>0</formula>
    </cfRule>
  </conditionalFormatting>
  <conditionalFormatting sqref="A1:AL1048576">
    <cfRule type="cellIs" dxfId="87" priority="45" stopIfTrue="1" operator="equal">
      <formula>"Pass"</formula>
    </cfRule>
    <cfRule type="cellIs" dxfId="86" priority="2580"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AI33 AI24 AI75 AI58" formula="1"/>
  </ignoredErrors>
  <extLst>
    <ext xmlns:x14="http://schemas.microsoft.com/office/spreadsheetml/2009/9/main" uri="{78C0D931-6437-407d-A8EE-F0AAD7539E65}">
      <x14:conditionalFormattings>
        <x14:conditionalFormatting xmlns:xm="http://schemas.microsoft.com/office/excel/2006/main">
          <x14:cfRule type="beginsWith" priority="2593" stopIfTrue="1" operator="beginsWith" id="{DB285AEB-E15B-4CED-BAE5-6A0D2F4FF6F1}">
            <xm:f>LEFT(A1,LEN("Fail"))="Fail"</xm:f>
            <xm:f>"Fail"</xm:f>
            <x14:dxf>
              <font>
                <b/>
                <i val="0"/>
                <strike val="0"/>
                <color rgb="FFAA322F"/>
              </font>
              <fill>
                <patternFill patternType="solid">
                  <bgColor theme="0"/>
                </patternFill>
              </fill>
            </x14:dxf>
          </x14:cfRule>
          <xm:sqref>A1:AL1048576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81"/>
  <sheetViews>
    <sheetView zoomScale="75" zoomScaleNormal="75" zoomScaleSheetLayoutView="50" workbookViewId="0">
      <pane xSplit="2" ySplit="1" topLeftCell="C2" activePane="bottomRight" state="frozen"/>
      <selection pane="topRight"/>
      <selection pane="bottomLeft"/>
      <selection pane="bottomRight"/>
    </sheetView>
  </sheetViews>
  <sheetFormatPr defaultColWidth="0" defaultRowHeight="14.25" zeroHeight="1" x14ac:dyDescent="0.25"/>
  <cols>
    <col min="1" max="1" width="1.7109375" style="477" customWidth="1"/>
    <col min="2" max="2" width="64.7109375" style="477" customWidth="1"/>
    <col min="3" max="5" width="16.7109375" style="258" customWidth="1"/>
    <col min="6" max="6" width="16.7109375" style="258" hidden="1" customWidth="1"/>
    <col min="7" max="16" width="16.7109375" style="258" customWidth="1"/>
    <col min="17" max="17" width="16.7109375" style="258" hidden="1" customWidth="1"/>
    <col min="18" max="28" width="16.7109375" style="258" customWidth="1"/>
    <col min="29" max="29" width="16.7109375" style="258" hidden="1" customWidth="1"/>
    <col min="30" max="37" width="16.7109375" style="258" customWidth="1"/>
    <col min="38" max="44" width="16.7109375" style="2245" customWidth="1"/>
    <col min="45" max="45" width="16.7109375" style="2245" hidden="1" customWidth="1"/>
    <col min="46" max="55" width="16.7109375" style="2245" customWidth="1"/>
    <col min="56" max="56" width="16.7109375" style="2245" hidden="1" customWidth="1"/>
    <col min="57" max="67" width="16.7109375" style="2245" customWidth="1"/>
    <col min="68" max="68" width="16.7109375" style="2245" hidden="1" customWidth="1"/>
    <col min="69" max="76" width="16.7109375" style="2245" customWidth="1"/>
    <col min="77" max="77" width="16.7109375" style="2245" hidden="1" customWidth="1"/>
    <col min="78" max="80" width="16.7109375" style="2245" customWidth="1"/>
    <col min="81" max="81" width="16.7109375" style="2245" hidden="1" customWidth="1"/>
    <col min="82" max="84" width="16.7109375" style="2245" customWidth="1"/>
    <col min="85" max="89" width="16.7109375" style="2294" customWidth="1"/>
    <col min="90" max="95" width="16.7109375" style="2245" customWidth="1"/>
    <col min="96" max="96" width="18.7109375" style="2245" customWidth="1"/>
    <col min="97" max="97" width="28.7109375" style="2245" customWidth="1"/>
    <col min="98" max="103" width="24.7109375" style="2245" customWidth="1"/>
    <col min="104" max="104" width="1.7109375" style="2245" customWidth="1"/>
    <col min="105" max="16384" width="16.85546875" hidden="1"/>
  </cols>
  <sheetData>
    <row r="1" spans="1:104" ht="30" customHeight="1" x14ac:dyDescent="0.55000000000000004">
      <c r="A1" s="1098" t="s">
        <v>1038</v>
      </c>
      <c r="B1" s="1436"/>
      <c r="C1" s="1062" t="str">
        <f>CONCATENATE("Reporting unit: ", 'General Info'!$C$7, " ", 'General Info'!$C$5)</f>
        <v xml:space="preserve">Reporting unit: 1 </v>
      </c>
      <c r="D1" s="1062"/>
      <c r="E1" s="1062"/>
      <c r="F1" s="1062"/>
      <c r="G1" s="1062"/>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c r="AM1" s="1077"/>
      <c r="AN1" s="1077"/>
      <c r="AO1" s="1077"/>
      <c r="AP1" s="1077"/>
      <c r="AQ1" s="1077"/>
      <c r="AR1" s="1077"/>
      <c r="AS1" s="1077"/>
      <c r="AT1" s="1077"/>
      <c r="AU1" s="1077"/>
      <c r="AV1" s="1077"/>
      <c r="AW1" s="1077"/>
      <c r="AX1" s="1077"/>
      <c r="AY1" s="1077"/>
      <c r="AZ1" s="1077"/>
      <c r="BA1" s="1077"/>
      <c r="BB1" s="1077"/>
      <c r="BC1" s="1077"/>
      <c r="BD1" s="1077"/>
      <c r="BE1" s="1077"/>
      <c r="BF1" s="1077"/>
      <c r="BG1" s="1077"/>
      <c r="BH1" s="1077"/>
      <c r="BI1" s="1077"/>
      <c r="BJ1" s="1077"/>
      <c r="BK1" s="1077"/>
      <c r="BL1" s="1077"/>
      <c r="BM1" s="1077"/>
      <c r="BN1" s="1077"/>
      <c r="BO1" s="1077"/>
      <c r="BP1" s="1077"/>
      <c r="BQ1" s="1077"/>
      <c r="BR1" s="1077"/>
      <c r="BS1" s="1077"/>
      <c r="BT1" s="1077"/>
      <c r="BU1" s="1077"/>
      <c r="BV1" s="1077"/>
      <c r="BW1" s="1077"/>
      <c r="BX1" s="1077"/>
      <c r="BY1" s="1077"/>
      <c r="BZ1" s="1077"/>
      <c r="CA1" s="1077"/>
      <c r="CB1" s="1077"/>
      <c r="CC1" s="1077"/>
      <c r="CD1" s="1077"/>
      <c r="CE1" s="1077"/>
      <c r="CF1" s="1077"/>
      <c r="CG1" s="1097"/>
      <c r="CH1" s="1097"/>
      <c r="CI1" s="1097"/>
      <c r="CJ1" s="1097"/>
      <c r="CK1" s="1097"/>
      <c r="CL1" s="1077"/>
      <c r="CM1" s="1077"/>
      <c r="CN1" s="1077"/>
      <c r="CO1" s="1077"/>
      <c r="CP1" s="1077"/>
      <c r="CQ1" s="1077"/>
      <c r="CR1" s="1077"/>
      <c r="CS1" s="1077"/>
      <c r="CT1" s="1077"/>
      <c r="CU1" s="1077"/>
      <c r="CV1" s="1077"/>
      <c r="CW1" s="1077"/>
      <c r="CX1" s="1077"/>
      <c r="CY1" s="1077"/>
      <c r="CZ1" s="1005"/>
    </row>
    <row r="2" spans="1:104" ht="15" customHeight="1" x14ac:dyDescent="0.25">
      <c r="A2" s="545"/>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1097"/>
      <c r="CH2" s="1097"/>
      <c r="CI2" s="1097"/>
      <c r="CJ2" s="1097"/>
      <c r="CK2" s="1097"/>
      <c r="CL2" s="1078"/>
      <c r="CM2" s="1078"/>
      <c r="CN2" s="1078"/>
      <c r="CO2" s="1078"/>
      <c r="CP2" s="1078"/>
      <c r="CQ2" s="1078"/>
      <c r="CR2" s="1078"/>
      <c r="CS2" s="1078"/>
      <c r="CT2" s="1078"/>
      <c r="CU2" s="1078"/>
      <c r="CV2" s="1078"/>
      <c r="CW2" s="1078"/>
      <c r="CX2" s="1078"/>
      <c r="CY2" s="1078"/>
      <c r="CZ2" s="1022"/>
    </row>
    <row r="3" spans="1:104" ht="30" customHeight="1" x14ac:dyDescent="0.25">
      <c r="A3" s="545"/>
      <c r="B3" s="1108" t="s">
        <v>1015</v>
      </c>
      <c r="C3" s="1109"/>
      <c r="D3" s="1109"/>
      <c r="E3" s="1109"/>
      <c r="F3" s="1109"/>
      <c r="G3" s="1109"/>
      <c r="H3" s="1109"/>
      <c r="I3" s="1109"/>
      <c r="J3" s="1109"/>
      <c r="K3" s="1109"/>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c r="BP3" s="477"/>
      <c r="BQ3" s="477"/>
      <c r="BR3" s="477"/>
      <c r="BS3" s="477"/>
      <c r="BT3" s="477"/>
      <c r="BU3" s="477"/>
      <c r="BV3" s="477"/>
      <c r="BW3" s="477"/>
      <c r="BX3" s="477"/>
      <c r="BY3" s="477"/>
      <c r="BZ3" s="477"/>
      <c r="CA3" s="477"/>
      <c r="CB3" s="477"/>
      <c r="CC3" s="477"/>
      <c r="CD3" s="477"/>
      <c r="CE3" s="477"/>
      <c r="CF3" s="477"/>
      <c r="CG3" s="155"/>
      <c r="CH3" s="155"/>
      <c r="CI3" s="155"/>
      <c r="CJ3" s="155"/>
      <c r="CK3" s="155"/>
      <c r="CL3" s="258"/>
      <c r="CM3" s="258"/>
      <c r="CN3" s="258"/>
      <c r="CO3" s="258"/>
      <c r="CP3" s="258"/>
      <c r="CQ3" s="258"/>
      <c r="CR3" s="258"/>
      <c r="CS3" s="258"/>
      <c r="CT3" s="258"/>
      <c r="CU3" s="258"/>
      <c r="CV3" s="258"/>
      <c r="CW3" s="258"/>
      <c r="CX3" s="258"/>
      <c r="CY3" s="258"/>
      <c r="CZ3" s="791"/>
    </row>
    <row r="4" spans="1:104" ht="15" customHeight="1" x14ac:dyDescent="0.25">
      <c r="A4" s="545"/>
      <c r="B4" s="2300"/>
      <c r="C4" s="2295" t="s">
        <v>48</v>
      </c>
      <c r="D4" s="2295" t="s">
        <v>650</v>
      </c>
      <c r="E4" s="2301"/>
      <c r="F4" s="2301"/>
      <c r="G4" s="2300"/>
      <c r="H4" s="2301"/>
      <c r="I4" s="2301"/>
      <c r="J4" s="2300"/>
      <c r="K4" s="2301"/>
      <c r="T4" s="477"/>
      <c r="U4" s="477"/>
      <c r="V4" s="477"/>
      <c r="W4" s="477"/>
      <c r="X4" s="477"/>
      <c r="Y4" s="477"/>
      <c r="Z4" s="477"/>
      <c r="AA4" s="477"/>
      <c r="AB4" s="477"/>
      <c r="AC4" s="477"/>
      <c r="AH4" s="477"/>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155"/>
      <c r="CH4" s="155"/>
      <c r="CI4" s="155"/>
      <c r="CJ4" s="155"/>
      <c r="CK4" s="155"/>
      <c r="CL4" s="258"/>
      <c r="CM4" s="258"/>
      <c r="CN4" s="258"/>
      <c r="CO4" s="258"/>
      <c r="CP4" s="258"/>
      <c r="CQ4" s="258"/>
      <c r="CR4" s="258"/>
      <c r="CS4" s="258"/>
      <c r="CT4" s="258"/>
      <c r="CU4" s="258"/>
      <c r="CV4" s="258"/>
      <c r="CW4" s="258"/>
      <c r="CX4" s="258"/>
      <c r="CY4" s="258"/>
      <c r="CZ4" s="791"/>
    </row>
    <row r="5" spans="1:104" ht="15" customHeight="1" x14ac:dyDescent="0.25">
      <c r="A5" s="545"/>
      <c r="B5" s="1110" t="str">
        <f>'General Info'!$B12</f>
        <v>FIRB approach</v>
      </c>
      <c r="C5" s="1111" t="str">
        <f>IF(ISBLANK('General Info'!$C12),"",'General Info'!$C12)</f>
        <v/>
      </c>
      <c r="D5" s="1112" t="str">
        <f>IF(C5="Yes", "Please fill in FIRB exposures section in panel A", "No FIRB exposures")</f>
        <v>No FIRB exposures</v>
      </c>
      <c r="E5" s="1117"/>
      <c r="F5" s="1117"/>
      <c r="G5" s="1117"/>
      <c r="H5" s="1117"/>
      <c r="I5" s="1117"/>
      <c r="J5" s="1117"/>
      <c r="K5" s="111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7"/>
      <c r="BX5" s="477"/>
      <c r="BY5" s="477"/>
      <c r="BZ5" s="477"/>
      <c r="CA5" s="477"/>
      <c r="CB5" s="477"/>
      <c r="CC5" s="477"/>
      <c r="CD5" s="477"/>
      <c r="CE5" s="477"/>
      <c r="CF5" s="477"/>
      <c r="CG5" s="155"/>
      <c r="CH5" s="155"/>
      <c r="CI5" s="155"/>
      <c r="CJ5" s="155"/>
      <c r="CK5" s="155"/>
      <c r="CL5" s="258"/>
      <c r="CM5" s="258"/>
      <c r="CN5" s="258"/>
      <c r="CO5" s="258"/>
      <c r="CP5" s="258"/>
      <c r="CQ5" s="258"/>
      <c r="CR5" s="258"/>
      <c r="CS5" s="258"/>
      <c r="CT5" s="258"/>
      <c r="CU5" s="258"/>
      <c r="CV5" s="258"/>
      <c r="CW5" s="258"/>
      <c r="CX5" s="258"/>
      <c r="CY5" s="258"/>
      <c r="CZ5" s="791"/>
    </row>
    <row r="6" spans="1:104" ht="15" customHeight="1" x14ac:dyDescent="0.25">
      <c r="A6" s="545"/>
      <c r="B6" s="2290" t="str">
        <f>'General Info'!$B13</f>
        <v>AIRB approach</v>
      </c>
      <c r="C6" s="1113" t="str">
        <f>IF(ISBLANK('General Info'!$C13),"",'General Info'!$C13)</f>
        <v/>
      </c>
      <c r="D6" s="1114" t="str">
        <f>IF(C6="Yes", "Please fill in AIRB exposures section in panel A", "No AIRB exposures")</f>
        <v>No AIRB exposures</v>
      </c>
      <c r="E6" s="1118"/>
      <c r="F6" s="1118"/>
      <c r="G6" s="1118"/>
      <c r="H6" s="1118"/>
      <c r="I6" s="1118"/>
      <c r="J6" s="1118"/>
      <c r="K6" s="1118"/>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258"/>
      <c r="BJ6" s="258"/>
      <c r="BK6" s="258"/>
      <c r="BL6" s="258"/>
      <c r="BM6" s="477"/>
      <c r="BN6" s="477"/>
      <c r="BO6" s="477"/>
      <c r="BP6" s="477"/>
      <c r="BQ6" s="477"/>
      <c r="BR6" s="477"/>
      <c r="BS6" s="477"/>
      <c r="BT6" s="477"/>
      <c r="BU6" s="477"/>
      <c r="BV6" s="477"/>
      <c r="BW6" s="477"/>
      <c r="BX6" s="477"/>
      <c r="BY6" s="477"/>
      <c r="BZ6" s="477"/>
      <c r="CA6" s="477"/>
      <c r="CB6" s="477"/>
      <c r="CC6" s="477"/>
      <c r="CD6" s="477"/>
      <c r="CE6" s="477"/>
      <c r="CF6" s="477"/>
      <c r="CG6" s="155"/>
      <c r="CH6" s="155"/>
      <c r="CI6" s="155"/>
      <c r="CJ6" s="155"/>
      <c r="CK6" s="155"/>
      <c r="CL6" s="258"/>
      <c r="CM6" s="258"/>
      <c r="CN6" s="258"/>
      <c r="CO6" s="258"/>
      <c r="CP6" s="258"/>
      <c r="CQ6" s="258"/>
      <c r="CR6" s="258"/>
      <c r="CS6" s="258"/>
      <c r="CT6" s="258"/>
      <c r="CU6" s="258"/>
      <c r="CV6" s="258"/>
      <c r="CW6" s="258"/>
      <c r="CX6" s="258"/>
      <c r="CY6" s="258"/>
      <c r="CZ6" s="791"/>
    </row>
    <row r="7" spans="1:104" ht="15" customHeight="1" x14ac:dyDescent="0.25">
      <c r="A7" s="545"/>
      <c r="B7" s="2290" t="s">
        <v>1014</v>
      </c>
      <c r="C7" s="1113" t="str">
        <f>IF(ISBLANK('General Info'!$C14),"",'General Info'!$C14)</f>
        <v/>
      </c>
      <c r="D7" s="1114" t="str">
        <f>IF(C7="Yes","Please fill in complete standardised approach section for revised framework in panel A",IF(C7="No","Please fill in equities rows in the standardised approach section for revised framework in panel A",""))</f>
        <v/>
      </c>
      <c r="E7" s="1118"/>
      <c r="F7" s="1118"/>
      <c r="G7" s="1118"/>
      <c r="H7" s="1118"/>
      <c r="I7" s="1118"/>
      <c r="J7" s="1118"/>
      <c r="K7" s="1118"/>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258"/>
      <c r="BJ7" s="258"/>
      <c r="BK7" s="258"/>
      <c r="BL7" s="258"/>
      <c r="BM7" s="477"/>
      <c r="BN7" s="477"/>
      <c r="BO7" s="477"/>
      <c r="BP7" s="477"/>
      <c r="BQ7" s="477"/>
      <c r="BR7" s="477"/>
      <c r="BS7" s="477"/>
      <c r="BT7" s="477"/>
      <c r="BU7" s="477"/>
      <c r="BV7" s="477"/>
      <c r="BW7" s="477"/>
      <c r="BX7" s="477"/>
      <c r="BY7" s="477"/>
      <c r="BZ7" s="477"/>
      <c r="CA7" s="477"/>
      <c r="CB7" s="477"/>
      <c r="CC7" s="477"/>
      <c r="CD7" s="477"/>
      <c r="CE7" s="477"/>
      <c r="CF7" s="477"/>
      <c r="CG7" s="155"/>
      <c r="CH7" s="155"/>
      <c r="CI7" s="155"/>
      <c r="CJ7" s="155"/>
      <c r="CK7" s="155"/>
      <c r="CL7" s="258"/>
      <c r="CM7" s="258"/>
      <c r="CN7" s="258"/>
      <c r="CO7" s="258"/>
      <c r="CP7" s="258"/>
      <c r="CQ7" s="258"/>
      <c r="CR7" s="258"/>
      <c r="CS7" s="258"/>
      <c r="CT7" s="258"/>
      <c r="CU7" s="258"/>
      <c r="CV7" s="258"/>
      <c r="CW7" s="258"/>
      <c r="CX7" s="258"/>
      <c r="CY7" s="258"/>
      <c r="CZ7" s="791"/>
    </row>
    <row r="8" spans="1:104" ht="15" customHeight="1" x14ac:dyDescent="0.25">
      <c r="A8" s="545"/>
      <c r="B8" s="2290" t="str">
        <f>'General Info'!$B15</f>
        <v>Slotting approach for specialised lending</v>
      </c>
      <c r="C8" s="1113" t="str">
        <f>IF(ISBLANK('General Info'!$C15),"",'General Info'!$C15)</f>
        <v/>
      </c>
      <c r="D8" s="1114" t="str">
        <f>IF(C8="Yes","Please report data in FIRB section of panel A"," ")</f>
        <v xml:space="preserve"> </v>
      </c>
      <c r="E8" s="1118"/>
      <c r="F8" s="1118"/>
      <c r="G8" s="1118"/>
      <c r="H8" s="1118"/>
      <c r="I8" s="1118"/>
      <c r="J8" s="1118"/>
      <c r="K8" s="1118"/>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c r="BQ8" s="477"/>
      <c r="BR8" s="477"/>
      <c r="BS8" s="477"/>
      <c r="BT8" s="477"/>
      <c r="BU8" s="477"/>
      <c r="BV8" s="477"/>
      <c r="BW8" s="477"/>
      <c r="BX8" s="477"/>
      <c r="BY8" s="477"/>
      <c r="BZ8" s="477"/>
      <c r="CA8" s="477"/>
      <c r="CB8" s="477"/>
      <c r="CC8" s="477"/>
      <c r="CD8" s="477"/>
      <c r="CE8" s="477"/>
      <c r="CF8" s="477"/>
      <c r="CG8" s="155"/>
      <c r="CH8" s="155"/>
      <c r="CI8" s="155"/>
      <c r="CJ8" s="155"/>
      <c r="CK8" s="155"/>
      <c r="CL8" s="258"/>
      <c r="CM8" s="258"/>
      <c r="CN8" s="258"/>
      <c r="CO8" s="258"/>
      <c r="CP8" s="258"/>
      <c r="CQ8" s="258"/>
      <c r="CR8" s="258"/>
      <c r="CS8" s="258"/>
      <c r="CT8" s="258"/>
      <c r="CU8" s="258"/>
      <c r="CV8" s="258"/>
      <c r="CW8" s="258"/>
      <c r="CX8" s="258"/>
      <c r="CY8" s="258"/>
      <c r="CZ8" s="791"/>
    </row>
    <row r="9" spans="1:104" ht="15" customHeight="1" x14ac:dyDescent="0.25">
      <c r="A9" s="545"/>
      <c r="B9" s="2291" t="str">
        <f>'General Info'!B47</f>
        <v>Revised market risk framework definition of TB-BB boundary</v>
      </c>
      <c r="C9" s="1115" t="str">
        <f>IF(ISBLANK('General Info'!C47),"",'General Info'!$C47)</f>
        <v/>
      </c>
      <c r="D9" s="1116" t="str">
        <f>IF(C9="Yes", "Please complete rows " &amp; ROW(B68) &amp; " and " &amp; ROW(B69) &amp; ".", IF(C9="No", "Please leave rows " &amp; ROW(B68) &amp; " and " &amp; ROW(B69) &amp; " empty.", ""))</f>
        <v/>
      </c>
      <c r="E9" s="1119"/>
      <c r="F9" s="1119"/>
      <c r="G9" s="1119"/>
      <c r="H9" s="1119"/>
      <c r="I9" s="1119"/>
      <c r="J9" s="1119"/>
      <c r="K9" s="1119"/>
      <c r="T9" s="477"/>
      <c r="U9" s="477"/>
      <c r="V9" s="477"/>
      <c r="W9" s="477"/>
      <c r="X9" s="477"/>
      <c r="Y9" s="477"/>
      <c r="Z9" s="477"/>
      <c r="AA9" s="477"/>
      <c r="AB9" s="477"/>
      <c r="AC9" s="477"/>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258"/>
      <c r="BF9" s="258"/>
      <c r="BG9" s="258"/>
      <c r="BH9" s="477"/>
      <c r="BI9" s="477"/>
      <c r="BJ9" s="477"/>
      <c r="BK9" s="477"/>
      <c r="BL9" s="477"/>
      <c r="BM9" s="477"/>
      <c r="BN9" s="477"/>
      <c r="BO9" s="477"/>
      <c r="BP9" s="477"/>
      <c r="BQ9" s="477"/>
      <c r="BR9" s="477"/>
      <c r="BS9" s="477"/>
      <c r="BT9" s="477"/>
      <c r="BU9" s="477"/>
      <c r="BV9" s="477"/>
      <c r="BW9" s="477"/>
      <c r="BX9" s="477"/>
      <c r="BY9" s="477"/>
      <c r="BZ9" s="477"/>
      <c r="CA9" s="155"/>
      <c r="CB9" s="155"/>
      <c r="CC9" s="155"/>
      <c r="CD9" s="155"/>
      <c r="CE9" s="155"/>
      <c r="CF9" s="155"/>
      <c r="CG9" s="258"/>
      <c r="CH9" s="258"/>
      <c r="CI9" s="258"/>
      <c r="CJ9" s="258"/>
      <c r="CK9" s="258"/>
      <c r="CL9" s="258"/>
      <c r="CM9" s="258"/>
      <c r="CN9" s="258"/>
      <c r="CO9" s="258"/>
      <c r="CP9" s="258"/>
      <c r="CQ9" s="258"/>
      <c r="CR9" s="258"/>
      <c r="CS9" s="258"/>
      <c r="CT9" s="258"/>
      <c r="CU9" s="258"/>
      <c r="CV9" s="258"/>
      <c r="CW9" s="258"/>
      <c r="CX9" s="258"/>
      <c r="CY9" s="258"/>
      <c r="CZ9" s="791"/>
    </row>
    <row r="10" spans="1:104" ht="15" customHeight="1" x14ac:dyDescent="0.25">
      <c r="A10" s="1036"/>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477"/>
      <c r="CB10" s="477"/>
      <c r="CC10" s="477"/>
      <c r="CD10" s="477"/>
      <c r="CE10" s="477"/>
      <c r="CF10" s="477"/>
      <c r="CG10" s="428"/>
      <c r="CH10" s="428"/>
      <c r="CI10" s="428"/>
      <c r="CJ10" s="428"/>
      <c r="CK10" s="428"/>
      <c r="CL10" s="525"/>
      <c r="CM10" s="525"/>
      <c r="CN10" s="525"/>
      <c r="CO10" s="525"/>
      <c r="CP10" s="525"/>
      <c r="CQ10" s="525"/>
      <c r="CR10" s="525"/>
      <c r="CS10" s="525"/>
      <c r="CT10" s="525"/>
      <c r="CU10" s="525"/>
      <c r="CV10" s="525"/>
      <c r="CW10" s="525"/>
      <c r="CX10" s="525"/>
      <c r="CY10" s="525"/>
      <c r="CZ10" s="2302"/>
    </row>
    <row r="11" spans="1:104" ht="52.5" customHeight="1" x14ac:dyDescent="0.25">
      <c r="A11" s="1018" t="str">
        <f>"A. Exposures currently subject to the IRB approaches under national rules in place at the reporting date (using the " &amp; IF(Parameters!F270="Yes",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1063"/>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c r="AU11" s="1064"/>
      <c r="AV11" s="1064"/>
      <c r="AW11" s="1064"/>
      <c r="AX11" s="1064"/>
      <c r="AY11" s="1064"/>
      <c r="AZ11" s="1064"/>
      <c r="BA11" s="1064"/>
      <c r="BB11" s="1064"/>
      <c r="BC11" s="1064"/>
      <c r="BD11" s="1064"/>
      <c r="BE11" s="1064"/>
      <c r="BF11" s="1064"/>
      <c r="BG11" s="1064"/>
      <c r="BH11" s="1064"/>
      <c r="BI11" s="1064"/>
      <c r="BJ11" s="1064"/>
      <c r="BK11" s="1064"/>
      <c r="BL11" s="1064"/>
      <c r="BM11" s="1064"/>
      <c r="BN11" s="1064"/>
      <c r="BO11" s="1064"/>
      <c r="BP11" s="1064"/>
      <c r="BQ11" s="1064"/>
      <c r="BR11" s="1064"/>
      <c r="BS11" s="1064"/>
      <c r="BT11" s="1064"/>
      <c r="BU11" s="1064"/>
      <c r="BV11" s="1064"/>
      <c r="BW11" s="1064"/>
      <c r="BX11" s="1064"/>
      <c r="BY11" s="1064"/>
      <c r="BZ11" s="1064"/>
      <c r="CA11" s="1064"/>
      <c r="CB11" s="1064"/>
      <c r="CC11" s="1064"/>
      <c r="CD11" s="1064"/>
      <c r="CE11" s="1064"/>
      <c r="CF11" s="1064"/>
      <c r="CG11" s="510"/>
      <c r="CH11" s="510"/>
      <c r="CI11" s="510"/>
      <c r="CJ11" s="510"/>
      <c r="CK11" s="510"/>
      <c r="CL11" s="192"/>
      <c r="CM11" s="192"/>
      <c r="CN11" s="192"/>
      <c r="CO11" s="192"/>
      <c r="CP11" s="192"/>
      <c r="CQ11" s="192"/>
      <c r="CR11" s="192"/>
      <c r="CS11" s="192"/>
      <c r="CT11" s="2273"/>
      <c r="CU11" s="2273"/>
      <c r="CV11" s="2273"/>
      <c r="CW11" s="2273"/>
      <c r="CX11" s="2273"/>
      <c r="CY11" s="2273"/>
      <c r="CZ11" s="2271"/>
    </row>
    <row r="12" spans="1:104" ht="30" customHeight="1" x14ac:dyDescent="0.25">
      <c r="A12" s="545"/>
      <c r="B12" s="2798" t="s">
        <v>651</v>
      </c>
      <c r="C12" s="2801" t="s">
        <v>886</v>
      </c>
      <c r="D12" s="2801"/>
      <c r="E12" s="2801"/>
      <c r="F12" s="2801"/>
      <c r="G12" s="2801"/>
      <c r="H12" s="2801"/>
      <c r="I12" s="2801"/>
      <c r="J12" s="2801"/>
      <c r="K12" s="2801"/>
      <c r="L12" s="2801"/>
      <c r="M12" s="2801"/>
      <c r="N12" s="2796" t="s">
        <v>886</v>
      </c>
      <c r="O12" s="2796"/>
      <c r="P12" s="2796"/>
      <c r="Q12" s="2796"/>
      <c r="R12" s="2796"/>
      <c r="S12" s="2796"/>
      <c r="T12" s="2796"/>
      <c r="U12" s="2796"/>
      <c r="V12" s="2796"/>
      <c r="W12" s="2796"/>
      <c r="X12" s="2796"/>
      <c r="Y12" s="2796"/>
      <c r="Z12" s="2795" t="s">
        <v>886</v>
      </c>
      <c r="AA12" s="2796"/>
      <c r="AB12" s="2796"/>
      <c r="AC12" s="2796"/>
      <c r="AD12" s="2796"/>
      <c r="AE12" s="2796"/>
      <c r="AF12" s="2796"/>
      <c r="AG12" s="2796"/>
      <c r="AH12" s="2796"/>
      <c r="AI12" s="2796"/>
      <c r="AJ12" s="2796"/>
      <c r="AK12" s="2796"/>
      <c r="AL12" s="2795" t="s">
        <v>886</v>
      </c>
      <c r="AM12" s="2796"/>
      <c r="AN12" s="2796"/>
      <c r="AO12" s="2797"/>
      <c r="AP12" s="2775" t="s">
        <v>1010</v>
      </c>
      <c r="AQ12" s="2775"/>
      <c r="AR12" s="2775"/>
      <c r="AS12" s="2775"/>
      <c r="AT12" s="2775"/>
      <c r="AU12" s="2775"/>
      <c r="AV12" s="2775"/>
      <c r="AW12" s="2775"/>
      <c r="AX12" s="2775"/>
      <c r="AY12" s="2775"/>
      <c r="AZ12" s="2776"/>
      <c r="BA12" s="2774" t="s">
        <v>1010</v>
      </c>
      <c r="BB12" s="2775"/>
      <c r="BC12" s="2775"/>
      <c r="BD12" s="2775"/>
      <c r="BE12" s="2775"/>
      <c r="BF12" s="2775"/>
      <c r="BG12" s="2775"/>
      <c r="BH12" s="2775"/>
      <c r="BI12" s="2775"/>
      <c r="BJ12" s="2775"/>
      <c r="BK12" s="2775"/>
      <c r="BL12" s="2775"/>
      <c r="BM12" s="2774" t="s">
        <v>1010</v>
      </c>
      <c r="BN12" s="2775"/>
      <c r="BO12" s="2775"/>
      <c r="BP12" s="2775"/>
      <c r="BQ12" s="2775"/>
      <c r="BR12" s="2775"/>
      <c r="BS12" s="2775"/>
      <c r="BT12" s="2775"/>
      <c r="BU12" s="2775"/>
      <c r="BV12" s="2775"/>
      <c r="BW12" s="2775"/>
      <c r="BX12" s="2776"/>
      <c r="BY12" s="2725" t="s">
        <v>1010</v>
      </c>
      <c r="BZ12" s="2726"/>
      <c r="CA12" s="2726"/>
      <c r="CB12" s="2726"/>
      <c r="CC12" s="2726"/>
      <c r="CD12" s="2726"/>
      <c r="CE12" s="2726"/>
      <c r="CF12" s="2726"/>
      <c r="CG12" s="2726"/>
      <c r="CH12" s="2726"/>
      <c r="CI12" s="2726"/>
      <c r="CJ12" s="2726"/>
      <c r="CK12" s="2727"/>
      <c r="CL12" s="2761" t="s">
        <v>960</v>
      </c>
      <c r="CM12" s="2762"/>
      <c r="CN12" s="2763"/>
      <c r="CO12" s="2764" t="s">
        <v>729</v>
      </c>
      <c r="CP12" s="2765"/>
      <c r="CQ12" s="2765"/>
      <c r="CR12" s="2765"/>
      <c r="CS12" s="2765"/>
      <c r="CT12" s="2790" t="s">
        <v>1978</v>
      </c>
      <c r="CU12" s="2791"/>
      <c r="CV12" s="2791"/>
      <c r="CW12" s="2791" t="s">
        <v>1979</v>
      </c>
      <c r="CX12" s="2791"/>
      <c r="CY12" s="2792"/>
      <c r="CZ12" s="2272"/>
    </row>
    <row r="13" spans="1:104" ht="45" customHeight="1" x14ac:dyDescent="0.25">
      <c r="A13" s="545"/>
      <c r="B13" s="2799"/>
      <c r="C13" s="2718" t="s">
        <v>688</v>
      </c>
      <c r="D13" s="2718"/>
      <c r="E13" s="2718"/>
      <c r="F13" s="2718"/>
      <c r="G13" s="2718"/>
      <c r="H13" s="2718"/>
      <c r="I13" s="2718"/>
      <c r="J13" s="2718"/>
      <c r="K13" s="2718"/>
      <c r="L13" s="2718"/>
      <c r="M13" s="2665"/>
      <c r="N13" s="2721" t="s">
        <v>689</v>
      </c>
      <c r="O13" s="2757"/>
      <c r="P13" s="2757"/>
      <c r="Q13" s="2757"/>
      <c r="R13" s="2757"/>
      <c r="S13" s="2757"/>
      <c r="T13" s="2757"/>
      <c r="U13" s="2757"/>
      <c r="V13" s="2757"/>
      <c r="W13" s="2757"/>
      <c r="X13" s="2757"/>
      <c r="Y13" s="1107"/>
      <c r="Z13" s="2721" t="s">
        <v>690</v>
      </c>
      <c r="AA13" s="2757"/>
      <c r="AB13" s="2757"/>
      <c r="AC13" s="2757"/>
      <c r="AD13" s="2757"/>
      <c r="AE13" s="2757"/>
      <c r="AF13" s="2757"/>
      <c r="AG13" s="2757"/>
      <c r="AH13" s="2757"/>
      <c r="AI13" s="2757"/>
      <c r="AJ13" s="2757"/>
      <c r="AK13" s="2722"/>
      <c r="AL13" s="2721" t="s">
        <v>654</v>
      </c>
      <c r="AM13" s="2757"/>
      <c r="AN13" s="2757"/>
      <c r="AO13" s="2722"/>
      <c r="AP13" s="2721" t="s">
        <v>688</v>
      </c>
      <c r="AQ13" s="2757"/>
      <c r="AR13" s="2757"/>
      <c r="AS13" s="2757"/>
      <c r="AT13" s="2757"/>
      <c r="AU13" s="2757"/>
      <c r="AV13" s="2757"/>
      <c r="AW13" s="2757"/>
      <c r="AX13" s="2757"/>
      <c r="AY13" s="2757"/>
      <c r="AZ13" s="2722"/>
      <c r="BA13" s="2721" t="s">
        <v>689</v>
      </c>
      <c r="BB13" s="2757"/>
      <c r="BC13" s="2757"/>
      <c r="BD13" s="2757"/>
      <c r="BE13" s="2757"/>
      <c r="BF13" s="2757"/>
      <c r="BG13" s="2757"/>
      <c r="BH13" s="2757"/>
      <c r="BI13" s="2757"/>
      <c r="BJ13" s="2757"/>
      <c r="BK13" s="2757"/>
      <c r="BL13" s="2722"/>
      <c r="BM13" s="2721" t="s">
        <v>690</v>
      </c>
      <c r="BN13" s="2757"/>
      <c r="BO13" s="2757"/>
      <c r="BP13" s="2757"/>
      <c r="BQ13" s="2757"/>
      <c r="BR13" s="2757"/>
      <c r="BS13" s="2757"/>
      <c r="BT13" s="2757"/>
      <c r="BU13" s="2757"/>
      <c r="BV13" s="2757"/>
      <c r="BW13" s="2757"/>
      <c r="BX13" s="2722"/>
      <c r="BY13" s="2777" t="s">
        <v>1013</v>
      </c>
      <c r="BZ13" s="2778"/>
      <c r="CA13" s="2778"/>
      <c r="CB13" s="2778"/>
      <c r="CC13" s="2778"/>
      <c r="CD13" s="2778"/>
      <c r="CE13" s="2778"/>
      <c r="CF13" s="2778"/>
      <c r="CG13" s="2778"/>
      <c r="CH13" s="2778"/>
      <c r="CI13" s="2778"/>
      <c r="CJ13" s="2778"/>
      <c r="CK13" s="2779"/>
      <c r="CL13" s="2719" t="s">
        <v>1030</v>
      </c>
      <c r="CM13" s="2772"/>
      <c r="CN13" s="2760"/>
      <c r="CO13" s="2754" t="s">
        <v>656</v>
      </c>
      <c r="CP13" s="2671"/>
      <c r="CQ13" s="2770"/>
      <c r="CR13" s="2766" t="s">
        <v>632</v>
      </c>
      <c r="CS13" s="2767"/>
      <c r="CT13" s="2709" t="s">
        <v>1980</v>
      </c>
      <c r="CU13" s="2710"/>
      <c r="CV13" s="2710"/>
      <c r="CW13" s="2710" t="s">
        <v>1981</v>
      </c>
      <c r="CX13" s="2710"/>
      <c r="CY13" s="2711"/>
      <c r="CZ13" s="2271"/>
    </row>
    <row r="14" spans="1:104" ht="30" customHeight="1" x14ac:dyDescent="0.25">
      <c r="A14" s="545"/>
      <c r="B14" s="2799"/>
      <c r="C14" s="2758" t="s">
        <v>652</v>
      </c>
      <c r="D14" s="2758"/>
      <c r="E14" s="2758"/>
      <c r="F14" s="2758"/>
      <c r="G14" s="2759"/>
      <c r="H14" s="2728" t="s">
        <v>691</v>
      </c>
      <c r="I14" s="2711" t="s">
        <v>41</v>
      </c>
      <c r="J14" s="2718"/>
      <c r="K14" s="2718"/>
      <c r="L14" s="2665"/>
      <c r="M14" s="2728" t="s">
        <v>958</v>
      </c>
      <c r="N14" s="2758" t="s">
        <v>652</v>
      </c>
      <c r="O14" s="2758"/>
      <c r="P14" s="2758"/>
      <c r="Q14" s="2758"/>
      <c r="R14" s="2759"/>
      <c r="S14" s="2781" t="s">
        <v>691</v>
      </c>
      <c r="T14" s="2721" t="s">
        <v>41</v>
      </c>
      <c r="U14" s="2757"/>
      <c r="V14" s="2757"/>
      <c r="W14" s="2722"/>
      <c r="X14" s="2711" t="s">
        <v>686</v>
      </c>
      <c r="Y14" s="2665"/>
      <c r="Z14" s="2758" t="s">
        <v>652</v>
      </c>
      <c r="AA14" s="2758"/>
      <c r="AB14" s="2758"/>
      <c r="AC14" s="2758"/>
      <c r="AD14" s="2759"/>
      <c r="AE14" s="2781" t="s">
        <v>691</v>
      </c>
      <c r="AF14" s="2721" t="s">
        <v>41</v>
      </c>
      <c r="AG14" s="2757"/>
      <c r="AH14" s="2757"/>
      <c r="AI14" s="2722"/>
      <c r="AJ14" s="2711" t="s">
        <v>686</v>
      </c>
      <c r="AK14" s="2665"/>
      <c r="AL14" s="2773" t="s">
        <v>627</v>
      </c>
      <c r="AM14" s="2773"/>
      <c r="AN14" s="2773" t="s">
        <v>626</v>
      </c>
      <c r="AO14" s="2773"/>
      <c r="AP14" s="2783" t="s">
        <v>652</v>
      </c>
      <c r="AQ14" s="2758"/>
      <c r="AR14" s="2758"/>
      <c r="AS14" s="2758"/>
      <c r="AT14" s="2759"/>
      <c r="AU14" s="2746" t="s">
        <v>691</v>
      </c>
      <c r="AV14" s="2721" t="s">
        <v>41</v>
      </c>
      <c r="AW14" s="2757"/>
      <c r="AX14" s="2757"/>
      <c r="AY14" s="2722"/>
      <c r="AZ14" s="2746" t="s">
        <v>686</v>
      </c>
      <c r="BA14" s="2758" t="s">
        <v>652</v>
      </c>
      <c r="BB14" s="2758"/>
      <c r="BC14" s="2758"/>
      <c r="BD14" s="2758"/>
      <c r="BE14" s="2759"/>
      <c r="BF14" s="2746" t="s">
        <v>692</v>
      </c>
      <c r="BG14" s="2721" t="s">
        <v>41</v>
      </c>
      <c r="BH14" s="2757"/>
      <c r="BI14" s="2757"/>
      <c r="BJ14" s="2722"/>
      <c r="BK14" s="2711" t="s">
        <v>686</v>
      </c>
      <c r="BL14" s="2665"/>
      <c r="BM14" s="2758" t="s">
        <v>652</v>
      </c>
      <c r="BN14" s="2758"/>
      <c r="BO14" s="2758"/>
      <c r="BP14" s="2758"/>
      <c r="BQ14" s="2759"/>
      <c r="BR14" s="2746" t="s">
        <v>692</v>
      </c>
      <c r="BS14" s="2721" t="s">
        <v>41</v>
      </c>
      <c r="BT14" s="2757"/>
      <c r="BU14" s="2757"/>
      <c r="BV14" s="2722"/>
      <c r="BW14" s="2711" t="s">
        <v>686</v>
      </c>
      <c r="BX14" s="2665"/>
      <c r="BY14" s="2730" t="s">
        <v>652</v>
      </c>
      <c r="BZ14" s="2731"/>
      <c r="CA14" s="2731"/>
      <c r="CB14" s="2731"/>
      <c r="CC14" s="2731"/>
      <c r="CD14" s="2732"/>
      <c r="CE14" s="2728" t="s">
        <v>653</v>
      </c>
      <c r="CF14" s="2711" t="s">
        <v>41</v>
      </c>
      <c r="CG14" s="2718"/>
      <c r="CH14" s="2718"/>
      <c r="CI14" s="2665"/>
      <c r="CJ14" s="2728" t="s">
        <v>883</v>
      </c>
      <c r="CK14" s="2734" t="str">
        <f>"Check: column " &amp; COLUMN(AM20) &amp; " RW in Parameters worksheet"</f>
        <v>Check: column 39 RW in Parameters worksheet</v>
      </c>
      <c r="CL14" s="2720"/>
      <c r="CM14" s="2748"/>
      <c r="CN14" s="2749"/>
      <c r="CO14" s="2756"/>
      <c r="CP14" s="2672"/>
      <c r="CQ14" s="2771"/>
      <c r="CR14" s="2768"/>
      <c r="CS14" s="2769"/>
      <c r="CT14" s="2709"/>
      <c r="CU14" s="2710"/>
      <c r="CV14" s="2710"/>
      <c r="CW14" s="2710"/>
      <c r="CX14" s="2710"/>
      <c r="CY14" s="2711"/>
      <c r="CZ14" s="2271"/>
    </row>
    <row r="15" spans="1:104" ht="45" customHeight="1" x14ac:dyDescent="0.25">
      <c r="A15" s="545"/>
      <c r="B15" s="2799"/>
      <c r="C15" s="2760" t="s">
        <v>998</v>
      </c>
      <c r="D15" s="2711" t="s">
        <v>657</v>
      </c>
      <c r="E15" s="2665"/>
      <c r="F15" s="2185"/>
      <c r="G15" s="2760" t="s">
        <v>1693</v>
      </c>
      <c r="H15" s="2733"/>
      <c r="I15" s="2728" t="s">
        <v>658</v>
      </c>
      <c r="J15" s="2728" t="s">
        <v>657</v>
      </c>
      <c r="K15" s="2728" t="s">
        <v>693</v>
      </c>
      <c r="L15" s="2728" t="s">
        <v>116</v>
      </c>
      <c r="M15" s="2733"/>
      <c r="N15" s="2760" t="s">
        <v>998</v>
      </c>
      <c r="O15" s="2711" t="s">
        <v>657</v>
      </c>
      <c r="P15" s="2665"/>
      <c r="Q15" s="2181"/>
      <c r="R15" s="2760" t="s">
        <v>1693</v>
      </c>
      <c r="S15" s="2782"/>
      <c r="T15" s="2728" t="s">
        <v>658</v>
      </c>
      <c r="U15" s="2728" t="s">
        <v>657</v>
      </c>
      <c r="V15" s="2728" t="s">
        <v>693</v>
      </c>
      <c r="W15" s="2728" t="s">
        <v>116</v>
      </c>
      <c r="X15" s="2728" t="s">
        <v>116</v>
      </c>
      <c r="Y15" s="2746" t="s">
        <v>959</v>
      </c>
      <c r="Z15" s="2760" t="s">
        <v>998</v>
      </c>
      <c r="AA15" s="2711" t="s">
        <v>657</v>
      </c>
      <c r="AB15" s="2665"/>
      <c r="AC15" s="2181"/>
      <c r="AD15" s="2760" t="s">
        <v>1693</v>
      </c>
      <c r="AE15" s="2782"/>
      <c r="AF15" s="2728" t="s">
        <v>658</v>
      </c>
      <c r="AG15" s="2728" t="s">
        <v>657</v>
      </c>
      <c r="AH15" s="2728" t="s">
        <v>693</v>
      </c>
      <c r="AI15" s="2728" t="s">
        <v>116</v>
      </c>
      <c r="AJ15" s="2728" t="s">
        <v>116</v>
      </c>
      <c r="AK15" s="2746" t="s">
        <v>959</v>
      </c>
      <c r="AL15" s="2773" t="s">
        <v>695</v>
      </c>
      <c r="AM15" s="2773" t="s">
        <v>595</v>
      </c>
      <c r="AN15" s="2773" t="s">
        <v>695</v>
      </c>
      <c r="AO15" s="2773" t="s">
        <v>595</v>
      </c>
      <c r="AP15" s="2728" t="s">
        <v>998</v>
      </c>
      <c r="AQ15" s="2711" t="s">
        <v>657</v>
      </c>
      <c r="AR15" s="2665"/>
      <c r="AS15" s="2181"/>
      <c r="AT15" s="2760" t="s">
        <v>1693</v>
      </c>
      <c r="AU15" s="2750"/>
      <c r="AV15" s="2728" t="s">
        <v>658</v>
      </c>
      <c r="AW15" s="2728" t="s">
        <v>657</v>
      </c>
      <c r="AX15" s="2728" t="s">
        <v>693</v>
      </c>
      <c r="AY15" s="2728" t="s">
        <v>116</v>
      </c>
      <c r="AZ15" s="2750"/>
      <c r="BA15" s="2760" t="s">
        <v>998</v>
      </c>
      <c r="BB15" s="2711" t="s">
        <v>657</v>
      </c>
      <c r="BC15" s="2665"/>
      <c r="BD15" s="2181"/>
      <c r="BE15" s="2760" t="s">
        <v>1693</v>
      </c>
      <c r="BF15" s="2750"/>
      <c r="BG15" s="2728" t="s">
        <v>658</v>
      </c>
      <c r="BH15" s="2728" t="s">
        <v>657</v>
      </c>
      <c r="BI15" s="2728" t="s">
        <v>693</v>
      </c>
      <c r="BJ15" s="2728" t="s">
        <v>116</v>
      </c>
      <c r="BK15" s="2728" t="s">
        <v>116</v>
      </c>
      <c r="BL15" s="2746" t="s">
        <v>959</v>
      </c>
      <c r="BM15" s="2760" t="s">
        <v>998</v>
      </c>
      <c r="BN15" s="2711" t="s">
        <v>657</v>
      </c>
      <c r="BO15" s="2665"/>
      <c r="BP15" s="2181"/>
      <c r="BQ15" s="2760" t="s">
        <v>1693</v>
      </c>
      <c r="BR15" s="2750"/>
      <c r="BS15" s="2728" t="s">
        <v>658</v>
      </c>
      <c r="BT15" s="2728" t="s">
        <v>657</v>
      </c>
      <c r="BU15" s="2728" t="s">
        <v>693</v>
      </c>
      <c r="BV15" s="2728" t="s">
        <v>116</v>
      </c>
      <c r="BW15" s="2728" t="s">
        <v>116</v>
      </c>
      <c r="BX15" s="2746" t="s">
        <v>959</v>
      </c>
      <c r="BY15" s="2181"/>
      <c r="BZ15" s="2760" t="s">
        <v>998</v>
      </c>
      <c r="CA15" s="2711" t="s">
        <v>657</v>
      </c>
      <c r="CB15" s="2665"/>
      <c r="CC15" s="2181"/>
      <c r="CD15" s="2760" t="s">
        <v>1693</v>
      </c>
      <c r="CE15" s="2733"/>
      <c r="CF15" s="2728" t="s">
        <v>658</v>
      </c>
      <c r="CG15" s="2728" t="s">
        <v>657</v>
      </c>
      <c r="CH15" s="2728" t="s">
        <v>693</v>
      </c>
      <c r="CI15" s="2728" t="s">
        <v>116</v>
      </c>
      <c r="CJ15" s="2733"/>
      <c r="CK15" s="2735"/>
      <c r="CL15" s="2746" t="s">
        <v>691</v>
      </c>
      <c r="CM15" s="2746" t="s">
        <v>961</v>
      </c>
      <c r="CN15" s="2746" t="s">
        <v>962</v>
      </c>
      <c r="CO15" s="2721" t="s">
        <v>659</v>
      </c>
      <c r="CP15" s="2722"/>
      <c r="CQ15" s="2746" t="s">
        <v>41</v>
      </c>
      <c r="CR15" s="1100" t="s">
        <v>687</v>
      </c>
      <c r="CS15" s="1101" t="s">
        <v>694</v>
      </c>
      <c r="CT15" s="2709" t="s">
        <v>659</v>
      </c>
      <c r="CU15" s="2794"/>
      <c r="CV15" s="2794" t="s">
        <v>1977</v>
      </c>
      <c r="CW15" s="2710" t="s">
        <v>659</v>
      </c>
      <c r="CX15" s="2794"/>
      <c r="CY15" s="2777" t="s">
        <v>1977</v>
      </c>
      <c r="CZ15" s="2271"/>
    </row>
    <row r="16" spans="1:104" ht="45" customHeight="1" x14ac:dyDescent="0.25">
      <c r="A16" s="545"/>
      <c r="B16" s="2800"/>
      <c r="C16" s="2749"/>
      <c r="D16" s="2287" t="s">
        <v>116</v>
      </c>
      <c r="E16" s="2287" t="s">
        <v>768</v>
      </c>
      <c r="F16" s="2287"/>
      <c r="G16" s="2749"/>
      <c r="H16" s="2729"/>
      <c r="I16" s="2729"/>
      <c r="J16" s="2729"/>
      <c r="K16" s="2729"/>
      <c r="L16" s="2729"/>
      <c r="M16" s="2729"/>
      <c r="N16" s="2780"/>
      <c r="O16" s="2288" t="s">
        <v>116</v>
      </c>
      <c r="P16" s="2288" t="s">
        <v>768</v>
      </c>
      <c r="Q16" s="2288"/>
      <c r="R16" s="2749"/>
      <c r="S16" s="2782"/>
      <c r="T16" s="2733"/>
      <c r="U16" s="2733"/>
      <c r="V16" s="2733"/>
      <c r="W16" s="2733"/>
      <c r="X16" s="2733"/>
      <c r="Y16" s="2750"/>
      <c r="Z16" s="2780"/>
      <c r="AA16" s="2288" t="s">
        <v>116</v>
      </c>
      <c r="AB16" s="2288" t="s">
        <v>768</v>
      </c>
      <c r="AC16" s="2288"/>
      <c r="AD16" s="2749"/>
      <c r="AE16" s="2782"/>
      <c r="AF16" s="2733"/>
      <c r="AG16" s="2733"/>
      <c r="AH16" s="2733"/>
      <c r="AI16" s="2733"/>
      <c r="AJ16" s="2733"/>
      <c r="AK16" s="2750"/>
      <c r="AL16" s="2773"/>
      <c r="AM16" s="2773"/>
      <c r="AN16" s="2773"/>
      <c r="AO16" s="2773"/>
      <c r="AP16" s="2729"/>
      <c r="AQ16" s="2287" t="s">
        <v>116</v>
      </c>
      <c r="AR16" s="2287" t="s">
        <v>768</v>
      </c>
      <c r="AS16" s="2287"/>
      <c r="AT16" s="2749"/>
      <c r="AU16" s="2747"/>
      <c r="AV16" s="2729"/>
      <c r="AW16" s="2729"/>
      <c r="AX16" s="2729"/>
      <c r="AY16" s="2729"/>
      <c r="AZ16" s="2747"/>
      <c r="BA16" s="2749"/>
      <c r="BB16" s="2287" t="s">
        <v>116</v>
      </c>
      <c r="BC16" s="2287" t="s">
        <v>768</v>
      </c>
      <c r="BD16" s="2287"/>
      <c r="BE16" s="2749"/>
      <c r="BF16" s="2747"/>
      <c r="BG16" s="2729"/>
      <c r="BH16" s="2729"/>
      <c r="BI16" s="2729"/>
      <c r="BJ16" s="2729"/>
      <c r="BK16" s="2733"/>
      <c r="BL16" s="2750"/>
      <c r="BM16" s="2749"/>
      <c r="BN16" s="2287" t="s">
        <v>116</v>
      </c>
      <c r="BO16" s="2287" t="s">
        <v>768</v>
      </c>
      <c r="BP16" s="2287"/>
      <c r="BQ16" s="2749"/>
      <c r="BR16" s="2747"/>
      <c r="BS16" s="2729"/>
      <c r="BT16" s="2729"/>
      <c r="BU16" s="2729"/>
      <c r="BV16" s="2729"/>
      <c r="BW16" s="2733"/>
      <c r="BX16" s="2750"/>
      <c r="BY16" s="2287"/>
      <c r="BZ16" s="2749"/>
      <c r="CA16" s="2287" t="s">
        <v>116</v>
      </c>
      <c r="CB16" s="2287" t="s">
        <v>769</v>
      </c>
      <c r="CC16" s="2287"/>
      <c r="CD16" s="2749"/>
      <c r="CE16" s="2729"/>
      <c r="CF16" s="2729"/>
      <c r="CG16" s="2729"/>
      <c r="CH16" s="2729"/>
      <c r="CI16" s="2729"/>
      <c r="CJ16" s="2729"/>
      <c r="CK16" s="2736"/>
      <c r="CL16" s="2747"/>
      <c r="CM16" s="2747"/>
      <c r="CN16" s="2747"/>
      <c r="CO16" s="2289" t="s">
        <v>116</v>
      </c>
      <c r="CP16" s="2289" t="s">
        <v>661</v>
      </c>
      <c r="CQ16" s="2747"/>
      <c r="CR16" s="1103" t="str">
        <f>"Check: column " &amp; LEFT(ADDRESS(ROW(CO16),COLUMN(CO16),4), 2) &amp; " ≥ column " &amp; LEFT(ADDRESS(ROW(AU16),COLUMN(AU16),4), 2) &amp; " plus column " &amp; LEFT(ADDRESS(ROW(CE16),COLUMN(CE16),4), 2)</f>
        <v>Check: column CO ≥ column AU plus column CE</v>
      </c>
      <c r="CS16" s="1104"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270" t="s">
        <v>116</v>
      </c>
      <c r="CU16" s="2286" t="s">
        <v>661</v>
      </c>
      <c r="CV16" s="2794"/>
      <c r="CW16" s="2286" t="s">
        <v>116</v>
      </c>
      <c r="CX16" s="2286" t="s">
        <v>661</v>
      </c>
      <c r="CY16" s="2777"/>
      <c r="CZ16" s="2271"/>
    </row>
    <row r="17" spans="1:104" ht="15" customHeight="1" x14ac:dyDescent="0.25">
      <c r="A17" s="545"/>
      <c r="B17" s="835" t="s">
        <v>842</v>
      </c>
      <c r="C17" s="846" t="str">
        <f t="shared" ref="C17:S17" si="0">IF(AND(ISNUMBER(C18),ISNUMBER(C19)),SUM(C18:C19),"")</f>
        <v/>
      </c>
      <c r="D17" s="846" t="str">
        <f t="shared" si="0"/>
        <v/>
      </c>
      <c r="E17" s="846" t="str">
        <f t="shared" si="0"/>
        <v/>
      </c>
      <c r="F17" s="846" t="str">
        <f t="shared" si="0"/>
        <v/>
      </c>
      <c r="G17" s="846" t="str">
        <f t="shared" si="0"/>
        <v/>
      </c>
      <c r="H17" s="846" t="str">
        <f>IF(AND(ISNUMBER(H18),ISNUMBER(H19)),SUM(H18:H19),"")</f>
        <v/>
      </c>
      <c r="I17" s="846" t="str">
        <f t="shared" ref="I17" si="1">IF(AND(ISNUMBER(I18),ISNUMBER(I19)),SUM(I18:I19),"")</f>
        <v/>
      </c>
      <c r="J17" s="846" t="str">
        <f t="shared" ref="J17" si="2">IF(AND(ISNUMBER(J18),ISNUMBER(J19)),SUM(J18:J19),"")</f>
        <v/>
      </c>
      <c r="K17" s="846" t="str">
        <f t="shared" ref="K17" si="3">IF(AND(ISNUMBER(K18),ISNUMBER(K19)),SUM(K18:K19),"")</f>
        <v/>
      </c>
      <c r="L17" s="846" t="str">
        <f t="shared" si="0"/>
        <v/>
      </c>
      <c r="M17" s="846" t="str">
        <f t="shared" si="0"/>
        <v/>
      </c>
      <c r="N17" s="846" t="str">
        <f t="shared" si="0"/>
        <v/>
      </c>
      <c r="O17" s="846" t="str">
        <f t="shared" si="0"/>
        <v/>
      </c>
      <c r="P17" s="846" t="str">
        <f t="shared" si="0"/>
        <v/>
      </c>
      <c r="Q17" s="846" t="str">
        <f t="shared" si="0"/>
        <v/>
      </c>
      <c r="R17" s="846" t="str">
        <f t="shared" si="0"/>
        <v/>
      </c>
      <c r="S17" s="846" t="str">
        <f t="shared" si="0"/>
        <v/>
      </c>
      <c r="T17" s="846" t="str">
        <f t="shared" ref="T17:Y17" si="4">IF(AND(ISNUMBER(T18),ISNUMBER(T19)), SUM(T18:T19),"")</f>
        <v/>
      </c>
      <c r="U17" s="846" t="str">
        <f t="shared" si="4"/>
        <v/>
      </c>
      <c r="V17" s="846" t="str">
        <f t="shared" si="4"/>
        <v/>
      </c>
      <c r="W17" s="846" t="str">
        <f t="shared" si="4"/>
        <v/>
      </c>
      <c r="X17" s="846" t="str">
        <f t="shared" si="4"/>
        <v/>
      </c>
      <c r="Y17" s="846" t="str">
        <f t="shared" si="4"/>
        <v/>
      </c>
      <c r="Z17" s="909" t="str">
        <f t="shared" ref="Z17:AJ17" si="5">IF(AND(ISNUMBER(Z18),ISNUMBER(Z19)),SUM(Z18:Z19),"")</f>
        <v/>
      </c>
      <c r="AA17" s="846" t="str">
        <f t="shared" si="5"/>
        <v/>
      </c>
      <c r="AB17" s="846" t="str">
        <f t="shared" ref="AB17" si="6">IF(AND(ISNUMBER(AB18),ISNUMBER(AB19)),SUM(AB18:AB19),"")</f>
        <v/>
      </c>
      <c r="AC17" s="846" t="str">
        <f t="shared" si="5"/>
        <v/>
      </c>
      <c r="AD17" s="915" t="str">
        <f t="shared" si="5"/>
        <v/>
      </c>
      <c r="AE17" s="846" t="str">
        <f t="shared" si="5"/>
        <v/>
      </c>
      <c r="AF17" s="846" t="str">
        <f t="shared" ref="AF17" si="7">IF(AND(ISNUMBER(AF18),ISNUMBER(AF19)),SUM(AF18:AF19),"")</f>
        <v/>
      </c>
      <c r="AG17" s="846" t="str">
        <f t="shared" ref="AG17" si="8">IF(AND(ISNUMBER(AG18),ISNUMBER(AG19)),SUM(AG18:AG19),"")</f>
        <v/>
      </c>
      <c r="AH17" s="915" t="str">
        <f t="shared" ref="AH17" si="9">IF(AND(ISNUMBER(AH18),ISNUMBER(AH19)),SUM(AH18:AH19),"")</f>
        <v/>
      </c>
      <c r="AI17" s="846" t="str">
        <f t="shared" si="5"/>
        <v/>
      </c>
      <c r="AJ17" s="846" t="str">
        <f t="shared" si="5"/>
        <v/>
      </c>
      <c r="AK17" s="846" t="str">
        <f t="shared" ref="AK17" si="10">IF(AND(ISNUMBER(AK18),ISNUMBER(AK19)),SUM(AK18:AK19),"")</f>
        <v/>
      </c>
      <c r="AL17" s="481"/>
      <c r="AM17" s="318"/>
      <c r="AN17" s="318"/>
      <c r="AO17" s="318"/>
      <c r="AP17" s="919" t="str">
        <f t="shared" ref="AP17:AZ17" si="11">IF(AND(ISNUMBER(AP18),ISNUMBER(AP19)),SUM(AP18:AP19),"")</f>
        <v/>
      </c>
      <c r="AQ17" s="919" t="str">
        <f t="shared" si="11"/>
        <v/>
      </c>
      <c r="AR17" s="919" t="str">
        <f t="shared" si="11"/>
        <v/>
      </c>
      <c r="AS17" s="919" t="str">
        <f t="shared" si="11"/>
        <v/>
      </c>
      <c r="AT17" s="919" t="str">
        <f t="shared" si="11"/>
        <v/>
      </c>
      <c r="AU17" s="919" t="str">
        <f>IF(AND(ISNUMBER(AU18),ISNUMBER(AU19)),SUM(AU18:AU19),"")</f>
        <v/>
      </c>
      <c r="AV17" s="919" t="str">
        <f t="shared" ref="AV17" si="12">IF(AND(ISNUMBER(AV18),ISNUMBER(AV19)),SUM(AV18:AV19),"")</f>
        <v/>
      </c>
      <c r="AW17" s="919" t="str">
        <f t="shared" ref="AW17" si="13">IF(AND(ISNUMBER(AW18),ISNUMBER(AW19)),SUM(AW18:AW19),"")</f>
        <v/>
      </c>
      <c r="AX17" s="919" t="str">
        <f t="shared" ref="AX17" si="14">IF(AND(ISNUMBER(AX18),ISNUMBER(AX19)),SUM(AX18:AX19),"")</f>
        <v/>
      </c>
      <c r="AY17" s="919" t="str">
        <f t="shared" si="11"/>
        <v/>
      </c>
      <c r="AZ17" s="919" t="str">
        <f t="shared" si="11"/>
        <v/>
      </c>
      <c r="BA17" s="846" t="str">
        <f t="shared" ref="BA17:BL17" si="15">IF(ISNUMBER(BA19), BA19, "")</f>
        <v/>
      </c>
      <c r="BB17" s="846" t="str">
        <f t="shared" si="15"/>
        <v/>
      </c>
      <c r="BC17" s="846" t="str">
        <f t="shared" si="15"/>
        <v/>
      </c>
      <c r="BD17" s="846" t="str">
        <f t="shared" si="15"/>
        <v/>
      </c>
      <c r="BE17" s="846" t="str">
        <f t="shared" si="15"/>
        <v/>
      </c>
      <c r="BF17" s="846" t="str">
        <f t="shared" si="15"/>
        <v/>
      </c>
      <c r="BG17" s="846" t="str">
        <f t="shared" si="15"/>
        <v/>
      </c>
      <c r="BH17" s="846" t="str">
        <f t="shared" si="15"/>
        <v/>
      </c>
      <c r="BI17" s="846" t="str">
        <f t="shared" si="15"/>
        <v/>
      </c>
      <c r="BJ17" s="846" t="str">
        <f t="shared" si="15"/>
        <v/>
      </c>
      <c r="BK17" s="846" t="str">
        <f t="shared" si="15"/>
        <v/>
      </c>
      <c r="BL17" s="846" t="str">
        <f t="shared" si="15"/>
        <v/>
      </c>
      <c r="BM17" s="846" t="str">
        <f t="shared" ref="BM17:BR17" si="16">IF(AND( ISNUMBER(BM18),ISNUMBER(BM19)), SUM(BM18:BM19),"")</f>
        <v/>
      </c>
      <c r="BN17" s="846" t="str">
        <f t="shared" ref="BN17" si="17">IF(AND( ISNUMBER(BN18),ISNUMBER(BN19)), SUM(BN18:BN19),"")</f>
        <v/>
      </c>
      <c r="BO17" s="846" t="str">
        <f t="shared" si="16"/>
        <v/>
      </c>
      <c r="BP17" s="846" t="str">
        <f t="shared" si="16"/>
        <v/>
      </c>
      <c r="BQ17" s="846" t="str">
        <f t="shared" si="16"/>
        <v/>
      </c>
      <c r="BR17" s="1038" t="str">
        <f t="shared" si="16"/>
        <v/>
      </c>
      <c r="BS17" s="846" t="str">
        <f t="shared" ref="BS17" si="18">IF(AND( ISNUMBER(BS18),ISNUMBER(BS19)), SUM(BS18:BS19),"")</f>
        <v/>
      </c>
      <c r="BT17" s="846" t="str">
        <f t="shared" ref="BT17" si="19">IF(AND( ISNUMBER(BT18),ISNUMBER(BT19)), SUM(BT18:BT19),"")</f>
        <v/>
      </c>
      <c r="BU17" s="846" t="str">
        <f t="shared" ref="BU17" si="20">IF(AND( ISNUMBER(BU18),ISNUMBER(BU19)), SUM(BU18:BU19),"")</f>
        <v/>
      </c>
      <c r="BV17" s="846" t="str">
        <f t="shared" ref="BV17:BX17" si="21">IF(AND( ISNUMBER(BV18),ISNUMBER(BV19)), SUM(BV18:BV19),"")</f>
        <v/>
      </c>
      <c r="BW17" s="846" t="str">
        <f t="shared" si="21"/>
        <v/>
      </c>
      <c r="BX17" s="846" t="str">
        <f t="shared" si="21"/>
        <v/>
      </c>
      <c r="BY17" s="846" t="str">
        <f>IF($C$7="No", 0, IF(AND(ISNUMBER(BY19),ISNUMBER(BY18)),BY18+BY19,""))</f>
        <v/>
      </c>
      <c r="BZ17" s="846" t="str">
        <f t="shared" ref="BZ17:CD17" si="22">IF($C$7="No", 0, IF(AND(ISNUMBER(BZ19),ISNUMBER(BZ18)),BZ18+BZ19,""))</f>
        <v/>
      </c>
      <c r="CA17" s="846" t="str">
        <f t="shared" si="22"/>
        <v/>
      </c>
      <c r="CB17" s="846" t="str">
        <f t="shared" si="22"/>
        <v/>
      </c>
      <c r="CC17" s="846" t="str">
        <f t="shared" si="22"/>
        <v/>
      </c>
      <c r="CD17" s="846" t="str">
        <f t="shared" si="22"/>
        <v/>
      </c>
      <c r="CE17" s="846" t="str">
        <f t="shared" ref="CE17" si="23">IF(AND(ISNUMBER(CE19), ISNUMBER(CE18)), CE18+CE19, "")</f>
        <v/>
      </c>
      <c r="CF17" s="846" t="str">
        <f t="shared" ref="CF17:CH17" si="24">IF($C$7="No", 0, IF(AND(ISNUMBER(CF19),ISNUMBER(CF18)),CF18+CF19,""))</f>
        <v/>
      </c>
      <c r="CG17" s="846" t="str">
        <f t="shared" si="24"/>
        <v/>
      </c>
      <c r="CH17" s="846" t="str">
        <f t="shared" si="24"/>
        <v/>
      </c>
      <c r="CI17" s="209" t="str">
        <f>IF($C$7="No", 0, IF(AND(ISNUMBER(CF17), ISNUMBER(CG17), ISNUMBER(CH17)), SUM(CF17:CH17), ""))</f>
        <v/>
      </c>
      <c r="CJ17" s="904" t="str">
        <f>IF(AND(ISNUMBER(CE17), ISNUMBER(CI17)), IF(CE17&lt;&gt;0, CI17/CE17, ""), "")</f>
        <v/>
      </c>
      <c r="CK17" s="502"/>
      <c r="CL17" s="846" t="str">
        <f t="shared" ref="CL17:CQ17" si="25">IF(AND( ISNUMBER(CL18),ISNUMBER(CL19)), SUM(CL18:CL19),"")</f>
        <v/>
      </c>
      <c r="CM17" s="846" t="str">
        <f t="shared" si="25"/>
        <v/>
      </c>
      <c r="CN17" s="846" t="str">
        <f t="shared" si="25"/>
        <v/>
      </c>
      <c r="CO17" s="846" t="str">
        <f t="shared" si="25"/>
        <v/>
      </c>
      <c r="CP17" s="846" t="str">
        <f t="shared" si="25"/>
        <v/>
      </c>
      <c r="CQ17" s="846" t="str">
        <f t="shared" si="25"/>
        <v/>
      </c>
      <c r="CR17" s="731" t="str">
        <f>IF(AND(ISNUMBER(CO17), ISNUMBER(AU17), ISNUMBER(CE17)), IF(CO17&gt;= 0.85 * (AU17+CE17), "Pass", "please check"),"")</f>
        <v/>
      </c>
      <c r="CS17" s="771" t="str">
        <f t="shared" ref="CS17:CS21" si="26">IF(AND(ISNUMBER(AL17),ISNUMBER(AM17),ISNUMBER(AN17),ISNUMBER(AO17),ISNUMBER(AY17), ISNUMBER(AZ17), ISNUMBER(CQ17), ISNUMBER(CI17)), IF(CQ17&gt;=(AY17+12.5*MAX(0,AZ17-(AL17+AM17+AN17+AO17))+CI17), "Pass", "please check"), "")</f>
        <v/>
      </c>
      <c r="CT17" s="2275" t="str">
        <f t="shared" ref="CT17" si="27">IF(AND( ISNUMBER(CT18),ISNUMBER(CT19)), SUM(CT18:CT19),"")</f>
        <v/>
      </c>
      <c r="CU17" s="846" t="str">
        <f>IF(AND(OR('General Info'!$C$19="Yes",'General Info'!$D$19="Yes"),ISNUMBER(CU18),ISNUMBER(CU19)), SUM(CU18:CU19),"")</f>
        <v/>
      </c>
      <c r="CV17" s="846" t="str">
        <f>IF(AND(OR('General Info'!$C$19="Yes",'General Info'!$D$19="Yes"),ISNUMBER(CV18),ISNUMBER(CV19)), SUM(CV18:CV19),"")</f>
        <v/>
      </c>
      <c r="CW17" s="805" t="str">
        <f>IF(AND(OR('General Info'!$C$19="Yes",'General Info'!$D$19="Yes"),ISNUMBER(AU17),ISNUMBER(CE17)),SUM(AU17,CE17),"")</f>
        <v/>
      </c>
      <c r="CX17" s="805" t="str">
        <f>IF(AND(OR('General Info'!$C$19="Yes",'General Info'!$D$19="Yes"),ISNUMBER(AQ17),ISNUMBER(CA17)),SUM(AQ17,CA17),"")</f>
        <v/>
      </c>
      <c r="CY17" s="915" t="str">
        <f>IF(AND(OR('General Info'!$C$19="Yes",'General Info'!$D$19="Yes"),ISNUMBER(CY18),ISNUMBER(CY19)), SUM(CY18:CY19),"")</f>
        <v/>
      </c>
      <c r="CZ17" s="2246"/>
    </row>
    <row r="18" spans="1:104" ht="15" customHeight="1" x14ac:dyDescent="0.25">
      <c r="A18" s="545"/>
      <c r="B18" s="336" t="s">
        <v>843</v>
      </c>
      <c r="C18" s="580" t="str">
        <f t="shared" ref="C18:G19" si="28">IF(AND(ISNUMBER(N18),ISNUMBER(Z18)),SUM(N18,Z18),"")</f>
        <v/>
      </c>
      <c r="D18" s="580" t="str">
        <f t="shared" si="28"/>
        <v/>
      </c>
      <c r="E18" s="580" t="str">
        <f t="shared" si="28"/>
        <v/>
      </c>
      <c r="F18" s="580" t="str">
        <f t="shared" si="28"/>
        <v/>
      </c>
      <c r="G18" s="580" t="str">
        <f t="shared" si="28"/>
        <v/>
      </c>
      <c r="H18" s="580" t="str">
        <f>IF(AND(ISNUMBER(C18),ISNUMBER(D18),ISNUMBER(G18)),SUM(C18,D18,G18),"")</f>
        <v/>
      </c>
      <c r="I18" s="580" t="str">
        <f t="shared" ref="I18:M19" si="29">IF(AND(ISNUMBER(T18),ISNUMBER(AF18)),SUM(T18,AF18),"")</f>
        <v/>
      </c>
      <c r="J18" s="580" t="str">
        <f t="shared" si="29"/>
        <v/>
      </c>
      <c r="K18" s="580" t="str">
        <f t="shared" si="29"/>
        <v/>
      </c>
      <c r="L18" s="580" t="str">
        <f t="shared" si="29"/>
        <v/>
      </c>
      <c r="M18" s="580" t="str">
        <f t="shared" si="29"/>
        <v/>
      </c>
      <c r="N18" s="322"/>
      <c r="O18" s="322"/>
      <c r="P18" s="322"/>
      <c r="Q18" s="322"/>
      <c r="R18" s="227"/>
      <c r="S18" s="580" t="str">
        <f>IF(AND(ISNUMBER(N18),ISNUMBER(O18),ISNUMBER(R18)),SUM(N18,O18,R18),"")</f>
        <v/>
      </c>
      <c r="T18" s="737"/>
      <c r="U18" s="322"/>
      <c r="V18" s="227"/>
      <c r="W18" s="580" t="str">
        <f>IF(AND(ISNUMBER(T18),ISNUMBER(U18),ISNUMBER(V18)),SUM(T18:V18), "")</f>
        <v/>
      </c>
      <c r="X18" s="737"/>
      <c r="Y18" s="322"/>
      <c r="Z18" s="322"/>
      <c r="AA18" s="322"/>
      <c r="AB18" s="322"/>
      <c r="AC18" s="322"/>
      <c r="AD18" s="227"/>
      <c r="AE18" s="580" t="str">
        <f>IF(AND(ISNUMBER(Z18),ISNUMBER(AA18),ISNUMBER(AD18)),SUM(Z18,AA18,AD18),"")</f>
        <v/>
      </c>
      <c r="AF18" s="737"/>
      <c r="AG18" s="322"/>
      <c r="AH18" s="227"/>
      <c r="AI18" s="580" t="str">
        <f>IF(AND(ISNUMBER(AF18),ISNUMBER(AG18),ISNUMBER(AH18)),SUM(AF18:AH18), "")</f>
        <v/>
      </c>
      <c r="AJ18" s="737"/>
      <c r="AK18" s="322"/>
      <c r="AL18" s="318"/>
      <c r="AM18" s="318"/>
      <c r="AN18" s="318"/>
      <c r="AO18" s="318"/>
      <c r="AP18" s="580" t="str">
        <f t="shared" ref="AP18:AT18" si="30">IF(ISNUMBER(BM18),BM18,"")</f>
        <v/>
      </c>
      <c r="AQ18" s="580" t="str">
        <f t="shared" si="30"/>
        <v/>
      </c>
      <c r="AR18" s="580" t="str">
        <f t="shared" si="30"/>
        <v/>
      </c>
      <c r="AS18" s="580" t="str">
        <f t="shared" si="30"/>
        <v/>
      </c>
      <c r="AT18" s="580" t="str">
        <f t="shared" si="30"/>
        <v/>
      </c>
      <c r="AU18" s="580" t="str">
        <f>IF(AND(ISNUMBER(AP18),ISNUMBER(AQ18),ISNUMBER(AT18)),SUM(AP18,AQ18,AT18),"")</f>
        <v/>
      </c>
      <c r="AV18" s="580" t="str">
        <f>IF(ISNUMBER(BS18),BS18,"")</f>
        <v/>
      </c>
      <c r="AW18" s="580" t="str">
        <f>IF(ISNUMBER(BT18),BT18,"")</f>
        <v/>
      </c>
      <c r="AX18" s="580" t="str">
        <f>IF(ISNUMBER(BU18),BU18,"")</f>
        <v/>
      </c>
      <c r="AY18" s="580" t="str">
        <f>IF(ISNUMBER(BV18),BV18,"")</f>
        <v/>
      </c>
      <c r="AZ18" s="580" t="str">
        <f>IF(ISNUMBER(BW18),BW18,"")</f>
        <v/>
      </c>
      <c r="BA18" s="781"/>
      <c r="BB18" s="781"/>
      <c r="BC18" s="781"/>
      <c r="BD18" s="781"/>
      <c r="BE18" s="781"/>
      <c r="BF18" s="853"/>
      <c r="BG18" s="781"/>
      <c r="BH18" s="781"/>
      <c r="BI18" s="781"/>
      <c r="BJ18" s="781"/>
      <c r="BK18" s="781"/>
      <c r="BL18" s="781"/>
      <c r="BM18" s="322"/>
      <c r="BN18" s="322"/>
      <c r="BO18" s="322"/>
      <c r="BP18" s="322"/>
      <c r="BQ18" s="227"/>
      <c r="BR18" s="580" t="str">
        <f>IF(AND(ISNUMBER(BM18), ISNUMBER(BN18), ISNUMBER(BQ18)), SUM(BM18,BN18,BQ18), "")</f>
        <v/>
      </c>
      <c r="BS18" s="737"/>
      <c r="BT18" s="322"/>
      <c r="BU18" s="322"/>
      <c r="BV18" s="919" t="str">
        <f>IF(AND(ISNUMBER(BS18),ISNUMBER(BT18),ISNUMBER(BU18)),SUM(BS18:BU18), "")</f>
        <v/>
      </c>
      <c r="BW18" s="322"/>
      <c r="BX18" s="322"/>
      <c r="BY18" s="318"/>
      <c r="BZ18" s="318"/>
      <c r="CA18" s="318"/>
      <c r="CB18" s="318"/>
      <c r="CC18" s="318"/>
      <c r="CD18" s="318"/>
      <c r="CE18" s="580" t="str">
        <f>IF($C$7="No", 0, IF(AND(ISNUMBER(BZ18),ISNUMBER(CA18),ISNUMBER(CD18)),SUM(BZ18,CA18,CD18),""))</f>
        <v/>
      </c>
      <c r="CF18" s="318"/>
      <c r="CG18" s="318"/>
      <c r="CH18" s="318"/>
      <c r="CI18" s="209" t="str">
        <f>IF($C$7="No", 0, IF(AND(ISNUMBER(CF18), ISNUMBER(CG18), ISNUMBER(CH18)), SUM(CF18:CH18), ""))</f>
        <v/>
      </c>
      <c r="CJ18" s="907" t="str">
        <f>IF(AND(ISNUMBER(CE18), ISNUMBER(CI18)), IF(CE18&lt;&gt;0, CI18/CE18, ""), "")</f>
        <v/>
      </c>
      <c r="CK18" s="502"/>
      <c r="CL18" s="322"/>
      <c r="CM18" s="322"/>
      <c r="CN18" s="322"/>
      <c r="CO18" s="322"/>
      <c r="CP18" s="322"/>
      <c r="CQ18" s="322"/>
      <c r="CR18" s="553" t="str">
        <f>IF(AND(ISNUMBER(CO18), ISNUMBER(AU18), ISNUMBER(CE18)), IF(CO18&gt;= 0.85 * (AU18+CE18), "Pass", "please check"),"")</f>
        <v/>
      </c>
      <c r="CS18" s="701" t="str">
        <f t="shared" si="26"/>
        <v/>
      </c>
      <c r="CT18" s="1928" t="str">
        <f>IF(AND(OR('General Info'!$C$19="Yes",'General Info'!$D$19="Yes"),ISNUMBER(CO18),ISNUMBER(CP18),ISNUMBER(CU18)),CO18-CP18+CU18,"")</f>
        <v/>
      </c>
      <c r="CU18" s="318"/>
      <c r="CV18" s="318"/>
      <c r="CW18" s="2293" t="str">
        <f>IF(AND(OR('General Info'!$C$19="Yes",'General Info'!$D$19="Yes"),ISNUMBER(AU18),ISNUMBER(CE18)),SUM(AU18,CE18),"")</f>
        <v/>
      </c>
      <c r="CX18" s="2293" t="str">
        <f>IF(AND(OR('General Info'!$C$19="Yes",'General Info'!$D$19="Yes"),ISNUMBER(AQ18),ISNUMBER(CA18)),SUM(AQ18,CA18),"")</f>
        <v/>
      </c>
      <c r="CY18" s="208"/>
      <c r="CZ18" s="2246"/>
    </row>
    <row r="19" spans="1:104" ht="15" customHeight="1" x14ac:dyDescent="0.25">
      <c r="A19" s="545"/>
      <c r="B19" s="336" t="s">
        <v>844</v>
      </c>
      <c r="C19" s="580" t="str">
        <f t="shared" si="28"/>
        <v/>
      </c>
      <c r="D19" s="580" t="str">
        <f t="shared" si="28"/>
        <v/>
      </c>
      <c r="E19" s="580" t="str">
        <f t="shared" si="28"/>
        <v/>
      </c>
      <c r="F19" s="580" t="str">
        <f t="shared" si="28"/>
        <v/>
      </c>
      <c r="G19" s="580" t="str">
        <f t="shared" si="28"/>
        <v/>
      </c>
      <c r="H19" s="580" t="str">
        <f>IF(AND(ISNUMBER(C19),ISNUMBER(D19),ISNUMBER(G19)),SUM(C19,D19,G19),"")</f>
        <v/>
      </c>
      <c r="I19" s="580" t="str">
        <f t="shared" si="29"/>
        <v/>
      </c>
      <c r="J19" s="580" t="str">
        <f t="shared" si="29"/>
        <v/>
      </c>
      <c r="K19" s="580" t="str">
        <f t="shared" si="29"/>
        <v/>
      </c>
      <c r="L19" s="580" t="str">
        <f t="shared" si="29"/>
        <v/>
      </c>
      <c r="M19" s="580" t="str">
        <f t="shared" si="29"/>
        <v/>
      </c>
      <c r="N19" s="320"/>
      <c r="O19" s="320"/>
      <c r="P19" s="320"/>
      <c r="Q19" s="320"/>
      <c r="R19" s="358"/>
      <c r="S19" s="580" t="str">
        <f>IF(AND(ISNUMBER(N19),ISNUMBER(O19),ISNUMBER(R19)),SUM(N19,O19,R19),"")</f>
        <v/>
      </c>
      <c r="T19" s="489"/>
      <c r="U19" s="320"/>
      <c r="V19" s="358"/>
      <c r="W19" s="580" t="str">
        <f>IF(AND(ISNUMBER(T19),ISNUMBER(U19),ISNUMBER(V19)),SUM(T19:V19), "")</f>
        <v/>
      </c>
      <c r="X19" s="489"/>
      <c r="Y19" s="320"/>
      <c r="Z19" s="320" t="s">
        <v>136</v>
      </c>
      <c r="AA19" s="320"/>
      <c r="AB19" s="320"/>
      <c r="AC19" s="320"/>
      <c r="AD19" s="358"/>
      <c r="AE19" s="580" t="str">
        <f>IF(AND(ISNUMBER(Z19),ISNUMBER(AA19),ISNUMBER(AD19)),SUM(Z19,AA19,AD19),"")</f>
        <v/>
      </c>
      <c r="AF19" s="489"/>
      <c r="AG19" s="320"/>
      <c r="AH19" s="358"/>
      <c r="AI19" s="580" t="str">
        <f>IF(AND(ISNUMBER(AF19),ISNUMBER(AG19),ISNUMBER(AH19)),SUM(AF19:AH19), "")</f>
        <v/>
      </c>
      <c r="AJ19" s="489"/>
      <c r="AK19" s="320"/>
      <c r="AL19" s="318"/>
      <c r="AM19" s="318"/>
      <c r="AN19" s="318"/>
      <c r="AO19" s="318"/>
      <c r="AP19" s="580" t="str">
        <f>IF(AND(ISNUMBER(BA19),ISNUMBER(BM19)),SUM(BA19,BM19),"")</f>
        <v/>
      </c>
      <c r="AQ19" s="580" t="str">
        <f>IF(AND(ISNUMBER(BB19),ISNUMBER(BN19)),SUM(BB19,BN19),"")</f>
        <v/>
      </c>
      <c r="AR19" s="580" t="str">
        <f>IF(AND(ISNUMBER(BC19),ISNUMBER(BO19)),SUM(BC19,BO19),"")</f>
        <v/>
      </c>
      <c r="AS19" s="580" t="str">
        <f>IF(AND(ISNUMBER(BD19),ISNUMBER(BP19)),SUM(BD19,BP19),"")</f>
        <v/>
      </c>
      <c r="AT19" s="580" t="str">
        <f>IF(AND(ISNUMBER(BE19),ISNUMBER(BQ19)),SUM(BE19,BQ19),"")</f>
        <v/>
      </c>
      <c r="AU19" s="580" t="str">
        <f>IF(AND(ISNUMBER(AP19),ISNUMBER(AQ19),ISNUMBER(AT19)),SUM(AP19,AQ19,AT19),"")</f>
        <v/>
      </c>
      <c r="AV19" s="580" t="str">
        <f>IF(AND(ISNUMBER(BG19),ISNUMBER(BS19)),SUM(BG19,BS19),"")</f>
        <v/>
      </c>
      <c r="AW19" s="580" t="str">
        <f>IF(AND(ISNUMBER(BH19),ISNUMBER(BT19)),SUM(BH19,BT19),"")</f>
        <v/>
      </c>
      <c r="AX19" s="580" t="str">
        <f>IF(AND(ISNUMBER(BI19),ISNUMBER(BU19)),SUM(BI19,BU19),"")</f>
        <v/>
      </c>
      <c r="AY19" s="580" t="str">
        <f>IF(AND(ISNUMBER(BJ19),ISNUMBER(BV19)),SUM(BJ19,BV19),"")</f>
        <v/>
      </c>
      <c r="AZ19" s="580" t="str">
        <f>IF(AND(ISNUMBER(BK19),ISNUMBER(BW19)),SUM(BK19,BW19),"")</f>
        <v/>
      </c>
      <c r="BA19" s="318"/>
      <c r="BB19" s="318"/>
      <c r="BC19" s="318"/>
      <c r="BD19" s="318"/>
      <c r="BE19" s="208"/>
      <c r="BF19" s="580" t="str">
        <f>IF(AND(ISNUMBER(BA19), ISNUMBER(BB19), ISNUMBER(BE19)), SUM(BA19,BB19,BE19), "")</f>
        <v/>
      </c>
      <c r="BG19" s="481"/>
      <c r="BH19" s="318"/>
      <c r="BI19" s="318"/>
      <c r="BJ19" s="580" t="str">
        <f>IF(AND(ISNUMBER(BG19),ISNUMBER(BH19),ISNUMBER(BI19)),SUM(BG19:BI19), "")</f>
        <v/>
      </c>
      <c r="BK19" s="318"/>
      <c r="BL19" s="320"/>
      <c r="BM19" s="320"/>
      <c r="BN19" s="320"/>
      <c r="BO19" s="320"/>
      <c r="BP19" s="320"/>
      <c r="BQ19" s="358"/>
      <c r="BR19" s="580" t="str">
        <f>IF(AND(ISNUMBER(BM19), ISNUMBER(BN19), ISNUMBER(BQ19)), SUM(BM19,BN19,BQ19), "")</f>
        <v/>
      </c>
      <c r="BS19" s="489"/>
      <c r="BT19" s="320"/>
      <c r="BU19" s="320"/>
      <c r="BV19" s="917" t="str">
        <f>IF(AND(ISNUMBER(BS19),ISNUMBER(BT19),ISNUMBER(BU19)),SUM(BS19:BU19), "")</f>
        <v/>
      </c>
      <c r="BW19" s="320"/>
      <c r="BX19" s="320"/>
      <c r="BY19" s="318"/>
      <c r="BZ19" s="318"/>
      <c r="CA19" s="318"/>
      <c r="CB19" s="318"/>
      <c r="CC19" s="318"/>
      <c r="CD19" s="318"/>
      <c r="CE19" s="580" t="str">
        <f>IF($C$7="No", 0, IF(AND(ISNUMBER(BZ19),ISNUMBER(CA19),ISNUMBER(CD19)),SUM(BZ19,CA19,CD19),""))</f>
        <v/>
      </c>
      <c r="CF19" s="318"/>
      <c r="CG19" s="318"/>
      <c r="CH19" s="318"/>
      <c r="CI19" s="209" t="str">
        <f>IF($C$7="No", 0, IF(AND(ISNUMBER(CF19), ISNUMBER(CG19), ISNUMBER(CH19)), SUM(CF19:CH19), ""))</f>
        <v/>
      </c>
      <c r="CJ19" s="907" t="str">
        <f>IF(AND(ISNUMBER(CE19), ISNUMBER(CI19)), IF(CE19&lt;&gt;0, CI19/CE19, ""), "")</f>
        <v/>
      </c>
      <c r="CK19" s="502"/>
      <c r="CL19" s="320"/>
      <c r="CM19" s="320"/>
      <c r="CN19" s="320"/>
      <c r="CO19" s="320"/>
      <c r="CP19" s="320"/>
      <c r="CQ19" s="320"/>
      <c r="CR19" s="553" t="str">
        <f>IF(AND(ISNUMBER(CO19), ISNUMBER(AU19), ISNUMBER(CE19)), IF(CO19&gt;= 0.85 * (AU19+CE19), "Pass", "please check"),"")</f>
        <v/>
      </c>
      <c r="CS19" s="701" t="str">
        <f t="shared" si="26"/>
        <v/>
      </c>
      <c r="CT19" s="1928" t="str">
        <f>IF(AND(OR('General Info'!$C$19="Yes",'General Info'!$D$19="Yes"),ISNUMBER(CO19),ISNUMBER(CP19),ISNUMBER(CU19)),CO19-CP19+CU19,"")</f>
        <v/>
      </c>
      <c r="CU19" s="318"/>
      <c r="CV19" s="318"/>
      <c r="CW19" s="2293" t="str">
        <f>IF(AND(OR('General Info'!$C$19="Yes",'General Info'!$D$19="Yes"),ISNUMBER(AU19),ISNUMBER(CE19)),SUM(AU19,CE19),"")</f>
        <v/>
      </c>
      <c r="CX19" s="2293" t="str">
        <f>IF(AND(OR('General Info'!$C$19="Yes",'General Info'!$D$19="Yes"),ISNUMBER(AQ19),ISNUMBER(CA19)),SUM(AQ19,CA19),"")</f>
        <v/>
      </c>
      <c r="CY19" s="208"/>
      <c r="CZ19" s="2246"/>
    </row>
    <row r="20" spans="1:104" ht="15" customHeight="1" x14ac:dyDescent="0.25">
      <c r="A20" s="545"/>
      <c r="B20" s="507" t="s">
        <v>804</v>
      </c>
      <c r="C20" s="580" t="str">
        <f t="shared" ref="C20:AC20" si="31">IF(AND(ISNUMBER(C21),ISNUMBER(C24),ISNUMBER(C27),ISNUMBER(C30),ISNUMBER(C33)),SUM(C21,C24,C27,C30,C33),"")</f>
        <v/>
      </c>
      <c r="D20" s="580" t="str">
        <f t="shared" si="31"/>
        <v/>
      </c>
      <c r="E20" s="580" t="str">
        <f t="shared" si="31"/>
        <v/>
      </c>
      <c r="F20" s="580" t="str">
        <f t="shared" si="31"/>
        <v/>
      </c>
      <c r="G20" s="580" t="str">
        <f t="shared" si="31"/>
        <v/>
      </c>
      <c r="H20" s="580" t="str">
        <f t="shared" si="31"/>
        <v/>
      </c>
      <c r="I20" s="580" t="str">
        <f t="shared" ref="I20" si="32">IF(AND(ISNUMBER(I21),ISNUMBER(I24),ISNUMBER(I27),ISNUMBER(I30),ISNUMBER(I33)),SUM(I21,I24,I27,I30,I33),"")</f>
        <v/>
      </c>
      <c r="J20" s="580" t="str">
        <f t="shared" ref="J20" si="33">IF(AND(ISNUMBER(J21),ISNUMBER(J24),ISNUMBER(J27),ISNUMBER(J30),ISNUMBER(J33)),SUM(J21,J24,J27,J30,J33),"")</f>
        <v/>
      </c>
      <c r="K20" s="580" t="str">
        <f t="shared" ref="K20" si="34">IF(AND(ISNUMBER(K21),ISNUMBER(K24),ISNUMBER(K27),ISNUMBER(K30),ISNUMBER(K33)),SUM(K21,K24,K27,K30,K33),"")</f>
        <v/>
      </c>
      <c r="L20" s="580" t="str">
        <f t="shared" si="31"/>
        <v/>
      </c>
      <c r="M20" s="580" t="str">
        <f t="shared" si="31"/>
        <v/>
      </c>
      <c r="N20" s="580" t="str">
        <f t="shared" si="31"/>
        <v/>
      </c>
      <c r="O20" s="580" t="str">
        <f t="shared" si="31"/>
        <v/>
      </c>
      <c r="P20" s="580" t="str">
        <f t="shared" si="31"/>
        <v/>
      </c>
      <c r="Q20" s="580" t="str">
        <f t="shared" si="31"/>
        <v/>
      </c>
      <c r="R20" s="580" t="str">
        <f t="shared" si="31"/>
        <v/>
      </c>
      <c r="S20" s="580" t="str">
        <f t="shared" si="31"/>
        <v/>
      </c>
      <c r="T20" s="580" t="str">
        <f t="shared" ref="T20" si="35">IF(AND(ISNUMBER(T21),ISNUMBER(T24),ISNUMBER(T27),ISNUMBER(T30),ISNUMBER(T33)),SUM(T21,T24,T27,T30,T33),"")</f>
        <v/>
      </c>
      <c r="U20" s="580" t="str">
        <f t="shared" ref="U20" si="36">IF(AND(ISNUMBER(U21),ISNUMBER(U24),ISNUMBER(U27),ISNUMBER(U30),ISNUMBER(U33)),SUM(U21,U24,U27,U30,U33),"")</f>
        <v/>
      </c>
      <c r="V20" s="580" t="str">
        <f t="shared" ref="V20" si="37">IF(AND(ISNUMBER(V21),ISNUMBER(V24),ISNUMBER(V27),ISNUMBER(V30),ISNUMBER(V33)),SUM(V21,V24,V27,V30,V33),"")</f>
        <v/>
      </c>
      <c r="W20" s="580" t="str">
        <f t="shared" si="31"/>
        <v/>
      </c>
      <c r="X20" s="580" t="str">
        <f t="shared" si="31"/>
        <v/>
      </c>
      <c r="Y20" s="580" t="str">
        <f t="shared" si="31"/>
        <v/>
      </c>
      <c r="Z20" s="910" t="str">
        <f t="shared" si="31"/>
        <v/>
      </c>
      <c r="AA20" s="580" t="str">
        <f t="shared" si="31"/>
        <v/>
      </c>
      <c r="AB20" s="580" t="str">
        <f t="shared" si="31"/>
        <v/>
      </c>
      <c r="AC20" s="580" t="str">
        <f t="shared" si="31"/>
        <v/>
      </c>
      <c r="AD20" s="209" t="str">
        <f t="shared" ref="AD20:AK20" si="38">IF(AND(ISNUMBER(AD21),ISNUMBER(AD24),ISNUMBER(AD27),ISNUMBER(AD30),ISNUMBER(AD33)),SUM(AD21,AD24,AD27,AD30,AD33),"")</f>
        <v/>
      </c>
      <c r="AE20" s="580" t="str">
        <f t="shared" si="38"/>
        <v/>
      </c>
      <c r="AF20" s="580" t="str">
        <f t="shared" si="38"/>
        <v/>
      </c>
      <c r="AG20" s="580" t="str">
        <f t="shared" si="38"/>
        <v/>
      </c>
      <c r="AH20" s="209" t="str">
        <f t="shared" si="38"/>
        <v/>
      </c>
      <c r="AI20" s="580" t="str">
        <f t="shared" si="38"/>
        <v/>
      </c>
      <c r="AJ20" s="580" t="str">
        <f t="shared" si="38"/>
        <v/>
      </c>
      <c r="AK20" s="580" t="str">
        <f t="shared" si="38"/>
        <v/>
      </c>
      <c r="AL20" s="481"/>
      <c r="AM20" s="318"/>
      <c r="AN20" s="318"/>
      <c r="AO20" s="318"/>
      <c r="AP20" s="580" t="str">
        <f t="shared" ref="AP20:AQ20" si="39">IF(AND(ISNUMBER(AP21),ISNUMBER(AP24),ISNUMBER(AP27),ISNUMBER(AP30),ISNUMBER(AP33)),SUM(AP21,AP24,AP27,AP30,AP33),"")</f>
        <v/>
      </c>
      <c r="AQ20" s="580" t="str">
        <f t="shared" si="39"/>
        <v/>
      </c>
      <c r="AR20" s="580" t="str">
        <f>IF(AND(ISNUMBER(AR21),ISNUMBER(AR24),ISNUMBER(AR27),ISNUMBER(AR30),ISNUMBER(AR33)),SUM(AR21,AR24,AR27,AR30,AR33),"")</f>
        <v/>
      </c>
      <c r="AS20" s="580" t="str">
        <f>IF(AND(ISNUMBER(AS21),ISNUMBER(AS24),ISNUMBER(AS27),ISNUMBER(AS30),ISNUMBER(AS33)),SUM(AS21,AS24,AS27,AS30,AS33),"")</f>
        <v/>
      </c>
      <c r="AT20" s="580" t="str">
        <f>IF(AND(ISNUMBER(AT21),ISNUMBER(AT24),ISNUMBER(AT27),ISNUMBER(AT30),ISNUMBER(AT33)),SUM(AT21,AT24,AT27,AT30,AT33),"")</f>
        <v/>
      </c>
      <c r="AU20" s="580" t="str">
        <f>IF(AND(ISNUMBER(AU21),ISNUMBER(AU24),ISNUMBER(AU27),ISNUMBER(AU30),ISNUMBER(AU33)),SUM(AU21,AU24,AU27,AU30,AU33),"")</f>
        <v/>
      </c>
      <c r="AV20" s="580" t="str">
        <f t="shared" ref="AV20" si="40">IF(AND(ISNUMBER(AV21),ISNUMBER(AV24),ISNUMBER(AV27),ISNUMBER(AV30),ISNUMBER(AV33)),SUM(AV21,AV24,AV27,AV30,AV33),"")</f>
        <v/>
      </c>
      <c r="AW20" s="580" t="str">
        <f t="shared" ref="AW20" si="41">IF(AND(ISNUMBER(AW21),ISNUMBER(AW24),ISNUMBER(AW27),ISNUMBER(AW30),ISNUMBER(AW33)),SUM(AW21,AW24,AW27,AW30,AW33),"")</f>
        <v/>
      </c>
      <c r="AX20" s="580" t="str">
        <f t="shared" ref="AX20" si="42">IF(AND(ISNUMBER(AX21),ISNUMBER(AX24),ISNUMBER(AX27),ISNUMBER(AX30),ISNUMBER(AX33)),SUM(AX21,AX24,AX27,AX30,AX33),"")</f>
        <v/>
      </c>
      <c r="AY20" s="580" t="str">
        <f t="shared" ref="AY20:BX20" si="43">IF(AND(ISNUMBER(AY21),ISNUMBER(AY24),ISNUMBER(AY27),ISNUMBER(AY30),ISNUMBER(AY33)),SUM(AY21,AY24,AY27,AY30,AY33),"")</f>
        <v/>
      </c>
      <c r="AZ20" s="580" t="str">
        <f t="shared" si="43"/>
        <v/>
      </c>
      <c r="BA20" s="580" t="str">
        <f t="shared" si="43"/>
        <v/>
      </c>
      <c r="BB20" s="580" t="str">
        <f t="shared" si="43"/>
        <v/>
      </c>
      <c r="BC20" s="580" t="str">
        <f t="shared" si="43"/>
        <v/>
      </c>
      <c r="BD20" s="580" t="str">
        <f t="shared" si="43"/>
        <v/>
      </c>
      <c r="BE20" s="209" t="str">
        <f t="shared" si="43"/>
        <v/>
      </c>
      <c r="BF20" s="580" t="str">
        <f t="shared" si="43"/>
        <v/>
      </c>
      <c r="BG20" s="910" t="str">
        <f t="shared" ref="BG20" si="44">IF(AND(ISNUMBER(BG21),ISNUMBER(BG24),ISNUMBER(BG27),ISNUMBER(BG30),ISNUMBER(BG33)),SUM(BG21,BG24,BG27,BG30,BG33),"")</f>
        <v/>
      </c>
      <c r="BH20" s="580" t="str">
        <f t="shared" ref="BH20" si="45">IF(AND(ISNUMBER(BH21),ISNUMBER(BH24),ISNUMBER(BH27),ISNUMBER(BH30),ISNUMBER(BH33)),SUM(BH21,BH24,BH27,BH30,BH33),"")</f>
        <v/>
      </c>
      <c r="BI20" s="580" t="str">
        <f t="shared" ref="BI20" si="46">IF(AND(ISNUMBER(BI21),ISNUMBER(BI24),ISNUMBER(BI27),ISNUMBER(BI30),ISNUMBER(BI33)),SUM(BI21,BI24,BI27,BI30,BI33),"")</f>
        <v/>
      </c>
      <c r="BJ20" s="580" t="str">
        <f t="shared" si="43"/>
        <v/>
      </c>
      <c r="BK20" s="580" t="str">
        <f t="shared" si="43"/>
        <v/>
      </c>
      <c r="BL20" s="580" t="str">
        <f t="shared" si="43"/>
        <v/>
      </c>
      <c r="BM20" s="580" t="str">
        <f t="shared" si="43"/>
        <v/>
      </c>
      <c r="BN20" s="580" t="str">
        <f t="shared" si="43"/>
        <v/>
      </c>
      <c r="BO20" s="580" t="str">
        <f t="shared" si="43"/>
        <v/>
      </c>
      <c r="BP20" s="580" t="str">
        <f t="shared" si="43"/>
        <v/>
      </c>
      <c r="BQ20" s="580" t="str">
        <f t="shared" si="43"/>
        <v/>
      </c>
      <c r="BR20" s="1037" t="str">
        <f t="shared" si="43"/>
        <v/>
      </c>
      <c r="BS20" s="580" t="str">
        <f t="shared" ref="BS20" si="47">IF(AND(ISNUMBER(BS21),ISNUMBER(BS24),ISNUMBER(BS27),ISNUMBER(BS30),ISNUMBER(BS33)),SUM(BS21,BS24,BS27,BS30,BS33),"")</f>
        <v/>
      </c>
      <c r="BT20" s="580" t="str">
        <f t="shared" ref="BT20:BU20" si="48">IF(AND(ISNUMBER(BT21),ISNUMBER(BT24),ISNUMBER(BT27),ISNUMBER(BT30),ISNUMBER(BT33)),SUM(BT21,BT24,BT27,BT30,BT33),"")</f>
        <v/>
      </c>
      <c r="BU20" s="580" t="str">
        <f t="shared" si="48"/>
        <v/>
      </c>
      <c r="BV20" s="580" t="str">
        <f t="shared" si="43"/>
        <v/>
      </c>
      <c r="BW20" s="580" t="str">
        <f t="shared" si="43"/>
        <v/>
      </c>
      <c r="BX20" s="580" t="str">
        <f t="shared" si="43"/>
        <v/>
      </c>
      <c r="BY20" s="580" t="str">
        <f>IF($C$7="No", 0, IF(AND(ISNUMBER(BY21), ISNUMBER(BY24), ISNUMBER(BY27), ISNUMBER(BY30), ISNUMBER(BY33)), SUM(BY21,BY24,BY27,BY30,BY33), ""))</f>
        <v/>
      </c>
      <c r="BZ20" s="580" t="str">
        <f t="shared" ref="BZ20:CD20" si="49">IF($C$7="No", 0, IF(AND(ISNUMBER(BZ21), ISNUMBER(BZ24), ISNUMBER(BZ27), ISNUMBER(BZ30), ISNUMBER(BZ33)), SUM(BZ21,BZ24,BZ27,BZ30,BZ33), ""))</f>
        <v/>
      </c>
      <c r="CA20" s="580" t="str">
        <f t="shared" si="49"/>
        <v/>
      </c>
      <c r="CB20" s="580" t="str">
        <f t="shared" si="49"/>
        <v/>
      </c>
      <c r="CC20" s="580" t="str">
        <f t="shared" si="49"/>
        <v/>
      </c>
      <c r="CD20" s="580" t="str">
        <f t="shared" si="49"/>
        <v/>
      </c>
      <c r="CE20" s="580" t="str">
        <f>IF(AND(ISNUMBER(CE21), ISNUMBER(CE24), ISNUMBER(CE27), ISNUMBER(CE30), ISNUMBER(CE33)), SUM(CE21,CE24,CE27,CE30,CE33), "")</f>
        <v/>
      </c>
      <c r="CF20" s="580" t="str">
        <f t="shared" ref="CF20:CH20" si="50">IF($C$7="No", 0, IF(AND(ISNUMBER(CF21), ISNUMBER(CF24), ISNUMBER(CF27), ISNUMBER(CF30), ISNUMBER(CF33)), SUM(CF21,CF24,CF27,CF30,CF33), ""))</f>
        <v/>
      </c>
      <c r="CG20" s="580" t="str">
        <f t="shared" si="50"/>
        <v/>
      </c>
      <c r="CH20" s="580" t="str">
        <f t="shared" si="50"/>
        <v/>
      </c>
      <c r="CI20" s="209" t="str">
        <f t="shared" ref="CI20" si="51">IF(AND(ISNUMBER(CI21), ISNUMBER(CI24), ISNUMBER(CI27), ISNUMBER(CI30), ISNUMBER(CI33)), SUM(CI21,CI24,CI27,CI30,CI33), "")</f>
        <v/>
      </c>
      <c r="CJ20" s="907" t="str">
        <f>IF(AND(ISNUMBER(CE20), ISNUMBER(CI20)), IF(CE20&lt;&gt;0, CI20/CE20, ""), "")</f>
        <v/>
      </c>
      <c r="CK20" s="502"/>
      <c r="CL20" s="580" t="str">
        <f t="shared" ref="CL20:CQ20" si="52">IF(AND(ISNUMBER(CL21),ISNUMBER(CL24),ISNUMBER(CL27),ISNUMBER(CL30),ISNUMBER(CL33)),SUM(CL21,CL24,CL27,CL30,CL33),"")</f>
        <v/>
      </c>
      <c r="CM20" s="580" t="str">
        <f t="shared" si="52"/>
        <v/>
      </c>
      <c r="CN20" s="580" t="str">
        <f t="shared" si="52"/>
        <v/>
      </c>
      <c r="CO20" s="580" t="str">
        <f t="shared" si="52"/>
        <v/>
      </c>
      <c r="CP20" s="580" t="str">
        <f t="shared" si="52"/>
        <v/>
      </c>
      <c r="CQ20" s="580" t="str">
        <f t="shared" si="52"/>
        <v/>
      </c>
      <c r="CR20" s="553" t="str">
        <f>IF(AND(ISNUMBER(CO20), ISNUMBER(AU20), ISNUMBER(CE20)), IF(CO20&gt;= 0.85 * (AU20+CE20), "Pass", "please check"),"")</f>
        <v/>
      </c>
      <c r="CS20" s="701" t="str">
        <f t="shared" si="26"/>
        <v/>
      </c>
      <c r="CT20" s="1928" t="str">
        <f t="shared" ref="CT20" si="53">IF(AND(ISNUMBER(CT21),ISNUMBER(CT24),ISNUMBER(CT27),ISNUMBER(CT30),ISNUMBER(CT33)),SUM(CT21,CT24,CT27,CT30,CT33),"")</f>
        <v/>
      </c>
      <c r="CU20" s="580" t="str">
        <f>IF(AND(OR('General Info'!$C$19="Yes",'General Info'!$D$19="Yes"),ISNUMBER(CU21),ISNUMBER(CU24),ISNUMBER(CU27),ISNUMBER(CU30),ISNUMBER(CU33)),SUM(CU21,CU24,CU27,CU30,CU33),"")</f>
        <v/>
      </c>
      <c r="CV20" s="580" t="str">
        <f>IF(AND(OR('General Info'!$C$19="Yes",'General Info'!$D$19="Yes"),ISNUMBER(CV21),ISNUMBER(CV24),ISNUMBER(CV27),ISNUMBER(CV30),ISNUMBER(CV33)),SUM(CV21,CV24,CV27,CV30,CV33),"")</f>
        <v/>
      </c>
      <c r="CW20" s="2293" t="str">
        <f>IF(AND(OR('General Info'!$C$19="Yes",'General Info'!$D$19="Yes"),ISNUMBER(AU20),ISNUMBER(CE20)),SUM(AU20,CE20),"")</f>
        <v/>
      </c>
      <c r="CX20" s="2293" t="str">
        <f>IF(AND(OR('General Info'!$C$19="Yes",'General Info'!$D$19="Yes"),ISNUMBER(AQ20),ISNUMBER(CA20)),SUM(AQ20,CA20),"")</f>
        <v/>
      </c>
      <c r="CY20" s="209" t="str">
        <f>IF(AND(OR('General Info'!$C$19="Yes",'General Info'!$D$19="Yes"),ISNUMBER(CY21),ISNUMBER(CY24),ISNUMBER(CY27),ISNUMBER(CY30),ISNUMBER(CY33)),SUM(CY21,CY24,CY27,CY30,CY33),"")</f>
        <v/>
      </c>
      <c r="CZ20" s="2246"/>
    </row>
    <row r="21" spans="1:104" ht="15" customHeight="1" x14ac:dyDescent="0.25">
      <c r="A21" s="545"/>
      <c r="B21" s="336" t="s">
        <v>845</v>
      </c>
      <c r="C21" s="580" t="str">
        <f>IF(AND(ISNUMBER(N21),ISNUMBER(Z21)),SUM(N21,Z21),"")</f>
        <v/>
      </c>
      <c r="D21" s="580" t="str">
        <f>IF(AND(ISNUMBER(O21),ISNUMBER(AA21)),SUM(O21,AA21),"")</f>
        <v/>
      </c>
      <c r="E21" s="580" t="str">
        <f>IF(AND(ISNUMBER(P21),ISNUMBER(AB21)),SUM(P21,AB21),"")</f>
        <v/>
      </c>
      <c r="F21" s="580" t="str">
        <f>IF(AND(ISNUMBER(Q21),ISNUMBER(AC21)),SUM(Q21,AC21),"")</f>
        <v/>
      </c>
      <c r="G21" s="580" t="str">
        <f>IF(AND(ISNUMBER(R21),ISNUMBER(AD21)),SUM(R21,AD21),"")</f>
        <v/>
      </c>
      <c r="H21" s="580" t="str">
        <f>IF(AND(ISNUMBER(C21),ISNUMBER(D21),ISNUMBER(G21)),SUM(C21,D21,G21),"")</f>
        <v/>
      </c>
      <c r="I21" s="580" t="str">
        <f>IF(AND(ISNUMBER(T21),ISNUMBER(AF21)),SUM(T21,AF21),"")</f>
        <v/>
      </c>
      <c r="J21" s="580" t="str">
        <f>IF(AND(ISNUMBER(U21),ISNUMBER(AG21)),SUM(U21,AG21),"")</f>
        <v/>
      </c>
      <c r="K21" s="580" t="str">
        <f>IF(AND(ISNUMBER(V21),ISNUMBER(AH21)),SUM(V21,AH21),"")</f>
        <v/>
      </c>
      <c r="L21" s="580" t="str">
        <f>IF(AND(ISNUMBER(W21),ISNUMBER(AI21)),SUM(W21,AI21),"")</f>
        <v/>
      </c>
      <c r="M21" s="580" t="str">
        <f>IF(AND(ISNUMBER(X21),ISNUMBER(AJ21)),SUM(X21,AJ21),"")</f>
        <v/>
      </c>
      <c r="N21" s="322"/>
      <c r="O21" s="322"/>
      <c r="P21" s="322"/>
      <c r="Q21" s="322"/>
      <c r="R21" s="227"/>
      <c r="S21" s="580" t="str">
        <f t="shared" ref="S21:S40" si="54">IF(AND(ISNUMBER(N21),ISNUMBER(O21),ISNUMBER(R21)),SUM(N21,O21,R21),"")</f>
        <v/>
      </c>
      <c r="T21" s="737"/>
      <c r="U21" s="322"/>
      <c r="V21" s="227"/>
      <c r="W21" s="580" t="str">
        <f>IF(AND(ISNUMBER(T21),ISNUMBER(U21),ISNUMBER(V21)),SUM(T21:V21), "")</f>
        <v/>
      </c>
      <c r="X21" s="737"/>
      <c r="Y21" s="322"/>
      <c r="Z21" s="322"/>
      <c r="AA21" s="322"/>
      <c r="AB21" s="322"/>
      <c r="AC21" s="322"/>
      <c r="AD21" s="227"/>
      <c r="AE21" s="580" t="str">
        <f t="shared" ref="AE21:AE39" si="55">IF(AND(ISNUMBER(Z21),ISNUMBER(AA21),ISNUMBER(AD21)),SUM(Z21,AA21,AD21),"")</f>
        <v/>
      </c>
      <c r="AF21" s="737"/>
      <c r="AG21" s="322"/>
      <c r="AH21" s="227"/>
      <c r="AI21" s="580" t="str">
        <f>IF(AND(ISNUMBER(AF21),ISNUMBER(AG21),ISNUMBER(AH21)),SUM(AF21:AH21), "")</f>
        <v/>
      </c>
      <c r="AJ21" s="737"/>
      <c r="AK21" s="322"/>
      <c r="AL21" s="318"/>
      <c r="AM21" s="318"/>
      <c r="AN21" s="318"/>
      <c r="AO21" s="318"/>
      <c r="AP21" s="580" t="str">
        <f>IF(AND(ISNUMBER(BA21),ISNUMBER(BM21)),SUM(BA21,BM21),"")</f>
        <v/>
      </c>
      <c r="AQ21" s="580" t="str">
        <f>IF(AND(ISNUMBER(BB21),ISNUMBER(BN21)),SUM(BB21,BN21),"")</f>
        <v/>
      </c>
      <c r="AR21" s="580" t="str">
        <f>IF(AND(ISNUMBER(BC21),ISNUMBER(BO21)),SUM(BC21,BO21),"")</f>
        <v/>
      </c>
      <c r="AS21" s="580" t="str">
        <f>IF(AND(ISNUMBER(BD21),ISNUMBER(BP21)),SUM(BD21,BP21),"")</f>
        <v/>
      </c>
      <c r="AT21" s="580" t="str">
        <f>IF(AND(ISNUMBER(BE21),ISNUMBER(BQ21)),SUM(BE21,BQ21),"")</f>
        <v/>
      </c>
      <c r="AU21" s="580" t="str">
        <f>IF(AND(ISNUMBER(AP21),ISNUMBER(AQ21),ISNUMBER(AT21)),SUM(AP21,AQ21,AT21),"")</f>
        <v/>
      </c>
      <c r="AV21" s="580" t="str">
        <f>IF(AND(ISNUMBER(BG21),ISNUMBER(BS21)),SUM(BG21,BS21),"")</f>
        <v/>
      </c>
      <c r="AW21" s="580" t="str">
        <f>IF(AND(ISNUMBER(BH21),ISNUMBER(BT21)),SUM(BH21,BT21),"")</f>
        <v/>
      </c>
      <c r="AX21" s="580" t="str">
        <f>IF(AND(ISNUMBER(BI21),ISNUMBER(BU21)),SUM(BI21,BU21),"")</f>
        <v/>
      </c>
      <c r="AY21" s="580" t="str">
        <f>IF(AND(ISNUMBER(BJ21),ISNUMBER(BV21)),SUM(BJ21,BV21),"")</f>
        <v/>
      </c>
      <c r="AZ21" s="580" t="str">
        <f>IF(AND(ISNUMBER(BK21),ISNUMBER(BW21)),SUM(BK21,BW21),"")</f>
        <v/>
      </c>
      <c r="BA21" s="318"/>
      <c r="BB21" s="318"/>
      <c r="BC21" s="318"/>
      <c r="BD21" s="318"/>
      <c r="BE21" s="208"/>
      <c r="BF21" s="580" t="str">
        <f>IF(AND(ISNUMBER(BA21), ISNUMBER(BB21), ISNUMBER(BE21)), SUM(BA21,BB21,BE21), "")</f>
        <v/>
      </c>
      <c r="BG21" s="481"/>
      <c r="BH21" s="318"/>
      <c r="BI21" s="318"/>
      <c r="BJ21" s="580" t="str">
        <f>IF(AND(ISNUMBER(BG21),ISNUMBER(BH21),ISNUMBER(BI21)),SUM(BG21:BI21), "")</f>
        <v/>
      </c>
      <c r="BK21" s="318"/>
      <c r="BL21" s="322"/>
      <c r="BM21" s="322"/>
      <c r="BN21" s="322"/>
      <c r="BO21" s="322"/>
      <c r="BP21" s="322"/>
      <c r="BQ21" s="227"/>
      <c r="BR21" s="580" t="str">
        <f>IF(AND(ISNUMBER(BM21), ISNUMBER(BN21), ISNUMBER(BQ21)), SUM(BM21,BN21,BQ21), "")</f>
        <v/>
      </c>
      <c r="BS21" s="737"/>
      <c r="BT21" s="322"/>
      <c r="BU21" s="322"/>
      <c r="BV21" s="919" t="str">
        <f>IF(AND(ISNUMBER(BS21),ISNUMBER(BT21),ISNUMBER(BU21)),SUM(BS21:BU21), "")</f>
        <v/>
      </c>
      <c r="BW21" s="322"/>
      <c r="BX21" s="322"/>
      <c r="BY21" s="318"/>
      <c r="BZ21" s="318"/>
      <c r="CA21" s="318"/>
      <c r="CB21" s="318"/>
      <c r="CC21" s="318"/>
      <c r="CD21" s="318"/>
      <c r="CE21" s="580" t="str">
        <f>IF($C$7="No", 0, IF(AND(ISNUMBER(BZ21),ISNUMBER(CA21),ISNUMBER(CD21)),SUM(BZ21,CA21,CD21),""))</f>
        <v/>
      </c>
      <c r="CF21" s="318"/>
      <c r="CG21" s="318"/>
      <c r="CH21" s="318"/>
      <c r="CI21" s="209" t="str">
        <f>IF($C$7="No", 0, IF(AND(ISNUMBER(CF21), ISNUMBER(CG21), ISNUMBER(CH21)), SUM(CF21:CH21), ""))</f>
        <v/>
      </c>
      <c r="CJ21" s="907" t="str">
        <f>IF(AND(ISNUMBER(CE21), ISNUMBER(CI21)), IF(CE21&lt;&gt;0, CI21/CE21, ""), "")</f>
        <v/>
      </c>
      <c r="CK21" s="502"/>
      <c r="CL21" s="322"/>
      <c r="CM21" s="322"/>
      <c r="CN21" s="322"/>
      <c r="CO21" s="322"/>
      <c r="CP21" s="322"/>
      <c r="CQ21" s="322"/>
      <c r="CR21" s="553" t="str">
        <f>IF(AND(ISNUMBER(CO21), ISNUMBER(AU21), ISNUMBER(CE21)), IF(CO21&gt;= 0.85 * (AU21+CE21), "Pass", "please check"),"")</f>
        <v/>
      </c>
      <c r="CS21" s="701" t="str">
        <f t="shared" si="26"/>
        <v/>
      </c>
      <c r="CT21" s="1928" t="str">
        <f>IF(AND(OR('General Info'!$C$19="Yes",'General Info'!$D$19="Yes"),ISNUMBER(CO21),ISNUMBER(CP21),ISNUMBER(CU21)),CO21-CP21+CU21,"")</f>
        <v/>
      </c>
      <c r="CU21" s="318"/>
      <c r="CV21" s="318"/>
      <c r="CW21" s="2293" t="str">
        <f>IF(AND(OR('General Info'!$C$19="Yes",'General Info'!$D$19="Yes"),ISNUMBER(AU21),ISNUMBER(CE21)),SUM(AU21,CE21),"")</f>
        <v/>
      </c>
      <c r="CX21" s="2293" t="str">
        <f>IF(AND(OR('General Info'!$C$19="Yes",'General Info'!$D$19="Yes"),ISNUMBER(AQ21),ISNUMBER(CA21)),SUM(AQ21,CA21),"")</f>
        <v/>
      </c>
      <c r="CY21" s="208"/>
      <c r="CZ21" s="2246"/>
    </row>
    <row r="22" spans="1:104" ht="15" customHeight="1" x14ac:dyDescent="0.25">
      <c r="A22" s="545"/>
      <c r="B22" s="615" t="s">
        <v>846</v>
      </c>
      <c r="C22" s="580" t="str">
        <f t="shared" ref="C22:G22" si="56">IF(ISNUMBER(Z22), Z22, "")</f>
        <v/>
      </c>
      <c r="D22" s="580" t="str">
        <f t="shared" si="56"/>
        <v/>
      </c>
      <c r="E22" s="580" t="str">
        <f t="shared" si="56"/>
        <v/>
      </c>
      <c r="F22" s="580" t="str">
        <f t="shared" si="56"/>
        <v/>
      </c>
      <c r="G22" s="580" t="str">
        <f t="shared" si="56"/>
        <v/>
      </c>
      <c r="H22" s="580" t="str">
        <f>IF(AND(ISNUMBER(C22),ISNUMBER(D22),ISNUMBER(G22)),SUM(C22,D22,G22),"")</f>
        <v/>
      </c>
      <c r="I22" s="580" t="str">
        <f>IF(ISNUMBER(AF22), AF22, "")</f>
        <v/>
      </c>
      <c r="J22" s="580" t="str">
        <f>IF(ISNUMBER(AG22), AG22, "")</f>
        <v/>
      </c>
      <c r="K22" s="580" t="str">
        <f>IF(ISNUMBER(AH22), AH22, "")</f>
        <v/>
      </c>
      <c r="L22" s="580" t="str">
        <f>IF(ISNUMBER(AI22), AI22, "")</f>
        <v/>
      </c>
      <c r="M22" s="580" t="str">
        <f>IF(ISNUMBER(AJ22), AJ22, "")</f>
        <v/>
      </c>
      <c r="N22" s="480"/>
      <c r="O22" s="480"/>
      <c r="P22" s="480"/>
      <c r="Q22" s="480"/>
      <c r="R22" s="480"/>
      <c r="S22" s="781"/>
      <c r="T22" s="480"/>
      <c r="U22" s="480"/>
      <c r="V22" s="480"/>
      <c r="W22" s="781"/>
      <c r="X22" s="480"/>
      <c r="Y22" s="480"/>
      <c r="Z22" s="792"/>
      <c r="AA22" s="792"/>
      <c r="AB22" s="792"/>
      <c r="AC22" s="792"/>
      <c r="AD22" s="798"/>
      <c r="AE22" s="580" t="str">
        <f t="shared" si="55"/>
        <v/>
      </c>
      <c r="AF22" s="797"/>
      <c r="AG22" s="792"/>
      <c r="AH22" s="798"/>
      <c r="AI22" s="580" t="str">
        <f>IF(AND(ISNUMBER(AF22),ISNUMBER(AG22),ISNUMBER(AH22)),SUM(AF22:AH22), "")</f>
        <v/>
      </c>
      <c r="AJ22" s="797"/>
      <c r="AK22" s="792"/>
      <c r="AL22" s="480"/>
      <c r="AM22" s="480"/>
      <c r="AN22" s="480"/>
      <c r="AO22" s="480"/>
      <c r="AP22" s="580" t="str">
        <f t="shared" ref="AP22:AT22" si="57">IF(ISNUMBER(BM22),BM22,"")</f>
        <v/>
      </c>
      <c r="AQ22" s="580" t="str">
        <f t="shared" si="57"/>
        <v/>
      </c>
      <c r="AR22" s="580" t="str">
        <f t="shared" si="57"/>
        <v/>
      </c>
      <c r="AS22" s="580" t="str">
        <f t="shared" si="57"/>
        <v/>
      </c>
      <c r="AT22" s="580" t="str">
        <f t="shared" si="57"/>
        <v/>
      </c>
      <c r="AU22" s="580" t="str">
        <f>IF(AND(ISNUMBER(AP22),ISNUMBER(AQ22),ISNUMBER(AT22)),SUM(AP22,AQ22,AT22),"")</f>
        <v/>
      </c>
      <c r="AV22" s="580" t="str">
        <f>IF(ISNUMBER(BS22),BS22,"")</f>
        <v/>
      </c>
      <c r="AW22" s="580" t="str">
        <f t="shared" ref="AW22:AZ22" si="58">IF(ISNUMBER(BT22),BT22,"")</f>
        <v/>
      </c>
      <c r="AX22" s="580" t="str">
        <f t="shared" si="58"/>
        <v/>
      </c>
      <c r="AY22" s="580" t="str">
        <f t="shared" si="58"/>
        <v/>
      </c>
      <c r="AZ22" s="580" t="str">
        <f t="shared" si="58"/>
        <v/>
      </c>
      <c r="BA22" s="480"/>
      <c r="BB22" s="480"/>
      <c r="BC22" s="480"/>
      <c r="BD22" s="480"/>
      <c r="BE22" s="480"/>
      <c r="BF22" s="781"/>
      <c r="BG22" s="480"/>
      <c r="BH22" s="480"/>
      <c r="BI22" s="480"/>
      <c r="BJ22" s="480"/>
      <c r="BK22" s="480"/>
      <c r="BL22" s="480"/>
      <c r="BM22" s="792"/>
      <c r="BN22" s="792"/>
      <c r="BO22" s="792"/>
      <c r="BP22" s="792"/>
      <c r="BQ22" s="798"/>
      <c r="BR22" s="580" t="str">
        <f>IF(AND(ISNUMBER(BM22), ISNUMBER(BN22), ISNUMBER(BQ22)), SUM(BM22,BN22,BQ22), "")</f>
        <v/>
      </c>
      <c r="BS22" s="797"/>
      <c r="BT22" s="792"/>
      <c r="BU22" s="792"/>
      <c r="BV22" s="580" t="str">
        <f>IF(AND(ISNUMBER(BS22),ISNUMBER(BT22),ISNUMBER(BU22)),SUM(BS22:BU22), "")</f>
        <v/>
      </c>
      <c r="BW22" s="792"/>
      <c r="BX22" s="792"/>
      <c r="BY22" s="480"/>
      <c r="BZ22" s="480"/>
      <c r="CA22" s="480"/>
      <c r="CB22" s="480"/>
      <c r="CC22" s="480"/>
      <c r="CD22" s="480"/>
      <c r="CE22" s="480"/>
      <c r="CF22" s="480"/>
      <c r="CG22" s="480"/>
      <c r="CH22" s="480"/>
      <c r="CI22" s="499"/>
      <c r="CJ22" s="480"/>
      <c r="CK22" s="502"/>
      <c r="CL22" s="792"/>
      <c r="CM22" s="792"/>
      <c r="CN22" s="792"/>
      <c r="CO22" s="792"/>
      <c r="CP22" s="792"/>
      <c r="CQ22" s="792"/>
      <c r="CR22" s="553" t="str">
        <f>IF(AND(ISNUMBER(CO22), ISNUMBER(AU22)), IF(CO22&gt;=AU22, "Pass", "please check"),"")</f>
        <v/>
      </c>
      <c r="CS22" s="701" t="str">
        <f>IF(AND(ISNUMBER(AY22), ISNUMBER(CQ22)), IF(CQ22&gt;=AY22, "Pass", "please check"), "")</f>
        <v/>
      </c>
      <c r="CT22" s="2276"/>
      <c r="CU22" s="2274"/>
      <c r="CV22" s="2274"/>
      <c r="CW22" s="2274"/>
      <c r="CX22" s="2274"/>
      <c r="CY22" s="2277"/>
      <c r="CZ22" s="2246"/>
    </row>
    <row r="23" spans="1:104" ht="15" customHeight="1" x14ac:dyDescent="0.25">
      <c r="A23" s="545"/>
      <c r="B23" s="508" t="str">
        <f>"Check: row " &amp; ROW(B22) &amp; " ≤ row " &amp; ROW(B21)</f>
        <v>Check: row 22 ≤ row 21</v>
      </c>
      <c r="C23" s="853"/>
      <c r="D23" s="853"/>
      <c r="E23" s="853"/>
      <c r="F23" s="853"/>
      <c r="G23" s="853"/>
      <c r="H23" s="853"/>
      <c r="I23" s="853"/>
      <c r="J23" s="853"/>
      <c r="K23" s="853"/>
      <c r="L23" s="853"/>
      <c r="M23" s="853"/>
      <c r="N23" s="480"/>
      <c r="O23" s="480"/>
      <c r="P23" s="480"/>
      <c r="Q23" s="480"/>
      <c r="R23" s="480"/>
      <c r="S23" s="491"/>
      <c r="T23" s="480"/>
      <c r="U23" s="480"/>
      <c r="V23" s="480"/>
      <c r="W23" s="491"/>
      <c r="X23" s="480"/>
      <c r="Y23" s="480"/>
      <c r="Z23" s="553" t="str">
        <f t="shared" ref="Z23" si="59">IF(AND(ISNUMBER(Z22),ISNUMBER(Z21)), IF(Z22&lt;=Z21, "Pass", "Fail"), "")</f>
        <v/>
      </c>
      <c r="AA23" s="553" t="str">
        <f t="shared" ref="AA23" si="60">IF(AND(ISNUMBER(AA22),ISNUMBER(AA21)), IF(AA22&lt;=AA21, "Pass", "Fail"), "")</f>
        <v/>
      </c>
      <c r="AB23" s="553" t="str">
        <f t="shared" ref="AB23" si="61">IF(AND(ISNUMBER(AB22),ISNUMBER(AB21)), IF(AB22&lt;=AB21, "Pass", "Fail"), "")</f>
        <v/>
      </c>
      <c r="AC23" s="553" t="str">
        <f t="shared" ref="AC23" si="62">IF(AND(ISNUMBER(AC22),ISNUMBER(AC21)), IF(AC22&lt;=AC21, "Pass", "Fail"), "")</f>
        <v/>
      </c>
      <c r="AD23" s="701" t="str">
        <f t="shared" ref="AD23" si="63">IF(AND(ISNUMBER(AD22),ISNUMBER(AD21)), IF(AD22&lt;=AD21, "Pass", "Fail"), "")</f>
        <v/>
      </c>
      <c r="AE23" s="853"/>
      <c r="AF23" s="553" t="str">
        <f t="shared" ref="AF23" si="64">IF(AND(ISNUMBER(AF22),ISNUMBER(AF21)), IF(AF22&lt;=AF21, "Pass", "Fail"), "")</f>
        <v/>
      </c>
      <c r="AG23" s="553" t="str">
        <f t="shared" ref="AG23" si="65">IF(AND(ISNUMBER(AG22),ISNUMBER(AG21)), IF(AG22&lt;=AG21, "Pass", "Fail"), "")</f>
        <v/>
      </c>
      <c r="AH23" s="701" t="str">
        <f t="shared" ref="AH23" si="66">IF(AND(ISNUMBER(AH22),ISNUMBER(AH21)), IF(AH22&lt;=AH21, "Pass", "Fail"), "")</f>
        <v/>
      </c>
      <c r="AI23" s="853"/>
      <c r="AJ23" s="553" t="str">
        <f t="shared" ref="AJ23" si="67">IF(AND(ISNUMBER(AJ22),ISNUMBER(AJ21)), IF(AJ22&lt;=AJ21, "Pass", "Fail"), "")</f>
        <v/>
      </c>
      <c r="AK23" s="553" t="str">
        <f t="shared" ref="AK23" si="68">IF(AND(ISNUMBER(AK22),ISNUMBER(AK21)), IF(AK22&lt;=AK21, "Pass", "Fail"), "")</f>
        <v/>
      </c>
      <c r="AL23" s="480"/>
      <c r="AM23" s="480"/>
      <c r="AN23" s="480"/>
      <c r="AO23" s="480"/>
      <c r="AP23" s="853"/>
      <c r="AQ23" s="853"/>
      <c r="AR23" s="853"/>
      <c r="AS23" s="853"/>
      <c r="AT23" s="853"/>
      <c r="AU23" s="853"/>
      <c r="AV23" s="853"/>
      <c r="AW23" s="853"/>
      <c r="AX23" s="853"/>
      <c r="AY23" s="853"/>
      <c r="AZ23" s="853"/>
      <c r="BA23" s="480"/>
      <c r="BB23" s="480"/>
      <c r="BC23" s="480"/>
      <c r="BD23" s="480"/>
      <c r="BE23" s="480"/>
      <c r="BF23" s="491"/>
      <c r="BG23" s="480"/>
      <c r="BH23" s="480"/>
      <c r="BI23" s="480"/>
      <c r="BJ23" s="843"/>
      <c r="BK23" s="480"/>
      <c r="BL23" s="480"/>
      <c r="BM23" s="553" t="str">
        <f t="shared" ref="BM23:BQ23" si="69">IF(AND(ISNUMBER(BM22),ISNUMBER(BM21)), IF(BM22&lt;=BM21, "Pass", "Fail"), "")</f>
        <v/>
      </c>
      <c r="BN23" s="553" t="str">
        <f t="shared" si="69"/>
        <v/>
      </c>
      <c r="BO23" s="553" t="str">
        <f t="shared" si="69"/>
        <v/>
      </c>
      <c r="BP23" s="553" t="str">
        <f t="shared" si="69"/>
        <v/>
      </c>
      <c r="BQ23" s="553" t="str">
        <f t="shared" si="69"/>
        <v/>
      </c>
      <c r="BR23" s="853"/>
      <c r="BS23" s="553" t="str">
        <f t="shared" ref="BS23" si="70">IF(AND(ISNUMBER(BS22),ISNUMBER(BS21)), IF(BS22&lt;=BS21, "Pass", "Fail"), "")</f>
        <v/>
      </c>
      <c r="BT23" s="553" t="str">
        <f t="shared" ref="BT23:BU23" si="71">IF(AND(ISNUMBER(BT22),ISNUMBER(BT21)), IF(BT22&lt;=BT21, "Pass", "Fail"), "")</f>
        <v/>
      </c>
      <c r="BU23" s="553" t="str">
        <f t="shared" si="71"/>
        <v/>
      </c>
      <c r="BV23" s="480"/>
      <c r="BW23" s="553" t="str">
        <f t="shared" ref="BW23:BX23" si="72">IF(AND(ISNUMBER(BW22),ISNUMBER(BW21)), IF(BW22&lt;=BW21, "Pass", "Fail"), "")</f>
        <v/>
      </c>
      <c r="BX23" s="553" t="str">
        <f t="shared" si="72"/>
        <v/>
      </c>
      <c r="BY23" s="480"/>
      <c r="BZ23" s="480"/>
      <c r="CA23" s="480"/>
      <c r="CB23" s="480"/>
      <c r="CC23" s="480"/>
      <c r="CD23" s="480"/>
      <c r="CE23" s="480"/>
      <c r="CF23" s="480"/>
      <c r="CG23" s="480"/>
      <c r="CH23" s="480"/>
      <c r="CI23" s="499"/>
      <c r="CJ23" s="480"/>
      <c r="CK23" s="502"/>
      <c r="CL23" s="553" t="str">
        <f>IF(AND(ISNUMBER(CL22),ISNUMBER(CL21)), IF(CL22&lt;=CL21, "Pass", "Fail"), "")</f>
        <v/>
      </c>
      <c r="CM23" s="865"/>
      <c r="CN23" s="865"/>
      <c r="CO23" s="553" t="str">
        <f>IF(AND(ISNUMBER(CO22),ISNUMBER(CO21)), IF(CO22&lt;=CO21, "Pass", "Fail"), "")</f>
        <v/>
      </c>
      <c r="CP23" s="553" t="str">
        <f>IF(AND(ISNUMBER(CP22),ISNUMBER(CP21)), IF(CP22&lt;=CP21, "Pass", "Fail"), "")</f>
        <v/>
      </c>
      <c r="CQ23" s="553" t="str">
        <f>IF(AND(ISNUMBER(CQ22),ISNUMBER(CQ21)), IF(CQ22&lt;=CQ21, "Pass", "Fail"), "")</f>
        <v/>
      </c>
      <c r="CR23" s="865"/>
      <c r="CS23" s="866"/>
      <c r="CT23" s="2276"/>
      <c r="CU23" s="2274"/>
      <c r="CV23" s="2274"/>
      <c r="CW23" s="2274"/>
      <c r="CX23" s="2274"/>
      <c r="CY23" s="2277"/>
      <c r="CZ23" s="2246"/>
    </row>
    <row r="24" spans="1:104" ht="15" customHeight="1" x14ac:dyDescent="0.25">
      <c r="A24" s="545"/>
      <c r="B24" s="336" t="s">
        <v>847</v>
      </c>
      <c r="C24" s="580" t="str">
        <f>IF(AND(ISNUMBER(N24),ISNUMBER(Z24)),SUM(N24,Z24),"")</f>
        <v/>
      </c>
      <c r="D24" s="580" t="str">
        <f>IF(AND(ISNUMBER(O24),ISNUMBER(AA24)),SUM(O24,AA24),"")</f>
        <v/>
      </c>
      <c r="E24" s="580" t="str">
        <f>IF(AND(ISNUMBER(P24),ISNUMBER(AB24)),SUM(P24,AB24),"")</f>
        <v/>
      </c>
      <c r="F24" s="580" t="str">
        <f>IF(AND(ISNUMBER(Q24),ISNUMBER(AC24)),SUM(Q24,AC24),"")</f>
        <v/>
      </c>
      <c r="G24" s="580" t="str">
        <f>IF(AND(ISNUMBER(R24),ISNUMBER(AD24)),SUM(R24,AD24),"")</f>
        <v/>
      </c>
      <c r="H24" s="580" t="str">
        <f t="shared" ref="H24:H40" si="73">IF(AND(ISNUMBER(C24),ISNUMBER(D24),ISNUMBER(G24)),SUM(C24,D24,G24),"")</f>
        <v/>
      </c>
      <c r="I24" s="580" t="str">
        <f>IF(AND(ISNUMBER(T24),ISNUMBER(AF24)),SUM(T24,AF24),"")</f>
        <v/>
      </c>
      <c r="J24" s="580" t="str">
        <f>IF(AND(ISNUMBER(U24),ISNUMBER(AG24)),SUM(U24,AG24),"")</f>
        <v/>
      </c>
      <c r="K24" s="580" t="str">
        <f>IF(AND(ISNUMBER(V24),ISNUMBER(AH24)),SUM(V24,AH24),"")</f>
        <v/>
      </c>
      <c r="L24" s="580" t="str">
        <f>IF(AND(ISNUMBER(W24),ISNUMBER(AI24)),SUM(W24,AI24),"")</f>
        <v/>
      </c>
      <c r="M24" s="580" t="str">
        <f>IF(AND(ISNUMBER(X24),ISNUMBER(AJ24)),SUM(X24,AJ24),"")</f>
        <v/>
      </c>
      <c r="N24" s="318"/>
      <c r="O24" s="318"/>
      <c r="P24" s="318"/>
      <c r="Q24" s="318"/>
      <c r="R24" s="208"/>
      <c r="S24" s="580" t="str">
        <f t="shared" si="54"/>
        <v/>
      </c>
      <c r="T24" s="481"/>
      <c r="U24" s="318"/>
      <c r="V24" s="208"/>
      <c r="W24" s="580" t="str">
        <f>IF(AND(ISNUMBER(T24),ISNUMBER(U24),ISNUMBER(V24)),SUM(T24:V24), "")</f>
        <v/>
      </c>
      <c r="X24" s="481"/>
      <c r="Y24" s="318"/>
      <c r="Z24" s="318"/>
      <c r="AA24" s="318"/>
      <c r="AB24" s="318"/>
      <c r="AC24" s="318"/>
      <c r="AD24" s="208"/>
      <c r="AE24" s="580" t="str">
        <f t="shared" si="55"/>
        <v/>
      </c>
      <c r="AF24" s="481"/>
      <c r="AG24" s="318"/>
      <c r="AH24" s="208"/>
      <c r="AI24" s="580" t="str">
        <f>IF(AND(ISNUMBER(AF24),ISNUMBER(AG24),ISNUMBER(AH24)),SUM(AF24:AH24), "")</f>
        <v/>
      </c>
      <c r="AJ24" s="481"/>
      <c r="AK24" s="318"/>
      <c r="AL24" s="318"/>
      <c r="AM24" s="318"/>
      <c r="AN24" s="318"/>
      <c r="AO24" s="318"/>
      <c r="AP24" s="580" t="str">
        <f>IF(AND(ISNUMBER(BA24),ISNUMBER(BM24)),SUM(BA24,BM24),"")</f>
        <v/>
      </c>
      <c r="AQ24" s="580" t="str">
        <f>IF(AND(ISNUMBER(BB24),ISNUMBER(BN24)),SUM(BB24,BN24),"")</f>
        <v/>
      </c>
      <c r="AR24" s="580" t="str">
        <f>IF(AND(ISNUMBER(BC24),ISNUMBER(BO24)),SUM(BC24,BO24),"")</f>
        <v/>
      </c>
      <c r="AS24" s="580" t="str">
        <f>IF(AND(ISNUMBER(BD24),ISNUMBER(BP24)),SUM(BD24,BP24),"")</f>
        <v/>
      </c>
      <c r="AT24" s="580" t="str">
        <f>IF(AND(ISNUMBER(BE24),ISNUMBER(BQ24)),SUM(BE24,BQ24),"")</f>
        <v/>
      </c>
      <c r="AU24" s="580" t="str">
        <f>IF(AND(ISNUMBER(AP24),ISNUMBER(AQ24),ISNUMBER(AT24)),SUM(AP24,AQ24,AT24),"")</f>
        <v/>
      </c>
      <c r="AV24" s="580" t="str">
        <f>IF(AND(ISNUMBER(BG24),ISNUMBER(BS24)),SUM(BG24,BS24),"")</f>
        <v/>
      </c>
      <c r="AW24" s="580" t="str">
        <f>IF(AND(ISNUMBER(BH24),ISNUMBER(BT24)),SUM(BH24,BT24),"")</f>
        <v/>
      </c>
      <c r="AX24" s="580" t="str">
        <f>IF(AND(ISNUMBER(BI24),ISNUMBER(BU24)),SUM(BI24,BU24),"")</f>
        <v/>
      </c>
      <c r="AY24" s="580" t="str">
        <f>IF(AND(ISNUMBER(BJ24),ISNUMBER(BV24)),SUM(BJ24,BV24),"")</f>
        <v/>
      </c>
      <c r="AZ24" s="580" t="str">
        <f>IF(AND(ISNUMBER(BK24),ISNUMBER(BW24)),SUM(BK24,BW24),"")</f>
        <v/>
      </c>
      <c r="BA24" s="318"/>
      <c r="BB24" s="318"/>
      <c r="BC24" s="318"/>
      <c r="BD24" s="318"/>
      <c r="BE24" s="208"/>
      <c r="BF24" s="580" t="str">
        <f>IF(AND(ISNUMBER(BA24), ISNUMBER(BB24), ISNUMBER(BE24)), SUM(BA24,BB24,BE24), "")</f>
        <v/>
      </c>
      <c r="BG24" s="481"/>
      <c r="BH24" s="318"/>
      <c r="BI24" s="318"/>
      <c r="BJ24" s="580" t="str">
        <f>IF(AND(ISNUMBER(BG24),ISNUMBER(BH24),ISNUMBER(BI24)),SUM(BG24:BI24), "")</f>
        <v/>
      </c>
      <c r="BK24" s="318"/>
      <c r="BL24" s="318"/>
      <c r="BM24" s="318"/>
      <c r="BN24" s="318"/>
      <c r="BO24" s="318"/>
      <c r="BP24" s="318"/>
      <c r="BQ24" s="208"/>
      <c r="BR24" s="580" t="str">
        <f>IF(AND(ISNUMBER(BM24), ISNUMBER(BN24), ISNUMBER(BQ24)), SUM(BM24,BN24,BQ24), "")</f>
        <v/>
      </c>
      <c r="BS24" s="481"/>
      <c r="BT24" s="318"/>
      <c r="BU24" s="318"/>
      <c r="BV24" s="580" t="str">
        <f>IF(AND(ISNUMBER(BS24),ISNUMBER(BT24),ISNUMBER(BU24)),SUM(BS24:BU24), "")</f>
        <v/>
      </c>
      <c r="BW24" s="318"/>
      <c r="BX24" s="318"/>
      <c r="BY24" s="318"/>
      <c r="BZ24" s="318"/>
      <c r="CA24" s="318"/>
      <c r="CB24" s="318"/>
      <c r="CC24" s="318"/>
      <c r="CD24" s="318"/>
      <c r="CE24" s="580" t="str">
        <f>IF($C$7="No", 0, IF(AND(ISNUMBER(BZ24),ISNUMBER(CA24),ISNUMBER(CD24)),SUM(BZ24,CA24,CD24),""))</f>
        <v/>
      </c>
      <c r="CF24" s="318"/>
      <c r="CG24" s="318"/>
      <c r="CH24" s="318"/>
      <c r="CI24" s="209" t="str">
        <f>IF($C$7="No", 0, IF(AND(ISNUMBER(CF24), ISNUMBER(CG24), ISNUMBER(CH24)), SUM(CF24:CH24), ""))</f>
        <v/>
      </c>
      <c r="CJ24" s="907" t="str">
        <f>IF(AND(ISNUMBER(CE24), ISNUMBER(CI24)), IF(CE24&lt;&gt;0, CI24/CE24, ""), "")</f>
        <v/>
      </c>
      <c r="CK24" s="502"/>
      <c r="CL24" s="318"/>
      <c r="CM24" s="318"/>
      <c r="CN24" s="318"/>
      <c r="CO24" s="318"/>
      <c r="CP24" s="318"/>
      <c r="CQ24" s="318"/>
      <c r="CR24" s="553" t="str">
        <f>IF(AND(ISNUMBER(CO24), ISNUMBER(AU24), ISNUMBER(CE24)), IF(CO24&gt;= 0.85 * (AU24+CE24), "Pass", "please check"),"")</f>
        <v/>
      </c>
      <c r="CS24" s="701" t="str">
        <f>IF(AND(ISNUMBER(AL24),ISNUMBER(AM24),ISNUMBER(AN24),ISNUMBER(AO24),ISNUMBER(AY24), ISNUMBER(AZ24), ISNUMBER(CQ24), ISNUMBER(CI24)), IF(CQ24&gt;=(AY24+12.5*MAX(0,AZ24-(AL24+AM24+AN24+AO24))+CI24), "Pass", "please check"), "")</f>
        <v/>
      </c>
      <c r="CT24" s="1928" t="str">
        <f>IF(AND(OR('General Info'!$C$19="Yes",'General Info'!$D$19="Yes"),ISNUMBER(CO24),ISNUMBER(CP24),ISNUMBER(CU24)),CO24-CP24+CU24,"")</f>
        <v/>
      </c>
      <c r="CU24" s="318"/>
      <c r="CV24" s="318"/>
      <c r="CW24" s="2293" t="str">
        <f>IF(AND(OR('General Info'!$C$19="Yes",'General Info'!$D$19="Yes"),ISNUMBER(AU24),ISNUMBER(CE24)),SUM(AU24,CE24),"")</f>
        <v/>
      </c>
      <c r="CX24" s="2293" t="str">
        <f>IF(AND(OR('General Info'!$C$19="Yes",'General Info'!$D$19="Yes"),ISNUMBER(AQ24),ISNUMBER(CA24)),SUM(AQ24,CA24),"")</f>
        <v/>
      </c>
      <c r="CY24" s="208"/>
      <c r="CZ24" s="2246"/>
    </row>
    <row r="25" spans="1:104" ht="15" customHeight="1" x14ac:dyDescent="0.25">
      <c r="A25" s="545"/>
      <c r="B25" s="615" t="s">
        <v>846</v>
      </c>
      <c r="C25" s="580" t="str">
        <f t="shared" ref="C25:G25" si="74">IF(ISNUMBER(Z25), Z25, "")</f>
        <v/>
      </c>
      <c r="D25" s="580" t="str">
        <f t="shared" si="74"/>
        <v/>
      </c>
      <c r="E25" s="580" t="str">
        <f t="shared" si="74"/>
        <v/>
      </c>
      <c r="F25" s="580" t="str">
        <f t="shared" si="74"/>
        <v/>
      </c>
      <c r="G25" s="580" t="str">
        <f t="shared" si="74"/>
        <v/>
      </c>
      <c r="H25" s="580" t="str">
        <f>IF(AND(ISNUMBER(C25),ISNUMBER(D25),ISNUMBER(G25)),SUM(C25,D25,G25),"")</f>
        <v/>
      </c>
      <c r="I25" s="580" t="str">
        <f>IF(ISNUMBER(AF25), AF25, "")</f>
        <v/>
      </c>
      <c r="J25" s="580" t="str">
        <f>IF(ISNUMBER(AG25), AG25, "")</f>
        <v/>
      </c>
      <c r="K25" s="580" t="str">
        <f>IF(ISNUMBER(AH25), AH25, "")</f>
        <v/>
      </c>
      <c r="L25" s="580" t="str">
        <f>IF(ISNUMBER(AI25), AI25, "")</f>
        <v/>
      </c>
      <c r="M25" s="580" t="str">
        <f>IF(ISNUMBER(AJ25), AJ25, "")</f>
        <v/>
      </c>
      <c r="N25" s="480"/>
      <c r="O25" s="480"/>
      <c r="P25" s="480"/>
      <c r="Q25" s="480"/>
      <c r="R25" s="480"/>
      <c r="S25" s="781"/>
      <c r="T25" s="480"/>
      <c r="U25" s="480"/>
      <c r="V25" s="480"/>
      <c r="W25" s="781"/>
      <c r="X25" s="480"/>
      <c r="Y25" s="480"/>
      <c r="Z25" s="792"/>
      <c r="AA25" s="792"/>
      <c r="AB25" s="792"/>
      <c r="AC25" s="792"/>
      <c r="AD25" s="798"/>
      <c r="AE25" s="580" t="str">
        <f t="shared" si="55"/>
        <v/>
      </c>
      <c r="AF25" s="797"/>
      <c r="AG25" s="792"/>
      <c r="AH25" s="798"/>
      <c r="AI25" s="580" t="str">
        <f>IF(AND(ISNUMBER(AF25),ISNUMBER(AG25),ISNUMBER(AH25)),SUM(AF25:AH25), "")</f>
        <v/>
      </c>
      <c r="AJ25" s="797"/>
      <c r="AK25" s="792"/>
      <c r="AL25" s="480"/>
      <c r="AM25" s="480"/>
      <c r="AN25" s="480"/>
      <c r="AO25" s="480"/>
      <c r="AP25" s="580" t="str">
        <f t="shared" ref="AP25:AT25" si="75">IF(ISNUMBER(BM25),BM25,"")</f>
        <v/>
      </c>
      <c r="AQ25" s="580" t="str">
        <f t="shared" si="75"/>
        <v/>
      </c>
      <c r="AR25" s="580" t="str">
        <f t="shared" si="75"/>
        <v/>
      </c>
      <c r="AS25" s="580" t="str">
        <f t="shared" si="75"/>
        <v/>
      </c>
      <c r="AT25" s="580" t="str">
        <f t="shared" si="75"/>
        <v/>
      </c>
      <c r="AU25" s="580" t="str">
        <f>IF(AND(ISNUMBER(AP25),ISNUMBER(AQ25),ISNUMBER(AT25)),SUM(AP25,AQ25,AT25),"")</f>
        <v/>
      </c>
      <c r="AV25" s="580" t="str">
        <f t="shared" ref="AV25:AZ25" si="76">IF(ISNUMBER(BS25),BS25,"")</f>
        <v/>
      </c>
      <c r="AW25" s="580" t="str">
        <f t="shared" si="76"/>
        <v/>
      </c>
      <c r="AX25" s="580" t="str">
        <f t="shared" si="76"/>
        <v/>
      </c>
      <c r="AY25" s="580" t="str">
        <f t="shared" si="76"/>
        <v/>
      </c>
      <c r="AZ25" s="580" t="str">
        <f t="shared" si="76"/>
        <v/>
      </c>
      <c r="BA25" s="480"/>
      <c r="BB25" s="480"/>
      <c r="BC25" s="480"/>
      <c r="BD25" s="480"/>
      <c r="BE25" s="480"/>
      <c r="BF25" s="781"/>
      <c r="BG25" s="480"/>
      <c r="BH25" s="480"/>
      <c r="BI25" s="480"/>
      <c r="BJ25" s="480"/>
      <c r="BK25" s="480"/>
      <c r="BL25" s="480"/>
      <c r="BM25" s="792"/>
      <c r="BN25" s="792"/>
      <c r="BO25" s="792"/>
      <c r="BP25" s="792"/>
      <c r="BQ25" s="798"/>
      <c r="BR25" s="580" t="str">
        <f>IF(AND(ISNUMBER(BM25), ISNUMBER(BN25), ISNUMBER(BQ25)), SUM(BM25,BN25,BQ25), "")</f>
        <v/>
      </c>
      <c r="BS25" s="797"/>
      <c r="BT25" s="792"/>
      <c r="BU25" s="792"/>
      <c r="BV25" s="580" t="str">
        <f>IF(AND(ISNUMBER(BS25),ISNUMBER(BT25),ISNUMBER(BU25)),SUM(BS25:BU25), "")</f>
        <v/>
      </c>
      <c r="BW25" s="792"/>
      <c r="BX25" s="792"/>
      <c r="BY25" s="480"/>
      <c r="BZ25" s="480"/>
      <c r="CA25" s="480"/>
      <c r="CB25" s="480"/>
      <c r="CC25" s="480"/>
      <c r="CD25" s="480"/>
      <c r="CE25" s="480"/>
      <c r="CF25" s="480"/>
      <c r="CG25" s="480"/>
      <c r="CH25" s="480"/>
      <c r="CI25" s="499"/>
      <c r="CJ25" s="480"/>
      <c r="CK25" s="502"/>
      <c r="CL25" s="792"/>
      <c r="CM25" s="792"/>
      <c r="CN25" s="792"/>
      <c r="CO25" s="792"/>
      <c r="CP25" s="792"/>
      <c r="CQ25" s="792"/>
      <c r="CR25" s="553" t="str">
        <f>IF(AND(ISNUMBER(CO25), ISNUMBER(AU25)), IF(CO25&gt;=AU25, "Pass", "please check"),"")</f>
        <v/>
      </c>
      <c r="CS25" s="701" t="str">
        <f>IF(AND(ISNUMBER(AY25), ISNUMBER(CQ25)), IF(CQ25&gt;=AY25, "Pass", "please check"), "")</f>
        <v/>
      </c>
      <c r="CT25" s="2276"/>
      <c r="CU25" s="2274"/>
      <c r="CV25" s="2274"/>
      <c r="CW25" s="2274"/>
      <c r="CX25" s="2274"/>
      <c r="CY25" s="2277"/>
      <c r="CZ25" s="2246"/>
    </row>
    <row r="26" spans="1:104" ht="15" customHeight="1" x14ac:dyDescent="0.25">
      <c r="A26" s="545"/>
      <c r="B26" s="508" t="str">
        <f>"Check: row " &amp; ROW(B25) &amp; " ≤ row " &amp; ROW(B24)</f>
        <v>Check: row 25 ≤ row 24</v>
      </c>
      <c r="C26" s="853"/>
      <c r="D26" s="853"/>
      <c r="E26" s="853"/>
      <c r="F26" s="853"/>
      <c r="G26" s="853"/>
      <c r="H26" s="853"/>
      <c r="I26" s="853"/>
      <c r="J26" s="853"/>
      <c r="K26" s="853"/>
      <c r="L26" s="853"/>
      <c r="M26" s="853"/>
      <c r="N26" s="480"/>
      <c r="O26" s="480"/>
      <c r="P26" s="480"/>
      <c r="Q26" s="480"/>
      <c r="R26" s="480"/>
      <c r="S26" s="491"/>
      <c r="T26" s="480"/>
      <c r="U26" s="480"/>
      <c r="V26" s="480"/>
      <c r="W26" s="491"/>
      <c r="X26" s="480"/>
      <c r="Y26" s="480"/>
      <c r="Z26" s="553" t="str">
        <f t="shared" ref="Z26" si="77">IF(AND(ISNUMBER(Z25),ISNUMBER(Z24)), IF(Z25&lt;=Z24, "Pass", "Fail"), "")</f>
        <v/>
      </c>
      <c r="AA26" s="553" t="str">
        <f t="shared" ref="AA26" si="78">IF(AND(ISNUMBER(AA25),ISNUMBER(AA24)), IF(AA25&lt;=AA24, "Pass", "Fail"), "")</f>
        <v/>
      </c>
      <c r="AB26" s="553" t="str">
        <f t="shared" ref="AB26" si="79">IF(AND(ISNUMBER(AB25),ISNUMBER(AB24)), IF(AB25&lt;=AB24, "Pass", "Fail"), "")</f>
        <v/>
      </c>
      <c r="AC26" s="553" t="str">
        <f t="shared" ref="AC26" si="80">IF(AND(ISNUMBER(AC25),ISNUMBER(AC24)), IF(AC25&lt;=AC24, "Pass", "Fail"), "")</f>
        <v/>
      </c>
      <c r="AD26" s="701" t="str">
        <f t="shared" ref="AD26" si="81">IF(AND(ISNUMBER(AD25),ISNUMBER(AD24)), IF(AD25&lt;=AD24, "Pass", "Fail"), "")</f>
        <v/>
      </c>
      <c r="AE26" s="853"/>
      <c r="AF26" s="553" t="str">
        <f t="shared" ref="AF26" si="82">IF(AND(ISNUMBER(AF25),ISNUMBER(AF24)), IF(AF25&lt;=AF24, "Pass", "Fail"), "")</f>
        <v/>
      </c>
      <c r="AG26" s="553" t="str">
        <f t="shared" ref="AG26" si="83">IF(AND(ISNUMBER(AG25),ISNUMBER(AG24)), IF(AG25&lt;=AG24, "Pass", "Fail"), "")</f>
        <v/>
      </c>
      <c r="AH26" s="701" t="str">
        <f t="shared" ref="AH26" si="84">IF(AND(ISNUMBER(AH25),ISNUMBER(AH24)), IF(AH25&lt;=AH24, "Pass", "Fail"), "")</f>
        <v/>
      </c>
      <c r="AI26" s="853"/>
      <c r="AJ26" s="553" t="str">
        <f t="shared" ref="AJ26" si="85">IF(AND(ISNUMBER(AJ25),ISNUMBER(AJ24)), IF(AJ25&lt;=AJ24, "Pass", "Fail"), "")</f>
        <v/>
      </c>
      <c r="AK26" s="553" t="str">
        <f t="shared" ref="AK26" si="86">IF(AND(ISNUMBER(AK25),ISNUMBER(AK24)), IF(AK25&lt;=AK24, "Pass", "Fail"), "")</f>
        <v/>
      </c>
      <c r="AL26" s="480"/>
      <c r="AM26" s="480"/>
      <c r="AN26" s="480"/>
      <c r="AO26" s="480"/>
      <c r="AP26" s="853"/>
      <c r="AQ26" s="853"/>
      <c r="AR26" s="853"/>
      <c r="AS26" s="853"/>
      <c r="AT26" s="853"/>
      <c r="AU26" s="853"/>
      <c r="AV26" s="853"/>
      <c r="AW26" s="853"/>
      <c r="AX26" s="853"/>
      <c r="AY26" s="853"/>
      <c r="AZ26" s="853"/>
      <c r="BA26" s="480"/>
      <c r="BB26" s="480"/>
      <c r="BC26" s="480"/>
      <c r="BD26" s="480"/>
      <c r="BE26" s="480"/>
      <c r="BF26" s="491"/>
      <c r="BG26" s="480"/>
      <c r="BH26" s="480"/>
      <c r="BI26" s="480"/>
      <c r="BJ26" s="480"/>
      <c r="BK26" s="480"/>
      <c r="BL26" s="480"/>
      <c r="BM26" s="553" t="str">
        <f t="shared" ref="BM26:BQ26" si="87">IF(AND(ISNUMBER(BM25),ISNUMBER(BM24)), IF(BM25&lt;=BM24, "Pass", "Fail"), "")</f>
        <v/>
      </c>
      <c r="BN26" s="553" t="str">
        <f t="shared" si="87"/>
        <v/>
      </c>
      <c r="BO26" s="553" t="str">
        <f t="shared" si="87"/>
        <v/>
      </c>
      <c r="BP26" s="553" t="str">
        <f t="shared" si="87"/>
        <v/>
      </c>
      <c r="BQ26" s="553" t="str">
        <f t="shared" si="87"/>
        <v/>
      </c>
      <c r="BR26" s="853"/>
      <c r="BS26" s="553" t="str">
        <f t="shared" ref="BS26" si="88">IF(AND(ISNUMBER(BS25),ISNUMBER(BS24)), IF(BS25&lt;=BS24, "Pass", "Fail"), "")</f>
        <v/>
      </c>
      <c r="BT26" s="553" t="str">
        <f t="shared" ref="BT26:BU26" si="89">IF(AND(ISNUMBER(BT25),ISNUMBER(BT24)), IF(BT25&lt;=BT24, "Pass", "Fail"), "")</f>
        <v/>
      </c>
      <c r="BU26" s="553" t="str">
        <f t="shared" si="89"/>
        <v/>
      </c>
      <c r="BV26" s="480"/>
      <c r="BW26" s="553" t="str">
        <f t="shared" ref="BW26:BX26" si="90">IF(AND(ISNUMBER(BW25),ISNUMBER(BW24)), IF(BW25&lt;=BW24, "Pass", "Fail"), "")</f>
        <v/>
      </c>
      <c r="BX26" s="553" t="str">
        <f t="shared" si="90"/>
        <v/>
      </c>
      <c r="BY26" s="480"/>
      <c r="BZ26" s="480"/>
      <c r="CA26" s="480"/>
      <c r="CB26" s="480"/>
      <c r="CC26" s="480"/>
      <c r="CD26" s="480"/>
      <c r="CE26" s="480"/>
      <c r="CF26" s="480"/>
      <c r="CG26" s="480"/>
      <c r="CH26" s="480"/>
      <c r="CI26" s="499"/>
      <c r="CJ26" s="480"/>
      <c r="CK26" s="502"/>
      <c r="CL26" s="553" t="str">
        <f>IF(AND(ISNUMBER(CL25),ISNUMBER(CL24)), IF(CL25&lt;=CL24, "Pass", "Fail"), "")</f>
        <v/>
      </c>
      <c r="CM26" s="865"/>
      <c r="CN26" s="865"/>
      <c r="CO26" s="553" t="str">
        <f>IF(AND(ISNUMBER(CO25),ISNUMBER(CO24)), IF(CO25&lt;=CO24, "Pass", "Fail"), "")</f>
        <v/>
      </c>
      <c r="CP26" s="553" t="str">
        <f>IF(AND(ISNUMBER(CP25),ISNUMBER(CP24)), IF(CP25&lt;=CP24, "Pass", "Fail"), "")</f>
        <v/>
      </c>
      <c r="CQ26" s="553" t="str">
        <f>IF(AND(ISNUMBER(CQ25),ISNUMBER(CQ24)), IF(CQ25&lt;=CQ24, "Pass", "Fail"), "")</f>
        <v/>
      </c>
      <c r="CR26" s="865"/>
      <c r="CS26" s="866"/>
      <c r="CT26" s="2276"/>
      <c r="CU26" s="2274"/>
      <c r="CV26" s="2274"/>
      <c r="CW26" s="2274"/>
      <c r="CX26" s="2274"/>
      <c r="CY26" s="2277"/>
      <c r="CZ26" s="2246"/>
    </row>
    <row r="27" spans="1:104" ht="15" customHeight="1" x14ac:dyDescent="0.25">
      <c r="A27" s="545"/>
      <c r="B27" s="336" t="s">
        <v>848</v>
      </c>
      <c r="C27" s="580" t="str">
        <f>IF(AND(ISNUMBER(N27),ISNUMBER(Z27)),SUM(N27,Z27),"")</f>
        <v/>
      </c>
      <c r="D27" s="580" t="str">
        <f>IF(AND(ISNUMBER(O27),ISNUMBER(AA27)),SUM(O27,AA27),"")</f>
        <v/>
      </c>
      <c r="E27" s="580" t="str">
        <f>IF(AND(ISNUMBER(P27),ISNUMBER(AB27)),SUM(P27,AB27),"")</f>
        <v/>
      </c>
      <c r="F27" s="580" t="str">
        <f>IF(AND(ISNUMBER(Q27),ISNUMBER(AC27)),SUM(Q27,AC27),"")</f>
        <v/>
      </c>
      <c r="G27" s="580" t="str">
        <f>IF(AND(ISNUMBER(R27),ISNUMBER(AD27)),SUM(R27,AD27),"")</f>
        <v/>
      </c>
      <c r="H27" s="580" t="str">
        <f t="shared" si="73"/>
        <v/>
      </c>
      <c r="I27" s="580" t="str">
        <f>IF(AND(ISNUMBER(T27),ISNUMBER(AF27)),SUM(T27,AF27),"")</f>
        <v/>
      </c>
      <c r="J27" s="580" t="str">
        <f>IF(AND(ISNUMBER(U27),ISNUMBER(AG27)),SUM(U27,AG27),"")</f>
        <v/>
      </c>
      <c r="K27" s="580" t="str">
        <f>IF(AND(ISNUMBER(V27),ISNUMBER(AH27)),SUM(V27,AH27),"")</f>
        <v/>
      </c>
      <c r="L27" s="580" t="str">
        <f>IF(AND(ISNUMBER(W27),ISNUMBER(AI27)),SUM(W27,AI27),"")</f>
        <v/>
      </c>
      <c r="M27" s="580" t="str">
        <f>IF(AND(ISNUMBER(X27),ISNUMBER(AJ27)),SUM(X27,AJ27),"")</f>
        <v/>
      </c>
      <c r="N27" s="318"/>
      <c r="O27" s="318"/>
      <c r="P27" s="318"/>
      <c r="Q27" s="318"/>
      <c r="R27" s="208"/>
      <c r="S27" s="580" t="str">
        <f t="shared" si="54"/>
        <v/>
      </c>
      <c r="T27" s="481"/>
      <c r="U27" s="318"/>
      <c r="V27" s="208"/>
      <c r="W27" s="580" t="str">
        <f>IF(AND(ISNUMBER(T27),ISNUMBER(U27),ISNUMBER(V27)),SUM(T27:V27), "")</f>
        <v/>
      </c>
      <c r="X27" s="481"/>
      <c r="Y27" s="318"/>
      <c r="Z27" s="318"/>
      <c r="AA27" s="318"/>
      <c r="AB27" s="318"/>
      <c r="AC27" s="318"/>
      <c r="AD27" s="208"/>
      <c r="AE27" s="580" t="str">
        <f t="shared" si="55"/>
        <v/>
      </c>
      <c r="AF27" s="481"/>
      <c r="AG27" s="318"/>
      <c r="AH27" s="208"/>
      <c r="AI27" s="580" t="str">
        <f>IF(AND(ISNUMBER(AF27),ISNUMBER(AG27),ISNUMBER(AH27)),SUM(AF27:AH27), "")</f>
        <v/>
      </c>
      <c r="AJ27" s="481"/>
      <c r="AK27" s="318"/>
      <c r="AL27" s="318"/>
      <c r="AM27" s="318"/>
      <c r="AN27" s="318"/>
      <c r="AO27" s="318"/>
      <c r="AP27" s="580" t="str">
        <f>IF(AND(ISNUMBER(BA27),ISNUMBER(BM27)),SUM(BA27,BM27),"")</f>
        <v/>
      </c>
      <c r="AQ27" s="580" t="str">
        <f>IF(AND(ISNUMBER(BB27),ISNUMBER(BN27)),SUM(BB27,BN27),"")</f>
        <v/>
      </c>
      <c r="AR27" s="580" t="str">
        <f>IF(AND(ISNUMBER(BC27),ISNUMBER(BO27)),SUM(BC27,BO27),"")</f>
        <v/>
      </c>
      <c r="AS27" s="580" t="str">
        <f>IF(AND(ISNUMBER(BD27),ISNUMBER(BP27)),SUM(BD27,BP27),"")</f>
        <v/>
      </c>
      <c r="AT27" s="580" t="str">
        <f>IF(AND(ISNUMBER(BE27),ISNUMBER(BQ27)),SUM(BE27,BQ27),"")</f>
        <v/>
      </c>
      <c r="AU27" s="580" t="str">
        <f>IF(AND(ISNUMBER(AP27),ISNUMBER(AQ27),ISNUMBER(AT27)),SUM(AP27,AQ27,AT27),"")</f>
        <v/>
      </c>
      <c r="AV27" s="580" t="str">
        <f>IF(AND(ISNUMBER(BG27),ISNUMBER(BS27)),SUM(BG27,BS27),"")</f>
        <v/>
      </c>
      <c r="AW27" s="580" t="str">
        <f>IF(AND(ISNUMBER(BH27),ISNUMBER(BT27)),SUM(BH27,BT27),"")</f>
        <v/>
      </c>
      <c r="AX27" s="580" t="str">
        <f>IF(AND(ISNUMBER(BI27),ISNUMBER(BU27)),SUM(BI27,BU27),"")</f>
        <v/>
      </c>
      <c r="AY27" s="580" t="str">
        <f>IF(AND(ISNUMBER(BJ27),ISNUMBER(BV27)),SUM(BJ27,BV27),"")</f>
        <v/>
      </c>
      <c r="AZ27" s="580" t="str">
        <f>IF(AND(ISNUMBER(BK27),ISNUMBER(BW27)),SUM(BK27,BW27),"")</f>
        <v/>
      </c>
      <c r="BA27" s="318"/>
      <c r="BB27" s="318"/>
      <c r="BC27" s="318"/>
      <c r="BD27" s="318"/>
      <c r="BE27" s="208"/>
      <c r="BF27" s="580" t="str">
        <f>IF(AND(ISNUMBER(BA27), ISNUMBER(BB27), ISNUMBER(BE27)), SUM(BA27,BB27,BE27), "")</f>
        <v/>
      </c>
      <c r="BG27" s="481"/>
      <c r="BH27" s="318"/>
      <c r="BI27" s="318"/>
      <c r="BJ27" s="580" t="str">
        <f>IF(AND(ISNUMBER(BG27),ISNUMBER(BH27),ISNUMBER(BI27)),SUM(BG27:BI27), "")</f>
        <v/>
      </c>
      <c r="BK27" s="318"/>
      <c r="BL27" s="318"/>
      <c r="BM27" s="318"/>
      <c r="BN27" s="318"/>
      <c r="BO27" s="318"/>
      <c r="BP27" s="318"/>
      <c r="BQ27" s="208"/>
      <c r="BR27" s="580" t="str">
        <f>IF(AND(ISNUMBER(BM27), ISNUMBER(BN27), ISNUMBER(BQ27)), SUM(BM27,BN27,BQ27), "")</f>
        <v/>
      </c>
      <c r="BS27" s="481"/>
      <c r="BT27" s="318"/>
      <c r="BU27" s="318"/>
      <c r="BV27" s="580" t="str">
        <f>IF(AND(ISNUMBER(BS27),ISNUMBER(BT27),ISNUMBER(BU27)),SUM(BS27:BU27), "")</f>
        <v/>
      </c>
      <c r="BW27" s="318"/>
      <c r="BX27" s="318"/>
      <c r="BY27" s="318"/>
      <c r="BZ27" s="318"/>
      <c r="CA27" s="318"/>
      <c r="CB27" s="318"/>
      <c r="CC27" s="318"/>
      <c r="CD27" s="318"/>
      <c r="CE27" s="580" t="str">
        <f>IF($C$7="No", 0, IF(AND(ISNUMBER(BZ27),ISNUMBER(CA27),ISNUMBER(CD27)),SUM(BZ27,CA27,CD27),""))</f>
        <v/>
      </c>
      <c r="CF27" s="318"/>
      <c r="CG27" s="318"/>
      <c r="CH27" s="318"/>
      <c r="CI27" s="209" t="str">
        <f>IF($C$7="No", 0, IF(AND(ISNUMBER(CF27), ISNUMBER(CG27), ISNUMBER(CH27)), SUM(CF27:CH27), ""))</f>
        <v/>
      </c>
      <c r="CJ27" s="907" t="str">
        <f>IF(AND(ISNUMBER(CE27), ISNUMBER(CI27)), IF(CE27&lt;&gt;0, CI27/CE27, ""), "")</f>
        <v/>
      </c>
      <c r="CK27" s="502"/>
      <c r="CL27" s="318"/>
      <c r="CM27" s="318"/>
      <c r="CN27" s="318"/>
      <c r="CO27" s="318"/>
      <c r="CP27" s="318"/>
      <c r="CQ27" s="318"/>
      <c r="CR27" s="553" t="str">
        <f>IF(AND(ISNUMBER(CO27), ISNUMBER(AU27), ISNUMBER(CE27)), IF(CO27&gt;= 0.85 * (AU27+CE27), "Pass", "please check"),"")</f>
        <v/>
      </c>
      <c r="CS27" s="701" t="str">
        <f>IF(AND(ISNUMBER(AL27),ISNUMBER(AM27),ISNUMBER(AN27),ISNUMBER(AO27),ISNUMBER(AY27), ISNUMBER(AZ27), ISNUMBER(CQ27), ISNUMBER(CI27)), IF(CQ27&gt;=(AY27+12.5*MAX(0,AZ27-(AL27+AM27+AN27+AO27))+CI27), "Pass", "please check"), "")</f>
        <v/>
      </c>
      <c r="CT27" s="1928" t="str">
        <f>IF(AND(OR('General Info'!$C$19="Yes",'General Info'!$D$19="Yes"),ISNUMBER(CO27),ISNUMBER(CP27),ISNUMBER(CU27)),CO27-CP27+CU27,"")</f>
        <v/>
      </c>
      <c r="CU27" s="318"/>
      <c r="CV27" s="318"/>
      <c r="CW27" s="2293" t="str">
        <f>IF(AND(OR('General Info'!$C$19="Yes",'General Info'!$D$19="Yes"),ISNUMBER(AU27),ISNUMBER(CE27)),SUM(AU27,CE27),"")</f>
        <v/>
      </c>
      <c r="CX27" s="2293" t="str">
        <f>IF(AND(OR('General Info'!$C$19="Yes",'General Info'!$D$19="Yes"),ISNUMBER(AQ27),ISNUMBER(CA27)),SUM(AQ27,CA27),"")</f>
        <v/>
      </c>
      <c r="CY27" s="208"/>
      <c r="CZ27" s="2246"/>
    </row>
    <row r="28" spans="1:104" ht="15" customHeight="1" x14ac:dyDescent="0.25">
      <c r="A28" s="545"/>
      <c r="B28" s="615" t="s">
        <v>846</v>
      </c>
      <c r="C28" s="580" t="str">
        <f t="shared" ref="C28:G28" si="91">IF(ISNUMBER(Z28), Z28, "")</f>
        <v/>
      </c>
      <c r="D28" s="580" t="str">
        <f t="shared" si="91"/>
        <v/>
      </c>
      <c r="E28" s="580" t="str">
        <f t="shared" si="91"/>
        <v/>
      </c>
      <c r="F28" s="580" t="str">
        <f t="shared" si="91"/>
        <v/>
      </c>
      <c r="G28" s="580" t="str">
        <f t="shared" si="91"/>
        <v/>
      </c>
      <c r="H28" s="580" t="str">
        <f>IF(AND(ISNUMBER(C28),ISNUMBER(D28),ISNUMBER(G28)),SUM(C28,D28,G28),"")</f>
        <v/>
      </c>
      <c r="I28" s="580" t="str">
        <f>IF(ISNUMBER(AF28), AF28, "")</f>
        <v/>
      </c>
      <c r="J28" s="580" t="str">
        <f>IF(ISNUMBER(AG28), AG28, "")</f>
        <v/>
      </c>
      <c r="K28" s="580" t="str">
        <f>IF(ISNUMBER(AH28), AH28, "")</f>
        <v/>
      </c>
      <c r="L28" s="580" t="str">
        <f>IF(ISNUMBER(AI28), AI28, "")</f>
        <v/>
      </c>
      <c r="M28" s="580" t="str">
        <f>IF(ISNUMBER(AJ28), AJ28, "")</f>
        <v/>
      </c>
      <c r="N28" s="480"/>
      <c r="O28" s="480"/>
      <c r="P28" s="480"/>
      <c r="Q28" s="480"/>
      <c r="R28" s="480"/>
      <c r="S28" s="781"/>
      <c r="T28" s="480"/>
      <c r="U28" s="480"/>
      <c r="V28" s="480"/>
      <c r="W28" s="781"/>
      <c r="X28" s="480"/>
      <c r="Y28" s="480"/>
      <c r="Z28" s="792"/>
      <c r="AA28" s="792"/>
      <c r="AB28" s="792"/>
      <c r="AC28" s="792"/>
      <c r="AD28" s="798"/>
      <c r="AE28" s="580" t="str">
        <f t="shared" si="55"/>
        <v/>
      </c>
      <c r="AF28" s="797"/>
      <c r="AG28" s="792"/>
      <c r="AH28" s="798"/>
      <c r="AI28" s="580" t="str">
        <f>IF(AND(ISNUMBER(AF28),ISNUMBER(AG28),ISNUMBER(AH28)),SUM(AF28:AH28), "")</f>
        <v/>
      </c>
      <c r="AJ28" s="797"/>
      <c r="AK28" s="792"/>
      <c r="AL28" s="480"/>
      <c r="AM28" s="480"/>
      <c r="AN28" s="480"/>
      <c r="AO28" s="480"/>
      <c r="AP28" s="580" t="str">
        <f t="shared" ref="AP28:AT28" si="92">IF(ISNUMBER(BM28),BM28,"")</f>
        <v/>
      </c>
      <c r="AQ28" s="580" t="str">
        <f t="shared" si="92"/>
        <v/>
      </c>
      <c r="AR28" s="580" t="str">
        <f t="shared" si="92"/>
        <v/>
      </c>
      <c r="AS28" s="580" t="str">
        <f t="shared" si="92"/>
        <v/>
      </c>
      <c r="AT28" s="580" t="str">
        <f t="shared" si="92"/>
        <v/>
      </c>
      <c r="AU28" s="580" t="str">
        <f>IF(AND(ISNUMBER(AP28),ISNUMBER(AQ28),ISNUMBER(AT28)),SUM(AP28,AQ28,AT28),"")</f>
        <v/>
      </c>
      <c r="AV28" s="580" t="str">
        <f t="shared" ref="AV28:AZ28" si="93">IF(ISNUMBER(BS28),BS28,"")</f>
        <v/>
      </c>
      <c r="AW28" s="580" t="str">
        <f t="shared" si="93"/>
        <v/>
      </c>
      <c r="AX28" s="580" t="str">
        <f t="shared" si="93"/>
        <v/>
      </c>
      <c r="AY28" s="580" t="str">
        <f t="shared" si="93"/>
        <v/>
      </c>
      <c r="AZ28" s="580" t="str">
        <f t="shared" si="93"/>
        <v/>
      </c>
      <c r="BA28" s="480"/>
      <c r="BB28" s="480"/>
      <c r="BC28" s="480"/>
      <c r="BD28" s="480"/>
      <c r="BE28" s="480"/>
      <c r="BF28" s="781"/>
      <c r="BG28" s="480"/>
      <c r="BH28" s="480"/>
      <c r="BI28" s="480"/>
      <c r="BJ28" s="480"/>
      <c r="BK28" s="480"/>
      <c r="BL28" s="480"/>
      <c r="BM28" s="792"/>
      <c r="BN28" s="792"/>
      <c r="BO28" s="792"/>
      <c r="BP28" s="792"/>
      <c r="BQ28" s="798"/>
      <c r="BR28" s="580" t="str">
        <f>IF(AND(ISNUMBER(BM28), ISNUMBER(BN28), ISNUMBER(BQ28)), SUM(BM28,BN28,BQ28), "")</f>
        <v/>
      </c>
      <c r="BS28" s="797"/>
      <c r="BT28" s="792"/>
      <c r="BU28" s="792"/>
      <c r="BV28" s="580" t="str">
        <f>IF(AND(ISNUMBER(BS28),ISNUMBER(BT28),ISNUMBER(BU28)),SUM(BS28:BU28), "")</f>
        <v/>
      </c>
      <c r="BW28" s="792"/>
      <c r="BX28" s="792"/>
      <c r="BY28" s="480"/>
      <c r="BZ28" s="480"/>
      <c r="CA28" s="480"/>
      <c r="CB28" s="480"/>
      <c r="CC28" s="480"/>
      <c r="CD28" s="480"/>
      <c r="CE28" s="480"/>
      <c r="CF28" s="480"/>
      <c r="CG28" s="480"/>
      <c r="CH28" s="480"/>
      <c r="CI28" s="499"/>
      <c r="CJ28" s="480"/>
      <c r="CK28" s="502"/>
      <c r="CL28" s="792"/>
      <c r="CM28" s="792"/>
      <c r="CN28" s="792"/>
      <c r="CO28" s="792"/>
      <c r="CP28" s="792"/>
      <c r="CQ28" s="792"/>
      <c r="CR28" s="553" t="str">
        <f>IF(AND(ISNUMBER(CO28), ISNUMBER(AU28)), IF(CO28&gt;=AU28, "Pass", "please check"),"")</f>
        <v/>
      </c>
      <c r="CS28" s="701" t="str">
        <f>IF(AND(ISNUMBER(AY28), ISNUMBER(CQ28)), IF(CQ28&gt;=AY28, "Pass", "please check"), "")</f>
        <v/>
      </c>
      <c r="CT28" s="2276"/>
      <c r="CU28" s="2274"/>
      <c r="CV28" s="2274"/>
      <c r="CW28" s="2274"/>
      <c r="CX28" s="2274"/>
      <c r="CY28" s="2277"/>
      <c r="CZ28" s="2246"/>
    </row>
    <row r="29" spans="1:104" ht="15" customHeight="1" x14ac:dyDescent="0.25">
      <c r="A29" s="545"/>
      <c r="B29" s="508" t="str">
        <f>"Check: row " &amp; ROW(B28) &amp; " ≤ row " &amp; ROW(B27)</f>
        <v>Check: row 28 ≤ row 27</v>
      </c>
      <c r="C29" s="853"/>
      <c r="D29" s="853"/>
      <c r="E29" s="853"/>
      <c r="F29" s="853"/>
      <c r="G29" s="853"/>
      <c r="H29" s="853"/>
      <c r="I29" s="853"/>
      <c r="J29" s="853"/>
      <c r="K29" s="853"/>
      <c r="L29" s="853"/>
      <c r="M29" s="853"/>
      <c r="N29" s="480"/>
      <c r="O29" s="480"/>
      <c r="P29" s="480"/>
      <c r="Q29" s="480"/>
      <c r="R29" s="480"/>
      <c r="S29" s="491"/>
      <c r="T29" s="480"/>
      <c r="U29" s="480"/>
      <c r="V29" s="480"/>
      <c r="W29" s="491"/>
      <c r="X29" s="480"/>
      <c r="Y29" s="480"/>
      <c r="Z29" s="553" t="str">
        <f t="shared" ref="Z29" si="94">IF(AND(ISNUMBER(Z28),ISNUMBER(Z27)), IF(Z28&lt;=Z27, "Pass", "Fail"), "")</f>
        <v/>
      </c>
      <c r="AA29" s="553" t="str">
        <f t="shared" ref="AA29" si="95">IF(AND(ISNUMBER(AA28),ISNUMBER(AA27)), IF(AA28&lt;=AA27, "Pass", "Fail"), "")</f>
        <v/>
      </c>
      <c r="AB29" s="553" t="str">
        <f t="shared" ref="AB29" si="96">IF(AND(ISNUMBER(AB28),ISNUMBER(AB27)), IF(AB28&lt;=AB27, "Pass", "Fail"), "")</f>
        <v/>
      </c>
      <c r="AC29" s="553" t="str">
        <f t="shared" ref="AC29" si="97">IF(AND(ISNUMBER(AC28),ISNUMBER(AC27)), IF(AC28&lt;=AC27, "Pass", "Fail"), "")</f>
        <v/>
      </c>
      <c r="AD29" s="701" t="str">
        <f t="shared" ref="AD29" si="98">IF(AND(ISNUMBER(AD28),ISNUMBER(AD27)), IF(AD28&lt;=AD27, "Pass", "Fail"), "")</f>
        <v/>
      </c>
      <c r="AE29" s="853"/>
      <c r="AF29" s="553" t="str">
        <f t="shared" ref="AF29" si="99">IF(AND(ISNUMBER(AF28),ISNUMBER(AF27)), IF(AF28&lt;=AF27, "Pass", "Fail"), "")</f>
        <v/>
      </c>
      <c r="AG29" s="553" t="str">
        <f t="shared" ref="AG29" si="100">IF(AND(ISNUMBER(AG28),ISNUMBER(AG27)), IF(AG28&lt;=AG27, "Pass", "Fail"), "")</f>
        <v/>
      </c>
      <c r="AH29" s="553" t="str">
        <f t="shared" ref="AH29" si="101">IF(AND(ISNUMBER(AH28),ISNUMBER(AH27)), IF(AH28&lt;=AH27, "Pass", "Fail"), "")</f>
        <v/>
      </c>
      <c r="AI29" s="853"/>
      <c r="AJ29" s="553" t="str">
        <f t="shared" ref="AJ29" si="102">IF(AND(ISNUMBER(AJ28),ISNUMBER(AJ27)), IF(AJ28&lt;=AJ27, "Pass", "Fail"), "")</f>
        <v/>
      </c>
      <c r="AK29" s="553" t="str">
        <f t="shared" ref="AK29" si="103">IF(AND(ISNUMBER(AK28),ISNUMBER(AK27)), IF(AK28&lt;=AK27, "Pass", "Fail"), "")</f>
        <v/>
      </c>
      <c r="AL29" s="480"/>
      <c r="AM29" s="480"/>
      <c r="AN29" s="480"/>
      <c r="AO29" s="480"/>
      <c r="AP29" s="853"/>
      <c r="AQ29" s="853"/>
      <c r="AR29" s="853"/>
      <c r="AS29" s="853"/>
      <c r="AT29" s="853"/>
      <c r="AU29" s="853"/>
      <c r="AV29" s="853"/>
      <c r="AW29" s="853"/>
      <c r="AX29" s="853"/>
      <c r="AY29" s="853"/>
      <c r="AZ29" s="853"/>
      <c r="BA29" s="480"/>
      <c r="BB29" s="480"/>
      <c r="BC29" s="480"/>
      <c r="BD29" s="480"/>
      <c r="BE29" s="480"/>
      <c r="BF29" s="491"/>
      <c r="BG29" s="480"/>
      <c r="BH29" s="480"/>
      <c r="BI29" s="480"/>
      <c r="BJ29" s="480"/>
      <c r="BK29" s="480"/>
      <c r="BL29" s="480"/>
      <c r="BM29" s="553" t="str">
        <f t="shared" ref="BM29:BQ29" si="104">IF(AND(ISNUMBER(BM28),ISNUMBER(BM27)), IF(BM28&lt;=BM27, "Pass", "Fail"), "")</f>
        <v/>
      </c>
      <c r="BN29" s="553" t="str">
        <f t="shared" si="104"/>
        <v/>
      </c>
      <c r="BO29" s="553" t="str">
        <f t="shared" si="104"/>
        <v/>
      </c>
      <c r="BP29" s="553" t="str">
        <f t="shared" si="104"/>
        <v/>
      </c>
      <c r="BQ29" s="553" t="str">
        <f t="shared" si="104"/>
        <v/>
      </c>
      <c r="BR29" s="853"/>
      <c r="BS29" s="553" t="str">
        <f t="shared" ref="BS29" si="105">IF(AND(ISNUMBER(BS28),ISNUMBER(BS27)), IF(BS28&lt;=BS27, "Pass", "Fail"), "")</f>
        <v/>
      </c>
      <c r="BT29" s="553" t="str">
        <f t="shared" ref="BT29:BU29" si="106">IF(AND(ISNUMBER(BT28),ISNUMBER(BT27)), IF(BT28&lt;=BT27, "Pass", "Fail"), "")</f>
        <v/>
      </c>
      <c r="BU29" s="553" t="str">
        <f t="shared" si="106"/>
        <v/>
      </c>
      <c r="BV29" s="480"/>
      <c r="BW29" s="553" t="str">
        <f t="shared" ref="BW29:BX29" si="107">IF(AND(ISNUMBER(BW28),ISNUMBER(BW27)), IF(BW28&lt;=BW27, "Pass", "Fail"), "")</f>
        <v/>
      </c>
      <c r="BX29" s="553" t="str">
        <f t="shared" si="107"/>
        <v/>
      </c>
      <c r="BY29" s="480"/>
      <c r="BZ29" s="480"/>
      <c r="CA29" s="480"/>
      <c r="CB29" s="480"/>
      <c r="CC29" s="480"/>
      <c r="CD29" s="480"/>
      <c r="CE29" s="480"/>
      <c r="CF29" s="480"/>
      <c r="CG29" s="480"/>
      <c r="CH29" s="480"/>
      <c r="CI29" s="499"/>
      <c r="CJ29" s="480"/>
      <c r="CK29" s="502"/>
      <c r="CL29" s="553" t="str">
        <f>IF(AND(ISNUMBER(CL28),ISNUMBER(CL27)), IF(CL28&lt;=CL27, "Pass", "Fail"), "")</f>
        <v/>
      </c>
      <c r="CM29" s="865"/>
      <c r="CN29" s="865"/>
      <c r="CO29" s="553" t="str">
        <f>IF(AND(ISNUMBER(CO28),ISNUMBER(CO27)), IF(CO28&lt;=CO27, "Pass", "Fail"), "")</f>
        <v/>
      </c>
      <c r="CP29" s="553" t="str">
        <f>IF(AND(ISNUMBER(CP28),ISNUMBER(CP27)), IF(CP28&lt;=CP27, "Pass", "Fail"), "")</f>
        <v/>
      </c>
      <c r="CQ29" s="553" t="str">
        <f>IF(AND(ISNUMBER(CQ28),ISNUMBER(CQ27)), IF(CQ28&lt;=CQ27, "Pass", "Fail"), "")</f>
        <v/>
      </c>
      <c r="CR29" s="865"/>
      <c r="CS29" s="866"/>
      <c r="CT29" s="2276"/>
      <c r="CU29" s="2274"/>
      <c r="CV29" s="2274"/>
      <c r="CW29" s="2274"/>
      <c r="CX29" s="2274"/>
      <c r="CY29" s="2277"/>
      <c r="CZ29" s="2246"/>
    </row>
    <row r="30" spans="1:104" ht="15" customHeight="1" x14ac:dyDescent="0.25">
      <c r="A30" s="545"/>
      <c r="B30" s="336" t="s">
        <v>849</v>
      </c>
      <c r="C30" s="580" t="str">
        <f>IF(AND(ISNUMBER(N30),ISNUMBER(Z30)),SUM(N30,Z30),"")</f>
        <v/>
      </c>
      <c r="D30" s="580" t="str">
        <f>IF(AND(ISNUMBER(O30),ISNUMBER(AA30)),SUM(O30,AA30),"")</f>
        <v/>
      </c>
      <c r="E30" s="580" t="str">
        <f>IF(AND(ISNUMBER(P30),ISNUMBER(AB30)),SUM(P30,AB30),"")</f>
        <v/>
      </c>
      <c r="F30" s="580" t="str">
        <f>IF(AND(ISNUMBER(Q30),ISNUMBER(AC30)),SUM(Q30,AC30),"")</f>
        <v/>
      </c>
      <c r="G30" s="580" t="str">
        <f>IF(AND(ISNUMBER(R30),ISNUMBER(AD30)),SUM(R30,AD30),"")</f>
        <v/>
      </c>
      <c r="H30" s="580" t="str">
        <f t="shared" si="73"/>
        <v/>
      </c>
      <c r="I30" s="580" t="str">
        <f>IF(AND(ISNUMBER(T30),ISNUMBER(AF30)),SUM(T30,AF30),"")</f>
        <v/>
      </c>
      <c r="J30" s="580" t="str">
        <f>IF(AND(ISNUMBER(U30),ISNUMBER(AG30)),SUM(U30,AG30),"")</f>
        <v/>
      </c>
      <c r="K30" s="580" t="str">
        <f>IF(AND(ISNUMBER(V30),ISNUMBER(AH30)),SUM(V30,AH30),"")</f>
        <v/>
      </c>
      <c r="L30" s="580" t="str">
        <f>IF(AND(ISNUMBER(W30),ISNUMBER(AI30)),SUM(W30,AI30),"")</f>
        <v/>
      </c>
      <c r="M30" s="580" t="str">
        <f>IF(AND(ISNUMBER(X30),ISNUMBER(AJ30)),SUM(X30,AJ30),"")</f>
        <v/>
      </c>
      <c r="N30" s="318"/>
      <c r="O30" s="318"/>
      <c r="P30" s="318"/>
      <c r="Q30" s="318"/>
      <c r="R30" s="208"/>
      <c r="S30" s="580" t="str">
        <f t="shared" si="54"/>
        <v/>
      </c>
      <c r="T30" s="481"/>
      <c r="U30" s="318"/>
      <c r="V30" s="208"/>
      <c r="W30" s="580" t="str">
        <f>IF(AND(ISNUMBER(T30),ISNUMBER(U30),ISNUMBER(V30)),SUM(T30:V30), "")</f>
        <v/>
      </c>
      <c r="X30" s="481"/>
      <c r="Y30" s="318"/>
      <c r="Z30" s="318"/>
      <c r="AA30" s="318"/>
      <c r="AB30" s="318"/>
      <c r="AC30" s="318"/>
      <c r="AD30" s="208"/>
      <c r="AE30" s="580" t="str">
        <f t="shared" si="55"/>
        <v/>
      </c>
      <c r="AF30" s="481"/>
      <c r="AG30" s="318"/>
      <c r="AH30" s="208"/>
      <c r="AI30" s="580" t="str">
        <f>IF(AND(ISNUMBER(AF30),ISNUMBER(AG30),ISNUMBER(AH30)),SUM(AF30:AH30), "")</f>
        <v/>
      </c>
      <c r="AJ30" s="481"/>
      <c r="AK30" s="318"/>
      <c r="AL30" s="318"/>
      <c r="AM30" s="318"/>
      <c r="AN30" s="318"/>
      <c r="AO30" s="318"/>
      <c r="AP30" s="580" t="str">
        <f>IF(AND(ISNUMBER(BA30),ISNUMBER(BM30)),SUM(BA30,BM30),"")</f>
        <v/>
      </c>
      <c r="AQ30" s="580" t="str">
        <f>IF(AND(ISNUMBER(BB30),ISNUMBER(BN30)),SUM(BB30,BN30),"")</f>
        <v/>
      </c>
      <c r="AR30" s="580" t="str">
        <f>IF(AND(ISNUMBER(BC30),ISNUMBER(BO30)),SUM(BC30,BO30),"")</f>
        <v/>
      </c>
      <c r="AS30" s="580" t="str">
        <f>IF(AND(ISNUMBER(BD30),ISNUMBER(BP30)),SUM(BD30,BP30),"")</f>
        <v/>
      </c>
      <c r="AT30" s="580" t="str">
        <f>IF(AND(ISNUMBER(BE30),ISNUMBER(BQ30)),SUM(BE30,BQ30),"")</f>
        <v/>
      </c>
      <c r="AU30" s="580" t="str">
        <f>IF(AND(ISNUMBER(AP30),ISNUMBER(AQ30),ISNUMBER(AT30)),SUM(AP30,AQ30,AT30),"")</f>
        <v/>
      </c>
      <c r="AV30" s="580" t="str">
        <f>IF(AND(ISNUMBER(BG30),ISNUMBER(BS30)),SUM(BG30,BS30),"")</f>
        <v/>
      </c>
      <c r="AW30" s="580" t="str">
        <f>IF(AND(ISNUMBER(BH30),ISNUMBER(BT30)),SUM(BH30,BT30),"")</f>
        <v/>
      </c>
      <c r="AX30" s="580" t="str">
        <f>IF(AND(ISNUMBER(BI30),ISNUMBER(BU30)),SUM(BI30,BU30),"")</f>
        <v/>
      </c>
      <c r="AY30" s="580" t="str">
        <f>IF(AND(ISNUMBER(BJ30),ISNUMBER(BV30)),SUM(BJ30,BV30),"")</f>
        <v/>
      </c>
      <c r="AZ30" s="580" t="str">
        <f>IF(AND(ISNUMBER(BK30),ISNUMBER(BW30)),SUM(BK30,BW30),"")</f>
        <v/>
      </c>
      <c r="BA30" s="318"/>
      <c r="BB30" s="318"/>
      <c r="BC30" s="318"/>
      <c r="BD30" s="318"/>
      <c r="BE30" s="208"/>
      <c r="BF30" s="580" t="str">
        <f>IF(AND(ISNUMBER(BA30), ISNUMBER(BB30), ISNUMBER(BE30)), SUM(BA30,BB30,BE30), "")</f>
        <v/>
      </c>
      <c r="BG30" s="481"/>
      <c r="BH30" s="318"/>
      <c r="BI30" s="318"/>
      <c r="BJ30" s="580" t="str">
        <f>IF(AND(ISNUMBER(BG30),ISNUMBER(BH30),ISNUMBER(BI30)),SUM(BG30:BI30), "")</f>
        <v/>
      </c>
      <c r="BK30" s="318"/>
      <c r="BL30" s="318"/>
      <c r="BM30" s="318"/>
      <c r="BN30" s="318"/>
      <c r="BO30" s="318"/>
      <c r="BP30" s="318"/>
      <c r="BQ30" s="208"/>
      <c r="BR30" s="580" t="str">
        <f>IF(AND(ISNUMBER(BM30), ISNUMBER(BN30), ISNUMBER(BQ30)), SUM(BM30,BN30,BQ30), "")</f>
        <v/>
      </c>
      <c r="BS30" s="481"/>
      <c r="BT30" s="318"/>
      <c r="BU30" s="318"/>
      <c r="BV30" s="580" t="str">
        <f>IF(AND(ISNUMBER(BS30),ISNUMBER(BT30),ISNUMBER(BU30)),SUM(BS30:BU30), "")</f>
        <v/>
      </c>
      <c r="BW30" s="318"/>
      <c r="BX30" s="318"/>
      <c r="BY30" s="318"/>
      <c r="BZ30" s="318"/>
      <c r="CA30" s="318"/>
      <c r="CB30" s="318"/>
      <c r="CC30" s="318"/>
      <c r="CD30" s="318"/>
      <c r="CE30" s="580" t="str">
        <f>IF($C$7="No", 0, IF(AND(ISNUMBER(BZ30),ISNUMBER(CA30),ISNUMBER(CD30)),SUM(BZ30,CA30,CD30),""))</f>
        <v/>
      </c>
      <c r="CF30" s="318"/>
      <c r="CG30" s="318"/>
      <c r="CH30" s="318"/>
      <c r="CI30" s="209" t="str">
        <f>IF($C$7="No", 0, IF(AND(ISNUMBER(CF30), ISNUMBER(CG30), ISNUMBER(CH30)), SUM(CF30:CH30), ""))</f>
        <v/>
      </c>
      <c r="CJ30" s="907" t="str">
        <f>IF(AND(ISNUMBER(CE30), ISNUMBER(CI30)), IF(CE30&lt;&gt;0, CI30/CE30, ""), "")</f>
        <v/>
      </c>
      <c r="CK30" s="502"/>
      <c r="CL30" s="318"/>
      <c r="CM30" s="318"/>
      <c r="CN30" s="318"/>
      <c r="CO30" s="318"/>
      <c r="CP30" s="318"/>
      <c r="CQ30" s="318"/>
      <c r="CR30" s="553" t="str">
        <f>IF(AND(ISNUMBER(CO30), ISNUMBER(AU30), ISNUMBER(CE30)), IF(CO30&gt;= 0.85 * (AU30+CE30), "Pass", "please check"),"")</f>
        <v/>
      </c>
      <c r="CS30" s="701" t="str">
        <f>IF(AND(ISNUMBER(AL30),ISNUMBER(AM30),ISNUMBER(AN30),ISNUMBER(AO30),ISNUMBER(AY30), ISNUMBER(AZ30), ISNUMBER(CQ30), ISNUMBER(CI30)), IF(CQ30&gt;=(AY30+12.5*MAX(0,AZ30-(AL30+AM30+AN30+AO30))+CI30), "Pass", "please check"), "")</f>
        <v/>
      </c>
      <c r="CT30" s="1928" t="str">
        <f>IF(AND(OR('General Info'!$C$19="Yes",'General Info'!$D$19="Yes"),ISNUMBER(CO30),ISNUMBER(CP30),ISNUMBER(CU30)),CO30-CP30+CU30,"")</f>
        <v/>
      </c>
      <c r="CU30" s="318"/>
      <c r="CV30" s="318"/>
      <c r="CW30" s="2293" t="str">
        <f>IF(AND(OR('General Info'!$C$19="Yes",'General Info'!$D$19="Yes"),ISNUMBER(AU30),ISNUMBER(CE30)),SUM(AU30,CE30),"")</f>
        <v/>
      </c>
      <c r="CX30" s="2293" t="str">
        <f>IF(AND(OR('General Info'!$C$19="Yes",'General Info'!$D$19="Yes"),ISNUMBER(AQ30),ISNUMBER(CA30)),SUM(AQ30,CA30),"")</f>
        <v/>
      </c>
      <c r="CY30" s="208"/>
      <c r="CZ30" s="2246"/>
    </row>
    <row r="31" spans="1:104" ht="15" customHeight="1" x14ac:dyDescent="0.25">
      <c r="A31" s="545"/>
      <c r="B31" s="615" t="s">
        <v>846</v>
      </c>
      <c r="C31" s="580" t="str">
        <f t="shared" ref="C31:G31" si="108">IF(ISNUMBER(Z31), Z31, "")</f>
        <v/>
      </c>
      <c r="D31" s="580" t="str">
        <f t="shared" si="108"/>
        <v/>
      </c>
      <c r="E31" s="580" t="str">
        <f t="shared" si="108"/>
        <v/>
      </c>
      <c r="F31" s="580" t="str">
        <f t="shared" si="108"/>
        <v/>
      </c>
      <c r="G31" s="580" t="str">
        <f t="shared" si="108"/>
        <v/>
      </c>
      <c r="H31" s="580" t="str">
        <f>IF(AND(ISNUMBER(C31),ISNUMBER(D31),ISNUMBER(G31)),SUM(C31,D31,G31),"")</f>
        <v/>
      </c>
      <c r="I31" s="580" t="str">
        <f>IF(ISNUMBER(AF31), AF31, "")</f>
        <v/>
      </c>
      <c r="J31" s="580" t="str">
        <f>IF(ISNUMBER(AG31), AG31, "")</f>
        <v/>
      </c>
      <c r="K31" s="580" t="str">
        <f>IF(ISNUMBER(AH31), AH31, "")</f>
        <v/>
      </c>
      <c r="L31" s="580" t="str">
        <f>IF(ISNUMBER(AI31), AI31, "")</f>
        <v/>
      </c>
      <c r="M31" s="580" t="str">
        <f>IF(ISNUMBER(AJ31), AJ31, "")</f>
        <v/>
      </c>
      <c r="N31" s="480"/>
      <c r="O31" s="480"/>
      <c r="P31" s="480"/>
      <c r="Q31" s="480"/>
      <c r="R31" s="480"/>
      <c r="S31" s="781"/>
      <c r="T31" s="480"/>
      <c r="U31" s="480"/>
      <c r="V31" s="480"/>
      <c r="W31" s="781"/>
      <c r="X31" s="480"/>
      <c r="Y31" s="480"/>
      <c r="Z31" s="792"/>
      <c r="AA31" s="792"/>
      <c r="AB31" s="792"/>
      <c r="AC31" s="792"/>
      <c r="AD31" s="798"/>
      <c r="AE31" s="580" t="str">
        <f t="shared" si="55"/>
        <v/>
      </c>
      <c r="AF31" s="797"/>
      <c r="AG31" s="792"/>
      <c r="AH31" s="798"/>
      <c r="AI31" s="580" t="str">
        <f>IF(AND(ISNUMBER(AF31),ISNUMBER(AG31),ISNUMBER(AH31)),SUM(AF31:AH31), "")</f>
        <v/>
      </c>
      <c r="AJ31" s="797"/>
      <c r="AK31" s="792"/>
      <c r="AL31" s="480"/>
      <c r="AM31" s="480"/>
      <c r="AN31" s="480"/>
      <c r="AO31" s="480"/>
      <c r="AP31" s="580" t="str">
        <f t="shared" ref="AP31:AT31" si="109">IF(ISNUMBER(BM31),BM31,"")</f>
        <v/>
      </c>
      <c r="AQ31" s="580" t="str">
        <f t="shared" si="109"/>
        <v/>
      </c>
      <c r="AR31" s="580" t="str">
        <f t="shared" si="109"/>
        <v/>
      </c>
      <c r="AS31" s="580" t="str">
        <f t="shared" si="109"/>
        <v/>
      </c>
      <c r="AT31" s="580" t="str">
        <f t="shared" si="109"/>
        <v/>
      </c>
      <c r="AU31" s="580" t="str">
        <f>IF(AND(ISNUMBER(AP31),ISNUMBER(AQ31),ISNUMBER(AT31)),SUM(AP31,AQ31,AT31),"")</f>
        <v/>
      </c>
      <c r="AV31" s="580" t="str">
        <f t="shared" ref="AV31:AZ31" si="110">IF(ISNUMBER(BS31),BS31,"")</f>
        <v/>
      </c>
      <c r="AW31" s="580" t="str">
        <f t="shared" si="110"/>
        <v/>
      </c>
      <c r="AX31" s="580" t="str">
        <f t="shared" si="110"/>
        <v/>
      </c>
      <c r="AY31" s="580" t="str">
        <f t="shared" si="110"/>
        <v/>
      </c>
      <c r="AZ31" s="580" t="str">
        <f t="shared" si="110"/>
        <v/>
      </c>
      <c r="BA31" s="480"/>
      <c r="BB31" s="480"/>
      <c r="BC31" s="480"/>
      <c r="BD31" s="480"/>
      <c r="BE31" s="480"/>
      <c r="BF31" s="781"/>
      <c r="BG31" s="480"/>
      <c r="BH31" s="480"/>
      <c r="BI31" s="480"/>
      <c r="BJ31" s="480"/>
      <c r="BK31" s="480"/>
      <c r="BL31" s="480"/>
      <c r="BM31" s="792"/>
      <c r="BN31" s="792"/>
      <c r="BO31" s="792"/>
      <c r="BP31" s="792"/>
      <c r="BQ31" s="798"/>
      <c r="BR31" s="580" t="str">
        <f>IF(AND(ISNUMBER(BM31), ISNUMBER(BN31), ISNUMBER(BQ31)), SUM(BM31,BN31,BQ31), "")</f>
        <v/>
      </c>
      <c r="BS31" s="797"/>
      <c r="BT31" s="792"/>
      <c r="BU31" s="792"/>
      <c r="BV31" s="580" t="str">
        <f>IF(AND(ISNUMBER(BS31),ISNUMBER(BT31),ISNUMBER(BU31)),SUM(BS31:BU31), "")</f>
        <v/>
      </c>
      <c r="BW31" s="792"/>
      <c r="BX31" s="792"/>
      <c r="BY31" s="480"/>
      <c r="BZ31" s="480"/>
      <c r="CA31" s="480"/>
      <c r="CB31" s="480"/>
      <c r="CC31" s="480"/>
      <c r="CD31" s="480"/>
      <c r="CE31" s="480"/>
      <c r="CF31" s="480"/>
      <c r="CG31" s="480"/>
      <c r="CH31" s="480"/>
      <c r="CI31" s="499"/>
      <c r="CJ31" s="480"/>
      <c r="CK31" s="502"/>
      <c r="CL31" s="792"/>
      <c r="CM31" s="792"/>
      <c r="CN31" s="792"/>
      <c r="CO31" s="792"/>
      <c r="CP31" s="792"/>
      <c r="CQ31" s="792"/>
      <c r="CR31" s="553" t="str">
        <f>IF(AND(ISNUMBER(CO31), ISNUMBER(AU31)), IF(CO31&gt;=AU31, "Pass", "please check"),"")</f>
        <v/>
      </c>
      <c r="CS31" s="701" t="str">
        <f>IF(AND(ISNUMBER(AY31), ISNUMBER(CQ31)), IF(CQ31&gt;=AY31, "Pass", "please check"), "")</f>
        <v/>
      </c>
      <c r="CT31" s="2276"/>
      <c r="CU31" s="2274"/>
      <c r="CV31" s="2274"/>
      <c r="CW31" s="2274"/>
      <c r="CX31" s="2274"/>
      <c r="CY31" s="2277"/>
      <c r="CZ31" s="2246"/>
    </row>
    <row r="32" spans="1:104" ht="15" customHeight="1" x14ac:dyDescent="0.25">
      <c r="A32" s="545"/>
      <c r="B32" s="508" t="str">
        <f>"Check: row " &amp; ROW(B31) &amp; " ≤ row " &amp; ROW(B30)</f>
        <v>Check: row 31 ≤ row 30</v>
      </c>
      <c r="C32" s="853"/>
      <c r="D32" s="853"/>
      <c r="E32" s="853"/>
      <c r="F32" s="853"/>
      <c r="G32" s="853"/>
      <c r="H32" s="853"/>
      <c r="I32" s="853"/>
      <c r="J32" s="853"/>
      <c r="K32" s="853"/>
      <c r="L32" s="853"/>
      <c r="M32" s="853"/>
      <c r="N32" s="480"/>
      <c r="O32" s="480"/>
      <c r="P32" s="480"/>
      <c r="Q32" s="480"/>
      <c r="R32" s="480"/>
      <c r="S32" s="491"/>
      <c r="T32" s="480"/>
      <c r="U32" s="480"/>
      <c r="V32" s="480"/>
      <c r="W32" s="491"/>
      <c r="X32" s="480"/>
      <c r="Y32" s="480"/>
      <c r="Z32" s="553" t="str">
        <f t="shared" ref="Z32" si="111">IF(AND(ISNUMBER(Z31),ISNUMBER(Z30)), IF(Z31&lt;=Z30, "Pass", "Fail"), "")</f>
        <v/>
      </c>
      <c r="AA32" s="553" t="str">
        <f t="shared" ref="AA32" si="112">IF(AND(ISNUMBER(AA31),ISNUMBER(AA30)), IF(AA31&lt;=AA30, "Pass", "Fail"), "")</f>
        <v/>
      </c>
      <c r="AB32" s="553" t="str">
        <f t="shared" ref="AB32" si="113">IF(AND(ISNUMBER(AB31),ISNUMBER(AB30)), IF(AB31&lt;=AB30, "Pass", "Fail"), "")</f>
        <v/>
      </c>
      <c r="AC32" s="553" t="str">
        <f t="shared" ref="AC32" si="114">IF(AND(ISNUMBER(AC31),ISNUMBER(AC30)), IF(AC31&lt;=AC30, "Pass", "Fail"), "")</f>
        <v/>
      </c>
      <c r="AD32" s="701" t="str">
        <f t="shared" ref="AD32" si="115">IF(AND(ISNUMBER(AD31),ISNUMBER(AD30)), IF(AD31&lt;=AD30, "Pass", "Fail"), "")</f>
        <v/>
      </c>
      <c r="AE32" s="853"/>
      <c r="AF32" s="553" t="str">
        <f t="shared" ref="AF32" si="116">IF(AND(ISNUMBER(AF31),ISNUMBER(AF30)), IF(AF31&lt;=AF30, "Pass", "Fail"), "")</f>
        <v/>
      </c>
      <c r="AG32" s="553" t="str">
        <f t="shared" ref="AG32" si="117">IF(AND(ISNUMBER(AG31),ISNUMBER(AG30)), IF(AG31&lt;=AG30, "Pass", "Fail"), "")</f>
        <v/>
      </c>
      <c r="AH32" s="553" t="str">
        <f t="shared" ref="AH32" si="118">IF(AND(ISNUMBER(AH31),ISNUMBER(AH30)), IF(AH31&lt;=AH30, "Pass", "Fail"), "")</f>
        <v/>
      </c>
      <c r="AI32" s="853"/>
      <c r="AJ32" s="553" t="str">
        <f t="shared" ref="AJ32" si="119">IF(AND(ISNUMBER(AJ31),ISNUMBER(AJ30)), IF(AJ31&lt;=AJ30, "Pass", "Fail"), "")</f>
        <v/>
      </c>
      <c r="AK32" s="553" t="str">
        <f t="shared" ref="AK32" si="120">IF(AND(ISNUMBER(AK31),ISNUMBER(AK30)), IF(AK31&lt;=AK30, "Pass", "Fail"), "")</f>
        <v/>
      </c>
      <c r="AL32" s="480"/>
      <c r="AM32" s="480"/>
      <c r="AN32" s="480"/>
      <c r="AO32" s="480"/>
      <c r="AP32" s="853"/>
      <c r="AQ32" s="853"/>
      <c r="AR32" s="853"/>
      <c r="AS32" s="853"/>
      <c r="AT32" s="853"/>
      <c r="AU32" s="853"/>
      <c r="AV32" s="853"/>
      <c r="AW32" s="853"/>
      <c r="AX32" s="853"/>
      <c r="AY32" s="853"/>
      <c r="AZ32" s="853"/>
      <c r="BA32" s="480"/>
      <c r="BB32" s="480"/>
      <c r="BC32" s="480"/>
      <c r="BD32" s="480"/>
      <c r="BE32" s="480"/>
      <c r="BF32" s="491"/>
      <c r="BG32" s="480"/>
      <c r="BH32" s="480"/>
      <c r="BI32" s="480"/>
      <c r="BJ32" s="480"/>
      <c r="BK32" s="480"/>
      <c r="BL32" s="480"/>
      <c r="BM32" s="553" t="str">
        <f t="shared" ref="BM32:BQ32" si="121">IF(AND(ISNUMBER(BM31),ISNUMBER(BM30)), IF(BM31&lt;=BM30, "Pass", "Fail"), "")</f>
        <v/>
      </c>
      <c r="BN32" s="553" t="str">
        <f t="shared" si="121"/>
        <v/>
      </c>
      <c r="BO32" s="553" t="str">
        <f t="shared" si="121"/>
        <v/>
      </c>
      <c r="BP32" s="553" t="str">
        <f t="shared" si="121"/>
        <v/>
      </c>
      <c r="BQ32" s="553" t="str">
        <f t="shared" si="121"/>
        <v/>
      </c>
      <c r="BR32" s="853"/>
      <c r="BS32" s="553" t="str">
        <f t="shared" ref="BS32" si="122">IF(AND(ISNUMBER(BS31),ISNUMBER(BS30)), IF(BS31&lt;=BS30, "Pass", "Fail"), "")</f>
        <v/>
      </c>
      <c r="BT32" s="553" t="str">
        <f t="shared" ref="BT32:BU32" si="123">IF(AND(ISNUMBER(BT31),ISNUMBER(BT30)), IF(BT31&lt;=BT30, "Pass", "Fail"), "")</f>
        <v/>
      </c>
      <c r="BU32" s="553" t="str">
        <f t="shared" si="123"/>
        <v/>
      </c>
      <c r="BV32" s="480"/>
      <c r="BW32" s="553" t="str">
        <f t="shared" ref="BW32:BX32" si="124">IF(AND(ISNUMBER(BW31),ISNUMBER(BW30)), IF(BW31&lt;=BW30, "Pass", "Fail"), "")</f>
        <v/>
      </c>
      <c r="BX32" s="553" t="str">
        <f t="shared" si="124"/>
        <v/>
      </c>
      <c r="BY32" s="480"/>
      <c r="BZ32" s="480"/>
      <c r="CA32" s="480"/>
      <c r="CB32" s="480"/>
      <c r="CC32" s="480"/>
      <c r="CD32" s="480"/>
      <c r="CE32" s="480"/>
      <c r="CF32" s="480"/>
      <c r="CG32" s="480"/>
      <c r="CH32" s="480"/>
      <c r="CI32" s="499"/>
      <c r="CJ32" s="480"/>
      <c r="CK32" s="502"/>
      <c r="CL32" s="553" t="str">
        <f>IF(AND(ISNUMBER(CL31),ISNUMBER(CL30)), IF(CL31&lt;=CL30, "Pass", "Fail"), "")</f>
        <v/>
      </c>
      <c r="CM32" s="865"/>
      <c r="CN32" s="865"/>
      <c r="CO32" s="553" t="str">
        <f>IF(AND(ISNUMBER(CO31),ISNUMBER(CO30)), IF(CO31&lt;=CO30, "Pass", "Fail"), "")</f>
        <v/>
      </c>
      <c r="CP32" s="553" t="str">
        <f>IF(AND(ISNUMBER(CP31),ISNUMBER(CP30)), IF(CP31&lt;=CP30, "Pass", "Fail"), "")</f>
        <v/>
      </c>
      <c r="CQ32" s="553" t="str">
        <f>IF(AND(ISNUMBER(CQ31),ISNUMBER(CQ30)), IF(CQ31&lt;=CQ30, "Pass", "Fail"), "")</f>
        <v/>
      </c>
      <c r="CR32" s="865"/>
      <c r="CS32" s="866"/>
      <c r="CT32" s="2276"/>
      <c r="CU32" s="2274"/>
      <c r="CV32" s="2274"/>
      <c r="CW32" s="2274"/>
      <c r="CX32" s="2274"/>
      <c r="CY32" s="2277"/>
      <c r="CZ32" s="2246"/>
    </row>
    <row r="33" spans="1:104" ht="15" customHeight="1" x14ac:dyDescent="0.25">
      <c r="A33" s="545"/>
      <c r="B33" s="336" t="s">
        <v>888</v>
      </c>
      <c r="C33" s="580" t="str">
        <f>IF(AND(ISNUMBER(N33),ISNUMBER(Z33)),SUM(N33,Z33),"")</f>
        <v/>
      </c>
      <c r="D33" s="580" t="str">
        <f>IF(AND(ISNUMBER(O33),ISNUMBER(AA33)),SUM(O33,AA33),"")</f>
        <v/>
      </c>
      <c r="E33" s="580" t="str">
        <f>IF(AND(ISNUMBER(P33),ISNUMBER(AB33)),SUM(P33,AB33),"")</f>
        <v/>
      </c>
      <c r="F33" s="580" t="str">
        <f>IF(AND(ISNUMBER(Q33),ISNUMBER(AC33)),SUM(Q33,AC33),"")</f>
        <v/>
      </c>
      <c r="G33" s="580" t="str">
        <f>IF(AND(ISNUMBER(R33),ISNUMBER(AD33)),SUM(R33,AD33),"")</f>
        <v/>
      </c>
      <c r="H33" s="580" t="str">
        <f t="shared" si="73"/>
        <v/>
      </c>
      <c r="I33" s="580" t="str">
        <f>IF(AND(ISNUMBER(T33),ISNUMBER(AF33)),SUM(T33,AF33),"")</f>
        <v/>
      </c>
      <c r="J33" s="580" t="str">
        <f>IF(AND(ISNUMBER(U33),ISNUMBER(AG33)),SUM(U33,AG33),"")</f>
        <v/>
      </c>
      <c r="K33" s="580" t="str">
        <f>IF(AND(ISNUMBER(V33),ISNUMBER(AH33)),SUM(V33,AH33),"")</f>
        <v/>
      </c>
      <c r="L33" s="580" t="str">
        <f>IF(AND(ISNUMBER(W33),ISNUMBER(AI33)),SUM(W33,AI33),"")</f>
        <v/>
      </c>
      <c r="M33" s="580" t="str">
        <f>IF(AND(ISNUMBER(X33),ISNUMBER(AJ33)),SUM(X33,AJ33),"")</f>
        <v/>
      </c>
      <c r="N33" s="318"/>
      <c r="O33" s="318"/>
      <c r="P33" s="318"/>
      <c r="Q33" s="318"/>
      <c r="R33" s="208"/>
      <c r="S33" s="580" t="str">
        <f t="shared" si="54"/>
        <v/>
      </c>
      <c r="T33" s="481"/>
      <c r="U33" s="318"/>
      <c r="V33" s="208"/>
      <c r="W33" s="580" t="str">
        <f>IF(AND(ISNUMBER(T33),ISNUMBER(U33),ISNUMBER(V33)),SUM(T33:V33), "")</f>
        <v/>
      </c>
      <c r="X33" s="481"/>
      <c r="Y33" s="318"/>
      <c r="Z33" s="318"/>
      <c r="AA33" s="318"/>
      <c r="AB33" s="318"/>
      <c r="AC33" s="318"/>
      <c r="AD33" s="208"/>
      <c r="AE33" s="580" t="str">
        <f t="shared" si="55"/>
        <v/>
      </c>
      <c r="AF33" s="481"/>
      <c r="AG33" s="318"/>
      <c r="AH33" s="208"/>
      <c r="AI33" s="580" t="str">
        <f>IF(AND(ISNUMBER(AF33),ISNUMBER(AG33),ISNUMBER(AH33)),SUM(AF33:AH33), "")</f>
        <v/>
      </c>
      <c r="AJ33" s="481"/>
      <c r="AK33" s="318"/>
      <c r="AL33" s="318"/>
      <c r="AM33" s="318"/>
      <c r="AN33" s="318"/>
      <c r="AO33" s="318"/>
      <c r="AP33" s="580" t="str">
        <f>IF(AND(ISNUMBER(BA33),ISNUMBER(BM33)),SUM(BA33,BM33),"")</f>
        <v/>
      </c>
      <c r="AQ33" s="580" t="str">
        <f>IF(AND(ISNUMBER(BB33),ISNUMBER(BN33)),SUM(BB33,BN33),"")</f>
        <v/>
      </c>
      <c r="AR33" s="580" t="str">
        <f>IF(AND(ISNUMBER(BC33),ISNUMBER(BO33)),SUM(BC33,BO33),"")</f>
        <v/>
      </c>
      <c r="AS33" s="580" t="str">
        <f>IF(AND(ISNUMBER(BD33),ISNUMBER(BP33)),SUM(BD33,BP33),"")</f>
        <v/>
      </c>
      <c r="AT33" s="580" t="str">
        <f>IF(AND(ISNUMBER(BE33),ISNUMBER(BQ33)),SUM(BE33,BQ33),"")</f>
        <v/>
      </c>
      <c r="AU33" s="580" t="str">
        <f>IF(AND(ISNUMBER(AP33),ISNUMBER(AQ33),ISNUMBER(AT33)),SUM(AP33,AQ33,AT33),"")</f>
        <v/>
      </c>
      <c r="AV33" s="580" t="str">
        <f>IF(AND(ISNUMBER(BG33),ISNUMBER(BS33)),SUM(BG33,BS33),"")</f>
        <v/>
      </c>
      <c r="AW33" s="580" t="str">
        <f>IF(AND(ISNUMBER(BH33),ISNUMBER(BT33)),SUM(BH33,BT33),"")</f>
        <v/>
      </c>
      <c r="AX33" s="580" t="str">
        <f>IF(AND(ISNUMBER(BI33),ISNUMBER(BU33)),SUM(BI33,BU33),"")</f>
        <v/>
      </c>
      <c r="AY33" s="580" t="str">
        <f>IF(AND(ISNUMBER(BJ33),ISNUMBER(BV33)),SUM(BJ33,BV33),"")</f>
        <v/>
      </c>
      <c r="AZ33" s="580" t="str">
        <f>IF(AND(ISNUMBER(BK33),ISNUMBER(BW33)),SUM(BK33,BW33),"")</f>
        <v/>
      </c>
      <c r="BA33" s="318"/>
      <c r="BB33" s="318"/>
      <c r="BC33" s="318"/>
      <c r="BD33" s="318"/>
      <c r="BE33" s="208"/>
      <c r="BF33" s="580" t="str">
        <f>IF(AND(ISNUMBER(BA33), ISNUMBER(BB33), ISNUMBER(BE33)), SUM(BA33,BB33,BE33), "")</f>
        <v/>
      </c>
      <c r="BG33" s="481"/>
      <c r="BH33" s="318"/>
      <c r="BI33" s="318"/>
      <c r="BJ33" s="580" t="str">
        <f>IF(AND(ISNUMBER(BG33),ISNUMBER(BH33),ISNUMBER(BI33)),SUM(BG33:BI33), "")</f>
        <v/>
      </c>
      <c r="BK33" s="318"/>
      <c r="BL33" s="318"/>
      <c r="BM33" s="318"/>
      <c r="BN33" s="318"/>
      <c r="BO33" s="318"/>
      <c r="BP33" s="318"/>
      <c r="BQ33" s="208"/>
      <c r="BR33" s="580" t="str">
        <f>IF(AND(ISNUMBER(BM33), ISNUMBER(BN33), ISNUMBER(BQ33)), SUM(BM33,BN33,BQ33), "")</f>
        <v/>
      </c>
      <c r="BS33" s="481"/>
      <c r="BT33" s="318"/>
      <c r="BU33" s="318"/>
      <c r="BV33" s="580" t="str">
        <f>IF(AND(ISNUMBER(BS33),ISNUMBER(BT33),ISNUMBER(BU33)),SUM(BS33:BU33), "")</f>
        <v/>
      </c>
      <c r="BW33" s="318"/>
      <c r="BX33" s="318"/>
      <c r="BY33" s="318"/>
      <c r="BZ33" s="318"/>
      <c r="CA33" s="318"/>
      <c r="CB33" s="318"/>
      <c r="CC33" s="318"/>
      <c r="CD33" s="318"/>
      <c r="CE33" s="580" t="str">
        <f>IF($C$7="No", 0, IF(AND(ISNUMBER(BZ33),ISNUMBER(CA33),ISNUMBER(CD33)),SUM(BZ33,CA33,CD33),""))</f>
        <v/>
      </c>
      <c r="CF33" s="318"/>
      <c r="CG33" s="318"/>
      <c r="CH33" s="318"/>
      <c r="CI33" s="209" t="str">
        <f>IF($C$7="No", 0, IF(AND(ISNUMBER(CF33), ISNUMBER(CG33), ISNUMBER(CH33)), SUM(CF33:CH33), ""))</f>
        <v/>
      </c>
      <c r="CJ33" s="907" t="str">
        <f>IF(AND(ISNUMBER(CE33), ISNUMBER(CI33)), IF(CE33&lt;&gt;0, CI33/CE33, ""), "")</f>
        <v/>
      </c>
      <c r="CK33" s="502"/>
      <c r="CL33" s="318"/>
      <c r="CM33" s="318"/>
      <c r="CN33" s="318"/>
      <c r="CO33" s="318"/>
      <c r="CP33" s="318"/>
      <c r="CQ33" s="318"/>
      <c r="CR33" s="553" t="str">
        <f>IF(AND(ISNUMBER(CO33), ISNUMBER(AU33), ISNUMBER(CE33)), IF(CO33&gt;= 0.85 * (AU33+CE33), "Pass", "please check"),"")</f>
        <v/>
      </c>
      <c r="CS33" s="701" t="str">
        <f>IF(AND(ISNUMBER(AL33),ISNUMBER(AM33),ISNUMBER(AN33),ISNUMBER(AO33),ISNUMBER(AY33), ISNUMBER(AZ33), ISNUMBER(CQ33), ISNUMBER(CI33)), IF(CQ33&gt;=(AY33+12.5*MAX(0,AZ33-(AL33+AM33+AN33+AO33))+CI33), "Pass", "please check"), "")</f>
        <v/>
      </c>
      <c r="CT33" s="1928" t="str">
        <f>IF(AND(OR('General Info'!$C$19="Yes",'General Info'!$D$19="Yes"),ISNUMBER(CO33),ISNUMBER(CP33),ISNUMBER(CU33)),CO33-CP33+CU33,"")</f>
        <v/>
      </c>
      <c r="CU33" s="318"/>
      <c r="CV33" s="318"/>
      <c r="CW33" s="2293" t="str">
        <f>IF(AND(OR('General Info'!$C$19="Yes",'General Info'!$D$19="Yes"),ISNUMBER(AU33),ISNUMBER(CE33)),SUM(AU33,CE33),"")</f>
        <v/>
      </c>
      <c r="CX33" s="2293" t="str">
        <f>IF(AND(OR('General Info'!$C$19="Yes",'General Info'!$D$19="Yes"),ISNUMBER(AQ33),ISNUMBER(CA33)),SUM(AQ33,CA33),"")</f>
        <v/>
      </c>
      <c r="CY33" s="208"/>
      <c r="CZ33" s="2246"/>
    </row>
    <row r="34" spans="1:104" ht="15" customHeight="1" x14ac:dyDescent="0.25">
      <c r="A34" s="545"/>
      <c r="B34" s="615" t="s">
        <v>846</v>
      </c>
      <c r="C34" s="580" t="str">
        <f t="shared" ref="C34:G34" si="125">IF(ISNUMBER(Z34), Z34, "")</f>
        <v/>
      </c>
      <c r="D34" s="580" t="str">
        <f t="shared" si="125"/>
        <v/>
      </c>
      <c r="E34" s="580" t="str">
        <f t="shared" si="125"/>
        <v/>
      </c>
      <c r="F34" s="580" t="str">
        <f t="shared" si="125"/>
        <v/>
      </c>
      <c r="G34" s="580" t="str">
        <f t="shared" si="125"/>
        <v/>
      </c>
      <c r="H34" s="580" t="str">
        <f>IF(AND(ISNUMBER(C34),ISNUMBER(D34),ISNUMBER(G34)),SUM(C34,D34,G34),"")</f>
        <v/>
      </c>
      <c r="I34" s="580" t="str">
        <f>IF(ISNUMBER(AF34), AF34, "")</f>
        <v/>
      </c>
      <c r="J34" s="580" t="str">
        <f>IF(ISNUMBER(AG34), AG34, "")</f>
        <v/>
      </c>
      <c r="K34" s="580" t="str">
        <f>IF(ISNUMBER(AH34), AH34, "")</f>
        <v/>
      </c>
      <c r="L34" s="580" t="str">
        <f>IF(ISNUMBER(AI34), AI34, "")</f>
        <v/>
      </c>
      <c r="M34" s="580" t="str">
        <f>IF(ISNUMBER(AJ34), AJ34, "")</f>
        <v/>
      </c>
      <c r="N34" s="480"/>
      <c r="O34" s="480"/>
      <c r="P34" s="480"/>
      <c r="Q34" s="480"/>
      <c r="R34" s="480"/>
      <c r="S34" s="781"/>
      <c r="T34" s="480"/>
      <c r="U34" s="480"/>
      <c r="V34" s="480"/>
      <c r="W34" s="781"/>
      <c r="X34" s="480"/>
      <c r="Y34" s="480"/>
      <c r="Z34" s="792"/>
      <c r="AA34" s="792"/>
      <c r="AB34" s="792"/>
      <c r="AC34" s="792"/>
      <c r="AD34" s="798"/>
      <c r="AE34" s="580" t="str">
        <f t="shared" si="55"/>
        <v/>
      </c>
      <c r="AF34" s="797"/>
      <c r="AG34" s="792"/>
      <c r="AH34" s="798"/>
      <c r="AI34" s="580" t="str">
        <f>IF(AND(ISNUMBER(AF34),ISNUMBER(AG34),ISNUMBER(AH34)),SUM(AF34:AH34), "")</f>
        <v/>
      </c>
      <c r="AJ34" s="797"/>
      <c r="AK34" s="792"/>
      <c r="AL34" s="480"/>
      <c r="AM34" s="480"/>
      <c r="AN34" s="480"/>
      <c r="AO34" s="480"/>
      <c r="AP34" s="580" t="str">
        <f t="shared" ref="AP34:AT34" si="126">IF(ISNUMBER(BM34),BM34,"")</f>
        <v/>
      </c>
      <c r="AQ34" s="580" t="str">
        <f t="shared" si="126"/>
        <v/>
      </c>
      <c r="AR34" s="580" t="str">
        <f t="shared" si="126"/>
        <v/>
      </c>
      <c r="AS34" s="580" t="str">
        <f t="shared" si="126"/>
        <v/>
      </c>
      <c r="AT34" s="580" t="str">
        <f t="shared" si="126"/>
        <v/>
      </c>
      <c r="AU34" s="580" t="str">
        <f>IF(AND(ISNUMBER(AP34),ISNUMBER(AQ34),ISNUMBER(AT34)),SUM(AP34,AQ34,AT34),"")</f>
        <v/>
      </c>
      <c r="AV34" s="580" t="str">
        <f t="shared" ref="AV34:AZ34" si="127">IF(ISNUMBER(BS34),BS34,"")</f>
        <v/>
      </c>
      <c r="AW34" s="580" t="str">
        <f t="shared" si="127"/>
        <v/>
      </c>
      <c r="AX34" s="580" t="str">
        <f t="shared" si="127"/>
        <v/>
      </c>
      <c r="AY34" s="580" t="str">
        <f t="shared" si="127"/>
        <v/>
      </c>
      <c r="AZ34" s="580" t="str">
        <f t="shared" si="127"/>
        <v/>
      </c>
      <c r="BA34" s="480"/>
      <c r="BB34" s="480"/>
      <c r="BC34" s="480"/>
      <c r="BD34" s="480"/>
      <c r="BE34" s="480"/>
      <c r="BF34" s="781"/>
      <c r="BG34" s="480"/>
      <c r="BH34" s="480"/>
      <c r="BI34" s="480"/>
      <c r="BJ34" s="480"/>
      <c r="BK34" s="480"/>
      <c r="BL34" s="480"/>
      <c r="BM34" s="792"/>
      <c r="BN34" s="792"/>
      <c r="BO34" s="792"/>
      <c r="BP34" s="792"/>
      <c r="BQ34" s="798"/>
      <c r="BR34" s="580" t="str">
        <f>IF(AND(ISNUMBER(BM34), ISNUMBER(BN34), ISNUMBER(BQ34)), SUM(BM34,BN34,BQ34), "")</f>
        <v/>
      </c>
      <c r="BS34" s="797"/>
      <c r="BT34" s="792"/>
      <c r="BU34" s="792"/>
      <c r="BV34" s="580" t="str">
        <f>IF(AND(ISNUMBER(BS34),ISNUMBER(BT34),ISNUMBER(BU34)),SUM(BS34:BU34), "")</f>
        <v/>
      </c>
      <c r="BW34" s="792"/>
      <c r="BX34" s="792"/>
      <c r="BY34" s="480"/>
      <c r="BZ34" s="480"/>
      <c r="CA34" s="480"/>
      <c r="CB34" s="480"/>
      <c r="CC34" s="480"/>
      <c r="CD34" s="480"/>
      <c r="CE34" s="480"/>
      <c r="CF34" s="480"/>
      <c r="CG34" s="480"/>
      <c r="CH34" s="480"/>
      <c r="CI34" s="499"/>
      <c r="CJ34" s="480"/>
      <c r="CK34" s="502"/>
      <c r="CL34" s="792"/>
      <c r="CM34" s="792"/>
      <c r="CN34" s="792"/>
      <c r="CO34" s="792"/>
      <c r="CP34" s="792"/>
      <c r="CQ34" s="792"/>
      <c r="CR34" s="553" t="str">
        <f>IF(AND(ISNUMBER(CO34), ISNUMBER(AU34)), IF(CO34&gt;=AU34, "Pass", "please check"),"")</f>
        <v/>
      </c>
      <c r="CS34" s="701" t="str">
        <f>IF(AND(ISNUMBER(AY34), ISNUMBER(CQ34)), IF(CQ34&gt;=AY34, "Pass", "please check"), "")</f>
        <v/>
      </c>
      <c r="CT34" s="2276"/>
      <c r="CU34" s="2274"/>
      <c r="CV34" s="2274"/>
      <c r="CW34" s="2274"/>
      <c r="CX34" s="2274"/>
      <c r="CY34" s="2277"/>
      <c r="CZ34" s="2246"/>
    </row>
    <row r="35" spans="1:104" ht="15" customHeight="1" x14ac:dyDescent="0.25">
      <c r="A35" s="545"/>
      <c r="B35" s="508" t="str">
        <f>"Check: row " &amp; ROW(B34) &amp; " ≤ row " &amp; ROW(B33)</f>
        <v>Check: row 34 ≤ row 33</v>
      </c>
      <c r="C35" s="853"/>
      <c r="D35" s="853"/>
      <c r="E35" s="853"/>
      <c r="F35" s="853"/>
      <c r="G35" s="853"/>
      <c r="H35" s="853"/>
      <c r="I35" s="853"/>
      <c r="J35" s="853"/>
      <c r="K35" s="853"/>
      <c r="L35" s="853"/>
      <c r="M35" s="853"/>
      <c r="N35" s="480"/>
      <c r="O35" s="480"/>
      <c r="P35" s="480"/>
      <c r="Q35" s="480"/>
      <c r="R35" s="480"/>
      <c r="S35" s="491"/>
      <c r="T35" s="480"/>
      <c r="U35" s="480"/>
      <c r="V35" s="480"/>
      <c r="W35" s="491"/>
      <c r="X35" s="480"/>
      <c r="Y35" s="480"/>
      <c r="Z35" s="553" t="str">
        <f t="shared" ref="Z35" si="128">IF(AND(ISNUMBER(Z34),ISNUMBER(Z33)), IF(Z34&lt;=Z33, "Pass", "Fail"), "")</f>
        <v/>
      </c>
      <c r="AA35" s="553" t="str">
        <f t="shared" ref="AA35" si="129">IF(AND(ISNUMBER(AA34),ISNUMBER(AA33)), IF(AA34&lt;=AA33, "Pass", "Fail"), "")</f>
        <v/>
      </c>
      <c r="AB35" s="553" t="str">
        <f t="shared" ref="AB35" si="130">IF(AND(ISNUMBER(AB34),ISNUMBER(AB33)), IF(AB34&lt;=AB33, "Pass", "Fail"), "")</f>
        <v/>
      </c>
      <c r="AC35" s="553" t="str">
        <f t="shared" ref="AC35" si="131">IF(AND(ISNUMBER(AC34),ISNUMBER(AC33)), IF(AC34&lt;=AC33, "Pass", "Fail"), "")</f>
        <v/>
      </c>
      <c r="AD35" s="701" t="str">
        <f t="shared" ref="AD35" si="132">IF(AND(ISNUMBER(AD34),ISNUMBER(AD33)), IF(AD34&lt;=AD33, "Pass", "Fail"), "")</f>
        <v/>
      </c>
      <c r="AE35" s="853"/>
      <c r="AF35" s="553" t="str">
        <f t="shared" ref="AF35" si="133">IF(AND(ISNUMBER(AF34),ISNUMBER(AF33)), IF(AF34&lt;=AF33, "Pass", "Fail"), "")</f>
        <v/>
      </c>
      <c r="AG35" s="553" t="str">
        <f t="shared" ref="AG35" si="134">IF(AND(ISNUMBER(AG34),ISNUMBER(AG33)), IF(AG34&lt;=AG33, "Pass", "Fail"), "")</f>
        <v/>
      </c>
      <c r="AH35" s="553" t="str">
        <f t="shared" ref="AH35" si="135">IF(AND(ISNUMBER(AH34),ISNUMBER(AH33)), IF(AH34&lt;=AH33, "Pass", "Fail"), "")</f>
        <v/>
      </c>
      <c r="AI35" s="853"/>
      <c r="AJ35" s="553" t="str">
        <f t="shared" ref="AJ35" si="136">IF(AND(ISNUMBER(AJ34),ISNUMBER(AJ33)), IF(AJ34&lt;=AJ33, "Pass", "Fail"), "")</f>
        <v/>
      </c>
      <c r="AK35" s="553" t="str">
        <f t="shared" ref="AK35" si="137">IF(AND(ISNUMBER(AK34),ISNUMBER(AK33)), IF(AK34&lt;=AK33, "Pass", "Fail"), "")</f>
        <v/>
      </c>
      <c r="AL35" s="480"/>
      <c r="AM35" s="480"/>
      <c r="AN35" s="480"/>
      <c r="AO35" s="480"/>
      <c r="AP35" s="853"/>
      <c r="AQ35" s="853"/>
      <c r="AR35" s="853"/>
      <c r="AS35" s="853"/>
      <c r="AT35" s="853"/>
      <c r="AU35" s="853"/>
      <c r="AV35" s="853"/>
      <c r="AW35" s="853"/>
      <c r="AX35" s="853"/>
      <c r="AY35" s="853"/>
      <c r="AZ35" s="853"/>
      <c r="BA35" s="480"/>
      <c r="BB35" s="480"/>
      <c r="BC35" s="480"/>
      <c r="BD35" s="480"/>
      <c r="BE35" s="480"/>
      <c r="BF35" s="491"/>
      <c r="BG35" s="480"/>
      <c r="BH35" s="480"/>
      <c r="BI35" s="480"/>
      <c r="BJ35" s="480"/>
      <c r="BK35" s="480"/>
      <c r="BL35" s="480"/>
      <c r="BM35" s="553" t="str">
        <f t="shared" ref="BM35:BQ35" si="138">IF(AND(ISNUMBER(BM34),ISNUMBER(BM33)), IF(BM34&lt;=BM33, "Pass", "Fail"), "")</f>
        <v/>
      </c>
      <c r="BN35" s="553" t="str">
        <f t="shared" si="138"/>
        <v/>
      </c>
      <c r="BO35" s="553" t="str">
        <f t="shared" si="138"/>
        <v/>
      </c>
      <c r="BP35" s="553" t="str">
        <f t="shared" si="138"/>
        <v/>
      </c>
      <c r="BQ35" s="553" t="str">
        <f t="shared" si="138"/>
        <v/>
      </c>
      <c r="BR35" s="853"/>
      <c r="BS35" s="553" t="str">
        <f t="shared" ref="BS35" si="139">IF(AND(ISNUMBER(BS34),ISNUMBER(BS33)), IF(BS34&lt;=BS33, "Pass", "Fail"), "")</f>
        <v/>
      </c>
      <c r="BT35" s="553" t="str">
        <f t="shared" ref="BT35:BU35" si="140">IF(AND(ISNUMBER(BT34),ISNUMBER(BT33)), IF(BT34&lt;=BT33, "Pass", "Fail"), "")</f>
        <v/>
      </c>
      <c r="BU35" s="553" t="str">
        <f t="shared" si="140"/>
        <v/>
      </c>
      <c r="BV35" s="480"/>
      <c r="BW35" s="553" t="str">
        <f t="shared" ref="BW35:BX35" si="141">IF(AND(ISNUMBER(BW34),ISNUMBER(BW33)), IF(BW34&lt;=BW33, "Pass", "Fail"), "")</f>
        <v/>
      </c>
      <c r="BX35" s="553" t="str">
        <f t="shared" si="141"/>
        <v/>
      </c>
      <c r="BY35" s="480"/>
      <c r="BZ35" s="480"/>
      <c r="CA35" s="480"/>
      <c r="CB35" s="480"/>
      <c r="CC35" s="480"/>
      <c r="CD35" s="480"/>
      <c r="CE35" s="480"/>
      <c r="CF35" s="480"/>
      <c r="CG35" s="480"/>
      <c r="CH35" s="480"/>
      <c r="CI35" s="499"/>
      <c r="CJ35" s="480"/>
      <c r="CK35" s="502"/>
      <c r="CL35" s="553" t="str">
        <f>IF(AND(ISNUMBER(CL34),ISNUMBER(CL33)), IF(CL34&lt;=CL33, "Pass", "Fail"), "")</f>
        <v/>
      </c>
      <c r="CM35" s="865"/>
      <c r="CN35" s="865"/>
      <c r="CO35" s="553" t="str">
        <f>IF(AND(ISNUMBER(CO34),ISNUMBER(CO33)), IF(CO34&lt;=CO33, "Pass", "Fail"), "")</f>
        <v/>
      </c>
      <c r="CP35" s="553" t="str">
        <f>IF(AND(ISNUMBER(CP34),ISNUMBER(CP33)), IF(CP34&lt;=CP33, "Pass", "Fail"), "")</f>
        <v/>
      </c>
      <c r="CQ35" s="553" t="str">
        <f>IF(AND(ISNUMBER(CQ34),ISNUMBER(CQ33)), IF(CQ34&lt;=CQ33, "Pass", "Fail"), "")</f>
        <v/>
      </c>
      <c r="CR35" s="865"/>
      <c r="CS35" s="866"/>
      <c r="CT35" s="2276"/>
      <c r="CU35" s="2274"/>
      <c r="CV35" s="2274"/>
      <c r="CW35" s="2274"/>
      <c r="CX35" s="2274"/>
      <c r="CY35" s="2277"/>
      <c r="CZ35" s="2246"/>
    </row>
    <row r="36" spans="1:104" ht="15" customHeight="1" x14ac:dyDescent="0.25">
      <c r="A36" s="545"/>
      <c r="B36" s="507" t="s">
        <v>697</v>
      </c>
      <c r="C36" s="580" t="str">
        <f t="shared" ref="C36:G39" si="142">IF(AND(ISNUMBER(N36),ISNUMBER(Z36)),SUM(N36,Z36),"")</f>
        <v/>
      </c>
      <c r="D36" s="580" t="str">
        <f t="shared" si="142"/>
        <v/>
      </c>
      <c r="E36" s="580" t="str">
        <f t="shared" si="142"/>
        <v/>
      </c>
      <c r="F36" s="580" t="str">
        <f t="shared" si="142"/>
        <v/>
      </c>
      <c r="G36" s="580" t="str">
        <f t="shared" si="142"/>
        <v/>
      </c>
      <c r="H36" s="580" t="str">
        <f t="shared" si="73"/>
        <v/>
      </c>
      <c r="I36" s="580" t="str">
        <f t="shared" ref="I36:M39" si="143">IF(AND(ISNUMBER(T36),ISNUMBER(AF36)),SUM(T36,AF36),"")</f>
        <v/>
      </c>
      <c r="J36" s="580" t="str">
        <f t="shared" si="143"/>
        <v/>
      </c>
      <c r="K36" s="580" t="str">
        <f t="shared" si="143"/>
        <v/>
      </c>
      <c r="L36" s="580" t="str">
        <f t="shared" si="143"/>
        <v/>
      </c>
      <c r="M36" s="580" t="str">
        <f t="shared" si="143"/>
        <v/>
      </c>
      <c r="N36" s="318"/>
      <c r="O36" s="318"/>
      <c r="P36" s="318"/>
      <c r="Q36" s="318"/>
      <c r="R36" s="208"/>
      <c r="S36" s="580" t="str">
        <f t="shared" si="54"/>
        <v/>
      </c>
      <c r="T36" s="481"/>
      <c r="U36" s="318"/>
      <c r="V36" s="208"/>
      <c r="W36" s="580" t="str">
        <f t="shared" ref="W36:W40" si="144">IF(AND(ISNUMBER(T36),ISNUMBER(U36),ISNUMBER(V36)),SUM(T36:V36), "")</f>
        <v/>
      </c>
      <c r="X36" s="481"/>
      <c r="Y36" s="318"/>
      <c r="Z36" s="318"/>
      <c r="AA36" s="318"/>
      <c r="AB36" s="318"/>
      <c r="AC36" s="318"/>
      <c r="AD36" s="208"/>
      <c r="AE36" s="580" t="str">
        <f t="shared" si="55"/>
        <v/>
      </c>
      <c r="AF36" s="481"/>
      <c r="AG36" s="318"/>
      <c r="AH36" s="208"/>
      <c r="AI36" s="580" t="str">
        <f>IF(AND(ISNUMBER(AF36),ISNUMBER(AG36),ISNUMBER(AH36)),SUM(AF36:AH36), "")</f>
        <v/>
      </c>
      <c r="AJ36" s="481"/>
      <c r="AK36" s="318"/>
      <c r="AL36" s="318"/>
      <c r="AM36" s="318"/>
      <c r="AN36" s="318"/>
      <c r="AO36" s="318"/>
      <c r="AP36" s="580" t="str">
        <f>IF(AND(ISNUMBER(BA36),ISNUMBER(BM36)),SUM(BA36,BM36),"")</f>
        <v/>
      </c>
      <c r="AQ36" s="580" t="str">
        <f>IF(AND(ISNUMBER(BB36),ISNUMBER(BN36)),SUM(BB36,BN36),"")</f>
        <v/>
      </c>
      <c r="AR36" s="580" t="str">
        <f>IF(AND(ISNUMBER(BC36),ISNUMBER(BO36)),SUM(BC36,BO36),"")</f>
        <v/>
      </c>
      <c r="AS36" s="580" t="str">
        <f>IF(AND(ISNUMBER(BD36),ISNUMBER(BP36)),SUM(BD36,BP36),"")</f>
        <v/>
      </c>
      <c r="AT36" s="580" t="str">
        <f>IF(AND(ISNUMBER(BE36),ISNUMBER(BQ36)),SUM(BE36,BQ36),"")</f>
        <v/>
      </c>
      <c r="AU36" s="580" t="str">
        <f>IF(AND(ISNUMBER(AP36),ISNUMBER(AQ36),ISNUMBER(AT36)),SUM(AP36,AQ36,AT36),"")</f>
        <v/>
      </c>
      <c r="AV36" s="580" t="str">
        <f>IF(AND(ISNUMBER(BG36),ISNUMBER(BS36)),SUM(BG36,BS36),"")</f>
        <v/>
      </c>
      <c r="AW36" s="580" t="str">
        <f>IF(AND(ISNUMBER(BH36),ISNUMBER(BT36)),SUM(BH36,BT36),"")</f>
        <v/>
      </c>
      <c r="AX36" s="580" t="str">
        <f>IF(AND(ISNUMBER(BI36),ISNUMBER(BU36)),SUM(BI36,BU36),"")</f>
        <v/>
      </c>
      <c r="AY36" s="580" t="str">
        <f>IF(AND(ISNUMBER(BJ36),ISNUMBER(BV36)),SUM(BJ36,BV36),"")</f>
        <v/>
      </c>
      <c r="AZ36" s="580" t="str">
        <f>IF(AND(ISNUMBER(BK36),ISNUMBER(BW36)),SUM(BK36,BW36),"")</f>
        <v/>
      </c>
      <c r="BA36" s="318"/>
      <c r="BB36" s="318"/>
      <c r="BC36" s="318"/>
      <c r="BD36" s="318"/>
      <c r="BE36" s="208"/>
      <c r="BF36" s="580" t="str">
        <f>IF(AND(ISNUMBER(BA36), ISNUMBER(BB36), ISNUMBER(BE36)), SUM(BA36,BB36,BE36), "")</f>
        <v/>
      </c>
      <c r="BG36" s="481"/>
      <c r="BH36" s="318"/>
      <c r="BI36" s="318"/>
      <c r="BJ36" s="580" t="str">
        <f>IF(AND(ISNUMBER(BG36),ISNUMBER(BH36),ISNUMBER(BI36)),SUM(BG36:BI36), "")</f>
        <v/>
      </c>
      <c r="BK36" s="318"/>
      <c r="BL36" s="318"/>
      <c r="BM36" s="318"/>
      <c r="BN36" s="318"/>
      <c r="BO36" s="318"/>
      <c r="BP36" s="318"/>
      <c r="BQ36" s="208"/>
      <c r="BR36" s="580" t="str">
        <f>IF(AND(ISNUMBER(BM36), ISNUMBER(BN36), ISNUMBER(BQ36)), SUM(BM36,BN36,BQ36), "")</f>
        <v/>
      </c>
      <c r="BS36" s="481"/>
      <c r="BT36" s="318"/>
      <c r="BU36" s="318"/>
      <c r="BV36" s="580" t="str">
        <f>IF(AND(ISNUMBER(BS36),ISNUMBER(BT36),ISNUMBER(BU36)),SUM(BS36:BU36), "")</f>
        <v/>
      </c>
      <c r="BW36" s="318"/>
      <c r="BX36" s="318"/>
      <c r="BY36" s="318"/>
      <c r="BZ36" s="318"/>
      <c r="CA36" s="318"/>
      <c r="CB36" s="318"/>
      <c r="CC36" s="318"/>
      <c r="CD36" s="318"/>
      <c r="CE36" s="580" t="str">
        <f>IF($C$7="No", 0, IF(AND(ISNUMBER(BZ36),ISNUMBER(CA36),ISNUMBER(CD36)),SUM(BZ36,CA36,CD36),""))</f>
        <v/>
      </c>
      <c r="CF36" s="318"/>
      <c r="CG36" s="318"/>
      <c r="CH36" s="318"/>
      <c r="CI36" s="209" t="str">
        <f>IF($C$7="No", 0, IF(AND(ISNUMBER(CF36), ISNUMBER(CG36), ISNUMBER(CH36)), SUM(CF36:CH36), ""))</f>
        <v/>
      </c>
      <c r="CJ36" s="907" t="str">
        <f t="shared" ref="CJ36:CJ46" si="145">IF(AND(ISNUMBER(CE36), ISNUMBER(CI36)), IF(CE36&lt;&gt;0, CI36/CE36, ""), "")</f>
        <v/>
      </c>
      <c r="CK36" s="502"/>
      <c r="CL36" s="318"/>
      <c r="CM36" s="318"/>
      <c r="CN36" s="318"/>
      <c r="CO36" s="318"/>
      <c r="CP36" s="318"/>
      <c r="CQ36" s="318"/>
      <c r="CR36" s="553" t="str">
        <f t="shared" ref="CR36:CR46" si="146">IF(AND(ISNUMBER(CO36), ISNUMBER(AU36), ISNUMBER(CE36)), IF(CO36&gt;= 0.85 * (AU36+CE36), "Pass", "please check"),"")</f>
        <v/>
      </c>
      <c r="CS36" s="701" t="str">
        <f t="shared" ref="CS36:CS46" si="147">IF(AND(ISNUMBER(AL36),ISNUMBER(AM36),ISNUMBER(AN36),ISNUMBER(AO36),ISNUMBER(AY36), ISNUMBER(AZ36), ISNUMBER(CQ36), ISNUMBER(CI36)), IF(CQ36&gt;=(AY36+12.5*MAX(0,AZ36-(AL36+AM36+AN36+AO36))+CI36), "Pass", "please check"), "")</f>
        <v/>
      </c>
      <c r="CT36" s="1928" t="str">
        <f>IF(AND(OR('General Info'!$C$19="Yes",'General Info'!$D$19="Yes"),ISNUMBER(CO36),ISNUMBER(CP36),ISNUMBER(CU36)),CO36-CP36+CU36,"")</f>
        <v/>
      </c>
      <c r="CU36" s="318"/>
      <c r="CV36" s="318"/>
      <c r="CW36" s="2293" t="str">
        <f>IF(AND(OR('General Info'!$C$19="Yes",'General Info'!$D$19="Yes"),ISNUMBER(AU36),ISNUMBER(CE36)),SUM(AU36,CE36),"")</f>
        <v/>
      </c>
      <c r="CX36" s="2293" t="str">
        <f>IF(AND(OR('General Info'!$C$19="Yes",'General Info'!$D$19="Yes"),ISNUMBER(AQ36),ISNUMBER(CA36)),SUM(AQ36,CA36),"")</f>
        <v/>
      </c>
      <c r="CY36" s="208"/>
      <c r="CZ36" s="2246"/>
    </row>
    <row r="37" spans="1:104" ht="15" customHeight="1" x14ac:dyDescent="0.25">
      <c r="A37" s="545"/>
      <c r="B37" s="507" t="s">
        <v>698</v>
      </c>
      <c r="C37" s="580" t="str">
        <f t="shared" si="142"/>
        <v/>
      </c>
      <c r="D37" s="580" t="str">
        <f t="shared" si="142"/>
        <v/>
      </c>
      <c r="E37" s="580" t="str">
        <f t="shared" si="142"/>
        <v/>
      </c>
      <c r="F37" s="580" t="str">
        <f t="shared" si="142"/>
        <v/>
      </c>
      <c r="G37" s="580" t="str">
        <f t="shared" si="142"/>
        <v/>
      </c>
      <c r="H37" s="580" t="str">
        <f t="shared" si="73"/>
        <v/>
      </c>
      <c r="I37" s="580" t="str">
        <f t="shared" si="143"/>
        <v/>
      </c>
      <c r="J37" s="580" t="str">
        <f t="shared" si="143"/>
        <v/>
      </c>
      <c r="K37" s="580" t="str">
        <f t="shared" si="143"/>
        <v/>
      </c>
      <c r="L37" s="580" t="str">
        <f t="shared" si="143"/>
        <v/>
      </c>
      <c r="M37" s="580" t="str">
        <f t="shared" si="143"/>
        <v/>
      </c>
      <c r="N37" s="318"/>
      <c r="O37" s="318"/>
      <c r="P37" s="318"/>
      <c r="Q37" s="318"/>
      <c r="R37" s="208"/>
      <c r="S37" s="580" t="str">
        <f t="shared" si="54"/>
        <v/>
      </c>
      <c r="T37" s="481"/>
      <c r="U37" s="318"/>
      <c r="V37" s="208"/>
      <c r="W37" s="580" t="str">
        <f t="shared" si="144"/>
        <v/>
      </c>
      <c r="X37" s="481"/>
      <c r="Y37" s="318"/>
      <c r="Z37" s="318"/>
      <c r="AA37" s="318"/>
      <c r="AB37" s="318"/>
      <c r="AC37" s="318"/>
      <c r="AD37" s="208"/>
      <c r="AE37" s="580" t="str">
        <f t="shared" si="55"/>
        <v/>
      </c>
      <c r="AF37" s="481"/>
      <c r="AG37" s="318"/>
      <c r="AH37" s="208"/>
      <c r="AI37" s="580" t="str">
        <f>IF(AND(ISNUMBER(AF37),ISNUMBER(AG37),ISNUMBER(AH37)),SUM(AF37:AH37), "")</f>
        <v/>
      </c>
      <c r="AJ37" s="481"/>
      <c r="AK37" s="318"/>
      <c r="AL37" s="318"/>
      <c r="AM37" s="318"/>
      <c r="AN37" s="318"/>
      <c r="AO37" s="318"/>
      <c r="AP37" s="580" t="str">
        <f t="shared" ref="AP37:AZ37" si="148">IF((ISNUMBER(BM37)),BM37,"")</f>
        <v/>
      </c>
      <c r="AQ37" s="580" t="str">
        <f t="shared" si="148"/>
        <v/>
      </c>
      <c r="AR37" s="580" t="str">
        <f t="shared" si="148"/>
        <v/>
      </c>
      <c r="AS37" s="580" t="str">
        <f t="shared" si="148"/>
        <v/>
      </c>
      <c r="AT37" s="580" t="str">
        <f t="shared" si="148"/>
        <v/>
      </c>
      <c r="AU37" s="580" t="str">
        <f t="shared" si="148"/>
        <v/>
      </c>
      <c r="AV37" s="580" t="str">
        <f t="shared" si="148"/>
        <v/>
      </c>
      <c r="AW37" s="580" t="str">
        <f t="shared" si="148"/>
        <v/>
      </c>
      <c r="AX37" s="580" t="str">
        <f t="shared" si="148"/>
        <v/>
      </c>
      <c r="AY37" s="580" t="str">
        <f t="shared" si="148"/>
        <v/>
      </c>
      <c r="AZ37" s="580" t="str">
        <f t="shared" si="148"/>
        <v/>
      </c>
      <c r="BA37" s="480"/>
      <c r="BB37" s="480"/>
      <c r="BC37" s="480"/>
      <c r="BD37" s="480"/>
      <c r="BE37" s="480"/>
      <c r="BF37" s="853"/>
      <c r="BG37" s="480"/>
      <c r="BH37" s="480"/>
      <c r="BI37" s="480"/>
      <c r="BJ37" s="480"/>
      <c r="BK37" s="480"/>
      <c r="BL37" s="480"/>
      <c r="BM37" s="318"/>
      <c r="BN37" s="318"/>
      <c r="BO37" s="318"/>
      <c r="BP37" s="318"/>
      <c r="BQ37" s="208"/>
      <c r="BR37" s="580" t="str">
        <f>IF(AND(ISNUMBER(BM37), ISNUMBER(BN37), ISNUMBER(BQ37)), SUM(BM37,BN37,BQ37), "")</f>
        <v/>
      </c>
      <c r="BS37" s="481"/>
      <c r="BT37" s="318"/>
      <c r="BU37" s="318"/>
      <c r="BV37" s="580" t="str">
        <f>IF(AND(ISNUMBER(BS37),ISNUMBER(BT37),ISNUMBER(BU37)),SUM(BS37:BU37), "")</f>
        <v/>
      </c>
      <c r="BW37" s="318"/>
      <c r="BX37" s="318"/>
      <c r="BY37" s="318"/>
      <c r="BZ37" s="318"/>
      <c r="CA37" s="318"/>
      <c r="CB37" s="318"/>
      <c r="CC37" s="318"/>
      <c r="CD37" s="318"/>
      <c r="CE37" s="580" t="str">
        <f t="shared" ref="CE37:CE40" si="149">IF($C$7="No", 0, IF(AND(ISNUMBER(BZ37),ISNUMBER(CA37),ISNUMBER(CD37)),SUM(BZ37,CA37,CD37),""))</f>
        <v/>
      </c>
      <c r="CF37" s="318"/>
      <c r="CG37" s="318"/>
      <c r="CH37" s="318"/>
      <c r="CI37" s="209" t="str">
        <f>IF($C$7="No", 0, IF(AND(ISNUMBER(CF37), ISNUMBER(CG37), ISNUMBER(CH37)), SUM(CF37:CH37), ""))</f>
        <v/>
      </c>
      <c r="CJ37" s="907" t="str">
        <f t="shared" si="145"/>
        <v/>
      </c>
      <c r="CK37" s="502"/>
      <c r="CL37" s="318"/>
      <c r="CM37" s="318"/>
      <c r="CN37" s="318"/>
      <c r="CO37" s="318"/>
      <c r="CP37" s="318"/>
      <c r="CQ37" s="318"/>
      <c r="CR37" s="553" t="str">
        <f t="shared" si="146"/>
        <v/>
      </c>
      <c r="CS37" s="701" t="str">
        <f t="shared" si="147"/>
        <v/>
      </c>
      <c r="CT37" s="1928" t="str">
        <f>IF(AND(OR('General Info'!$C$19="Yes",'General Info'!$D$19="Yes"),ISNUMBER(CO37),ISNUMBER(CP37),ISNUMBER(CU37)),CO37-CP37+CU37,"")</f>
        <v/>
      </c>
      <c r="CU37" s="318"/>
      <c r="CV37" s="318"/>
      <c r="CW37" s="2293" t="str">
        <f>IF(AND(OR('General Info'!$C$19="Yes",'General Info'!$D$19="Yes"),ISNUMBER(AU37),ISNUMBER(CE37)),SUM(AU37,CE37),"")</f>
        <v/>
      </c>
      <c r="CX37" s="2293" t="str">
        <f>IF(AND(OR('General Info'!$C$19="Yes",'General Info'!$D$19="Yes"),ISNUMBER(AQ37),ISNUMBER(CA37)),SUM(AQ37,CA37),"")</f>
        <v/>
      </c>
      <c r="CY37" s="208"/>
      <c r="CZ37" s="2246"/>
    </row>
    <row r="38" spans="1:104" ht="15" customHeight="1" x14ac:dyDescent="0.25">
      <c r="A38" s="545"/>
      <c r="B38" s="507" t="s">
        <v>699</v>
      </c>
      <c r="C38" s="580" t="str">
        <f t="shared" si="142"/>
        <v/>
      </c>
      <c r="D38" s="580" t="str">
        <f t="shared" si="142"/>
        <v/>
      </c>
      <c r="E38" s="580" t="str">
        <f t="shared" si="142"/>
        <v/>
      </c>
      <c r="F38" s="580" t="str">
        <f t="shared" si="142"/>
        <v/>
      </c>
      <c r="G38" s="580" t="str">
        <f t="shared" si="142"/>
        <v/>
      </c>
      <c r="H38" s="580" t="str">
        <f t="shared" si="73"/>
        <v/>
      </c>
      <c r="I38" s="580" t="str">
        <f t="shared" si="143"/>
        <v/>
      </c>
      <c r="J38" s="580" t="str">
        <f t="shared" si="143"/>
        <v/>
      </c>
      <c r="K38" s="580" t="str">
        <f t="shared" si="143"/>
        <v/>
      </c>
      <c r="L38" s="580" t="str">
        <f t="shared" si="143"/>
        <v/>
      </c>
      <c r="M38" s="580" t="str">
        <f t="shared" si="143"/>
        <v/>
      </c>
      <c r="N38" s="318"/>
      <c r="O38" s="318"/>
      <c r="P38" s="318"/>
      <c r="Q38" s="318"/>
      <c r="R38" s="208"/>
      <c r="S38" s="580" t="str">
        <f t="shared" si="54"/>
        <v/>
      </c>
      <c r="T38" s="481"/>
      <c r="U38" s="318"/>
      <c r="V38" s="208"/>
      <c r="W38" s="580" t="str">
        <f t="shared" si="144"/>
        <v/>
      </c>
      <c r="X38" s="481"/>
      <c r="Y38" s="318"/>
      <c r="Z38" s="318"/>
      <c r="AA38" s="318"/>
      <c r="AB38" s="318"/>
      <c r="AC38" s="318"/>
      <c r="AD38" s="208"/>
      <c r="AE38" s="580" t="str">
        <f t="shared" si="55"/>
        <v/>
      </c>
      <c r="AF38" s="481"/>
      <c r="AG38" s="318"/>
      <c r="AH38" s="208"/>
      <c r="AI38" s="580" t="str">
        <f>IF(AND(ISNUMBER(AF38),ISNUMBER(AG38),ISNUMBER(AH38)),SUM(AF38:AH38), "")</f>
        <v/>
      </c>
      <c r="AJ38" s="481"/>
      <c r="AK38" s="318"/>
      <c r="AL38" s="318"/>
      <c r="AM38" s="318"/>
      <c r="AN38" s="318"/>
      <c r="AO38" s="318"/>
      <c r="AP38" s="580" t="str">
        <f>IF(AND(ISNUMBER(BA38),ISNUMBER(BM38)),SUM(BA38,BM38),"")</f>
        <v/>
      </c>
      <c r="AQ38" s="580" t="str">
        <f>IF(AND(ISNUMBER(BB38),ISNUMBER(BN38)),SUM(BB38,BN38),"")</f>
        <v/>
      </c>
      <c r="AR38" s="580" t="str">
        <f>IF(AND(ISNUMBER(BC38),ISNUMBER(BO38)),SUM(BC38,BO38),"")</f>
        <v/>
      </c>
      <c r="AS38" s="580" t="str">
        <f>IF(AND(ISNUMBER(BD38),ISNUMBER(BP38)),SUM(BD38,BP38),"")</f>
        <v/>
      </c>
      <c r="AT38" s="580" t="str">
        <f>IF(AND(ISNUMBER(BE38),ISNUMBER(BQ38)),SUM(BE38,BQ38),"")</f>
        <v/>
      </c>
      <c r="AU38" s="580" t="str">
        <f t="shared" ref="AU38:AU46" si="150">IF(AND(ISNUMBER(AP38),ISNUMBER(AQ38),ISNUMBER(AT38)),SUM(AP38,AQ38,AT38),"")</f>
        <v/>
      </c>
      <c r="AV38" s="580" t="str">
        <f>IF(AND(ISNUMBER(BG38),ISNUMBER(BS38)),SUM(BG38,BS38),"")</f>
        <v/>
      </c>
      <c r="AW38" s="580" t="str">
        <f>IF(AND(ISNUMBER(BH38),ISNUMBER(BT38)),SUM(BH38,BT38),"")</f>
        <v/>
      </c>
      <c r="AX38" s="580" t="str">
        <f>IF(AND(ISNUMBER(BI38),ISNUMBER(BU38)),SUM(BI38,BU38),"")</f>
        <v/>
      </c>
      <c r="AY38" s="580" t="str">
        <f>IF(AND(ISNUMBER(BJ38),ISNUMBER(BV38)),SUM(BJ38,BV38),"")</f>
        <v/>
      </c>
      <c r="AZ38" s="580" t="str">
        <f>IF(AND(ISNUMBER(BK38),ISNUMBER(BW38)),SUM(BK38,BW38),"")</f>
        <v/>
      </c>
      <c r="BA38" s="318"/>
      <c r="BB38" s="318"/>
      <c r="BC38" s="318"/>
      <c r="BD38" s="318"/>
      <c r="BE38" s="208"/>
      <c r="BF38" s="580" t="str">
        <f>IF(AND(ISNUMBER(BA38), ISNUMBER(BB38), ISNUMBER(BE38)), SUM(BA38,BB38,BE38), "")</f>
        <v/>
      </c>
      <c r="BG38" s="481"/>
      <c r="BH38" s="318"/>
      <c r="BI38" s="318"/>
      <c r="BJ38" s="580" t="str">
        <f>IF(AND(ISNUMBER(BG38),ISNUMBER(BH38),ISNUMBER(BI38)),SUM(BG38:BI38), "")</f>
        <v/>
      </c>
      <c r="BK38" s="318"/>
      <c r="BL38" s="318"/>
      <c r="BM38" s="318"/>
      <c r="BN38" s="318"/>
      <c r="BO38" s="318"/>
      <c r="BP38" s="318"/>
      <c r="BQ38" s="208"/>
      <c r="BR38" s="580" t="str">
        <f>IF(AND(ISNUMBER(BM38), ISNUMBER(BN38), ISNUMBER(BQ38)), SUM(BM38,BN38,BQ38), "")</f>
        <v/>
      </c>
      <c r="BS38" s="481"/>
      <c r="BT38" s="318"/>
      <c r="BU38" s="318"/>
      <c r="BV38" s="580" t="str">
        <f>IF(AND(ISNUMBER(BS38),ISNUMBER(BT38),ISNUMBER(BU38)),SUM(BS38:BU38), "")</f>
        <v/>
      </c>
      <c r="BW38" s="318"/>
      <c r="BX38" s="318"/>
      <c r="BY38" s="318"/>
      <c r="BZ38" s="318"/>
      <c r="CA38" s="318"/>
      <c r="CB38" s="318"/>
      <c r="CC38" s="318"/>
      <c r="CD38" s="318"/>
      <c r="CE38" s="580" t="str">
        <f t="shared" si="149"/>
        <v/>
      </c>
      <c r="CF38" s="318"/>
      <c r="CG38" s="318"/>
      <c r="CH38" s="318"/>
      <c r="CI38" s="209" t="str">
        <f>IF($C$7="No", 0, IF(AND(ISNUMBER(CF38), ISNUMBER(CG38), ISNUMBER(CH38)), SUM(CF38:CH38), ""))</f>
        <v/>
      </c>
      <c r="CJ38" s="907" t="str">
        <f t="shared" si="145"/>
        <v/>
      </c>
      <c r="CK38" s="502"/>
      <c r="CL38" s="318"/>
      <c r="CM38" s="318"/>
      <c r="CN38" s="318"/>
      <c r="CO38" s="318"/>
      <c r="CP38" s="318"/>
      <c r="CQ38" s="318"/>
      <c r="CR38" s="553" t="str">
        <f t="shared" si="146"/>
        <v/>
      </c>
      <c r="CS38" s="701" t="str">
        <f t="shared" si="147"/>
        <v/>
      </c>
      <c r="CT38" s="1928" t="str">
        <f>IF(AND(OR('General Info'!$C$19="Yes",'General Info'!$D$19="Yes"),ISNUMBER(CO38),ISNUMBER(CP38),ISNUMBER(CU38)),CO38-CP38+CU38,"")</f>
        <v/>
      </c>
      <c r="CU38" s="318"/>
      <c r="CV38" s="318"/>
      <c r="CW38" s="2293" t="str">
        <f>IF(AND(OR('General Info'!$C$19="Yes",'General Info'!$D$19="Yes"),ISNUMBER(AU38),ISNUMBER(CE38)),SUM(AU38,CE38),"")</f>
        <v/>
      </c>
      <c r="CX38" s="2293" t="str">
        <f>IF(AND(OR('General Info'!$C$19="Yes",'General Info'!$D$19="Yes"),ISNUMBER(AQ38),ISNUMBER(CA38)),SUM(AQ38,CA38),"")</f>
        <v/>
      </c>
      <c r="CY38" s="208"/>
      <c r="CZ38" s="2246"/>
    </row>
    <row r="39" spans="1:104" ht="15" customHeight="1" x14ac:dyDescent="0.25">
      <c r="A39" s="545"/>
      <c r="B39" s="507" t="s">
        <v>110</v>
      </c>
      <c r="C39" s="580" t="str">
        <f t="shared" si="142"/>
        <v/>
      </c>
      <c r="D39" s="580" t="str">
        <f t="shared" si="142"/>
        <v/>
      </c>
      <c r="E39" s="580" t="str">
        <f t="shared" si="142"/>
        <v/>
      </c>
      <c r="F39" s="580" t="str">
        <f t="shared" si="142"/>
        <v/>
      </c>
      <c r="G39" s="580" t="str">
        <f t="shared" si="142"/>
        <v/>
      </c>
      <c r="H39" s="580" t="str">
        <f t="shared" si="73"/>
        <v/>
      </c>
      <c r="I39" s="580" t="str">
        <f t="shared" si="143"/>
        <v/>
      </c>
      <c r="J39" s="580" t="str">
        <f t="shared" si="143"/>
        <v/>
      </c>
      <c r="K39" s="580" t="str">
        <f t="shared" si="143"/>
        <v/>
      </c>
      <c r="L39" s="580" t="str">
        <f t="shared" si="143"/>
        <v/>
      </c>
      <c r="M39" s="580" t="str">
        <f t="shared" si="143"/>
        <v/>
      </c>
      <c r="N39" s="318"/>
      <c r="O39" s="318"/>
      <c r="P39" s="318"/>
      <c r="Q39" s="318"/>
      <c r="R39" s="208"/>
      <c r="S39" s="580" t="str">
        <f t="shared" si="54"/>
        <v/>
      </c>
      <c r="T39" s="481"/>
      <c r="U39" s="318"/>
      <c r="V39" s="208"/>
      <c r="W39" s="580" t="str">
        <f t="shared" si="144"/>
        <v/>
      </c>
      <c r="X39" s="481"/>
      <c r="Y39" s="318"/>
      <c r="Z39" s="318"/>
      <c r="AA39" s="318"/>
      <c r="AB39" s="318"/>
      <c r="AC39" s="318"/>
      <c r="AD39" s="208"/>
      <c r="AE39" s="580" t="str">
        <f t="shared" si="55"/>
        <v/>
      </c>
      <c r="AF39" s="481"/>
      <c r="AG39" s="318"/>
      <c r="AH39" s="208"/>
      <c r="AI39" s="580" t="str">
        <f>IF(AND(ISNUMBER(AF39),ISNUMBER(AG39),ISNUMBER(AH39)),SUM(AF39:AH39), "")</f>
        <v/>
      </c>
      <c r="AJ39" s="481"/>
      <c r="AK39" s="318"/>
      <c r="AL39" s="318"/>
      <c r="AM39" s="318"/>
      <c r="AN39" s="318"/>
      <c r="AO39" s="318"/>
      <c r="AP39" s="580" t="str">
        <f t="shared" ref="AP39:AT39" si="151">IF(ISNUMBER(BM39),BM39,"")</f>
        <v/>
      </c>
      <c r="AQ39" s="580" t="str">
        <f t="shared" si="151"/>
        <v/>
      </c>
      <c r="AR39" s="580" t="str">
        <f t="shared" si="151"/>
        <v/>
      </c>
      <c r="AS39" s="580" t="str">
        <f t="shared" si="151"/>
        <v/>
      </c>
      <c r="AT39" s="580" t="str">
        <f t="shared" si="151"/>
        <v/>
      </c>
      <c r="AU39" s="580" t="str">
        <f t="shared" si="150"/>
        <v/>
      </c>
      <c r="AV39" s="580" t="str">
        <f>IF(ISNUMBER(BS39),BS39,"")</f>
        <v/>
      </c>
      <c r="AW39" s="580" t="str">
        <f>IF(ISNUMBER(BT39),BT39,"")</f>
        <v/>
      </c>
      <c r="AX39" s="580" t="str">
        <f>IF(ISNUMBER(BU39),BU39,"")</f>
        <v/>
      </c>
      <c r="AY39" s="580" t="str">
        <f>IF(ISNUMBER(BV39),BV39,"")</f>
        <v/>
      </c>
      <c r="AZ39" s="580" t="str">
        <f>IF(ISNUMBER(BW39),BW39,"")</f>
        <v/>
      </c>
      <c r="BA39" s="480"/>
      <c r="BB39" s="480"/>
      <c r="BC39" s="480"/>
      <c r="BD39" s="480"/>
      <c r="BE39" s="480"/>
      <c r="BF39" s="853"/>
      <c r="BG39" s="480"/>
      <c r="BH39" s="480"/>
      <c r="BI39" s="480"/>
      <c r="BJ39" s="480"/>
      <c r="BK39" s="480"/>
      <c r="BL39" s="480"/>
      <c r="BM39" s="318"/>
      <c r="BN39" s="318"/>
      <c r="BO39" s="318"/>
      <c r="BP39" s="318"/>
      <c r="BQ39" s="208"/>
      <c r="BR39" s="580" t="str">
        <f>IF(AND(ISNUMBER(BM39), ISNUMBER(BN39), ISNUMBER(BQ39)), SUM(BM39,BN39,BQ39), "")</f>
        <v/>
      </c>
      <c r="BS39" s="481"/>
      <c r="BT39" s="318"/>
      <c r="BU39" s="318"/>
      <c r="BV39" s="580" t="str">
        <f>IF(AND(ISNUMBER(BS39),ISNUMBER(BT39),ISNUMBER(BU39)),SUM(BS39:BU39), "")</f>
        <v/>
      </c>
      <c r="BW39" s="318"/>
      <c r="BX39" s="318"/>
      <c r="BY39" s="318"/>
      <c r="BZ39" s="318"/>
      <c r="CA39" s="318"/>
      <c r="CB39" s="318"/>
      <c r="CC39" s="318"/>
      <c r="CD39" s="318"/>
      <c r="CE39" s="580" t="str">
        <f t="shared" si="149"/>
        <v/>
      </c>
      <c r="CF39" s="318"/>
      <c r="CG39" s="318"/>
      <c r="CH39" s="318"/>
      <c r="CI39" s="209" t="str">
        <f>IF($C$7="No", 0, IF(AND(ISNUMBER(CF39), ISNUMBER(CG39), ISNUMBER(CH39)), SUM(CF39:CH39), ""))</f>
        <v/>
      </c>
      <c r="CJ39" s="907" t="str">
        <f t="shared" si="145"/>
        <v/>
      </c>
      <c r="CK39" s="502"/>
      <c r="CL39" s="318"/>
      <c r="CM39" s="318"/>
      <c r="CN39" s="318"/>
      <c r="CO39" s="318"/>
      <c r="CP39" s="318"/>
      <c r="CQ39" s="318"/>
      <c r="CR39" s="553" t="str">
        <f t="shared" si="146"/>
        <v/>
      </c>
      <c r="CS39" s="701" t="str">
        <f t="shared" si="147"/>
        <v/>
      </c>
      <c r="CT39" s="1928" t="str">
        <f>IF(AND(OR('General Info'!$C$19="Yes",'General Info'!$D$19="Yes"),ISNUMBER(CO39),ISNUMBER(CP39),ISNUMBER(CU39)),CO39-CP39+CU39,"")</f>
        <v/>
      </c>
      <c r="CU39" s="318"/>
      <c r="CV39" s="318"/>
      <c r="CW39" s="2293" t="str">
        <f>IF(AND(OR('General Info'!$C$19="Yes",'General Info'!$D$19="Yes"),ISNUMBER(AU39),ISNUMBER(CE39)),SUM(AU39,CE39),"")</f>
        <v/>
      </c>
      <c r="CX39" s="2293" t="str">
        <f>IF(AND(OR('General Info'!$C$19="Yes",'General Info'!$D$19="Yes"),ISNUMBER(AQ39),ISNUMBER(CA39)),SUM(AQ39,CA39),"")</f>
        <v/>
      </c>
      <c r="CY39" s="208"/>
      <c r="CZ39" s="2246"/>
    </row>
    <row r="40" spans="1:104" ht="15" customHeight="1" x14ac:dyDescent="0.25">
      <c r="A40" s="545"/>
      <c r="B40" s="507" t="s">
        <v>700</v>
      </c>
      <c r="C40" s="580" t="str">
        <f t="shared" ref="C40:G40" si="152">IF((ISNUMBER(N40)),N40,"")</f>
        <v/>
      </c>
      <c r="D40" s="580" t="str">
        <f t="shared" si="152"/>
        <v/>
      </c>
      <c r="E40" s="580" t="str">
        <f t="shared" si="152"/>
        <v/>
      </c>
      <c r="F40" s="580" t="str">
        <f t="shared" si="152"/>
        <v/>
      </c>
      <c r="G40" s="580" t="str">
        <f t="shared" si="152"/>
        <v/>
      </c>
      <c r="H40" s="580" t="str">
        <f t="shared" si="73"/>
        <v/>
      </c>
      <c r="I40" s="580" t="str">
        <f>IF((ISNUMBER(T40)),T40,"")</f>
        <v/>
      </c>
      <c r="J40" s="580" t="str">
        <f>IF((ISNUMBER(U40)),U40,"")</f>
        <v/>
      </c>
      <c r="K40" s="580" t="str">
        <f>IF((ISNUMBER(V40)),V40,"")</f>
        <v/>
      </c>
      <c r="L40" s="580" t="str">
        <f>IF((ISNUMBER(W40)),W40,"")</f>
        <v/>
      </c>
      <c r="M40" s="580" t="str">
        <f>IF((ISNUMBER(X40)),X40,"")</f>
        <v/>
      </c>
      <c r="N40" s="320"/>
      <c r="O40" s="320"/>
      <c r="P40" s="320"/>
      <c r="Q40" s="320"/>
      <c r="R40" s="358"/>
      <c r="S40" s="580" t="str">
        <f t="shared" si="54"/>
        <v/>
      </c>
      <c r="T40" s="489"/>
      <c r="U40" s="320"/>
      <c r="V40" s="358"/>
      <c r="W40" s="580" t="str">
        <f t="shared" si="144"/>
        <v/>
      </c>
      <c r="X40" s="489"/>
      <c r="Y40" s="320"/>
      <c r="Z40" s="480"/>
      <c r="AA40" s="480"/>
      <c r="AB40" s="480"/>
      <c r="AC40" s="480"/>
      <c r="AD40" s="499"/>
      <c r="AE40" s="781"/>
      <c r="AF40" s="480"/>
      <c r="AG40" s="480"/>
      <c r="AH40" s="480"/>
      <c r="AI40" s="781"/>
      <c r="AJ40" s="480"/>
      <c r="AK40" s="480"/>
      <c r="AL40" s="318"/>
      <c r="AM40" s="318"/>
      <c r="AN40" s="318"/>
      <c r="AO40" s="318"/>
      <c r="AP40" s="580" t="str">
        <f t="shared" ref="AP40:AT46" si="153">IF(AND(ISNUMBER(BA40),ISNUMBER(BM40)),SUM(BA40,BM40),"")</f>
        <v/>
      </c>
      <c r="AQ40" s="580" t="str">
        <f t="shared" si="153"/>
        <v/>
      </c>
      <c r="AR40" s="580" t="str">
        <f t="shared" si="153"/>
        <v/>
      </c>
      <c r="AS40" s="580" t="str">
        <f t="shared" si="153"/>
        <v/>
      </c>
      <c r="AT40" s="580" t="str">
        <f t="shared" si="153"/>
        <v/>
      </c>
      <c r="AU40" s="580" t="str">
        <f t="shared" si="150"/>
        <v/>
      </c>
      <c r="AV40" s="580" t="str">
        <f t="shared" ref="AV40:AZ46" si="154">IF(AND(ISNUMBER(BG40),ISNUMBER(BS40)),SUM(BG40,BS40),"")</f>
        <v/>
      </c>
      <c r="AW40" s="580" t="str">
        <f t="shared" si="154"/>
        <v/>
      </c>
      <c r="AX40" s="580" t="str">
        <f t="shared" si="154"/>
        <v/>
      </c>
      <c r="AY40" s="580" t="str">
        <f t="shared" si="154"/>
        <v/>
      </c>
      <c r="AZ40" s="580" t="str">
        <f t="shared" si="154"/>
        <v/>
      </c>
      <c r="BA40" s="320"/>
      <c r="BB40" s="320"/>
      <c r="BC40" s="320"/>
      <c r="BD40" s="320"/>
      <c r="BE40" s="358"/>
      <c r="BF40" s="580" t="str">
        <f>IF(AND(ISNUMBER(BA40), ISNUMBER(BB40), ISNUMBER(BE40)), SUM(BA40,BB40,BE40), "")</f>
        <v/>
      </c>
      <c r="BG40" s="489"/>
      <c r="BH40" s="320"/>
      <c r="BI40" s="320"/>
      <c r="BJ40" s="917" t="str">
        <f>IF(AND(ISNUMBER(BG40),ISNUMBER(BH40),ISNUMBER(BI40)),SUM(BG40:BI40), "")</f>
        <v/>
      </c>
      <c r="BK40" s="320"/>
      <c r="BL40" s="320"/>
      <c r="BM40" s="320"/>
      <c r="BN40" s="320"/>
      <c r="BO40" s="320"/>
      <c r="BP40" s="320"/>
      <c r="BQ40" s="358"/>
      <c r="BR40" s="580" t="str">
        <f>IF(AND(ISNUMBER(BM40), ISNUMBER(BN40), ISNUMBER(BQ40)), SUM(BM40,BN40,BQ40), "")</f>
        <v/>
      </c>
      <c r="BS40" s="489"/>
      <c r="BT40" s="320"/>
      <c r="BU40" s="320"/>
      <c r="BV40" s="917" t="str">
        <f>IF(AND(ISNUMBER(BS40),ISNUMBER(BT40),ISNUMBER(BU40)),SUM(BS40:BU40), "")</f>
        <v/>
      </c>
      <c r="BW40" s="320"/>
      <c r="BX40" s="320"/>
      <c r="BY40" s="320"/>
      <c r="BZ40" s="320"/>
      <c r="CA40" s="320"/>
      <c r="CB40" s="320"/>
      <c r="CC40" s="320"/>
      <c r="CD40" s="320"/>
      <c r="CE40" s="580" t="str">
        <f t="shared" si="149"/>
        <v/>
      </c>
      <c r="CF40" s="320"/>
      <c r="CG40" s="320"/>
      <c r="CH40" s="320"/>
      <c r="CI40" s="209" t="str">
        <f>IF($C$7="No", 0, IF(AND(ISNUMBER(CF40), ISNUMBER(CG40), ISNUMBER(CH40)), SUM(CF40:CH40), ""))</f>
        <v/>
      </c>
      <c r="CJ40" s="907" t="str">
        <f t="shared" si="145"/>
        <v/>
      </c>
      <c r="CK40" s="502"/>
      <c r="CL40" s="318"/>
      <c r="CM40" s="318"/>
      <c r="CN40" s="318"/>
      <c r="CO40" s="318"/>
      <c r="CP40" s="318"/>
      <c r="CQ40" s="318"/>
      <c r="CR40" s="553" t="str">
        <f t="shared" si="146"/>
        <v/>
      </c>
      <c r="CS40" s="701" t="str">
        <f t="shared" si="147"/>
        <v/>
      </c>
      <c r="CT40" s="1928" t="str">
        <f>IF(AND(OR('General Info'!$C$19="Yes",'General Info'!$D$19="Yes"),ISNUMBER(CO40),ISNUMBER(CP40),ISNUMBER(CU40)),CO40-CP40+CU40,"")</f>
        <v/>
      </c>
      <c r="CU40" s="318"/>
      <c r="CV40" s="318"/>
      <c r="CW40" s="2293" t="str">
        <f>IF(AND(OR('General Info'!$C$19="Yes",'General Info'!$D$19="Yes"),ISNUMBER(AU40),ISNUMBER(CE40)),SUM(AU40,CE40),"")</f>
        <v/>
      </c>
      <c r="CX40" s="2293" t="str">
        <f>IF(AND(OR('General Info'!$C$19="Yes",'General Info'!$D$19="Yes"),ISNUMBER(AQ40),ISNUMBER(CA40)),SUM(AQ40,CA40),"")</f>
        <v/>
      </c>
      <c r="CY40" s="208"/>
      <c r="CZ40" s="2246"/>
    </row>
    <row r="41" spans="1:104" ht="15" customHeight="1" x14ac:dyDescent="0.25">
      <c r="A41" s="545"/>
      <c r="B41" s="507" t="s">
        <v>850</v>
      </c>
      <c r="C41" s="580" t="str">
        <f t="shared" ref="C41:H41" si="155">IF(AND(ISNUMBER(C42),ISNUMBER(C43)),SUM(C42:C43),"")</f>
        <v/>
      </c>
      <c r="D41" s="580" t="str">
        <f t="shared" si="155"/>
        <v/>
      </c>
      <c r="E41" s="580" t="str">
        <f t="shared" ref="E41" si="156">IF(AND(ISNUMBER(E42),ISNUMBER(E43)),SUM(E42:E43),"")</f>
        <v/>
      </c>
      <c r="F41" s="580" t="str">
        <f t="shared" si="155"/>
        <v/>
      </c>
      <c r="G41" s="580" t="str">
        <f t="shared" si="155"/>
        <v/>
      </c>
      <c r="H41" s="580" t="str">
        <f t="shared" si="155"/>
        <v/>
      </c>
      <c r="I41" s="580" t="str">
        <f>IF(AND(ISNUMBER(I42), ISNUMBER(I43)), SUM(I42:I43),"")</f>
        <v/>
      </c>
      <c r="J41" s="580" t="str">
        <f>IF(AND(ISNUMBER(J42), ISNUMBER(J43)), SUM(J42:J43),"")</f>
        <v/>
      </c>
      <c r="K41" s="580" t="str">
        <f>IF(AND(ISNUMBER(K42), ISNUMBER(K43)), SUM(K42:K43),"")</f>
        <v/>
      </c>
      <c r="L41" s="580" t="str">
        <f>IF(AND(ISNUMBER(L42), ISNUMBER(L43)), SUM(L42:L43),"")</f>
        <v/>
      </c>
      <c r="M41" s="580" t="str">
        <f>IF(AND(ISNUMBER(M42), ISNUMBER(M43)), SUM(M42:M43),"")</f>
        <v/>
      </c>
      <c r="N41" s="580" t="str">
        <f t="shared" ref="N41:S41" si="157">IF(AND(ISNUMBER(N42),ISNUMBER(N43)),SUM(N42:N43),"")</f>
        <v/>
      </c>
      <c r="O41" s="580" t="str">
        <f t="shared" si="157"/>
        <v/>
      </c>
      <c r="P41" s="580" t="str">
        <f t="shared" ref="P41" si="158">IF(AND(ISNUMBER(P42),ISNUMBER(P43)),SUM(P42:P43),"")</f>
        <v/>
      </c>
      <c r="Q41" s="580" t="str">
        <f t="shared" si="157"/>
        <v/>
      </c>
      <c r="R41" s="580" t="str">
        <f t="shared" si="157"/>
        <v/>
      </c>
      <c r="S41" s="580" t="str">
        <f t="shared" si="157"/>
        <v/>
      </c>
      <c r="T41" s="580" t="str">
        <f t="shared" ref="T41:Y41" si="159">IF(AND(ISNUMBER(T42), ISNUMBER(T43)), SUM(T42:T43),"")</f>
        <v/>
      </c>
      <c r="U41" s="580" t="str">
        <f t="shared" si="159"/>
        <v/>
      </c>
      <c r="V41" s="580" t="str">
        <f t="shared" si="159"/>
        <v/>
      </c>
      <c r="W41" s="580" t="str">
        <f t="shared" si="159"/>
        <v/>
      </c>
      <c r="X41" s="580" t="str">
        <f t="shared" si="159"/>
        <v/>
      </c>
      <c r="Y41" s="580" t="str">
        <f t="shared" si="159"/>
        <v/>
      </c>
      <c r="Z41" s="480"/>
      <c r="AA41" s="480"/>
      <c r="AB41" s="480"/>
      <c r="AC41" s="480"/>
      <c r="AD41" s="499"/>
      <c r="AE41" s="480"/>
      <c r="AF41" s="480"/>
      <c r="AG41" s="480"/>
      <c r="AH41" s="480"/>
      <c r="AI41" s="480"/>
      <c r="AJ41" s="480"/>
      <c r="AK41" s="480"/>
      <c r="AL41" s="247"/>
      <c r="AM41" s="247"/>
      <c r="AN41" s="247"/>
      <c r="AO41" s="247"/>
      <c r="AP41" s="580" t="str">
        <f t="shared" si="153"/>
        <v/>
      </c>
      <c r="AQ41" s="580" t="str">
        <f t="shared" si="153"/>
        <v/>
      </c>
      <c r="AR41" s="580" t="str">
        <f t="shared" si="153"/>
        <v/>
      </c>
      <c r="AS41" s="580" t="str">
        <f t="shared" si="153"/>
        <v/>
      </c>
      <c r="AT41" s="580" t="str">
        <f t="shared" si="153"/>
        <v/>
      </c>
      <c r="AU41" s="580" t="str">
        <f t="shared" si="150"/>
        <v/>
      </c>
      <c r="AV41" s="580" t="str">
        <f t="shared" si="154"/>
        <v/>
      </c>
      <c r="AW41" s="580" t="str">
        <f t="shared" si="154"/>
        <v/>
      </c>
      <c r="AX41" s="580" t="str">
        <f t="shared" si="154"/>
        <v/>
      </c>
      <c r="AY41" s="580" t="str">
        <f t="shared" si="154"/>
        <v/>
      </c>
      <c r="AZ41" s="580" t="str">
        <f t="shared" si="154"/>
        <v/>
      </c>
      <c r="BA41" s="580" t="str">
        <f t="shared" ref="BA41:BF41" si="160">IF(AND(ISNUMBER(BA42),ISNUMBER(BA43)),SUM(BA42:BA43),"")</f>
        <v/>
      </c>
      <c r="BB41" s="580" t="str">
        <f t="shared" ref="BB41:BC41" si="161">IF(AND(ISNUMBER(BB42),ISNUMBER(BB43)),SUM(BB42:BB43),"")</f>
        <v/>
      </c>
      <c r="BC41" s="580" t="str">
        <f t="shared" si="161"/>
        <v/>
      </c>
      <c r="BD41" s="580" t="str">
        <f t="shared" si="160"/>
        <v/>
      </c>
      <c r="BE41" s="580" t="str">
        <f t="shared" si="160"/>
        <v/>
      </c>
      <c r="BF41" s="1037" t="str">
        <f t="shared" si="160"/>
        <v/>
      </c>
      <c r="BG41" s="580" t="str">
        <f t="shared" ref="BG41:BL41" si="162">IF(AND(ISNUMBER(BG42), ISNUMBER(BG43)), SUM(BG42:BG43),"")</f>
        <v/>
      </c>
      <c r="BH41" s="580" t="str">
        <f t="shared" si="162"/>
        <v/>
      </c>
      <c r="BI41" s="580" t="str">
        <f t="shared" si="162"/>
        <v/>
      </c>
      <c r="BJ41" s="580" t="str">
        <f t="shared" si="162"/>
        <v/>
      </c>
      <c r="BK41" s="580" t="str">
        <f t="shared" si="162"/>
        <v/>
      </c>
      <c r="BL41" s="580" t="str">
        <f t="shared" si="162"/>
        <v/>
      </c>
      <c r="BM41" s="580" t="str">
        <f t="shared" ref="BM41" si="163">IF(AND(ISNUMBER(BM42),ISNUMBER(BM43)),SUM(BM42:BM43),"")</f>
        <v/>
      </c>
      <c r="BN41" s="580" t="str">
        <f t="shared" ref="BN41:BO41" si="164">IF(AND(ISNUMBER(BN42),ISNUMBER(BN43)),SUM(BN42:BN43),"")</f>
        <v/>
      </c>
      <c r="BO41" s="580" t="str">
        <f t="shared" si="164"/>
        <v/>
      </c>
      <c r="BP41" s="580" t="str">
        <f t="shared" ref="BP41:BR41" si="165">IF(AND(ISNUMBER(BP42),ISNUMBER(BP43)),SUM(BP42:BP43),"")</f>
        <v/>
      </c>
      <c r="BQ41" s="580" t="str">
        <f t="shared" si="165"/>
        <v/>
      </c>
      <c r="BR41" s="1037" t="str">
        <f t="shared" si="165"/>
        <v/>
      </c>
      <c r="BS41" s="580" t="str">
        <f t="shared" ref="BS41:BX41" si="166">IF(AND(ISNUMBER(BS42), ISNUMBER(BS43)), SUM(BS42:BS43),"")</f>
        <v/>
      </c>
      <c r="BT41" s="580" t="str">
        <f t="shared" si="166"/>
        <v/>
      </c>
      <c r="BU41" s="580" t="str">
        <f t="shared" si="166"/>
        <v/>
      </c>
      <c r="BV41" s="580" t="str">
        <f t="shared" si="166"/>
        <v/>
      </c>
      <c r="BW41" s="580" t="str">
        <f t="shared" si="166"/>
        <v/>
      </c>
      <c r="BX41" s="580" t="str">
        <f t="shared" si="166"/>
        <v/>
      </c>
      <c r="BY41" s="580" t="str">
        <f>IF($C$7="No", 0, IF(AND(ISNUMBER(BY42), ISNUMBER(BY43)),SUM(BY42:BY43), ""))</f>
        <v/>
      </c>
      <c r="BZ41" s="580" t="str">
        <f t="shared" ref="BZ41:CD41" si="167">IF($C$7="No", 0, IF(AND(ISNUMBER(BZ42), ISNUMBER(BZ43)),SUM(BZ42:BZ43), ""))</f>
        <v/>
      </c>
      <c r="CA41" s="580" t="str">
        <f t="shared" si="167"/>
        <v/>
      </c>
      <c r="CB41" s="580" t="str">
        <f t="shared" si="167"/>
        <v/>
      </c>
      <c r="CC41" s="580" t="str">
        <f t="shared" si="167"/>
        <v/>
      </c>
      <c r="CD41" s="580" t="str">
        <f t="shared" si="167"/>
        <v/>
      </c>
      <c r="CE41" s="580" t="str">
        <f t="shared" ref="CE41:CI41" si="168">IF(AND(ISNUMBER(CE42),ISNUMBER(CE43)),SUM(CE42:CE43),"")</f>
        <v/>
      </c>
      <c r="CF41" s="580" t="str">
        <f t="shared" ref="CF41:CH41" si="169">IF($C$7="No", 0, IF(AND(ISNUMBER(CF42), ISNUMBER(CF43)),SUM(CF42:CF43), ""))</f>
        <v/>
      </c>
      <c r="CG41" s="580" t="str">
        <f t="shared" si="169"/>
        <v/>
      </c>
      <c r="CH41" s="580" t="str">
        <f t="shared" si="169"/>
        <v/>
      </c>
      <c r="CI41" s="209" t="str">
        <f t="shared" si="168"/>
        <v/>
      </c>
      <c r="CJ41" s="907" t="str">
        <f t="shared" si="145"/>
        <v/>
      </c>
      <c r="CK41" s="502"/>
      <c r="CL41" s="479" t="str">
        <f>IF(AND(ISNUMBER(CL42),ISNUMBER(CL43)),SUM(CL42:CL43),"")</f>
        <v/>
      </c>
      <c r="CM41" s="506" t="str">
        <f t="shared" ref="CM41:CQ41" si="170">IF(AND(ISNUMBER(CM42),ISNUMBER(CM43)),SUM(CM42:CM43),"")</f>
        <v/>
      </c>
      <c r="CN41" s="506" t="str">
        <f t="shared" si="170"/>
        <v/>
      </c>
      <c r="CO41" s="506" t="str">
        <f t="shared" si="170"/>
        <v/>
      </c>
      <c r="CP41" s="506" t="str">
        <f>IF(AND(ISNUMBER(CP42),ISNUMBER(CP43)),SUM(CP42:CP43),"")</f>
        <v/>
      </c>
      <c r="CQ41" s="479" t="str">
        <f t="shared" si="170"/>
        <v/>
      </c>
      <c r="CR41" s="553" t="str">
        <f t="shared" si="146"/>
        <v/>
      </c>
      <c r="CS41" s="701" t="str">
        <f t="shared" si="147"/>
        <v/>
      </c>
      <c r="CT41" s="1928" t="str">
        <f t="shared" ref="CT41" si="171">IF(AND(ISNUMBER(CT42),ISNUMBER(CT43)),SUM(CT42:CT43),"")</f>
        <v/>
      </c>
      <c r="CU41" s="479" t="str">
        <f>IF(AND(OR('General Info'!$C$19="Yes",'General Info'!$D$19="Yes"),ISNUMBER(CU42),ISNUMBER(CU43)),SUM(CU42:CU43),"")</f>
        <v/>
      </c>
      <c r="CV41" s="479" t="str">
        <f>IF(AND(OR('General Info'!$C$19="Yes",'General Info'!$D$19="Yes"),ISNUMBER(CV42),ISNUMBER(CV43)),SUM(CV42:CV43),"")</f>
        <v/>
      </c>
      <c r="CW41" s="2293" t="str">
        <f>IF(AND(OR('General Info'!$C$19="Yes",'General Info'!$D$19="Yes"),ISNUMBER(AU41),ISNUMBER(CE41)),SUM(AU41,CE41),"")</f>
        <v/>
      </c>
      <c r="CX41" s="2293" t="str">
        <f>IF(AND(OR('General Info'!$C$19="Yes",'General Info'!$D$19="Yes"),ISNUMBER(AQ41),ISNUMBER(CA41)),SUM(AQ41,CA41),"")</f>
        <v/>
      </c>
      <c r="CY41" s="1016" t="str">
        <f>IF(AND(OR('General Info'!$C$19="Yes",'General Info'!$D$19="Yes"),ISNUMBER(CY42),ISNUMBER(CY43)),SUM(CY42:CY43),"")</f>
        <v/>
      </c>
      <c r="CZ41" s="2246"/>
    </row>
    <row r="42" spans="1:104" ht="15" customHeight="1" x14ac:dyDescent="0.25">
      <c r="A42" s="545"/>
      <c r="B42" s="336" t="s">
        <v>819</v>
      </c>
      <c r="C42" s="580" t="str">
        <f t="shared" ref="C42:G43" si="172">IF((ISNUMBER(N42)),N42,"")</f>
        <v/>
      </c>
      <c r="D42" s="580" t="str">
        <f t="shared" si="172"/>
        <v/>
      </c>
      <c r="E42" s="580" t="str">
        <f t="shared" si="172"/>
        <v/>
      </c>
      <c r="F42" s="580" t="str">
        <f t="shared" si="172"/>
        <v/>
      </c>
      <c r="G42" s="580" t="str">
        <f t="shared" si="172"/>
        <v/>
      </c>
      <c r="H42" s="580" t="str">
        <f>IF(AND(ISNUMBER(C42),ISNUMBER(D42),ISNUMBER(G42)),SUM(C42,D42,G42),"")</f>
        <v/>
      </c>
      <c r="I42" s="580" t="str">
        <f t="shared" ref="I42:M43" si="173">IF((ISNUMBER(T42)),T42,"")</f>
        <v/>
      </c>
      <c r="J42" s="580" t="str">
        <f t="shared" si="173"/>
        <v/>
      </c>
      <c r="K42" s="580" t="str">
        <f t="shared" si="173"/>
        <v/>
      </c>
      <c r="L42" s="580" t="str">
        <f t="shared" si="173"/>
        <v/>
      </c>
      <c r="M42" s="580" t="str">
        <f t="shared" si="173"/>
        <v/>
      </c>
      <c r="N42" s="322"/>
      <c r="O42" s="322"/>
      <c r="P42" s="322"/>
      <c r="Q42" s="322"/>
      <c r="R42" s="227"/>
      <c r="S42" s="580" t="str">
        <f>IF(AND(ISNUMBER(N42),ISNUMBER(O42),ISNUMBER(R42)),SUM(N42,O42,R42),"")</f>
        <v/>
      </c>
      <c r="T42" s="737"/>
      <c r="U42" s="322"/>
      <c r="V42" s="227"/>
      <c r="W42" s="580" t="str">
        <f t="shared" ref="W42:W43" si="174">IF(AND(ISNUMBER(T42),ISNUMBER(U42),ISNUMBER(V42)),SUM(T42:V42), "")</f>
        <v/>
      </c>
      <c r="X42" s="737"/>
      <c r="Y42" s="322"/>
      <c r="Z42" s="480"/>
      <c r="AA42" s="480"/>
      <c r="AB42" s="480"/>
      <c r="AC42" s="480"/>
      <c r="AD42" s="499"/>
      <c r="AE42" s="480"/>
      <c r="AF42" s="480"/>
      <c r="AG42" s="480"/>
      <c r="AH42" s="480"/>
      <c r="AI42" s="480"/>
      <c r="AJ42" s="480"/>
      <c r="AK42" s="480"/>
      <c r="AL42" s="318"/>
      <c r="AM42" s="318"/>
      <c r="AN42" s="318"/>
      <c r="AO42" s="318"/>
      <c r="AP42" s="580" t="str">
        <f t="shared" si="153"/>
        <v/>
      </c>
      <c r="AQ42" s="580" t="str">
        <f t="shared" si="153"/>
        <v/>
      </c>
      <c r="AR42" s="580" t="str">
        <f t="shared" si="153"/>
        <v/>
      </c>
      <c r="AS42" s="580" t="str">
        <f t="shared" si="153"/>
        <v/>
      </c>
      <c r="AT42" s="580" t="str">
        <f t="shared" si="153"/>
        <v/>
      </c>
      <c r="AU42" s="580" t="str">
        <f t="shared" si="150"/>
        <v/>
      </c>
      <c r="AV42" s="580" t="str">
        <f t="shared" si="154"/>
        <v/>
      </c>
      <c r="AW42" s="580" t="str">
        <f t="shared" si="154"/>
        <v/>
      </c>
      <c r="AX42" s="580" t="str">
        <f t="shared" si="154"/>
        <v/>
      </c>
      <c r="AY42" s="580" t="str">
        <f t="shared" si="154"/>
        <v/>
      </c>
      <c r="AZ42" s="580" t="str">
        <f t="shared" si="154"/>
        <v/>
      </c>
      <c r="BA42" s="322"/>
      <c r="BB42" s="322"/>
      <c r="BC42" s="322"/>
      <c r="BD42" s="322"/>
      <c r="BE42" s="227"/>
      <c r="BF42" s="580" t="str">
        <f>IF(AND(ISNUMBER(BA42), ISNUMBER(BB42), ISNUMBER(BE42)), SUM(BA42,BB42,BE42), "")</f>
        <v/>
      </c>
      <c r="BG42" s="737"/>
      <c r="BH42" s="322"/>
      <c r="BI42" s="322"/>
      <c r="BJ42" s="919" t="str">
        <f>IF(AND(ISNUMBER(BG42),ISNUMBER(BH42),ISNUMBER(BI42)),SUM(BG42:BI42), "")</f>
        <v/>
      </c>
      <c r="BK42" s="322"/>
      <c r="BL42" s="322"/>
      <c r="BM42" s="322"/>
      <c r="BN42" s="322"/>
      <c r="BO42" s="322"/>
      <c r="BP42" s="322"/>
      <c r="BQ42" s="227"/>
      <c r="BR42" s="580" t="str">
        <f>IF(AND(ISNUMBER(BM42), ISNUMBER(BN42), ISNUMBER(BQ42)), SUM(BM42,BN42,BQ42), "")</f>
        <v/>
      </c>
      <c r="BS42" s="737"/>
      <c r="BT42" s="322"/>
      <c r="BU42" s="322"/>
      <c r="BV42" s="919" t="str">
        <f>IF(AND(ISNUMBER(BS42),ISNUMBER(BT42),ISNUMBER(BU42)),SUM(BS42:BU42), "")</f>
        <v/>
      </c>
      <c r="BW42" s="322"/>
      <c r="BX42" s="322"/>
      <c r="BY42" s="322"/>
      <c r="BZ42" s="322"/>
      <c r="CA42" s="322"/>
      <c r="CB42" s="322"/>
      <c r="CC42" s="322"/>
      <c r="CD42" s="322"/>
      <c r="CE42" s="580" t="str">
        <f>IF($C$7="No", 0, IF(AND(ISNUMBER(BZ42),ISNUMBER(CA42),ISNUMBER(CD42)),SUM(BZ42,CA42,CD42),""))</f>
        <v/>
      </c>
      <c r="CF42" s="322"/>
      <c r="CG42" s="322"/>
      <c r="CH42" s="322"/>
      <c r="CI42" s="209" t="str">
        <f>IF($C$7="No", 0, IF(AND(ISNUMBER(CF42), ISNUMBER(CG42), ISNUMBER(CH42)), SUM(CF42:CH42), ""))</f>
        <v/>
      </c>
      <c r="CJ42" s="907" t="str">
        <f t="shared" si="145"/>
        <v/>
      </c>
      <c r="CK42" s="502"/>
      <c r="CL42" s="318"/>
      <c r="CM42" s="318"/>
      <c r="CN42" s="318"/>
      <c r="CO42" s="318"/>
      <c r="CP42" s="318"/>
      <c r="CQ42" s="318"/>
      <c r="CR42" s="553" t="str">
        <f t="shared" si="146"/>
        <v/>
      </c>
      <c r="CS42" s="701" t="str">
        <f t="shared" si="147"/>
        <v/>
      </c>
      <c r="CT42" s="1928" t="str">
        <f>IF(AND(OR('General Info'!$C$19="Yes",'General Info'!$D$19="Yes"),ISNUMBER(CO42),ISNUMBER(CP42),ISNUMBER(CU42)),CO42-CP42+CU42,"")</f>
        <v/>
      </c>
      <c r="CU42" s="318"/>
      <c r="CV42" s="318"/>
      <c r="CW42" s="2293" t="str">
        <f>IF(AND(OR('General Info'!$C$19="Yes",'General Info'!$D$19="Yes"),ISNUMBER(AU42),ISNUMBER(CE42)),SUM(AU42,CE42),"")</f>
        <v/>
      </c>
      <c r="CX42" s="2293" t="str">
        <f>IF(AND(OR('General Info'!$C$19="Yes",'General Info'!$D$19="Yes"),ISNUMBER(AQ42),ISNUMBER(CA42)),SUM(AQ42,CA42),"")</f>
        <v/>
      </c>
      <c r="CY42" s="208"/>
      <c r="CZ42" s="2246"/>
    </row>
    <row r="43" spans="1:104" ht="15" customHeight="1" x14ac:dyDescent="0.25">
      <c r="A43" s="545"/>
      <c r="B43" s="336" t="s">
        <v>851</v>
      </c>
      <c r="C43" s="580" t="str">
        <f t="shared" si="172"/>
        <v/>
      </c>
      <c r="D43" s="580" t="str">
        <f t="shared" si="172"/>
        <v/>
      </c>
      <c r="E43" s="580" t="str">
        <f t="shared" si="172"/>
        <v/>
      </c>
      <c r="F43" s="580" t="str">
        <f t="shared" si="172"/>
        <v/>
      </c>
      <c r="G43" s="580" t="str">
        <f t="shared" si="172"/>
        <v/>
      </c>
      <c r="H43" s="580" t="str">
        <f>IF(AND(ISNUMBER(C43),ISNUMBER(D43),ISNUMBER(G43)),SUM(C43,D43,G43),"")</f>
        <v/>
      </c>
      <c r="I43" s="580" t="str">
        <f t="shared" si="173"/>
        <v/>
      </c>
      <c r="J43" s="580" t="str">
        <f t="shared" si="173"/>
        <v/>
      </c>
      <c r="K43" s="580" t="str">
        <f t="shared" si="173"/>
        <v/>
      </c>
      <c r="L43" s="580" t="str">
        <f t="shared" si="173"/>
        <v/>
      </c>
      <c r="M43" s="580" t="str">
        <f t="shared" si="173"/>
        <v/>
      </c>
      <c r="N43" s="320"/>
      <c r="O43" s="320"/>
      <c r="P43" s="320"/>
      <c r="Q43" s="320"/>
      <c r="R43" s="358"/>
      <c r="S43" s="580" t="str">
        <f>IF(AND(ISNUMBER(N43),ISNUMBER(O43),ISNUMBER(R43)),SUM(N43,O43,R43),"")</f>
        <v/>
      </c>
      <c r="T43" s="489"/>
      <c r="U43" s="320"/>
      <c r="V43" s="358"/>
      <c r="W43" s="580" t="str">
        <f t="shared" si="174"/>
        <v/>
      </c>
      <c r="X43" s="489"/>
      <c r="Y43" s="320"/>
      <c r="Z43" s="480"/>
      <c r="AA43" s="480"/>
      <c r="AB43" s="480"/>
      <c r="AC43" s="480"/>
      <c r="AD43" s="499"/>
      <c r="AE43" s="480"/>
      <c r="AF43" s="480"/>
      <c r="AG43" s="480"/>
      <c r="AH43" s="480"/>
      <c r="AI43" s="480"/>
      <c r="AJ43" s="480"/>
      <c r="AK43" s="480"/>
      <c r="AL43" s="318"/>
      <c r="AM43" s="318"/>
      <c r="AN43" s="318"/>
      <c r="AO43" s="318"/>
      <c r="AP43" s="580" t="str">
        <f t="shared" si="153"/>
        <v/>
      </c>
      <c r="AQ43" s="580" t="str">
        <f t="shared" si="153"/>
        <v/>
      </c>
      <c r="AR43" s="580" t="str">
        <f t="shared" si="153"/>
        <v/>
      </c>
      <c r="AS43" s="580" t="str">
        <f t="shared" si="153"/>
        <v/>
      </c>
      <c r="AT43" s="580" t="str">
        <f t="shared" si="153"/>
        <v/>
      </c>
      <c r="AU43" s="580" t="str">
        <f t="shared" si="150"/>
        <v/>
      </c>
      <c r="AV43" s="580" t="str">
        <f t="shared" si="154"/>
        <v/>
      </c>
      <c r="AW43" s="580" t="str">
        <f t="shared" si="154"/>
        <v/>
      </c>
      <c r="AX43" s="580" t="str">
        <f t="shared" si="154"/>
        <v/>
      </c>
      <c r="AY43" s="580" t="str">
        <f t="shared" si="154"/>
        <v/>
      </c>
      <c r="AZ43" s="580" t="str">
        <f t="shared" si="154"/>
        <v/>
      </c>
      <c r="BA43" s="318"/>
      <c r="BB43" s="318"/>
      <c r="BC43" s="318"/>
      <c r="BD43" s="318"/>
      <c r="BE43" s="208"/>
      <c r="BF43" s="580" t="str">
        <f>IF(AND(ISNUMBER(BA43), ISNUMBER(BB43), ISNUMBER(BE43)), SUM(BA43,BB43,BE43), "")</f>
        <v/>
      </c>
      <c r="BG43" s="481"/>
      <c r="BH43" s="318"/>
      <c r="BI43" s="318"/>
      <c r="BJ43" s="580" t="str">
        <f>IF(AND(ISNUMBER(BG43),ISNUMBER(BH43),ISNUMBER(BI43)),SUM(BG43:BI43), "")</f>
        <v/>
      </c>
      <c r="BK43" s="318"/>
      <c r="BL43" s="318"/>
      <c r="BM43" s="318"/>
      <c r="BN43" s="318"/>
      <c r="BO43" s="318"/>
      <c r="BP43" s="318"/>
      <c r="BQ43" s="208"/>
      <c r="BR43" s="580" t="str">
        <f>IF(AND(ISNUMBER(BM43), ISNUMBER(BN43), ISNUMBER(BQ43)), SUM(BM43,BN43,BQ43), "")</f>
        <v/>
      </c>
      <c r="BS43" s="481"/>
      <c r="BT43" s="318"/>
      <c r="BU43" s="318"/>
      <c r="BV43" s="580" t="str">
        <f>IF(AND(ISNUMBER(BS43),ISNUMBER(BT43),ISNUMBER(BU43)),SUM(BS43:BU43), "")</f>
        <v/>
      </c>
      <c r="BW43" s="318"/>
      <c r="BX43" s="318"/>
      <c r="BY43" s="318"/>
      <c r="BZ43" s="318"/>
      <c r="CA43" s="318"/>
      <c r="CB43" s="318"/>
      <c r="CC43" s="318"/>
      <c r="CD43" s="318"/>
      <c r="CE43" s="580" t="str">
        <f>IF($C$7="No", 0, IF(AND(ISNUMBER(BZ43),ISNUMBER(CA43),ISNUMBER(CD43)),SUM(BZ43,CA43,CD43),""))</f>
        <v/>
      </c>
      <c r="CF43" s="318"/>
      <c r="CG43" s="318"/>
      <c r="CH43" s="318"/>
      <c r="CI43" s="209" t="str">
        <f>IF($C$7="No", 0, IF(AND(ISNUMBER(CF43), ISNUMBER(CG43), ISNUMBER(CH43)), SUM(CF43:CH43), ""))</f>
        <v/>
      </c>
      <c r="CJ43" s="907" t="str">
        <f t="shared" si="145"/>
        <v/>
      </c>
      <c r="CK43" s="502"/>
      <c r="CL43" s="318"/>
      <c r="CM43" s="318"/>
      <c r="CN43" s="318"/>
      <c r="CO43" s="318"/>
      <c r="CP43" s="318"/>
      <c r="CQ43" s="318"/>
      <c r="CR43" s="553" t="str">
        <f t="shared" si="146"/>
        <v/>
      </c>
      <c r="CS43" s="701" t="str">
        <f t="shared" si="147"/>
        <v/>
      </c>
      <c r="CT43" s="1928" t="str">
        <f>IF(AND(OR('General Info'!$C$19="Yes",'General Info'!$D$19="Yes"),ISNUMBER(CO43),ISNUMBER(CP43),ISNUMBER(CU43)),CO43-CP43+CU43,"")</f>
        <v/>
      </c>
      <c r="CU43" s="318"/>
      <c r="CV43" s="318"/>
      <c r="CW43" s="2293" t="str">
        <f>IF(AND(OR('General Info'!$C$19="Yes",'General Info'!$D$19="Yes"),ISNUMBER(AU43),ISNUMBER(CE43)),SUM(AU43,CE43),"")</f>
        <v/>
      </c>
      <c r="CX43" s="2293" t="str">
        <f>IF(AND(OR('General Info'!$C$19="Yes",'General Info'!$D$19="Yes"),ISNUMBER(AQ43),ISNUMBER(CA43)),SUM(AQ43,CA43),"")</f>
        <v/>
      </c>
      <c r="CY43" s="208"/>
      <c r="CZ43" s="2246"/>
    </row>
    <row r="44" spans="1:104" ht="15" customHeight="1" x14ac:dyDescent="0.25">
      <c r="A44" s="545"/>
      <c r="B44" s="507" t="s">
        <v>852</v>
      </c>
      <c r="C44" s="580" t="str">
        <f t="shared" ref="C44:R44" si="175">IF(AND(ISNUMBER(C45),ISNUMBER(C48)),SUM(C45,C48),"")</f>
        <v/>
      </c>
      <c r="D44" s="580" t="str">
        <f t="shared" si="175"/>
        <v/>
      </c>
      <c r="E44" s="580" t="str">
        <f t="shared" si="175"/>
        <v/>
      </c>
      <c r="F44" s="580" t="str">
        <f t="shared" si="175"/>
        <v/>
      </c>
      <c r="G44" s="580" t="str">
        <f t="shared" si="175"/>
        <v/>
      </c>
      <c r="H44" s="580" t="str">
        <f t="shared" si="175"/>
        <v/>
      </c>
      <c r="I44" s="580" t="str">
        <f t="shared" ref="I44" si="176">IF(AND(ISNUMBER(I45),ISNUMBER(I48)),SUM(I45,I48),"")</f>
        <v/>
      </c>
      <c r="J44" s="580" t="str">
        <f t="shared" ref="J44" si="177">IF(AND(ISNUMBER(J45),ISNUMBER(J48)),SUM(J45,J48),"")</f>
        <v/>
      </c>
      <c r="K44" s="580" t="str">
        <f t="shared" ref="K44" si="178">IF(AND(ISNUMBER(K45),ISNUMBER(K48)),SUM(K45,K48),"")</f>
        <v/>
      </c>
      <c r="L44" s="580" t="str">
        <f t="shared" si="175"/>
        <v/>
      </c>
      <c r="M44" s="580" t="str">
        <f t="shared" si="175"/>
        <v/>
      </c>
      <c r="N44" s="580" t="str">
        <f t="shared" si="175"/>
        <v/>
      </c>
      <c r="O44" s="580" t="str">
        <f t="shared" si="175"/>
        <v/>
      </c>
      <c r="P44" s="580" t="str">
        <f t="shared" si="175"/>
        <v/>
      </c>
      <c r="Q44" s="580" t="str">
        <f t="shared" si="175"/>
        <v/>
      </c>
      <c r="R44" s="580" t="str">
        <f t="shared" si="175"/>
        <v/>
      </c>
      <c r="S44" s="580" t="str">
        <f t="shared" ref="S44:Y44" si="179">IF(AND(ISNUMBER(S45),ISNUMBER(S48)),SUM(S45,S48),"")</f>
        <v/>
      </c>
      <c r="T44" s="580" t="str">
        <f t="shared" si="179"/>
        <v/>
      </c>
      <c r="U44" s="580" t="str">
        <f t="shared" si="179"/>
        <v/>
      </c>
      <c r="V44" s="580" t="str">
        <f t="shared" si="179"/>
        <v/>
      </c>
      <c r="W44" s="580" t="str">
        <f t="shared" si="179"/>
        <v/>
      </c>
      <c r="X44" s="580" t="str">
        <f t="shared" si="179"/>
        <v/>
      </c>
      <c r="Y44" s="580" t="str">
        <f t="shared" si="179"/>
        <v/>
      </c>
      <c r="Z44" s="480"/>
      <c r="AA44" s="480"/>
      <c r="AB44" s="480"/>
      <c r="AC44" s="480"/>
      <c r="AD44" s="499"/>
      <c r="AE44" s="480"/>
      <c r="AF44" s="480"/>
      <c r="AG44" s="480"/>
      <c r="AH44" s="480"/>
      <c r="AI44" s="480"/>
      <c r="AJ44" s="480"/>
      <c r="AK44" s="480"/>
      <c r="AL44" s="247"/>
      <c r="AM44" s="247"/>
      <c r="AN44" s="247"/>
      <c r="AO44" s="247"/>
      <c r="AP44" s="580" t="str">
        <f t="shared" si="153"/>
        <v/>
      </c>
      <c r="AQ44" s="580" t="str">
        <f t="shared" si="153"/>
        <v/>
      </c>
      <c r="AR44" s="580" t="str">
        <f t="shared" si="153"/>
        <v/>
      </c>
      <c r="AS44" s="580" t="str">
        <f t="shared" si="153"/>
        <v/>
      </c>
      <c r="AT44" s="580" t="str">
        <f t="shared" si="153"/>
        <v/>
      </c>
      <c r="AU44" s="580" t="str">
        <f t="shared" si="150"/>
        <v/>
      </c>
      <c r="AV44" s="580" t="str">
        <f t="shared" si="154"/>
        <v/>
      </c>
      <c r="AW44" s="580" t="str">
        <f t="shared" si="154"/>
        <v/>
      </c>
      <c r="AX44" s="580" t="str">
        <f t="shared" si="154"/>
        <v/>
      </c>
      <c r="AY44" s="580" t="str">
        <f t="shared" si="154"/>
        <v/>
      </c>
      <c r="AZ44" s="580" t="str">
        <f t="shared" si="154"/>
        <v/>
      </c>
      <c r="BA44" s="580" t="str">
        <f>IF(AND(ISNUMBER(BA45),ISNUMBER(BA48)),SUM(BA45,BA48),"")</f>
        <v/>
      </c>
      <c r="BB44" s="580" t="str">
        <f t="shared" ref="BB44:BF44" si="180">IF(AND(ISNUMBER(BB45),ISNUMBER(BB48)),SUM(BB45,BB48),"")</f>
        <v/>
      </c>
      <c r="BC44" s="580" t="str">
        <f t="shared" si="180"/>
        <v/>
      </c>
      <c r="BD44" s="580" t="str">
        <f t="shared" si="180"/>
        <v/>
      </c>
      <c r="BE44" s="580" t="str">
        <f t="shared" si="180"/>
        <v/>
      </c>
      <c r="BF44" s="1037" t="str">
        <f t="shared" si="180"/>
        <v/>
      </c>
      <c r="BG44" s="580" t="str">
        <f t="shared" ref="BG44:BM44" si="181">IF(AND(ISNUMBER(BG45),ISNUMBER(BG48)),SUM(BG45,BG48),"")</f>
        <v/>
      </c>
      <c r="BH44" s="580" t="str">
        <f t="shared" si="181"/>
        <v/>
      </c>
      <c r="BI44" s="580" t="str">
        <f t="shared" si="181"/>
        <v/>
      </c>
      <c r="BJ44" s="580" t="str">
        <f t="shared" si="181"/>
        <v/>
      </c>
      <c r="BK44" s="580" t="str">
        <f t="shared" si="181"/>
        <v/>
      </c>
      <c r="BL44" s="580" t="str">
        <f t="shared" si="181"/>
        <v/>
      </c>
      <c r="BM44" s="580" t="str">
        <f t="shared" si="181"/>
        <v/>
      </c>
      <c r="BN44" s="580" t="str">
        <f t="shared" ref="BN44:BR44" si="182">IF(AND(ISNUMBER(BN45),ISNUMBER(BN48)),SUM(BN45,BN48),"")</f>
        <v/>
      </c>
      <c r="BO44" s="580" t="str">
        <f t="shared" si="182"/>
        <v/>
      </c>
      <c r="BP44" s="580" t="str">
        <f t="shared" si="182"/>
        <v/>
      </c>
      <c r="BQ44" s="580" t="str">
        <f t="shared" si="182"/>
        <v/>
      </c>
      <c r="BR44" s="1037" t="str">
        <f t="shared" si="182"/>
        <v/>
      </c>
      <c r="BS44" s="580" t="str">
        <f t="shared" ref="BS44:BX44" si="183">IF(AND(ISNUMBER(BS45),ISNUMBER(BS48)),SUM(BS45,BS48),"")</f>
        <v/>
      </c>
      <c r="BT44" s="580" t="str">
        <f t="shared" si="183"/>
        <v/>
      </c>
      <c r="BU44" s="580" t="str">
        <f t="shared" si="183"/>
        <v/>
      </c>
      <c r="BV44" s="580" t="str">
        <f t="shared" si="183"/>
        <v/>
      </c>
      <c r="BW44" s="580" t="str">
        <f t="shared" si="183"/>
        <v/>
      </c>
      <c r="BX44" s="580" t="str">
        <f t="shared" si="183"/>
        <v/>
      </c>
      <c r="BY44" s="580" t="str">
        <f>IF($C$7="No", 0, IF(AND(ISNUMBER(BY45), ISNUMBER(BY48)), SUM(BY45,BY48), ""))</f>
        <v/>
      </c>
      <c r="BZ44" s="580" t="str">
        <f t="shared" ref="BZ44:CD44" si="184">IF($C$7="No", 0, IF(AND(ISNUMBER(BZ45), ISNUMBER(BZ48)), SUM(BZ45,BZ48), ""))</f>
        <v/>
      </c>
      <c r="CA44" s="580" t="str">
        <f t="shared" si="184"/>
        <v/>
      </c>
      <c r="CB44" s="580" t="str">
        <f t="shared" si="184"/>
        <v/>
      </c>
      <c r="CC44" s="580" t="str">
        <f t="shared" si="184"/>
        <v/>
      </c>
      <c r="CD44" s="580" t="str">
        <f t="shared" si="184"/>
        <v/>
      </c>
      <c r="CE44" s="580" t="str">
        <f t="shared" ref="CE44:CI44" si="185">IF(AND(ISNUMBER(CE45),ISNUMBER(CE48)),SUM(CE45,CE48),"")</f>
        <v/>
      </c>
      <c r="CF44" s="580" t="str">
        <f t="shared" ref="CF44:CH44" si="186">IF($C$7="No", 0, IF(AND(ISNUMBER(CF45), ISNUMBER(CF48)), SUM(CF45,CF48), ""))</f>
        <v/>
      </c>
      <c r="CG44" s="580" t="str">
        <f t="shared" si="186"/>
        <v/>
      </c>
      <c r="CH44" s="580" t="str">
        <f t="shared" si="186"/>
        <v/>
      </c>
      <c r="CI44" s="209" t="str">
        <f t="shared" si="185"/>
        <v/>
      </c>
      <c r="CJ44" s="907" t="str">
        <f t="shared" si="145"/>
        <v/>
      </c>
      <c r="CK44" s="502"/>
      <c r="CL44" s="479" t="str">
        <f>IF(AND(ISNUMBER(CL45),ISNUMBER(CL48)),SUM(CL45,CL48),"")</f>
        <v/>
      </c>
      <c r="CM44" s="479" t="str">
        <f t="shared" ref="CM44:CQ44" si="187">IF(AND(ISNUMBER(CM45),ISNUMBER(CM48)),SUM(CM45,CM48),"")</f>
        <v/>
      </c>
      <c r="CN44" s="479" t="str">
        <f t="shared" si="187"/>
        <v/>
      </c>
      <c r="CO44" s="479" t="str">
        <f t="shared" si="187"/>
        <v/>
      </c>
      <c r="CP44" s="479" t="str">
        <f t="shared" si="187"/>
        <v/>
      </c>
      <c r="CQ44" s="479" t="str">
        <f t="shared" si="187"/>
        <v/>
      </c>
      <c r="CR44" s="553" t="str">
        <f t="shared" si="146"/>
        <v/>
      </c>
      <c r="CS44" s="701" t="str">
        <f t="shared" si="147"/>
        <v/>
      </c>
      <c r="CT44" s="1928" t="str">
        <f t="shared" ref="CT44" si="188">IF(AND(ISNUMBER(CT45),ISNUMBER(CT48)),SUM(CT45,CT48),"")</f>
        <v/>
      </c>
      <c r="CU44" s="479" t="str">
        <f>IF(AND(OR('General Info'!$C$19="Yes",'General Info'!$D$19="Yes"),ISNUMBER(CU45),ISNUMBER(CU48)),SUM(CU45,CU48),"")</f>
        <v/>
      </c>
      <c r="CV44" s="479" t="str">
        <f>IF(AND(OR('General Info'!$C$19="Yes",'General Info'!$D$19="Yes"),ISNUMBER(CV45),ISNUMBER(CV48)),SUM(CV45,CV48),"")</f>
        <v/>
      </c>
      <c r="CW44" s="2293" t="str">
        <f>IF(AND(OR('General Info'!$C$19="Yes",'General Info'!$D$19="Yes"),ISNUMBER(AU44),ISNUMBER(CE44)),SUM(AU44,CE44),"")</f>
        <v/>
      </c>
      <c r="CX44" s="2293" t="str">
        <f>IF(AND(OR('General Info'!$C$19="Yes",'General Info'!$D$19="Yes"),ISNUMBER(AQ44),ISNUMBER(CA44)),SUM(AQ44,CA44),"")</f>
        <v/>
      </c>
      <c r="CY44" s="1016" t="str">
        <f>IF(AND(OR('General Info'!$C$19="Yes",'General Info'!$D$19="Yes"),ISNUMBER(CY45),ISNUMBER(CY48)),SUM(CY45,CY48),"")</f>
        <v/>
      </c>
      <c r="CZ44" s="2246"/>
    </row>
    <row r="45" spans="1:104" ht="15" customHeight="1" x14ac:dyDescent="0.25">
      <c r="A45" s="545"/>
      <c r="B45" s="336" t="s">
        <v>854</v>
      </c>
      <c r="C45" s="580" t="str">
        <f t="shared" ref="C45:G46" si="189">IF((ISNUMBER(N45)),N45,"")</f>
        <v/>
      </c>
      <c r="D45" s="580" t="str">
        <f t="shared" si="189"/>
        <v/>
      </c>
      <c r="E45" s="580" t="str">
        <f t="shared" si="189"/>
        <v/>
      </c>
      <c r="F45" s="580" t="str">
        <f t="shared" si="189"/>
        <v/>
      </c>
      <c r="G45" s="580" t="str">
        <f t="shared" si="189"/>
        <v/>
      </c>
      <c r="H45" s="580" t="str">
        <f t="shared" ref="H45:H63" si="190">IF(AND(ISNUMBER(C45),ISNUMBER(D45),ISNUMBER(G45)),SUM(C45,D45,G45),"")</f>
        <v/>
      </c>
      <c r="I45" s="580" t="str">
        <f t="shared" ref="I45:M46" si="191">IF((ISNUMBER(T45)),T45,"")</f>
        <v/>
      </c>
      <c r="J45" s="580" t="str">
        <f t="shared" si="191"/>
        <v/>
      </c>
      <c r="K45" s="580" t="str">
        <f t="shared" si="191"/>
        <v/>
      </c>
      <c r="L45" s="580" t="str">
        <f t="shared" si="191"/>
        <v/>
      </c>
      <c r="M45" s="580" t="str">
        <f t="shared" si="191"/>
        <v/>
      </c>
      <c r="N45" s="322"/>
      <c r="O45" s="322"/>
      <c r="P45" s="322"/>
      <c r="Q45" s="322"/>
      <c r="R45" s="227"/>
      <c r="S45" s="580" t="str">
        <f t="shared" ref="S45:S60" si="192">IF(AND(ISNUMBER(N45),ISNUMBER(O45),ISNUMBER(R45)),SUM(N45,O45,R45),"")</f>
        <v/>
      </c>
      <c r="T45" s="737"/>
      <c r="U45" s="322"/>
      <c r="V45" s="227"/>
      <c r="W45" s="580" t="str">
        <f t="shared" ref="W45:W46" si="193">IF(AND(ISNUMBER(T45),ISNUMBER(U45),ISNUMBER(V45)),SUM(T45:V45), "")</f>
        <v/>
      </c>
      <c r="X45" s="737"/>
      <c r="Y45" s="322"/>
      <c r="Z45" s="480"/>
      <c r="AA45" s="480"/>
      <c r="AB45" s="480"/>
      <c r="AC45" s="480"/>
      <c r="AD45" s="499"/>
      <c r="AE45" s="480"/>
      <c r="AF45" s="480"/>
      <c r="AG45" s="480"/>
      <c r="AH45" s="480"/>
      <c r="AI45" s="480"/>
      <c r="AJ45" s="480"/>
      <c r="AK45" s="480"/>
      <c r="AL45" s="318"/>
      <c r="AM45" s="318"/>
      <c r="AN45" s="318"/>
      <c r="AO45" s="318"/>
      <c r="AP45" s="580" t="str">
        <f t="shared" si="153"/>
        <v/>
      </c>
      <c r="AQ45" s="580" t="str">
        <f t="shared" si="153"/>
        <v/>
      </c>
      <c r="AR45" s="580" t="str">
        <f t="shared" si="153"/>
        <v/>
      </c>
      <c r="AS45" s="580" t="str">
        <f t="shared" si="153"/>
        <v/>
      </c>
      <c r="AT45" s="580" t="str">
        <f t="shared" si="153"/>
        <v/>
      </c>
      <c r="AU45" s="580" t="str">
        <f t="shared" si="150"/>
        <v/>
      </c>
      <c r="AV45" s="580" t="str">
        <f t="shared" si="154"/>
        <v/>
      </c>
      <c r="AW45" s="580" t="str">
        <f t="shared" si="154"/>
        <v/>
      </c>
      <c r="AX45" s="580" t="str">
        <f t="shared" si="154"/>
        <v/>
      </c>
      <c r="AY45" s="580" t="str">
        <f t="shared" si="154"/>
        <v/>
      </c>
      <c r="AZ45" s="580" t="str">
        <f t="shared" si="154"/>
        <v/>
      </c>
      <c r="BA45" s="318"/>
      <c r="BB45" s="318"/>
      <c r="BC45" s="318"/>
      <c r="BD45" s="318"/>
      <c r="BE45" s="208"/>
      <c r="BF45" s="580" t="str">
        <f>IF(AND(ISNUMBER(BA45), ISNUMBER(BB45), ISNUMBER(BE45)), SUM(BA45,BB45,BE45), "")</f>
        <v/>
      </c>
      <c r="BG45" s="481"/>
      <c r="BH45" s="318"/>
      <c r="BI45" s="318"/>
      <c r="BJ45" s="580" t="str">
        <f>IF(AND(ISNUMBER(BG45),ISNUMBER(BH45),ISNUMBER(BI45)),SUM(BG45:BI45), "")</f>
        <v/>
      </c>
      <c r="BK45" s="318"/>
      <c r="BL45" s="318"/>
      <c r="BM45" s="318"/>
      <c r="BN45" s="318"/>
      <c r="BO45" s="318"/>
      <c r="BP45" s="318"/>
      <c r="BQ45" s="208"/>
      <c r="BR45" s="580" t="str">
        <f>IF(AND(ISNUMBER(BM45), ISNUMBER(BN45), ISNUMBER(BQ45)), SUM(BM45,BN45,BQ45), "")</f>
        <v/>
      </c>
      <c r="BS45" s="481"/>
      <c r="BT45" s="318"/>
      <c r="BU45" s="318"/>
      <c r="BV45" s="580" t="str">
        <f>IF(AND(ISNUMBER(BS45),ISNUMBER(BT45),ISNUMBER(BU45)),SUM(BS45:BU45), "")</f>
        <v/>
      </c>
      <c r="BW45" s="318"/>
      <c r="BX45" s="318"/>
      <c r="BY45" s="318"/>
      <c r="BZ45" s="318"/>
      <c r="CA45" s="318"/>
      <c r="CB45" s="318"/>
      <c r="CC45" s="318"/>
      <c r="CD45" s="318"/>
      <c r="CE45" s="580" t="str">
        <f>IF($C$7="No", 0, IF(AND(ISNUMBER(BZ45),ISNUMBER(CA45),ISNUMBER(CD45)),SUM(BZ45,CA45,CD45),""))</f>
        <v/>
      </c>
      <c r="CF45" s="318"/>
      <c r="CG45" s="318"/>
      <c r="CH45" s="318"/>
      <c r="CI45" s="209" t="str">
        <f>IF($C$7="No", 0, IF(AND(ISNUMBER(CF45), ISNUMBER(CG45), ISNUMBER(CH45)), SUM(CF45:CH45), ""))</f>
        <v/>
      </c>
      <c r="CJ45" s="907" t="str">
        <f t="shared" si="145"/>
        <v/>
      </c>
      <c r="CK45" s="502"/>
      <c r="CL45" s="318"/>
      <c r="CM45" s="318"/>
      <c r="CN45" s="318"/>
      <c r="CO45" s="318"/>
      <c r="CP45" s="318"/>
      <c r="CQ45" s="318"/>
      <c r="CR45" s="553" t="str">
        <f t="shared" si="146"/>
        <v/>
      </c>
      <c r="CS45" s="701" t="str">
        <f t="shared" si="147"/>
        <v/>
      </c>
      <c r="CT45" s="1928" t="str">
        <f>IF(AND(OR('General Info'!$C$19="Yes",'General Info'!$D$19="Yes"),ISNUMBER(CO45),ISNUMBER(CP45),ISNUMBER(CU45)),CO45-CP45+CU45,"")</f>
        <v/>
      </c>
      <c r="CU45" s="318"/>
      <c r="CV45" s="318"/>
      <c r="CW45" s="2293" t="str">
        <f>IF(AND(OR('General Info'!$C$19="Yes",'General Info'!$D$19="Yes"),ISNUMBER(AU45),ISNUMBER(CE45)),SUM(AU45,CE45),"")</f>
        <v/>
      </c>
      <c r="CX45" s="2293" t="str">
        <f>IF(AND(OR('General Info'!$C$19="Yes",'General Info'!$D$19="Yes"),ISNUMBER(AQ45),ISNUMBER(CA45)),SUM(AQ45,CA45),"")</f>
        <v/>
      </c>
      <c r="CY45" s="208"/>
      <c r="CZ45" s="2246"/>
    </row>
    <row r="46" spans="1:104" ht="15" customHeight="1" x14ac:dyDescent="0.25">
      <c r="A46" s="545"/>
      <c r="B46" s="615" t="s">
        <v>853</v>
      </c>
      <c r="C46" s="580" t="str">
        <f t="shared" si="189"/>
        <v/>
      </c>
      <c r="D46" s="580" t="str">
        <f t="shared" si="189"/>
        <v/>
      </c>
      <c r="E46" s="580" t="str">
        <f t="shared" si="189"/>
        <v/>
      </c>
      <c r="F46" s="580" t="str">
        <f t="shared" si="189"/>
        <v/>
      </c>
      <c r="G46" s="580" t="str">
        <f t="shared" si="189"/>
        <v/>
      </c>
      <c r="H46" s="580" t="str">
        <f t="shared" si="190"/>
        <v/>
      </c>
      <c r="I46" s="580" t="str">
        <f t="shared" si="191"/>
        <v/>
      </c>
      <c r="J46" s="580" t="str">
        <f t="shared" si="191"/>
        <v/>
      </c>
      <c r="K46" s="580" t="str">
        <f t="shared" si="191"/>
        <v/>
      </c>
      <c r="L46" s="580" t="str">
        <f t="shared" si="191"/>
        <v/>
      </c>
      <c r="M46" s="580" t="str">
        <f t="shared" si="191"/>
        <v/>
      </c>
      <c r="N46" s="318"/>
      <c r="O46" s="318"/>
      <c r="P46" s="318"/>
      <c r="Q46" s="318"/>
      <c r="R46" s="208"/>
      <c r="S46" s="580" t="str">
        <f t="shared" si="192"/>
        <v/>
      </c>
      <c r="T46" s="481"/>
      <c r="U46" s="318"/>
      <c r="V46" s="208"/>
      <c r="W46" s="580" t="str">
        <f t="shared" si="193"/>
        <v/>
      </c>
      <c r="X46" s="481"/>
      <c r="Y46" s="318"/>
      <c r="Z46" s="480"/>
      <c r="AA46" s="480"/>
      <c r="AB46" s="480"/>
      <c r="AC46" s="480"/>
      <c r="AD46" s="499"/>
      <c r="AE46" s="480"/>
      <c r="AF46" s="480"/>
      <c r="AG46" s="480"/>
      <c r="AH46" s="480"/>
      <c r="AI46" s="480"/>
      <c r="AJ46" s="480"/>
      <c r="AK46" s="480"/>
      <c r="AL46" s="318"/>
      <c r="AM46" s="318"/>
      <c r="AN46" s="318"/>
      <c r="AO46" s="318"/>
      <c r="AP46" s="580" t="str">
        <f t="shared" si="153"/>
        <v/>
      </c>
      <c r="AQ46" s="580" t="str">
        <f t="shared" si="153"/>
        <v/>
      </c>
      <c r="AR46" s="580" t="str">
        <f t="shared" si="153"/>
        <v/>
      </c>
      <c r="AS46" s="580" t="str">
        <f t="shared" si="153"/>
        <v/>
      </c>
      <c r="AT46" s="580" t="str">
        <f t="shared" si="153"/>
        <v/>
      </c>
      <c r="AU46" s="580" t="str">
        <f t="shared" si="150"/>
        <v/>
      </c>
      <c r="AV46" s="580" t="str">
        <f t="shared" si="154"/>
        <v/>
      </c>
      <c r="AW46" s="580" t="str">
        <f t="shared" si="154"/>
        <v/>
      </c>
      <c r="AX46" s="580" t="str">
        <f t="shared" si="154"/>
        <v/>
      </c>
      <c r="AY46" s="580" t="str">
        <f t="shared" si="154"/>
        <v/>
      </c>
      <c r="AZ46" s="580" t="str">
        <f t="shared" si="154"/>
        <v/>
      </c>
      <c r="BA46" s="318"/>
      <c r="BB46" s="318"/>
      <c r="BC46" s="318"/>
      <c r="BD46" s="318"/>
      <c r="BE46" s="208"/>
      <c r="BF46" s="580" t="str">
        <f>IF(AND(ISNUMBER(BA46), ISNUMBER(BB46), ISNUMBER(BE46)), SUM(BA46,BB46,BE46), "")</f>
        <v/>
      </c>
      <c r="BG46" s="481"/>
      <c r="BH46" s="318"/>
      <c r="BI46" s="318"/>
      <c r="BJ46" s="580" t="str">
        <f>IF(AND(ISNUMBER(BG46),ISNUMBER(BH46),ISNUMBER(BI46)),SUM(BG46:BI46), "")</f>
        <v/>
      </c>
      <c r="BK46" s="318"/>
      <c r="BL46" s="318"/>
      <c r="BM46" s="318"/>
      <c r="BN46" s="318"/>
      <c r="BO46" s="318"/>
      <c r="BP46" s="318"/>
      <c r="BQ46" s="208"/>
      <c r="BR46" s="580" t="str">
        <f>IF(AND(ISNUMBER(BM46), ISNUMBER(BN46), ISNUMBER(BQ46)), SUM(BM46,BN46,BQ46), "")</f>
        <v/>
      </c>
      <c r="BS46" s="481"/>
      <c r="BT46" s="318"/>
      <c r="BU46" s="318"/>
      <c r="BV46" s="580" t="str">
        <f>IF(AND(ISNUMBER(BS46),ISNUMBER(BT46),ISNUMBER(BU46)),SUM(BS46:BU46), "")</f>
        <v/>
      </c>
      <c r="BW46" s="318"/>
      <c r="BX46" s="318"/>
      <c r="BY46" s="318"/>
      <c r="BZ46" s="318"/>
      <c r="CA46" s="318"/>
      <c r="CB46" s="318"/>
      <c r="CC46" s="318"/>
      <c r="CD46" s="318"/>
      <c r="CE46" s="580" t="str">
        <f>IF($C$7="No", 0, IF(AND(ISNUMBER(BZ46),ISNUMBER(CA46),ISNUMBER(CD46)),SUM(BZ46,CA46,CD46),""))</f>
        <v/>
      </c>
      <c r="CF46" s="318"/>
      <c r="CG46" s="318"/>
      <c r="CH46" s="318"/>
      <c r="CI46" s="209" t="str">
        <f>IF($C$7="No", 0, IF(AND(ISNUMBER(CF46), ISNUMBER(CG46), ISNUMBER(CH46)), SUM(CF46:CH46), ""))</f>
        <v/>
      </c>
      <c r="CJ46" s="907" t="str">
        <f t="shared" si="145"/>
        <v/>
      </c>
      <c r="CK46" s="502"/>
      <c r="CL46" s="318"/>
      <c r="CM46" s="318"/>
      <c r="CN46" s="318"/>
      <c r="CO46" s="318"/>
      <c r="CP46" s="318"/>
      <c r="CQ46" s="318"/>
      <c r="CR46" s="553" t="str">
        <f t="shared" si="146"/>
        <v/>
      </c>
      <c r="CS46" s="701" t="str">
        <f t="shared" si="147"/>
        <v/>
      </c>
      <c r="CT46" s="1928" t="str">
        <f>IF(AND(OR('General Info'!$C$19="Yes",'General Info'!$D$19="Yes"),ISNUMBER(CO46),ISNUMBER(CP46),ISNUMBER(CU46)),CO46-CP46+CU46,"")</f>
        <v/>
      </c>
      <c r="CU46" s="318"/>
      <c r="CV46" s="318"/>
      <c r="CW46" s="2293" t="str">
        <f>IF(AND(OR('General Info'!$C$19="Yes",'General Info'!$D$19="Yes"),ISNUMBER(AU46),ISNUMBER(CE46)),SUM(AU46,CE46),"")</f>
        <v/>
      </c>
      <c r="CX46" s="2293" t="str">
        <f>IF(AND(OR('General Info'!$C$19="Yes",'General Info'!$D$19="Yes"),ISNUMBER(AQ46),ISNUMBER(CA46)),SUM(AQ46,CA46),"")</f>
        <v/>
      </c>
      <c r="CY46" s="208"/>
      <c r="CZ46" s="2246"/>
    </row>
    <row r="47" spans="1:104" ht="15" customHeight="1" x14ac:dyDescent="0.25">
      <c r="A47" s="545"/>
      <c r="B47" s="508" t="str">
        <f>"Check: row " &amp; ROW(B46) &amp; " ≤ row " &amp; ROW(B45)</f>
        <v>Check: row 46 ≤ row 45</v>
      </c>
      <c r="C47" s="853"/>
      <c r="D47" s="853"/>
      <c r="E47" s="853"/>
      <c r="F47" s="853"/>
      <c r="G47" s="853"/>
      <c r="H47" s="853"/>
      <c r="I47" s="853"/>
      <c r="J47" s="853"/>
      <c r="K47" s="853"/>
      <c r="L47" s="853"/>
      <c r="M47" s="853"/>
      <c r="N47" s="553" t="str">
        <f t="shared" ref="N47:R47" si="194">IF(AND(ISNUMBER(N46),ISNUMBER(N45)), IF(N46&lt;=N45, "Pass", "Fail"), "")</f>
        <v/>
      </c>
      <c r="O47" s="553" t="str">
        <f t="shared" si="194"/>
        <v/>
      </c>
      <c r="P47" s="553" t="str">
        <f t="shared" si="194"/>
        <v/>
      </c>
      <c r="Q47" s="553" t="str">
        <f t="shared" si="194"/>
        <v/>
      </c>
      <c r="R47" s="553" t="str">
        <f t="shared" si="194"/>
        <v/>
      </c>
      <c r="S47" s="853"/>
      <c r="T47" s="553" t="str">
        <f t="shared" ref="T47" si="195">IF(AND(ISNUMBER(T46),ISNUMBER(T45)), IF(T46&lt;=T45, "Pass", "Fail"), "")</f>
        <v/>
      </c>
      <c r="U47" s="553" t="str">
        <f t="shared" ref="U47" si="196">IF(AND(ISNUMBER(U46),ISNUMBER(U45)), IF(U46&lt;=U45, "Pass", "Fail"), "")</f>
        <v/>
      </c>
      <c r="V47" s="553" t="str">
        <f t="shared" ref="V47" si="197">IF(AND(ISNUMBER(V46),ISNUMBER(V45)), IF(V46&lt;=V45, "Pass", "Fail"), "")</f>
        <v/>
      </c>
      <c r="W47" s="853"/>
      <c r="X47" s="553" t="str">
        <f t="shared" ref="X47:Y47" si="198">IF(AND(ISNUMBER(X46),ISNUMBER(X45)), IF(X46&lt;=X45, "Pass", "Fail"), "")</f>
        <v/>
      </c>
      <c r="Y47" s="553" t="str">
        <f t="shared" si="198"/>
        <v/>
      </c>
      <c r="Z47" s="480"/>
      <c r="AA47" s="480"/>
      <c r="AB47" s="480"/>
      <c r="AC47" s="480"/>
      <c r="AD47" s="499"/>
      <c r="AE47" s="480"/>
      <c r="AF47" s="480"/>
      <c r="AG47" s="480"/>
      <c r="AH47" s="480"/>
      <c r="AI47" s="480"/>
      <c r="AJ47" s="480"/>
      <c r="AK47" s="480"/>
      <c r="AL47" s="553" t="str">
        <f t="shared" ref="AL47:AO47" si="199">IF(AND(ISNUMBER(AL46),ISNUMBER(AL45)), IF(AL46&lt;=AL45, "Pass", "Fail"), "")</f>
        <v/>
      </c>
      <c r="AM47" s="553" t="str">
        <f t="shared" si="199"/>
        <v/>
      </c>
      <c r="AN47" s="553" t="str">
        <f t="shared" si="199"/>
        <v/>
      </c>
      <c r="AO47" s="553" t="str">
        <f t="shared" si="199"/>
        <v/>
      </c>
      <c r="AP47" s="853"/>
      <c r="AQ47" s="853"/>
      <c r="AR47" s="853"/>
      <c r="AS47" s="853"/>
      <c r="AT47" s="853"/>
      <c r="AU47" s="853"/>
      <c r="AV47" s="853"/>
      <c r="AW47" s="853"/>
      <c r="AX47" s="853"/>
      <c r="AY47" s="853"/>
      <c r="AZ47" s="853"/>
      <c r="BA47" s="553" t="str">
        <f t="shared" ref="BA47:BE47" si="200">IF(AND(ISNUMBER(BA46),ISNUMBER(BA45)), IF(BA46&lt;=BA45, "Pass", "Fail"), "")</f>
        <v/>
      </c>
      <c r="BB47" s="553" t="str">
        <f t="shared" si="200"/>
        <v/>
      </c>
      <c r="BC47" s="553" t="str">
        <f t="shared" si="200"/>
        <v/>
      </c>
      <c r="BD47" s="553" t="str">
        <f t="shared" si="200"/>
        <v/>
      </c>
      <c r="BE47" s="553" t="str">
        <f t="shared" si="200"/>
        <v/>
      </c>
      <c r="BF47" s="853"/>
      <c r="BG47" s="553" t="str">
        <f t="shared" ref="BG47" si="201">IF(AND(ISNUMBER(BG46),ISNUMBER(BG45)), IF(BG46&lt;=BG45, "Pass", "Fail"), "")</f>
        <v/>
      </c>
      <c r="BH47" s="553" t="str">
        <f t="shared" ref="BH47" si="202">IF(AND(ISNUMBER(BH46),ISNUMBER(BH45)), IF(BH46&lt;=BH45, "Pass", "Fail"), "")</f>
        <v/>
      </c>
      <c r="BI47" s="553" t="str">
        <f t="shared" ref="BI47" si="203">IF(AND(ISNUMBER(BI46),ISNUMBER(BI45)), IF(BI46&lt;=BI45, "Pass", "Fail"), "")</f>
        <v/>
      </c>
      <c r="BJ47" s="461"/>
      <c r="BK47" s="553" t="str">
        <f t="shared" ref="BK47:BQ47" si="204">IF(AND(ISNUMBER(BK46),ISNUMBER(BK45)), IF(BK46&lt;=BK45, "Pass", "Fail"), "")</f>
        <v/>
      </c>
      <c r="BL47" s="553" t="str">
        <f t="shared" si="204"/>
        <v/>
      </c>
      <c r="BM47" s="553" t="str">
        <f t="shared" si="204"/>
        <v/>
      </c>
      <c r="BN47" s="553" t="str">
        <f t="shared" si="204"/>
        <v/>
      </c>
      <c r="BO47" s="553" t="str">
        <f t="shared" si="204"/>
        <v/>
      </c>
      <c r="BP47" s="553" t="str">
        <f t="shared" si="204"/>
        <v/>
      </c>
      <c r="BQ47" s="553" t="str">
        <f t="shared" si="204"/>
        <v/>
      </c>
      <c r="BR47" s="853"/>
      <c r="BS47" s="553" t="str">
        <f t="shared" ref="BS47:BU47" si="205">IF(AND(ISNUMBER(BS46),ISNUMBER(BS45)), IF(BS46&lt;=BS45, "Pass", "Fail"), "")</f>
        <v/>
      </c>
      <c r="BT47" s="553" t="str">
        <f t="shared" si="205"/>
        <v/>
      </c>
      <c r="BU47" s="553" t="str">
        <f t="shared" si="205"/>
        <v/>
      </c>
      <c r="BV47" s="461"/>
      <c r="BW47" s="553" t="str">
        <f t="shared" ref="BW47:BX47" si="206">IF(AND(ISNUMBER(BW46),ISNUMBER(BW45)), IF(BW46&lt;=BW45, "Pass", "Fail"), "")</f>
        <v/>
      </c>
      <c r="BX47" s="553" t="str">
        <f t="shared" si="206"/>
        <v/>
      </c>
      <c r="BY47" s="553" t="str">
        <f t="shared" ref="BY47:BZ47" si="207">IF(AND(ISNUMBER(BY46),ISNUMBER(BY45)), IF(BY46&lt;=BY45, "Pass", "Fail"), "")</f>
        <v/>
      </c>
      <c r="BZ47" s="553" t="str">
        <f t="shared" si="207"/>
        <v/>
      </c>
      <c r="CA47" s="553" t="str">
        <f t="shared" ref="CA47:CD47" si="208">IF(AND(ISNUMBER(CA46),ISNUMBER(CA45)), IF(CA46&lt;=CA45, "Pass", "Fail"), "")</f>
        <v/>
      </c>
      <c r="CB47" s="553" t="str">
        <f t="shared" si="208"/>
        <v/>
      </c>
      <c r="CC47" s="553" t="str">
        <f t="shared" si="208"/>
        <v/>
      </c>
      <c r="CD47" s="553" t="str">
        <f t="shared" si="208"/>
        <v/>
      </c>
      <c r="CE47" s="553" t="str">
        <f t="shared" ref="CE47:CI47" si="209">IF(AND(ISNUMBER(CE46),ISNUMBER(CE45)), IF(CE46&lt;=CE45, "Pass", "Fail"), "")</f>
        <v/>
      </c>
      <c r="CF47" s="553" t="str">
        <f t="shared" ref="CF47:CH47" si="210">IF(AND(ISNUMBER(CF46),ISNUMBER(CF45)), IF(CF46&lt;=CF45, "Pass", "Fail"), "")</f>
        <v/>
      </c>
      <c r="CG47" s="553" t="str">
        <f t="shared" si="210"/>
        <v/>
      </c>
      <c r="CH47" s="553" t="str">
        <f t="shared" si="210"/>
        <v/>
      </c>
      <c r="CI47" s="701" t="str">
        <f t="shared" si="209"/>
        <v/>
      </c>
      <c r="CJ47" s="480"/>
      <c r="CK47" s="502"/>
      <c r="CL47" s="553" t="str">
        <f>IF(AND(ISNUMBER(CL46),ISNUMBER(CL45)), IF(CL46&lt;=CL45, "Pass", "Fail"), "")</f>
        <v/>
      </c>
      <c r="CM47" s="865"/>
      <c r="CN47" s="865"/>
      <c r="CO47" s="553" t="str">
        <f t="shared" ref="CO47:CQ47" si="211">IF(AND(ISNUMBER(CO46),ISNUMBER(CO45)), IF(CO46&lt;=CO45, "Pass", "Fail"), "")</f>
        <v/>
      </c>
      <c r="CP47" s="553" t="str">
        <f t="shared" si="211"/>
        <v/>
      </c>
      <c r="CQ47" s="553" t="str">
        <f t="shared" si="211"/>
        <v/>
      </c>
      <c r="CR47" s="865"/>
      <c r="CS47" s="866"/>
      <c r="CT47" s="2278" t="str">
        <f t="shared" ref="CT47:CY47" si="212">IF(AND(ISNUMBER(CT46),ISNUMBER(CT45)), IF(CT46&lt;=CT45, "Pass", "Fail"), "")</f>
        <v/>
      </c>
      <c r="CU47" s="553" t="str">
        <f t="shared" si="212"/>
        <v/>
      </c>
      <c r="CV47" s="553" t="str">
        <f t="shared" si="212"/>
        <v/>
      </c>
      <c r="CW47" s="553" t="str">
        <f t="shared" si="212"/>
        <v/>
      </c>
      <c r="CX47" s="553" t="str">
        <f t="shared" si="212"/>
        <v/>
      </c>
      <c r="CY47" s="701" t="str">
        <f t="shared" si="212"/>
        <v/>
      </c>
      <c r="CZ47" s="2246"/>
    </row>
    <row r="48" spans="1:104" ht="15" customHeight="1" x14ac:dyDescent="0.25">
      <c r="A48" s="545"/>
      <c r="B48" s="336" t="s">
        <v>855</v>
      </c>
      <c r="C48" s="580" t="str">
        <f t="shared" ref="C48:G49" si="213">IF((ISNUMBER(N48)),N48,"")</f>
        <v/>
      </c>
      <c r="D48" s="580" t="str">
        <f t="shared" si="213"/>
        <v/>
      </c>
      <c r="E48" s="580" t="str">
        <f t="shared" si="213"/>
        <v/>
      </c>
      <c r="F48" s="580" t="str">
        <f t="shared" si="213"/>
        <v/>
      </c>
      <c r="G48" s="580" t="str">
        <f t="shared" si="213"/>
        <v/>
      </c>
      <c r="H48" s="580" t="str">
        <f t="shared" si="190"/>
        <v/>
      </c>
      <c r="I48" s="580" t="str">
        <f t="shared" ref="I48:M49" si="214">IF((ISNUMBER(T48)),T48,"")</f>
        <v/>
      </c>
      <c r="J48" s="580" t="str">
        <f t="shared" si="214"/>
        <v/>
      </c>
      <c r="K48" s="580" t="str">
        <f t="shared" si="214"/>
        <v/>
      </c>
      <c r="L48" s="580" t="str">
        <f t="shared" si="214"/>
        <v/>
      </c>
      <c r="M48" s="580" t="str">
        <f t="shared" si="214"/>
        <v/>
      </c>
      <c r="N48" s="318"/>
      <c r="O48" s="318"/>
      <c r="P48" s="318"/>
      <c r="Q48" s="318"/>
      <c r="R48" s="208"/>
      <c r="S48" s="580" t="str">
        <f t="shared" si="192"/>
        <v/>
      </c>
      <c r="T48" s="481"/>
      <c r="U48" s="318"/>
      <c r="V48" s="208"/>
      <c r="W48" s="580" t="str">
        <f>IF(AND(ISNUMBER(T48),ISNUMBER(U48),ISNUMBER(V48)),SUM(T48:V48), "")</f>
        <v/>
      </c>
      <c r="X48" s="481"/>
      <c r="Y48" s="318"/>
      <c r="Z48" s="480"/>
      <c r="AA48" s="480"/>
      <c r="AB48" s="480"/>
      <c r="AC48" s="480"/>
      <c r="AD48" s="499"/>
      <c r="AE48" s="480"/>
      <c r="AF48" s="480"/>
      <c r="AG48" s="480"/>
      <c r="AH48" s="480"/>
      <c r="AI48" s="480"/>
      <c r="AJ48" s="480"/>
      <c r="AK48" s="480"/>
      <c r="AL48" s="318"/>
      <c r="AM48" s="318"/>
      <c r="AN48" s="318"/>
      <c r="AO48" s="318"/>
      <c r="AP48" s="580" t="str">
        <f t="shared" ref="AP48:AT49" si="215">IF(AND(ISNUMBER(BA48),ISNUMBER(BM48)),SUM(BA48,BM48),"")</f>
        <v/>
      </c>
      <c r="AQ48" s="580" t="str">
        <f t="shared" si="215"/>
        <v/>
      </c>
      <c r="AR48" s="580" t="str">
        <f t="shared" si="215"/>
        <v/>
      </c>
      <c r="AS48" s="580" t="str">
        <f t="shared" si="215"/>
        <v/>
      </c>
      <c r="AT48" s="580" t="str">
        <f t="shared" si="215"/>
        <v/>
      </c>
      <c r="AU48" s="580" t="str">
        <f>IF(AND(ISNUMBER(AP48),ISNUMBER(AQ48),ISNUMBER(AT48)),SUM(AP48,AQ48,AT48),"")</f>
        <v/>
      </c>
      <c r="AV48" s="580" t="str">
        <f t="shared" ref="AV48:AZ49" si="216">IF(AND(ISNUMBER(BG48),ISNUMBER(BS48)),SUM(BG48,BS48),"")</f>
        <v/>
      </c>
      <c r="AW48" s="580" t="str">
        <f t="shared" si="216"/>
        <v/>
      </c>
      <c r="AX48" s="580" t="str">
        <f t="shared" si="216"/>
        <v/>
      </c>
      <c r="AY48" s="580" t="str">
        <f t="shared" si="216"/>
        <v/>
      </c>
      <c r="AZ48" s="580" t="str">
        <f t="shared" si="216"/>
        <v/>
      </c>
      <c r="BA48" s="318"/>
      <c r="BB48" s="318"/>
      <c r="BC48" s="318"/>
      <c r="BD48" s="318"/>
      <c r="BE48" s="208"/>
      <c r="BF48" s="580" t="str">
        <f>IF(AND(ISNUMBER(BA48), ISNUMBER(BB48), ISNUMBER(BE48)), SUM(BA48,BB48,BE48), "")</f>
        <v/>
      </c>
      <c r="BG48" s="481"/>
      <c r="BH48" s="318"/>
      <c r="BI48" s="318"/>
      <c r="BJ48" s="580" t="str">
        <f>IF(AND(ISNUMBER(BG48),ISNUMBER(BH48),ISNUMBER(BI48)),SUM(BG48:BI48), "")</f>
        <v/>
      </c>
      <c r="BK48" s="318"/>
      <c r="BL48" s="318"/>
      <c r="BM48" s="318"/>
      <c r="BN48" s="318"/>
      <c r="BO48" s="318"/>
      <c r="BP48" s="318"/>
      <c r="BQ48" s="208"/>
      <c r="BR48" s="580" t="str">
        <f>IF(AND(ISNUMBER(BM48), ISNUMBER(BN48), ISNUMBER(BQ48)), SUM(BM48,BN48,BQ48), "")</f>
        <v/>
      </c>
      <c r="BS48" s="481"/>
      <c r="BT48" s="318"/>
      <c r="BU48" s="318"/>
      <c r="BV48" s="580" t="str">
        <f>IF(AND(ISNUMBER(BS48),ISNUMBER(BT48),ISNUMBER(BU48)),SUM(BS48:BU48), "")</f>
        <v/>
      </c>
      <c r="BW48" s="318"/>
      <c r="BX48" s="318"/>
      <c r="BY48" s="318"/>
      <c r="BZ48" s="318"/>
      <c r="CA48" s="318"/>
      <c r="CB48" s="318"/>
      <c r="CC48" s="318"/>
      <c r="CD48" s="318"/>
      <c r="CE48" s="580" t="str">
        <f>IF($C$7="No", 0, IF(AND(ISNUMBER(BZ48),ISNUMBER(CA48),ISNUMBER(CD48)),SUM(BZ48,CA48,CD48),""))</f>
        <v/>
      </c>
      <c r="CF48" s="318"/>
      <c r="CG48" s="318"/>
      <c r="CH48" s="318"/>
      <c r="CI48" s="209" t="str">
        <f>IF($C$7="No", 0, IF(AND(ISNUMBER(CF48), ISNUMBER(CG48), ISNUMBER(CH48)), SUM(CF48:CH48), ""))</f>
        <v/>
      </c>
      <c r="CJ48" s="907" t="str">
        <f>IF(AND(ISNUMBER(CE48), ISNUMBER(CI48)), IF(CE48&lt;&gt;0, CI48/CE48, ""), "")</f>
        <v/>
      </c>
      <c r="CK48" s="502"/>
      <c r="CL48" s="318"/>
      <c r="CM48" s="318"/>
      <c r="CN48" s="318"/>
      <c r="CO48" s="318"/>
      <c r="CP48" s="318"/>
      <c r="CQ48" s="318"/>
      <c r="CR48" s="553" t="str">
        <f>IF(AND(ISNUMBER(CO48), ISNUMBER(AU48), ISNUMBER(CE48)), IF(CO48&gt;= 0.85 * (AU48+CE48), "Pass", "please check"),"")</f>
        <v/>
      </c>
      <c r="CS48" s="701" t="str">
        <f>IF(AND(ISNUMBER(AL48),ISNUMBER(AM48),ISNUMBER(AN48),ISNUMBER(AO48),ISNUMBER(AY48), ISNUMBER(AZ48), ISNUMBER(CQ48), ISNUMBER(CI48)), IF(CQ48&gt;=(AY48+12.5*MAX(0,AZ48-(AL48+AM48+AN48+AO48))+CI48), "Pass", "please check"), "")</f>
        <v/>
      </c>
      <c r="CT48" s="1928" t="str">
        <f>IF(AND(OR('General Info'!$C$19="Yes",'General Info'!$D$19="Yes"),ISNUMBER(CO48),ISNUMBER(CP48),ISNUMBER(CU48)),CO48-CP48+CU48,"")</f>
        <v/>
      </c>
      <c r="CU48" s="318"/>
      <c r="CV48" s="318"/>
      <c r="CW48" s="2293" t="str">
        <f>IF(AND(OR('General Info'!$C$19="Yes",'General Info'!$D$19="Yes"),ISNUMBER(AU48),ISNUMBER(CE48)),SUM(AU48,CE48),"")</f>
        <v/>
      </c>
      <c r="CX48" s="2293" t="str">
        <f>IF(AND(OR('General Info'!$C$19="Yes",'General Info'!$D$19="Yes"),ISNUMBER(AQ48),ISNUMBER(CA48)),SUM(AQ48,CA48),"")</f>
        <v/>
      </c>
      <c r="CY48" s="208"/>
      <c r="CZ48" s="2246"/>
    </row>
    <row r="49" spans="1:104" ht="15" customHeight="1" x14ac:dyDescent="0.25">
      <c r="A49" s="545"/>
      <c r="B49" s="615" t="s">
        <v>853</v>
      </c>
      <c r="C49" s="580" t="str">
        <f t="shared" si="213"/>
        <v/>
      </c>
      <c r="D49" s="580" t="str">
        <f t="shared" si="213"/>
        <v/>
      </c>
      <c r="E49" s="580" t="str">
        <f t="shared" si="213"/>
        <v/>
      </c>
      <c r="F49" s="580" t="str">
        <f t="shared" si="213"/>
        <v/>
      </c>
      <c r="G49" s="580" t="str">
        <f t="shared" si="213"/>
        <v/>
      </c>
      <c r="H49" s="580" t="str">
        <f t="shared" si="190"/>
        <v/>
      </c>
      <c r="I49" s="580" t="str">
        <f t="shared" si="214"/>
        <v/>
      </c>
      <c r="J49" s="580" t="str">
        <f t="shared" si="214"/>
        <v/>
      </c>
      <c r="K49" s="580" t="str">
        <f t="shared" si="214"/>
        <v/>
      </c>
      <c r="L49" s="580" t="str">
        <f t="shared" si="214"/>
        <v/>
      </c>
      <c r="M49" s="580" t="str">
        <f t="shared" si="214"/>
        <v/>
      </c>
      <c r="N49" s="318"/>
      <c r="O49" s="318"/>
      <c r="P49" s="318"/>
      <c r="Q49" s="318"/>
      <c r="R49" s="208"/>
      <c r="S49" s="580" t="str">
        <f t="shared" si="192"/>
        <v/>
      </c>
      <c r="T49" s="481"/>
      <c r="U49" s="318"/>
      <c r="V49" s="208"/>
      <c r="W49" s="580" t="str">
        <f>IF(AND(ISNUMBER(T49),ISNUMBER(U49),ISNUMBER(V49)),SUM(T49:V49), "")</f>
        <v/>
      </c>
      <c r="X49" s="481"/>
      <c r="Y49" s="318"/>
      <c r="Z49" s="480"/>
      <c r="AA49" s="480"/>
      <c r="AB49" s="480"/>
      <c r="AC49" s="480"/>
      <c r="AD49" s="499"/>
      <c r="AE49" s="480"/>
      <c r="AF49" s="480"/>
      <c r="AG49" s="480"/>
      <c r="AH49" s="480"/>
      <c r="AI49" s="480"/>
      <c r="AJ49" s="480"/>
      <c r="AK49" s="480"/>
      <c r="AL49" s="318"/>
      <c r="AM49" s="318"/>
      <c r="AN49" s="318"/>
      <c r="AO49" s="318"/>
      <c r="AP49" s="580" t="str">
        <f t="shared" si="215"/>
        <v/>
      </c>
      <c r="AQ49" s="580" t="str">
        <f t="shared" si="215"/>
        <v/>
      </c>
      <c r="AR49" s="580" t="str">
        <f t="shared" si="215"/>
        <v/>
      </c>
      <c r="AS49" s="580" t="str">
        <f t="shared" si="215"/>
        <v/>
      </c>
      <c r="AT49" s="580" t="str">
        <f t="shared" si="215"/>
        <v/>
      </c>
      <c r="AU49" s="580" t="str">
        <f>IF(AND(ISNUMBER(AP49),ISNUMBER(AQ49),ISNUMBER(AT49)),SUM(AP49,AQ49,AT49),"")</f>
        <v/>
      </c>
      <c r="AV49" s="580" t="str">
        <f t="shared" si="216"/>
        <v/>
      </c>
      <c r="AW49" s="580" t="str">
        <f t="shared" si="216"/>
        <v/>
      </c>
      <c r="AX49" s="580" t="str">
        <f t="shared" si="216"/>
        <v/>
      </c>
      <c r="AY49" s="580" t="str">
        <f t="shared" si="216"/>
        <v/>
      </c>
      <c r="AZ49" s="580" t="str">
        <f t="shared" si="216"/>
        <v/>
      </c>
      <c r="BA49" s="318"/>
      <c r="BB49" s="318"/>
      <c r="BC49" s="318"/>
      <c r="BD49" s="318"/>
      <c r="BE49" s="208"/>
      <c r="BF49" s="580" t="str">
        <f>IF(AND(ISNUMBER(BA49), ISNUMBER(BB49), ISNUMBER(BE49)), SUM(BA49,BB49,BE49), "")</f>
        <v/>
      </c>
      <c r="BG49" s="481"/>
      <c r="BH49" s="318"/>
      <c r="BI49" s="318"/>
      <c r="BJ49" s="580" t="str">
        <f>IF(AND(ISNUMBER(BG49),ISNUMBER(BH49),ISNUMBER(BI49)),SUM(BG49:BI49), "")</f>
        <v/>
      </c>
      <c r="BK49" s="318"/>
      <c r="BL49" s="318"/>
      <c r="BM49" s="318"/>
      <c r="BN49" s="318"/>
      <c r="BO49" s="318"/>
      <c r="BP49" s="318"/>
      <c r="BQ49" s="208"/>
      <c r="BR49" s="580" t="str">
        <f>IF(AND(ISNUMBER(BM49), ISNUMBER(BN49), ISNUMBER(BQ49)), SUM(BM49,BN49,BQ49), "")</f>
        <v/>
      </c>
      <c r="BS49" s="481"/>
      <c r="BT49" s="318"/>
      <c r="BU49" s="318"/>
      <c r="BV49" s="580" t="str">
        <f>IF(AND(ISNUMBER(BS49),ISNUMBER(BT49),ISNUMBER(BU49)),SUM(BS49:BU49), "")</f>
        <v/>
      </c>
      <c r="BW49" s="318"/>
      <c r="BX49" s="318"/>
      <c r="BY49" s="318"/>
      <c r="BZ49" s="318"/>
      <c r="CA49" s="318"/>
      <c r="CB49" s="318"/>
      <c r="CC49" s="318"/>
      <c r="CD49" s="318"/>
      <c r="CE49" s="580" t="str">
        <f>IF($C$7="No", 0, IF(AND(ISNUMBER(BZ49),ISNUMBER(CA49),ISNUMBER(CD49)),SUM(BZ49,CA49,CD49),""))</f>
        <v/>
      </c>
      <c r="CF49" s="318"/>
      <c r="CG49" s="318"/>
      <c r="CH49" s="318"/>
      <c r="CI49" s="209" t="str">
        <f>IF($C$7="No", 0, IF(AND(ISNUMBER(CF49), ISNUMBER(CG49), ISNUMBER(CH49)), SUM(CF49:CH49), ""))</f>
        <v/>
      </c>
      <c r="CJ49" s="907" t="str">
        <f>IF(AND(ISNUMBER(CE49), ISNUMBER(CI49)), IF(CE49&lt;&gt;0, CI49/CE49, ""), "")</f>
        <v/>
      </c>
      <c r="CK49" s="502"/>
      <c r="CL49" s="318"/>
      <c r="CM49" s="318"/>
      <c r="CN49" s="318"/>
      <c r="CO49" s="318"/>
      <c r="CP49" s="318"/>
      <c r="CQ49" s="318"/>
      <c r="CR49" s="553" t="str">
        <f>IF(AND(ISNUMBER(CO49), ISNUMBER(AU49), ISNUMBER(CE49)), IF(CO49&gt;= 0.85 * (AU49+CE49), "Pass", "please check"),"")</f>
        <v/>
      </c>
      <c r="CS49" s="701" t="str">
        <f>IF(AND(ISNUMBER(AL49),ISNUMBER(AM49),ISNUMBER(AN49),ISNUMBER(AO49),ISNUMBER(AY49), ISNUMBER(AZ49), ISNUMBER(CQ49), ISNUMBER(CI49)), IF(CQ49&gt;=(AY49+12.5*MAX(0,AZ49-(AL49+AM49+AN49+AO49))+CI49), "Pass", "please check"), "")</f>
        <v/>
      </c>
      <c r="CT49" s="1928" t="str">
        <f>IF(AND(OR('General Info'!$C$19="Yes",'General Info'!$D$19="Yes"),ISNUMBER(CO49),ISNUMBER(CP49),ISNUMBER(CU49)),CO49-CP49+CU49,"")</f>
        <v/>
      </c>
      <c r="CU49" s="318"/>
      <c r="CV49" s="318"/>
      <c r="CW49" s="2293" t="str">
        <f>IF(AND(OR('General Info'!$C$19="Yes",'General Info'!$D$19="Yes"),ISNUMBER(AU49),ISNUMBER(CE49)),SUM(AU49,CE49),"")</f>
        <v/>
      </c>
      <c r="CX49" s="2293" t="str">
        <f>IF(AND(OR('General Info'!$C$19="Yes",'General Info'!$D$19="Yes"),ISNUMBER(AQ49),ISNUMBER(CA49)),SUM(AQ49,CA49),"")</f>
        <v/>
      </c>
      <c r="CY49" s="208"/>
      <c r="CZ49" s="2246"/>
    </row>
    <row r="50" spans="1:104" ht="15" customHeight="1" x14ac:dyDescent="0.25">
      <c r="A50" s="545"/>
      <c r="B50" s="508" t="str">
        <f>"Check: row " &amp; ROW(B49) &amp; " ≤ row " &amp; ROW(B48)</f>
        <v>Check: row 49 ≤ row 48</v>
      </c>
      <c r="C50" s="781"/>
      <c r="D50" s="781"/>
      <c r="E50" s="781"/>
      <c r="F50" s="781"/>
      <c r="G50" s="781"/>
      <c r="H50" s="853"/>
      <c r="I50" s="781"/>
      <c r="J50" s="781"/>
      <c r="K50" s="781"/>
      <c r="L50" s="853"/>
      <c r="M50" s="781"/>
      <c r="N50" s="553" t="str">
        <f t="shared" ref="N50:R50" si="217">IF(AND(ISNUMBER(N49), ISNUMBER(N48)), IF(N49&lt;=N48, "Pass", "Fail"),"")</f>
        <v/>
      </c>
      <c r="O50" s="553" t="str">
        <f t="shared" si="217"/>
        <v/>
      </c>
      <c r="P50" s="553" t="str">
        <f t="shared" si="217"/>
        <v/>
      </c>
      <c r="Q50" s="553" t="str">
        <f t="shared" si="217"/>
        <v/>
      </c>
      <c r="R50" s="553" t="str">
        <f t="shared" si="217"/>
        <v/>
      </c>
      <c r="S50" s="781"/>
      <c r="T50" s="553" t="str">
        <f>IF(AND(ISNUMBER(T49), ISNUMBER(T48)), IF(T49&lt;=T48, "Pass", "Fail"),"")</f>
        <v/>
      </c>
      <c r="U50" s="553" t="str">
        <f>IF(AND(ISNUMBER(U49), ISNUMBER(U48)), IF(U49&lt;=U48, "Pass", "Fail"),"")</f>
        <v/>
      </c>
      <c r="V50" s="553" t="str">
        <f>IF(AND(ISNUMBER(V49), ISNUMBER(V48)), IF(V49&lt;=V48, "Pass", "Fail"),"")</f>
        <v/>
      </c>
      <c r="W50" s="781"/>
      <c r="X50" s="553" t="str">
        <f>IF(AND(ISNUMBER(X49), ISNUMBER(X48)), IF(X49&lt;=X48, "Pass", "Fail"),"")</f>
        <v/>
      </c>
      <c r="Y50" s="553" t="str">
        <f>IF(AND(ISNUMBER(Y49), ISNUMBER(Y48)), IF(Y49&lt;=Y48, "Pass", "Fail"),"")</f>
        <v/>
      </c>
      <c r="Z50" s="480"/>
      <c r="AA50" s="480"/>
      <c r="AB50" s="480"/>
      <c r="AC50" s="480"/>
      <c r="AD50" s="499"/>
      <c r="AE50" s="480"/>
      <c r="AF50" s="480"/>
      <c r="AG50" s="480"/>
      <c r="AH50" s="480"/>
      <c r="AI50" s="480"/>
      <c r="AJ50" s="480"/>
      <c r="AK50" s="480"/>
      <c r="AL50" s="553" t="str">
        <f>IF(AND(ISNUMBER(AL49), ISNUMBER(AL48)), IF(AL49&lt;=AL48, "Pass", "Fail"),"")</f>
        <v/>
      </c>
      <c r="AM50" s="553" t="str">
        <f>IF(AND(ISNUMBER(AM49), ISNUMBER(AM48)), IF(AM49&lt;=AM48, "Pass", "Fail"),"")</f>
        <v/>
      </c>
      <c r="AN50" s="553" t="str">
        <f>IF(AND(ISNUMBER(AN49), ISNUMBER(AN48)), IF(AN49&lt;=AN48, "Pass", "Fail"),"")</f>
        <v/>
      </c>
      <c r="AO50" s="553" t="str">
        <f>IF(AND(ISNUMBER(AO49), ISNUMBER(AO48)), IF(AO49&lt;=AO48, "Pass", "Fail"),"")</f>
        <v/>
      </c>
      <c r="AP50" s="781"/>
      <c r="AQ50" s="781"/>
      <c r="AR50" s="781"/>
      <c r="AS50" s="781"/>
      <c r="AT50" s="781"/>
      <c r="AU50" s="781"/>
      <c r="AV50" s="781"/>
      <c r="AW50" s="781"/>
      <c r="AX50" s="781"/>
      <c r="AY50" s="781"/>
      <c r="AZ50" s="781"/>
      <c r="BA50" s="553" t="str">
        <f t="shared" ref="BA50:BL50" si="218">IF(AND(ISNUMBER(BA49), ISNUMBER(BA48)), IF(BA49&lt;=BA48, "Pass", "Fail"),"")</f>
        <v/>
      </c>
      <c r="BB50" s="553" t="str">
        <f t="shared" si="218"/>
        <v/>
      </c>
      <c r="BC50" s="553" t="str">
        <f t="shared" si="218"/>
        <v/>
      </c>
      <c r="BD50" s="553" t="str">
        <f t="shared" si="218"/>
        <v/>
      </c>
      <c r="BE50" s="553" t="str">
        <f t="shared" si="218"/>
        <v/>
      </c>
      <c r="BF50" s="781"/>
      <c r="BG50" s="553" t="str">
        <f t="shared" ref="BG50" si="219">IF(AND(ISNUMBER(BG49), ISNUMBER(BG48)), IF(BG49&lt;=BG48, "Pass", "Fail"),"")</f>
        <v/>
      </c>
      <c r="BH50" s="553" t="str">
        <f t="shared" ref="BH50" si="220">IF(AND(ISNUMBER(BH49), ISNUMBER(BH48)), IF(BH49&lt;=BH48, "Pass", "Fail"),"")</f>
        <v/>
      </c>
      <c r="BI50" s="553" t="str">
        <f t="shared" ref="BI50" si="221">IF(AND(ISNUMBER(BI49), ISNUMBER(BI48)), IF(BI49&lt;=BI48, "Pass", "Fail"),"")</f>
        <v/>
      </c>
      <c r="BJ50" s="461"/>
      <c r="BK50" s="553" t="str">
        <f t="shared" si="218"/>
        <v/>
      </c>
      <c r="BL50" s="553" t="str">
        <f t="shared" si="218"/>
        <v/>
      </c>
      <c r="BM50" s="553" t="str">
        <f t="shared" ref="BM50:BQ50" si="222">IF(AND(ISNUMBER(BM49), ISNUMBER(BM48)), IF(BM49&lt;=BM48, "Pass", "Fail"),"")</f>
        <v/>
      </c>
      <c r="BN50" s="553" t="str">
        <f t="shared" si="222"/>
        <v/>
      </c>
      <c r="BO50" s="553" t="str">
        <f t="shared" si="222"/>
        <v/>
      </c>
      <c r="BP50" s="553" t="str">
        <f t="shared" si="222"/>
        <v/>
      </c>
      <c r="BQ50" s="553" t="str">
        <f t="shared" si="222"/>
        <v/>
      </c>
      <c r="BR50" s="781"/>
      <c r="BS50" s="553" t="str">
        <f t="shared" ref="BS50:BU50" si="223">IF(AND(ISNUMBER(BS49), ISNUMBER(BS48)), IF(BS49&lt;=BS48, "Pass", "Fail"),"")</f>
        <v/>
      </c>
      <c r="BT50" s="553" t="str">
        <f t="shared" si="223"/>
        <v/>
      </c>
      <c r="BU50" s="553" t="str">
        <f t="shared" si="223"/>
        <v/>
      </c>
      <c r="BV50" s="461"/>
      <c r="BW50" s="553" t="str">
        <f t="shared" ref="BW50:BX50" si="224">IF(AND(ISNUMBER(BW49), ISNUMBER(BW48)), IF(BW49&lt;=BW48, "Pass", "Fail"),"")</f>
        <v/>
      </c>
      <c r="BX50" s="553" t="str">
        <f t="shared" si="224"/>
        <v/>
      </c>
      <c r="BY50" s="553" t="str">
        <f t="shared" ref="BY50:BZ50" si="225">IF(AND(ISNUMBER(BY49), ISNUMBER(BY48)), IF(BY49&lt;=BY48, "Pass", "Fail"),"")</f>
        <v/>
      </c>
      <c r="BZ50" s="553" t="str">
        <f t="shared" si="225"/>
        <v/>
      </c>
      <c r="CA50" s="553" t="str">
        <f t="shared" ref="CA50:CD50" si="226">IF(AND(ISNUMBER(CA49), ISNUMBER(CA48)), IF(CA49&lt;=CA48, "Pass", "Fail"),"")</f>
        <v/>
      </c>
      <c r="CB50" s="553" t="str">
        <f t="shared" si="226"/>
        <v/>
      </c>
      <c r="CC50" s="553" t="str">
        <f t="shared" si="226"/>
        <v/>
      </c>
      <c r="CD50" s="553" t="str">
        <f t="shared" si="226"/>
        <v/>
      </c>
      <c r="CE50" s="553" t="str">
        <f t="shared" ref="CE50:CI50" si="227">IF(AND(ISNUMBER(CE49), ISNUMBER(CE48)), IF(CE49&lt;=CE48, "Pass", "Fail"),"")</f>
        <v/>
      </c>
      <c r="CF50" s="553" t="str">
        <f t="shared" ref="CF50:CH50" si="228">IF(AND(ISNUMBER(CF49), ISNUMBER(CF48)), IF(CF49&lt;=CF48, "Pass", "Fail"),"")</f>
        <v/>
      </c>
      <c r="CG50" s="553" t="str">
        <f t="shared" si="228"/>
        <v/>
      </c>
      <c r="CH50" s="553" t="str">
        <f t="shared" si="228"/>
        <v/>
      </c>
      <c r="CI50" s="701" t="str">
        <f t="shared" si="227"/>
        <v/>
      </c>
      <c r="CJ50" s="480"/>
      <c r="CK50" s="502"/>
      <c r="CL50" s="553" t="str">
        <f>IF(AND(ISNUMBER(CL49), ISNUMBER(CL48)), IF(CL49&lt;=CL48, "Pass", "Fail"),"")</f>
        <v/>
      </c>
      <c r="CM50" s="865"/>
      <c r="CN50" s="865"/>
      <c r="CO50" s="553" t="str">
        <f t="shared" ref="CO50" si="229">IF(AND(ISNUMBER(CO49), ISNUMBER(CO48)), IF(CO49&lt;=CO48, "Pass", "Fail"),"")</f>
        <v/>
      </c>
      <c r="CP50" s="553" t="str">
        <f t="shared" ref="CP50" si="230">IF(AND(ISNUMBER(CP49), ISNUMBER(CP48)), IF(CP49&lt;=CP48, "Pass", "Fail"),"")</f>
        <v/>
      </c>
      <c r="CQ50" s="553" t="str">
        <f t="shared" ref="CQ50" si="231">IF(AND(ISNUMBER(CQ49), ISNUMBER(CQ48)), IF(CQ49&lt;=CQ48, "Pass", "Fail"),"")</f>
        <v/>
      </c>
      <c r="CR50" s="865"/>
      <c r="CS50" s="866"/>
      <c r="CT50" s="2278" t="str">
        <f t="shared" ref="CT50:CY50" si="232">IF(AND(ISNUMBER(CT49), ISNUMBER(CT48)), IF(CT49&lt;=CT48, "Pass", "Fail"),"")</f>
        <v/>
      </c>
      <c r="CU50" s="553" t="str">
        <f t="shared" si="232"/>
        <v/>
      </c>
      <c r="CV50" s="553" t="str">
        <f t="shared" si="232"/>
        <v/>
      </c>
      <c r="CW50" s="553" t="str">
        <f t="shared" si="232"/>
        <v/>
      </c>
      <c r="CX50" s="553" t="str">
        <f t="shared" si="232"/>
        <v/>
      </c>
      <c r="CY50" s="701" t="str">
        <f t="shared" si="232"/>
        <v/>
      </c>
      <c r="CZ50" s="2246"/>
    </row>
    <row r="51" spans="1:104" ht="15" customHeight="1" x14ac:dyDescent="0.25">
      <c r="A51" s="545"/>
      <c r="B51" s="507" t="s">
        <v>812</v>
      </c>
      <c r="C51" s="580" t="str">
        <f t="shared" ref="C51:H51" si="233">IF(AND(ISNUMBER(C52),ISNUMBER(C53),ISNUMBER(C54)),SUM(C52:C54),"")</f>
        <v/>
      </c>
      <c r="D51" s="580" t="str">
        <f t="shared" si="233"/>
        <v/>
      </c>
      <c r="E51" s="580" t="str">
        <f t="shared" si="233"/>
        <v/>
      </c>
      <c r="F51" s="580" t="str">
        <f t="shared" si="233"/>
        <v/>
      </c>
      <c r="G51" s="580" t="str">
        <f t="shared" si="233"/>
        <v/>
      </c>
      <c r="H51" s="580" t="str">
        <f t="shared" si="233"/>
        <v/>
      </c>
      <c r="I51" s="580" t="str">
        <f>IF(AND(ISNUMBER(I52),ISNUMBER(I53),ISNUMBER(I54)),SUM(I52:I54),"")</f>
        <v/>
      </c>
      <c r="J51" s="580" t="str">
        <f t="shared" ref="J51:L51" si="234">IF(AND(ISNUMBER(J52),ISNUMBER(J53),ISNUMBER(J54)),SUM(J52:J54),"")</f>
        <v/>
      </c>
      <c r="K51" s="580" t="str">
        <f t="shared" si="234"/>
        <v/>
      </c>
      <c r="L51" s="580" t="str">
        <f t="shared" si="234"/>
        <v/>
      </c>
      <c r="M51" s="580" t="str">
        <f>IF(AND(ISNUMBER(M52),ISNUMBER(M53),ISNUMBER(M54)),SUM(M52:M54),"")</f>
        <v/>
      </c>
      <c r="N51" s="480"/>
      <c r="O51" s="480"/>
      <c r="P51" s="480"/>
      <c r="Q51" s="480"/>
      <c r="R51" s="480"/>
      <c r="S51" s="480"/>
      <c r="T51" s="480"/>
      <c r="U51" s="480"/>
      <c r="V51" s="480"/>
      <c r="W51" s="480"/>
      <c r="X51" s="480"/>
      <c r="Y51" s="480"/>
      <c r="Z51" s="480"/>
      <c r="AA51" s="480"/>
      <c r="AB51" s="480"/>
      <c r="AC51" s="480"/>
      <c r="AD51" s="499"/>
      <c r="AE51" s="480"/>
      <c r="AF51" s="480"/>
      <c r="AG51" s="480"/>
      <c r="AH51" s="480"/>
      <c r="AI51" s="480"/>
      <c r="AJ51" s="480"/>
      <c r="AK51" s="480"/>
      <c r="AL51" s="318"/>
      <c r="AM51" s="318"/>
      <c r="AN51" s="318"/>
      <c r="AO51" s="318"/>
      <c r="AP51" s="491"/>
      <c r="AQ51" s="491"/>
      <c r="AR51" s="491"/>
      <c r="AS51" s="491"/>
      <c r="AT51" s="491"/>
      <c r="AU51" s="491"/>
      <c r="AV51" s="491"/>
      <c r="AW51" s="491"/>
      <c r="AX51" s="491"/>
      <c r="AY51" s="491"/>
      <c r="AZ51" s="491"/>
      <c r="BA51" s="461"/>
      <c r="BB51" s="461"/>
      <c r="BC51" s="461"/>
      <c r="BD51" s="461"/>
      <c r="BE51" s="461"/>
      <c r="BF51" s="461"/>
      <c r="BG51" s="461"/>
      <c r="BH51" s="461"/>
      <c r="BI51" s="461"/>
      <c r="BJ51" s="461"/>
      <c r="BK51" s="461"/>
      <c r="BL51" s="461"/>
      <c r="BM51" s="480"/>
      <c r="BN51" s="480"/>
      <c r="BO51" s="480"/>
      <c r="BP51" s="480"/>
      <c r="BQ51" s="480"/>
      <c r="BR51" s="480"/>
      <c r="BS51" s="480"/>
      <c r="BT51" s="480"/>
      <c r="BU51" s="480"/>
      <c r="BV51" s="480"/>
      <c r="BW51" s="480"/>
      <c r="BX51" s="480"/>
      <c r="BY51" s="580" t="str">
        <f t="shared" ref="BY51:CD51" si="235">IF(AND(ISNUMBER(BY52),ISNUMBER(BY53),ISNUMBER(BY54)),SUM(BY52:BY54),"")</f>
        <v/>
      </c>
      <c r="BZ51" s="580" t="str">
        <f t="shared" si="235"/>
        <v/>
      </c>
      <c r="CA51" s="580" t="str">
        <f t="shared" si="235"/>
        <v/>
      </c>
      <c r="CB51" s="580" t="str">
        <f t="shared" si="235"/>
        <v/>
      </c>
      <c r="CC51" s="580" t="str">
        <f t="shared" si="235"/>
        <v/>
      </c>
      <c r="CD51" s="580" t="str">
        <f t="shared" si="235"/>
        <v/>
      </c>
      <c r="CE51" s="580" t="str">
        <f>IF(AND(ISNUMBER(CE52),ISNUMBER(CE53),ISNUMBER(CE54)),SUM(CE52:CE54),"")</f>
        <v/>
      </c>
      <c r="CF51" s="580" t="str">
        <f t="shared" ref="CF51:CH51" si="236">IF(AND(ISNUMBER(CF52),ISNUMBER(CF53),ISNUMBER(CF54)),SUM(CF52:CF54),"")</f>
        <v/>
      </c>
      <c r="CG51" s="580" t="str">
        <f t="shared" si="236"/>
        <v/>
      </c>
      <c r="CH51" s="580" t="str">
        <f t="shared" si="236"/>
        <v/>
      </c>
      <c r="CI51" s="209" t="str">
        <f>IF(AND(ISNUMBER(CI52),ISNUMBER(CI53),ISNUMBER(CI54)),SUM(CI52:CI54),"")</f>
        <v/>
      </c>
      <c r="CJ51" s="907" t="str">
        <f t="shared" ref="CJ51:CJ63" si="237">IF(AND(ISNUMBER(CE51), ISNUMBER(CI51)), IF(CE51&lt;&gt;0, CI51/CE51, ""), "")</f>
        <v/>
      </c>
      <c r="CK51" s="502"/>
      <c r="CL51" s="480"/>
      <c r="CM51" s="480"/>
      <c r="CN51" s="480"/>
      <c r="CO51" s="506" t="str">
        <f>IF(ISNUMBER(CE51), CE51, "")</f>
        <v/>
      </c>
      <c r="CP51" s="506" t="str">
        <f>IF(ISNUMBER(CA51), CA51, "")</f>
        <v/>
      </c>
      <c r="CQ51" s="506" t="str">
        <f>IF(ISNUMBER(CI51), CI51, "")</f>
        <v/>
      </c>
      <c r="CR51" s="865"/>
      <c r="CS51" s="866"/>
      <c r="CT51" s="1928" t="str">
        <f>IF(ISNUMBER(CE51), CE51, "")</f>
        <v/>
      </c>
      <c r="CU51" s="506" t="str">
        <f>IF(ISNUMBER(CA51), CA51, "")</f>
        <v/>
      </c>
      <c r="CV51" s="506" t="str">
        <f>IF(ISNUMBER(CI51), CI51, "")</f>
        <v/>
      </c>
      <c r="CW51" s="2293" t="str">
        <f>IF(ISNUMBER(CE51), CE51, "")</f>
        <v/>
      </c>
      <c r="CX51" s="2293" t="str">
        <f>IF(ISNUMBER(CA51), CA51, "")</f>
        <v/>
      </c>
      <c r="CY51" s="2279" t="str">
        <f>IF(ISNUMBER(CI51), CI51, "")</f>
        <v/>
      </c>
      <c r="CZ51" s="2246"/>
    </row>
    <row r="52" spans="1:104" ht="15" customHeight="1" x14ac:dyDescent="0.25">
      <c r="A52" s="545"/>
      <c r="B52" s="336" t="s">
        <v>813</v>
      </c>
      <c r="C52" s="318"/>
      <c r="D52" s="318"/>
      <c r="E52" s="318"/>
      <c r="F52" s="318"/>
      <c r="G52" s="318"/>
      <c r="H52" s="580" t="str">
        <f>IF(AND(ISNUMBER(C52),ISNUMBER(D52),ISNUMBER(G52)),SUM(C52,D52,G52),"")</f>
        <v/>
      </c>
      <c r="I52" s="208"/>
      <c r="J52" s="208"/>
      <c r="K52" s="208"/>
      <c r="L52" s="580" t="str">
        <f>IF(AND(ISNUMBER(I52),ISNUMBER(J52),ISNUMBER(K52)),SUM(I52:K52), "")</f>
        <v/>
      </c>
      <c r="M52" s="208"/>
      <c r="N52" s="480"/>
      <c r="O52" s="480"/>
      <c r="P52" s="480"/>
      <c r="Q52" s="480"/>
      <c r="R52" s="480"/>
      <c r="S52" s="480"/>
      <c r="T52" s="480"/>
      <c r="U52" s="480"/>
      <c r="V52" s="480"/>
      <c r="W52" s="480"/>
      <c r="X52" s="480"/>
      <c r="Y52" s="480"/>
      <c r="Z52" s="480"/>
      <c r="AA52" s="480"/>
      <c r="AB52" s="480"/>
      <c r="AC52" s="480"/>
      <c r="AD52" s="499"/>
      <c r="AE52" s="480"/>
      <c r="AF52" s="480"/>
      <c r="AG52" s="480"/>
      <c r="AH52" s="480"/>
      <c r="AI52" s="480"/>
      <c r="AJ52" s="480"/>
      <c r="AK52" s="499"/>
      <c r="AL52" s="318"/>
      <c r="AM52" s="318"/>
      <c r="AN52" s="318"/>
      <c r="AO52" s="318"/>
      <c r="AP52" s="491"/>
      <c r="AQ52" s="491"/>
      <c r="AR52" s="491"/>
      <c r="AS52" s="491"/>
      <c r="AT52" s="491"/>
      <c r="AU52" s="491"/>
      <c r="AV52" s="491"/>
      <c r="AW52" s="491"/>
      <c r="AX52" s="491"/>
      <c r="AY52" s="491"/>
      <c r="AZ52" s="491"/>
      <c r="BA52" s="461"/>
      <c r="BB52" s="461"/>
      <c r="BC52" s="461"/>
      <c r="BD52" s="461"/>
      <c r="BE52" s="461"/>
      <c r="BF52" s="461"/>
      <c r="BG52" s="461"/>
      <c r="BH52" s="461"/>
      <c r="BI52" s="461"/>
      <c r="BJ52" s="461"/>
      <c r="BK52" s="461"/>
      <c r="BL52" s="461"/>
      <c r="BM52" s="480"/>
      <c r="BN52" s="480"/>
      <c r="BO52" s="480"/>
      <c r="BP52" s="480"/>
      <c r="BQ52" s="480"/>
      <c r="BR52" s="480"/>
      <c r="BS52" s="480"/>
      <c r="BT52" s="480"/>
      <c r="BU52" s="480"/>
      <c r="BV52" s="480"/>
      <c r="BW52" s="480"/>
      <c r="BX52" s="480"/>
      <c r="BY52" s="318"/>
      <c r="BZ52" s="318"/>
      <c r="CA52" s="318"/>
      <c r="CB52" s="318"/>
      <c r="CC52" s="318"/>
      <c r="CD52" s="208"/>
      <c r="CE52" s="580" t="str">
        <f>IF(AND(ISNUMBER(BZ52),ISNUMBER(CA52),ISNUMBER(CD52)),SUM(BZ52,CA52,CD52),"")</f>
        <v/>
      </c>
      <c r="CF52" s="208"/>
      <c r="CG52" s="208"/>
      <c r="CH52" s="208"/>
      <c r="CI52" s="209" t="str">
        <f>IF(AND(ISNUMBER(CF52), ISNUMBER(CG52), ISNUMBER(CH52)), SUM(CF52:CH52), "")</f>
        <v/>
      </c>
      <c r="CJ52" s="907" t="str">
        <f t="shared" si="237"/>
        <v/>
      </c>
      <c r="CK52" s="560" t="str">
        <f>IF(ISNUMBER(CJ52),IF(AND(CJ52&gt;=(Parameters!F340*0.95), CJ52&lt;=(Parameters!F340*1.05)), "Pass", "Fail"),"")</f>
        <v/>
      </c>
      <c r="CL52" s="480"/>
      <c r="CM52" s="480"/>
      <c r="CN52" s="480"/>
      <c r="CO52" s="506" t="str">
        <f>IF(ISNUMBER(CE52), CE52, "")</f>
        <v/>
      </c>
      <c r="CP52" s="506" t="str">
        <f>IF(ISNUMBER(CA52), CA52, "")</f>
        <v/>
      </c>
      <c r="CQ52" s="506" t="str">
        <f>IF(ISNUMBER(CI52), CI52, "")</f>
        <v/>
      </c>
      <c r="CR52" s="865"/>
      <c r="CS52" s="866"/>
      <c r="CT52" s="1928" t="str">
        <f t="shared" ref="CT52:CT54" si="238">IF(ISNUMBER(CE52), CE52, "")</f>
        <v/>
      </c>
      <c r="CU52" s="506" t="str">
        <f t="shared" ref="CU52:CU54" si="239">IF(ISNUMBER(CA52), CA52, "")</f>
        <v/>
      </c>
      <c r="CV52" s="506" t="str">
        <f t="shared" ref="CV52:CV54" si="240">IF(ISNUMBER(CI52), CI52, "")</f>
        <v/>
      </c>
      <c r="CW52" s="2293" t="str">
        <f t="shared" ref="CW52:CW54" si="241">IF(ISNUMBER(CE52), CE52, "")</f>
        <v/>
      </c>
      <c r="CX52" s="2293" t="str">
        <f t="shared" ref="CX52:CX54" si="242">IF(ISNUMBER(CA52), CA52, "")</f>
        <v/>
      </c>
      <c r="CY52" s="2279" t="str">
        <f t="shared" ref="CY52:CY54" si="243">IF(ISNUMBER(CI52), CI52, "")</f>
        <v/>
      </c>
      <c r="CZ52" s="2246"/>
    </row>
    <row r="53" spans="1:104" ht="15" customHeight="1" x14ac:dyDescent="0.25">
      <c r="A53" s="545"/>
      <c r="B53" s="336" t="s">
        <v>814</v>
      </c>
      <c r="C53" s="318"/>
      <c r="D53" s="318"/>
      <c r="E53" s="318"/>
      <c r="F53" s="318"/>
      <c r="G53" s="318"/>
      <c r="H53" s="580" t="str">
        <f t="shared" ref="H53:H54" si="244">IF(AND(ISNUMBER(C53),ISNUMBER(D53),ISNUMBER(G53)),SUM(C53,D53,G53),"")</f>
        <v/>
      </c>
      <c r="I53" s="208"/>
      <c r="J53" s="208"/>
      <c r="K53" s="208"/>
      <c r="L53" s="580" t="str">
        <f t="shared" ref="L53:L54" si="245">IF(AND(ISNUMBER(I53),ISNUMBER(J53),ISNUMBER(K53)),SUM(I53:K53), "")</f>
        <v/>
      </c>
      <c r="M53" s="208"/>
      <c r="N53" s="480"/>
      <c r="O53" s="480"/>
      <c r="P53" s="480"/>
      <c r="Q53" s="480"/>
      <c r="R53" s="480"/>
      <c r="S53" s="480"/>
      <c r="T53" s="480"/>
      <c r="U53" s="480"/>
      <c r="V53" s="480"/>
      <c r="W53" s="480"/>
      <c r="X53" s="480"/>
      <c r="Y53" s="480"/>
      <c r="Z53" s="480"/>
      <c r="AA53" s="480"/>
      <c r="AB53" s="480"/>
      <c r="AC53" s="480"/>
      <c r="AD53" s="499"/>
      <c r="AE53" s="480"/>
      <c r="AF53" s="480"/>
      <c r="AG53" s="480"/>
      <c r="AH53" s="480"/>
      <c r="AI53" s="480"/>
      <c r="AJ53" s="480"/>
      <c r="AK53" s="499"/>
      <c r="AL53" s="318"/>
      <c r="AM53" s="318"/>
      <c r="AN53" s="318"/>
      <c r="AO53" s="318"/>
      <c r="AP53" s="491"/>
      <c r="AQ53" s="491"/>
      <c r="AR53" s="491"/>
      <c r="AS53" s="491"/>
      <c r="AT53" s="491"/>
      <c r="AU53" s="491"/>
      <c r="AV53" s="491"/>
      <c r="AW53" s="491"/>
      <c r="AX53" s="491"/>
      <c r="AY53" s="491"/>
      <c r="AZ53" s="491"/>
      <c r="BA53" s="461"/>
      <c r="BB53" s="461"/>
      <c r="BC53" s="461"/>
      <c r="BD53" s="461"/>
      <c r="BE53" s="461"/>
      <c r="BF53" s="461"/>
      <c r="BG53" s="461"/>
      <c r="BH53" s="461"/>
      <c r="BI53" s="461"/>
      <c r="BJ53" s="461"/>
      <c r="BK53" s="461"/>
      <c r="BL53" s="461"/>
      <c r="BM53" s="480"/>
      <c r="BN53" s="480"/>
      <c r="BO53" s="480"/>
      <c r="BP53" s="480"/>
      <c r="BQ53" s="480"/>
      <c r="BR53" s="480"/>
      <c r="BS53" s="480"/>
      <c r="BT53" s="480"/>
      <c r="BU53" s="480"/>
      <c r="BV53" s="480"/>
      <c r="BW53" s="480"/>
      <c r="BX53" s="480"/>
      <c r="BY53" s="318"/>
      <c r="BZ53" s="318"/>
      <c r="CA53" s="318"/>
      <c r="CB53" s="318"/>
      <c r="CC53" s="318"/>
      <c r="CD53" s="208"/>
      <c r="CE53" s="580" t="str">
        <f t="shared" ref="CE53:CE54" si="246">IF(AND(ISNUMBER(BZ53),ISNUMBER(CA53),ISNUMBER(CD53)),SUM(BZ53,CA53,CD53),"")</f>
        <v/>
      </c>
      <c r="CF53" s="208"/>
      <c r="CG53" s="208"/>
      <c r="CH53" s="208"/>
      <c r="CI53" s="209" t="str">
        <f>IF(AND(ISNUMBER(CF53), ISNUMBER(CG53), ISNUMBER(CH53)), SUM(CF53:CH53), "")</f>
        <v/>
      </c>
      <c r="CJ53" s="907" t="str">
        <f t="shared" si="237"/>
        <v/>
      </c>
      <c r="CK53" s="560" t="str">
        <f>IF(ISNUMBER(CJ53),IF(AND(CJ53&gt;=(Parameters!F341*0.95), CJ53&lt;=(Parameters!F341*1.05)), "Pass", "Fail"),"")</f>
        <v/>
      </c>
      <c r="CL53" s="480"/>
      <c r="CM53" s="480"/>
      <c r="CN53" s="480"/>
      <c r="CO53" s="506" t="str">
        <f>IF(ISNUMBER(CE53), CE53, "")</f>
        <v/>
      </c>
      <c r="CP53" s="506" t="str">
        <f>IF(ISNUMBER(CA53), CA53, "")</f>
        <v/>
      </c>
      <c r="CQ53" s="506" t="str">
        <f>IF(ISNUMBER(CI53), CI53, "")</f>
        <v/>
      </c>
      <c r="CR53" s="865"/>
      <c r="CS53" s="866"/>
      <c r="CT53" s="1928" t="str">
        <f t="shared" si="238"/>
        <v/>
      </c>
      <c r="CU53" s="506" t="str">
        <f t="shared" si="239"/>
        <v/>
      </c>
      <c r="CV53" s="506" t="str">
        <f t="shared" si="240"/>
        <v/>
      </c>
      <c r="CW53" s="2293" t="str">
        <f t="shared" si="241"/>
        <v/>
      </c>
      <c r="CX53" s="2293" t="str">
        <f t="shared" si="242"/>
        <v/>
      </c>
      <c r="CY53" s="2279" t="str">
        <f t="shared" si="243"/>
        <v/>
      </c>
      <c r="CZ53" s="2246"/>
    </row>
    <row r="54" spans="1:104" ht="15" customHeight="1" x14ac:dyDescent="0.25">
      <c r="A54" s="545"/>
      <c r="B54" s="336" t="s">
        <v>815</v>
      </c>
      <c r="C54" s="318"/>
      <c r="D54" s="318"/>
      <c r="E54" s="318"/>
      <c r="F54" s="318"/>
      <c r="G54" s="318"/>
      <c r="H54" s="580" t="str">
        <f t="shared" si="244"/>
        <v/>
      </c>
      <c r="I54" s="208"/>
      <c r="J54" s="208"/>
      <c r="K54" s="208"/>
      <c r="L54" s="580" t="str">
        <f t="shared" si="245"/>
        <v/>
      </c>
      <c r="M54" s="208"/>
      <c r="N54" s="480"/>
      <c r="O54" s="480"/>
      <c r="P54" s="480"/>
      <c r="Q54" s="480"/>
      <c r="R54" s="480"/>
      <c r="S54" s="480"/>
      <c r="T54" s="480"/>
      <c r="U54" s="480"/>
      <c r="V54" s="480"/>
      <c r="W54" s="480"/>
      <c r="X54" s="480"/>
      <c r="Y54" s="480"/>
      <c r="Z54" s="480"/>
      <c r="AA54" s="480"/>
      <c r="AB54" s="480"/>
      <c r="AC54" s="480"/>
      <c r="AD54" s="499"/>
      <c r="AE54" s="480"/>
      <c r="AF54" s="480"/>
      <c r="AG54" s="480"/>
      <c r="AH54" s="480"/>
      <c r="AI54" s="480"/>
      <c r="AJ54" s="480"/>
      <c r="AK54" s="499"/>
      <c r="AL54" s="318"/>
      <c r="AM54" s="318"/>
      <c r="AN54" s="318"/>
      <c r="AO54" s="318"/>
      <c r="AP54" s="491"/>
      <c r="AQ54" s="491"/>
      <c r="AR54" s="491"/>
      <c r="AS54" s="491"/>
      <c r="AT54" s="491"/>
      <c r="AU54" s="491"/>
      <c r="AV54" s="491"/>
      <c r="AW54" s="491"/>
      <c r="AX54" s="491"/>
      <c r="AY54" s="491"/>
      <c r="AZ54" s="491"/>
      <c r="BA54" s="461"/>
      <c r="BB54" s="461"/>
      <c r="BC54" s="461"/>
      <c r="BD54" s="461"/>
      <c r="BE54" s="461"/>
      <c r="BF54" s="461"/>
      <c r="BG54" s="461"/>
      <c r="BH54" s="461"/>
      <c r="BI54" s="461"/>
      <c r="BJ54" s="461"/>
      <c r="BK54" s="461"/>
      <c r="BL54" s="461"/>
      <c r="BM54" s="480"/>
      <c r="BN54" s="480"/>
      <c r="BO54" s="480"/>
      <c r="BP54" s="480"/>
      <c r="BQ54" s="480"/>
      <c r="BR54" s="480"/>
      <c r="BS54" s="480"/>
      <c r="BT54" s="480"/>
      <c r="BU54" s="480"/>
      <c r="BV54" s="480"/>
      <c r="BW54" s="480"/>
      <c r="BX54" s="480"/>
      <c r="BY54" s="318"/>
      <c r="BZ54" s="318"/>
      <c r="CA54" s="318"/>
      <c r="CB54" s="318"/>
      <c r="CC54" s="318"/>
      <c r="CD54" s="208"/>
      <c r="CE54" s="580" t="str">
        <f t="shared" si="246"/>
        <v/>
      </c>
      <c r="CF54" s="208"/>
      <c r="CG54" s="208"/>
      <c r="CH54" s="208"/>
      <c r="CI54" s="209" t="str">
        <f>IF(AND(ISNUMBER(CF54), ISNUMBER(CG54), ISNUMBER(CH54)), SUM(CF54:CH54), "")</f>
        <v/>
      </c>
      <c r="CJ54" s="907" t="str">
        <f t="shared" si="237"/>
        <v/>
      </c>
      <c r="CK54" s="560" t="str">
        <f>IF(ISNUMBER(CJ54),IF(AND(CJ54&gt;=(Parameters!F342*0.95), CJ54&lt;=(Parameters!F342*1.05)), "Pass", "Fail"),"")</f>
        <v/>
      </c>
      <c r="CL54" s="480"/>
      <c r="CM54" s="480"/>
      <c r="CN54" s="480"/>
      <c r="CO54" s="506" t="str">
        <f>IF(ISNUMBER(CE54), CE54, "")</f>
        <v/>
      </c>
      <c r="CP54" s="506" t="str">
        <f>IF(ISNUMBER(CA54), CA54, "")</f>
        <v/>
      </c>
      <c r="CQ54" s="506" t="str">
        <f>IF(ISNUMBER(CI54), CI54, "")</f>
        <v/>
      </c>
      <c r="CR54" s="865"/>
      <c r="CS54" s="866"/>
      <c r="CT54" s="1928" t="str">
        <f t="shared" si="238"/>
        <v/>
      </c>
      <c r="CU54" s="506" t="str">
        <f t="shared" si="239"/>
        <v/>
      </c>
      <c r="CV54" s="506" t="str">
        <f t="shared" si="240"/>
        <v/>
      </c>
      <c r="CW54" s="2293" t="str">
        <f t="shared" si="241"/>
        <v/>
      </c>
      <c r="CX54" s="2293" t="str">
        <f t="shared" si="242"/>
        <v/>
      </c>
      <c r="CY54" s="2279" t="str">
        <f t="shared" si="243"/>
        <v/>
      </c>
      <c r="CZ54" s="2246"/>
    </row>
    <row r="55" spans="1:104" ht="15" customHeight="1" x14ac:dyDescent="0.25">
      <c r="A55" s="545"/>
      <c r="B55" s="507" t="s">
        <v>816</v>
      </c>
      <c r="C55" s="580" t="str">
        <f t="shared" ref="C55:L55" si="247">IF(AND(ISNUMBER(C56),ISNUMBER(C57)),SUM(C56:C57),"")</f>
        <v/>
      </c>
      <c r="D55" s="580" t="str">
        <f t="shared" si="247"/>
        <v/>
      </c>
      <c r="E55" s="580" t="str">
        <f t="shared" si="247"/>
        <v/>
      </c>
      <c r="F55" s="580" t="str">
        <f t="shared" si="247"/>
        <v/>
      </c>
      <c r="G55" s="580" t="str">
        <f t="shared" si="247"/>
        <v/>
      </c>
      <c r="H55" s="580" t="str">
        <f>IF(AND(ISNUMBER(H56),ISNUMBER(H57)),SUM(H56:H57),"")</f>
        <v/>
      </c>
      <c r="I55" s="580" t="str">
        <f t="shared" ref="I55" si="248">IF(AND(ISNUMBER(I56),ISNUMBER(I57)),SUM(I56:I57),"")</f>
        <v/>
      </c>
      <c r="J55" s="580" t="str">
        <f t="shared" ref="J55" si="249">IF(AND(ISNUMBER(J56),ISNUMBER(J57)),SUM(J56:J57),"")</f>
        <v/>
      </c>
      <c r="K55" s="580" t="str">
        <f t="shared" ref="K55" si="250">IF(AND(ISNUMBER(K56),ISNUMBER(K57)),SUM(K56:K57),"")</f>
        <v/>
      </c>
      <c r="L55" s="580" t="str">
        <f t="shared" si="247"/>
        <v/>
      </c>
      <c r="M55" s="580" t="str">
        <f>IF(ISNUMBER(M56), M56,"")</f>
        <v/>
      </c>
      <c r="N55" s="480"/>
      <c r="O55" s="480"/>
      <c r="P55" s="480"/>
      <c r="Q55" s="480"/>
      <c r="R55" s="480"/>
      <c r="S55" s="480"/>
      <c r="T55" s="480"/>
      <c r="U55" s="480"/>
      <c r="V55" s="480"/>
      <c r="W55" s="480"/>
      <c r="X55" s="480"/>
      <c r="Y55" s="480"/>
      <c r="Z55" s="480"/>
      <c r="AA55" s="480"/>
      <c r="AB55" s="480"/>
      <c r="AC55" s="480"/>
      <c r="AD55" s="499"/>
      <c r="AE55" s="480"/>
      <c r="AF55" s="480"/>
      <c r="AG55" s="480"/>
      <c r="AH55" s="480"/>
      <c r="AI55" s="480"/>
      <c r="AJ55" s="480"/>
      <c r="AK55" s="499"/>
      <c r="AL55" s="580" t="str">
        <f>IF(ISNUMBER(AL56),AL56,"")</f>
        <v/>
      </c>
      <c r="AM55" s="580" t="str">
        <f t="shared" ref="AM55:AO55" si="251">IF(ISNUMBER(AM56),AM56,"")</f>
        <v/>
      </c>
      <c r="AN55" s="580" t="str">
        <f t="shared" si="251"/>
        <v/>
      </c>
      <c r="AO55" s="580" t="str">
        <f t="shared" si="251"/>
        <v/>
      </c>
      <c r="AP55" s="580" t="str">
        <f t="shared" ref="AP55:AY55" si="252">IF(AND(ISNUMBER(AP56),ISNUMBER(AP57) ),SUM(AP56:AP57),"")</f>
        <v/>
      </c>
      <c r="AQ55" s="580" t="str">
        <f t="shared" si="252"/>
        <v/>
      </c>
      <c r="AR55" s="580" t="str">
        <f t="shared" si="252"/>
        <v/>
      </c>
      <c r="AS55" s="580" t="str">
        <f t="shared" si="252"/>
        <v/>
      </c>
      <c r="AT55" s="580" t="str">
        <f t="shared" si="252"/>
        <v/>
      </c>
      <c r="AU55" s="580" t="str">
        <f t="shared" si="252"/>
        <v/>
      </c>
      <c r="AV55" s="580" t="str">
        <f t="shared" ref="AV55" si="253">IF(AND(ISNUMBER(AV56),ISNUMBER(AV57) ),SUM(AV56:AV57),"")</f>
        <v/>
      </c>
      <c r="AW55" s="580" t="str">
        <f t="shared" ref="AW55" si="254">IF(AND(ISNUMBER(AW56),ISNUMBER(AW57) ),SUM(AW56:AW57),"")</f>
        <v/>
      </c>
      <c r="AX55" s="580" t="str">
        <f t="shared" ref="AX55" si="255">IF(AND(ISNUMBER(AX56),ISNUMBER(AX57) ),SUM(AX56:AX57),"")</f>
        <v/>
      </c>
      <c r="AY55" s="580" t="str">
        <f t="shared" si="252"/>
        <v/>
      </c>
      <c r="AZ55" s="580" t="str">
        <f>IF(ISNUMBER(AZ56),AZ56,"")</f>
        <v/>
      </c>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580" t="str">
        <f>IF($C$7="No", 0, IF(AND(ISNUMBER(BY56), ISNUMBER(BY57)), SUM(BY56:BY57), ""))</f>
        <v/>
      </c>
      <c r="BZ55" s="580" t="str">
        <f t="shared" ref="BZ55:CD55" si="256">IF($C$7="No", 0, IF(AND(ISNUMBER(BZ56), ISNUMBER(BZ57)), SUM(BZ56:BZ57), ""))</f>
        <v/>
      </c>
      <c r="CA55" s="580" t="str">
        <f t="shared" si="256"/>
        <v/>
      </c>
      <c r="CB55" s="580" t="str">
        <f t="shared" si="256"/>
        <v/>
      </c>
      <c r="CC55" s="580" t="str">
        <f t="shared" si="256"/>
        <v/>
      </c>
      <c r="CD55" s="580" t="str">
        <f t="shared" si="256"/>
        <v/>
      </c>
      <c r="CE55" s="580" t="str">
        <f t="shared" ref="CE55:CI55" si="257">IF(AND(ISNUMBER(CE56),ISNUMBER(CE57) ),SUM(CE56:CE57),"")</f>
        <v/>
      </c>
      <c r="CF55" s="580" t="str">
        <f>IF($C$7="No", 0, IF(AND(ISNUMBER(CF56), ISNUMBER(CF57)), SUM(CF56:CF57), ""))</f>
        <v/>
      </c>
      <c r="CG55" s="580" t="str">
        <f>IF($C$7="No", 0, IF(AND(ISNUMBER(CG56), ISNUMBER(CG57)), SUM(CG56:CG57), ""))</f>
        <v/>
      </c>
      <c r="CH55" s="580" t="str">
        <f>IF($C$7="No", 0, IF(AND(ISNUMBER(CH56), ISNUMBER(CH57)), SUM(CH56:CH57), ""))</f>
        <v/>
      </c>
      <c r="CI55" s="209" t="str">
        <f t="shared" si="257"/>
        <v/>
      </c>
      <c r="CJ55" s="907" t="str">
        <f t="shared" si="237"/>
        <v/>
      </c>
      <c r="CK55" s="502"/>
      <c r="CL55" s="506" t="str">
        <f t="shared" ref="CL55" si="258">IF(AND(ISNUMBER(CL56),ISNUMBER(CL57) ),SUM(CL56:CL57),"")</f>
        <v/>
      </c>
      <c r="CM55" s="506" t="str">
        <f>IF(AND(ISNUMBER(CM56),ISNUMBER(CM57)),SUM(CM56:CM57),"")</f>
        <v/>
      </c>
      <c r="CN55" s="506" t="str">
        <f>IF(ISNUMBER(CN56),CN56,"")</f>
        <v/>
      </c>
      <c r="CO55" s="506" t="str">
        <f t="shared" ref="CO55:CQ55" si="259">IF(AND(ISNUMBER(CO56),ISNUMBER(CO57) ),SUM(CO56:CO57),"")</f>
        <v/>
      </c>
      <c r="CP55" s="506" t="str">
        <f t="shared" si="259"/>
        <v/>
      </c>
      <c r="CQ55" s="506" t="str">
        <f t="shared" si="259"/>
        <v/>
      </c>
      <c r="CR55" s="553" t="str">
        <f t="shared" ref="CR55:CR63" si="260">IF(AND(ISNUMBER(CO55), ISNUMBER(AU55), ISNUMBER(CE55)), IF(CO55&gt;= 0.85 * (AU55+CE55), "Pass", "please check"),"")</f>
        <v/>
      </c>
      <c r="CS55" s="701" t="str">
        <f t="shared" ref="CS55:CS63" si="261">IF(AND(ISNUMBER(AL55),ISNUMBER(AM55),ISNUMBER(AN55),ISNUMBER(AO55),ISNUMBER(AY55), ISNUMBER(AZ55), ISNUMBER(CQ55), ISNUMBER(CI55)), IF(CQ55&gt;=(AY55+12.5*MAX(0,AZ55-(AL55+AM55+AN55+AO55))+CI55), "Pass", "please check"), "")</f>
        <v/>
      </c>
      <c r="CT55" s="1928" t="str">
        <f t="shared" ref="CT55" si="262">IF(AND(ISNUMBER(CT56),ISNUMBER(CT57) ),SUM(CT56:CT57),"")</f>
        <v/>
      </c>
      <c r="CU55" s="506" t="str">
        <f>IF(AND(OR('General Info'!$C$19="Yes",'General Info'!$D$19="Yes"),ISNUMBER(CU56),ISNUMBER(CU57) ),SUM(CU56:CU57),"")</f>
        <v/>
      </c>
      <c r="CV55" s="506" t="str">
        <f>IF(AND(OR('General Info'!$C$19="Yes",'General Info'!$D$19="Yes"),ISNUMBER(CV56),ISNUMBER(CV57) ),SUM(CV56:CV57),"")</f>
        <v/>
      </c>
      <c r="CW55" s="2293" t="str">
        <f>IF(AND(OR('General Info'!$C$19="Yes",'General Info'!$D$19="Yes"),ISNUMBER(AU55),ISNUMBER(CE55)),SUM(AU55,CE55),"")</f>
        <v/>
      </c>
      <c r="CX55" s="2293" t="str">
        <f>IF(AND(OR('General Info'!$C$19="Yes",'General Info'!$D$19="Yes"),ISNUMBER(AQ55),ISNUMBER(CA55)),SUM(AQ55,CA55),"")</f>
        <v/>
      </c>
      <c r="CY55" s="2279" t="str">
        <f>IF(AND(OR('General Info'!$C$19="Yes",'General Info'!$D$19="Yes"),ISNUMBER(CY56),ISNUMBER(CY57) ),SUM(CY56:CY57),"")</f>
        <v/>
      </c>
      <c r="CZ55" s="2246"/>
    </row>
    <row r="56" spans="1:104" ht="15" customHeight="1" x14ac:dyDescent="0.25">
      <c r="A56" s="545"/>
      <c r="B56" s="336" t="s">
        <v>856</v>
      </c>
      <c r="C56" s="322"/>
      <c r="D56" s="322"/>
      <c r="E56" s="322"/>
      <c r="F56" s="322"/>
      <c r="G56" s="227"/>
      <c r="H56" s="580" t="str">
        <f>IF(AND(ISNUMBER(C56),ISNUMBER(D56),ISNUMBER(G56)),SUM(C56,D56,G56),"")</f>
        <v/>
      </c>
      <c r="I56" s="737"/>
      <c r="J56" s="322"/>
      <c r="K56" s="227"/>
      <c r="L56" s="580" t="str">
        <f>IF(AND(ISNUMBER(I56),ISNUMBER(J56),ISNUMBER(K56)),SUM(I56:K56), "")</f>
        <v/>
      </c>
      <c r="M56" s="737"/>
      <c r="N56" s="480"/>
      <c r="O56" s="480"/>
      <c r="P56" s="480"/>
      <c r="Q56" s="480"/>
      <c r="R56" s="480"/>
      <c r="S56" s="480"/>
      <c r="T56" s="480"/>
      <c r="U56" s="480"/>
      <c r="V56" s="480"/>
      <c r="W56" s="480"/>
      <c r="X56" s="480"/>
      <c r="Y56" s="480"/>
      <c r="Z56" s="480"/>
      <c r="AA56" s="480"/>
      <c r="AB56" s="480"/>
      <c r="AC56" s="480"/>
      <c r="AD56" s="499"/>
      <c r="AE56" s="480"/>
      <c r="AF56" s="480"/>
      <c r="AG56" s="480"/>
      <c r="AH56" s="480"/>
      <c r="AI56" s="480"/>
      <c r="AJ56" s="480"/>
      <c r="AK56" s="480"/>
      <c r="AL56" s="322"/>
      <c r="AM56" s="322"/>
      <c r="AN56" s="322"/>
      <c r="AO56" s="322"/>
      <c r="AP56" s="322"/>
      <c r="AQ56" s="322"/>
      <c r="AR56" s="322"/>
      <c r="AS56" s="322"/>
      <c r="AT56" s="227"/>
      <c r="AU56" s="580" t="str">
        <f>IF(AND(ISNUMBER(AP56),ISNUMBER(AQ56),ISNUMBER(AT56)),SUM(AP56,AQ56,AT56),"")</f>
        <v/>
      </c>
      <c r="AV56" s="737"/>
      <c r="AW56" s="322"/>
      <c r="AX56" s="227"/>
      <c r="AY56" s="580" t="str">
        <f>IF(AND(ISNUMBER(AV56),ISNUMBER(AW56),ISNUMBER(AX56)),SUM(AV56:AX56), "")</f>
        <v/>
      </c>
      <c r="AZ56" s="737"/>
      <c r="BA56" s="461"/>
      <c r="BB56" s="461"/>
      <c r="BC56" s="461"/>
      <c r="BD56" s="461"/>
      <c r="BE56" s="461"/>
      <c r="BF56" s="461"/>
      <c r="BG56" s="461"/>
      <c r="BH56" s="461"/>
      <c r="BI56" s="461"/>
      <c r="BJ56" s="461"/>
      <c r="BK56" s="461"/>
      <c r="BL56" s="461"/>
      <c r="BM56" s="480"/>
      <c r="BN56" s="480"/>
      <c r="BO56" s="480"/>
      <c r="BP56" s="480"/>
      <c r="BQ56" s="480"/>
      <c r="BR56" s="480"/>
      <c r="BS56" s="480"/>
      <c r="BT56" s="480"/>
      <c r="BU56" s="480"/>
      <c r="BV56" s="480"/>
      <c r="BW56" s="480"/>
      <c r="BX56" s="781"/>
      <c r="BY56" s="322"/>
      <c r="BZ56" s="322"/>
      <c r="CA56" s="322"/>
      <c r="CB56" s="322"/>
      <c r="CC56" s="322"/>
      <c r="CD56" s="322"/>
      <c r="CE56" s="580" t="str">
        <f>IF($C$7="No", 0, IF(AND(ISNUMBER(BZ56),ISNUMBER(CA56),ISNUMBER(CD56)),SUM(BZ56,CA56,CD56),""))</f>
        <v/>
      </c>
      <c r="CF56" s="322"/>
      <c r="CG56" s="322"/>
      <c r="CH56" s="322"/>
      <c r="CI56" s="209" t="str">
        <f>IF($C$7="No", 0, IF(AND(ISNUMBER(CF56), ISNUMBER(CG56), ISNUMBER(CH56)), SUM(CF56:CH56), ""))</f>
        <v/>
      </c>
      <c r="CJ56" s="907" t="str">
        <f t="shared" si="237"/>
        <v/>
      </c>
      <c r="CK56" s="502"/>
      <c r="CL56" s="318"/>
      <c r="CM56" s="318"/>
      <c r="CN56" s="318"/>
      <c r="CO56" s="318"/>
      <c r="CP56" s="318"/>
      <c r="CQ56" s="318"/>
      <c r="CR56" s="553" t="str">
        <f t="shared" si="260"/>
        <v/>
      </c>
      <c r="CS56" s="701" t="str">
        <f t="shared" si="261"/>
        <v/>
      </c>
      <c r="CT56" s="1928" t="str">
        <f>IF(AND(OR('General Info'!$C$19="Yes",'General Info'!$D$19="Yes"),ISNUMBER(CO56),ISNUMBER(CP56),ISNUMBER(CU56)),CO56-CP56+CU56,"")</f>
        <v/>
      </c>
      <c r="CU56" s="318"/>
      <c r="CV56" s="318"/>
      <c r="CW56" s="2293" t="str">
        <f>IF(AND(OR('General Info'!$C$19="Yes",'General Info'!$D$19="Yes"),ISNUMBER(AU56),ISNUMBER(CE56)),SUM(AU56,CE56),"")</f>
        <v/>
      </c>
      <c r="CX56" s="2293" t="str">
        <f>IF(AND(OR('General Info'!$C$19="Yes",'General Info'!$D$19="Yes"),ISNUMBER(AQ56),ISNUMBER(CA56)),SUM(AQ56,CA56),"")</f>
        <v/>
      </c>
      <c r="CY56" s="208"/>
      <c r="CZ56" s="2246"/>
    </row>
    <row r="57" spans="1:104" ht="15" customHeight="1" x14ac:dyDescent="0.25">
      <c r="A57" s="545"/>
      <c r="B57" s="336" t="s">
        <v>857</v>
      </c>
      <c r="C57" s="320"/>
      <c r="D57" s="320"/>
      <c r="E57" s="320"/>
      <c r="F57" s="320"/>
      <c r="G57" s="358"/>
      <c r="H57" s="580" t="str">
        <f t="shared" si="190"/>
        <v/>
      </c>
      <c r="I57" s="489"/>
      <c r="J57" s="320"/>
      <c r="K57" s="358"/>
      <c r="L57" s="580" t="str">
        <f>IF(AND(ISNUMBER(I57),ISNUMBER(J57),ISNUMBER(K57)),SUM(I57:K57), "")</f>
        <v/>
      </c>
      <c r="M57" s="966"/>
      <c r="N57" s="480"/>
      <c r="O57" s="480"/>
      <c r="P57" s="480"/>
      <c r="Q57" s="480"/>
      <c r="R57" s="480"/>
      <c r="S57" s="480"/>
      <c r="T57" s="480"/>
      <c r="U57" s="480"/>
      <c r="V57" s="480"/>
      <c r="W57" s="480"/>
      <c r="X57" s="480"/>
      <c r="Y57" s="480"/>
      <c r="Z57" s="491"/>
      <c r="AA57" s="491"/>
      <c r="AB57" s="491"/>
      <c r="AC57" s="491"/>
      <c r="AD57" s="967"/>
      <c r="AE57" s="491"/>
      <c r="AF57" s="491"/>
      <c r="AG57" s="491"/>
      <c r="AH57" s="491"/>
      <c r="AI57" s="491"/>
      <c r="AJ57" s="491"/>
      <c r="AK57" s="491"/>
      <c r="AL57" s="480"/>
      <c r="AM57" s="480"/>
      <c r="AN57" s="480"/>
      <c r="AO57" s="480"/>
      <c r="AP57" s="320"/>
      <c r="AQ57" s="320"/>
      <c r="AR57" s="320"/>
      <c r="AS57" s="320"/>
      <c r="AT57" s="358"/>
      <c r="AU57" s="580" t="str">
        <f>IF(AND(ISNUMBER(AP57),ISNUMBER(AQ57),ISNUMBER(AT57)),SUM(AP57,AQ57,AT57),"")</f>
        <v/>
      </c>
      <c r="AV57" s="489"/>
      <c r="AW57" s="320"/>
      <c r="AX57" s="358"/>
      <c r="AY57" s="580" t="str">
        <f>IF(AND(ISNUMBER(AV57),ISNUMBER(AW57),ISNUMBER(AX57)),SUM(AV57:AX57), "")</f>
        <v/>
      </c>
      <c r="AZ57" s="966"/>
      <c r="BA57" s="461"/>
      <c r="BB57" s="461"/>
      <c r="BC57" s="461"/>
      <c r="BD57" s="461"/>
      <c r="BE57" s="461"/>
      <c r="BF57" s="461"/>
      <c r="BG57" s="461"/>
      <c r="BH57" s="461"/>
      <c r="BI57" s="461"/>
      <c r="BJ57" s="461"/>
      <c r="BK57" s="843"/>
      <c r="BL57" s="843"/>
      <c r="BM57" s="480"/>
      <c r="BN57" s="480"/>
      <c r="BO57" s="480"/>
      <c r="BP57" s="480"/>
      <c r="BQ57" s="480"/>
      <c r="BR57" s="480"/>
      <c r="BS57" s="480"/>
      <c r="BT57" s="480"/>
      <c r="BU57" s="480"/>
      <c r="BV57" s="480"/>
      <c r="BW57" s="480"/>
      <c r="BX57" s="491"/>
      <c r="BY57" s="320"/>
      <c r="BZ57" s="320"/>
      <c r="CA57" s="320"/>
      <c r="CB57" s="320"/>
      <c r="CC57" s="320"/>
      <c r="CD57" s="320"/>
      <c r="CE57" s="580" t="str">
        <f>IF($C$7="No", 0, IF(AND(ISNUMBER(BZ57),ISNUMBER(CA57),ISNUMBER(CD57)),SUM(BZ57,CA57,CD57),""))</f>
        <v/>
      </c>
      <c r="CF57" s="320"/>
      <c r="CG57" s="320"/>
      <c r="CH57" s="320"/>
      <c r="CI57" s="209" t="str">
        <f>IF($C$7="No", 0, IF(AND(ISNUMBER(CF57), ISNUMBER(CG57), ISNUMBER(CH57)), SUM(CF57:CH57), ""))</f>
        <v/>
      </c>
      <c r="CJ57" s="907" t="str">
        <f t="shared" si="237"/>
        <v/>
      </c>
      <c r="CK57" s="502"/>
      <c r="CL57" s="318"/>
      <c r="CM57" s="318"/>
      <c r="CN57" s="480"/>
      <c r="CO57" s="318"/>
      <c r="CP57" s="318"/>
      <c r="CQ57" s="318"/>
      <c r="CR57" s="553" t="str">
        <f t="shared" si="260"/>
        <v/>
      </c>
      <c r="CS57" s="701" t="str">
        <f t="shared" si="261"/>
        <v/>
      </c>
      <c r="CT57" s="1928" t="str">
        <f>IF(AND(OR('General Info'!$C$19="Yes",'General Info'!$D$19="Yes"),ISNUMBER(CO57),ISNUMBER(CP57),ISNUMBER(CU57)),CO57-CP57+CU57,"")</f>
        <v/>
      </c>
      <c r="CU57" s="318"/>
      <c r="CV57" s="318"/>
      <c r="CW57" s="2293" t="str">
        <f>IF(AND(OR('General Info'!$C$19="Yes",'General Info'!$D$19="Yes"),ISNUMBER(AU57),ISNUMBER(CE57)),SUM(AU57,CE57),"")</f>
        <v/>
      </c>
      <c r="CX57" s="2293" t="str">
        <f>IF(AND(OR('General Info'!$C$19="Yes",'General Info'!$D$19="Yes"),ISNUMBER(AQ57),ISNUMBER(CA57)),SUM(AQ57,CA57),"")</f>
        <v/>
      </c>
      <c r="CY57" s="208"/>
      <c r="CZ57" s="2246"/>
    </row>
    <row r="58" spans="1:104" ht="15" customHeight="1" x14ac:dyDescent="0.25">
      <c r="A58" s="545"/>
      <c r="B58" s="507" t="s">
        <v>858</v>
      </c>
      <c r="C58" s="580" t="str">
        <f t="shared" ref="C58:H58" si="263">IF(AND(ISNUMBER(C59),ISNUMBER(C60)),SUM(C59:C60),"")</f>
        <v/>
      </c>
      <c r="D58" s="580" t="str">
        <f t="shared" si="263"/>
        <v/>
      </c>
      <c r="E58" s="580" t="str">
        <f t="shared" si="263"/>
        <v/>
      </c>
      <c r="F58" s="580" t="str">
        <f t="shared" si="263"/>
        <v/>
      </c>
      <c r="G58" s="580" t="str">
        <f t="shared" si="263"/>
        <v/>
      </c>
      <c r="H58" s="580" t="str">
        <f t="shared" si="263"/>
        <v/>
      </c>
      <c r="I58" s="580" t="str">
        <f>IF(AND(ISNUMBER(I59),ISNUMBER(I60)),SUM(I59:I60),"")</f>
        <v/>
      </c>
      <c r="J58" s="580" t="str">
        <f>IF(AND(ISNUMBER(J59),ISNUMBER(J60)),SUM(J59:J60),"")</f>
        <v/>
      </c>
      <c r="K58" s="580" t="str">
        <f>IF(AND(ISNUMBER(K59),ISNUMBER(K60)),SUM(K59:K60),"")</f>
        <v/>
      </c>
      <c r="L58" s="580" t="str">
        <f>IF(AND(ISNUMBER(L59),ISNUMBER(L60)),SUM(L59:L60),"")</f>
        <v/>
      </c>
      <c r="M58" s="580" t="str">
        <f>IF(AND(ISNUMBER(M59),ISNUMBER(M60)),SUM(M59:M60),"")</f>
        <v/>
      </c>
      <c r="N58" s="506" t="str">
        <f t="shared" ref="N58:S58" si="264">IF(AND(ISNUMBER(N59),ISNUMBER(N60)),SUM(N59:N60),"")</f>
        <v/>
      </c>
      <c r="O58" s="506" t="str">
        <f t="shared" si="264"/>
        <v/>
      </c>
      <c r="P58" s="506" t="str">
        <f t="shared" si="264"/>
        <v/>
      </c>
      <c r="Q58" s="506" t="str">
        <f t="shared" si="264"/>
        <v/>
      </c>
      <c r="R58" s="506" t="str">
        <f t="shared" si="264"/>
        <v/>
      </c>
      <c r="S58" s="506" t="str">
        <f t="shared" si="264"/>
        <v/>
      </c>
      <c r="T58" s="1003" t="str">
        <f t="shared" ref="T58:Y58" si="265">IF(AND(ISNUMBER(T59),ISNUMBER(T60)),SUM(T59:T60),"")</f>
        <v/>
      </c>
      <c r="U58" s="1003" t="str">
        <f t="shared" si="265"/>
        <v/>
      </c>
      <c r="V58" s="1003" t="str">
        <f t="shared" si="265"/>
        <v/>
      </c>
      <c r="W58" s="1003" t="str">
        <f t="shared" si="265"/>
        <v/>
      </c>
      <c r="X58" s="1003" t="str">
        <f t="shared" si="265"/>
        <v/>
      </c>
      <c r="Y58" s="1003" t="str">
        <f t="shared" si="265"/>
        <v/>
      </c>
      <c r="Z58" s="580" t="str">
        <f t="shared" ref="Z58:AK58" si="266">IF(ISNUMBER(Z59),Z59,"")</f>
        <v/>
      </c>
      <c r="AA58" s="580" t="str">
        <f t="shared" si="266"/>
        <v/>
      </c>
      <c r="AB58" s="580" t="str">
        <f t="shared" si="266"/>
        <v/>
      </c>
      <c r="AC58" s="580" t="str">
        <f t="shared" si="266"/>
        <v/>
      </c>
      <c r="AD58" s="209" t="str">
        <f t="shared" si="266"/>
        <v/>
      </c>
      <c r="AE58" s="580" t="str">
        <f>IF(AND(ISNUMBER(Z58),ISNUMBER(AA58),ISNUMBER(AD58)),SUM(Z58,AA58,AD58),"")</f>
        <v/>
      </c>
      <c r="AF58" s="580" t="str">
        <f t="shared" si="266"/>
        <v/>
      </c>
      <c r="AG58" s="580" t="str">
        <f t="shared" si="266"/>
        <v/>
      </c>
      <c r="AH58" s="580" t="str">
        <f t="shared" si="266"/>
        <v/>
      </c>
      <c r="AI58" s="580" t="str">
        <f t="shared" si="266"/>
        <v/>
      </c>
      <c r="AJ58" s="580" t="str">
        <f t="shared" si="266"/>
        <v/>
      </c>
      <c r="AK58" s="580" t="str">
        <f t="shared" si="266"/>
        <v/>
      </c>
      <c r="AL58" s="255"/>
      <c r="AM58" s="247"/>
      <c r="AN58" s="247"/>
      <c r="AO58" s="247"/>
      <c r="AP58" s="580" t="str">
        <f t="shared" ref="AP58:BF58" si="267">IF(AND(ISNUMBER(AP59),ISNUMBER(AP60)),SUM(AP59:AP60),"")</f>
        <v/>
      </c>
      <c r="AQ58" s="580" t="str">
        <f t="shared" si="267"/>
        <v/>
      </c>
      <c r="AR58" s="580" t="str">
        <f t="shared" si="267"/>
        <v/>
      </c>
      <c r="AS58" s="580" t="str">
        <f t="shared" si="267"/>
        <v/>
      </c>
      <c r="AT58" s="580" t="str">
        <f t="shared" si="267"/>
        <v/>
      </c>
      <c r="AU58" s="580" t="str">
        <f t="shared" si="267"/>
        <v/>
      </c>
      <c r="AV58" s="580" t="str">
        <f t="shared" ref="AV58:AZ58" si="268">IF(AND(ISNUMBER(AV59),ISNUMBER(AV60)),SUM(AV59:AV60),"")</f>
        <v/>
      </c>
      <c r="AW58" s="580" t="str">
        <f t="shared" si="268"/>
        <v/>
      </c>
      <c r="AX58" s="580" t="str">
        <f t="shared" si="268"/>
        <v/>
      </c>
      <c r="AY58" s="580" t="str">
        <f t="shared" si="268"/>
        <v/>
      </c>
      <c r="AZ58" s="580" t="str">
        <f t="shared" si="268"/>
        <v/>
      </c>
      <c r="BA58" s="580" t="str">
        <f t="shared" si="267"/>
        <v/>
      </c>
      <c r="BB58" s="580" t="str">
        <f t="shared" si="267"/>
        <v/>
      </c>
      <c r="BC58" s="580" t="str">
        <f t="shared" si="267"/>
        <v/>
      </c>
      <c r="BD58" s="580" t="str">
        <f t="shared" si="267"/>
        <v/>
      </c>
      <c r="BE58" s="580" t="str">
        <f t="shared" si="267"/>
        <v/>
      </c>
      <c r="BF58" s="580" t="str">
        <f t="shared" si="267"/>
        <v/>
      </c>
      <c r="BG58" s="580" t="str">
        <f t="shared" ref="BG58:BX58" si="269">IF(AND(ISNUMBER(BG59),ISNUMBER(BG60)),SUM(BG59:BG60),"")</f>
        <v/>
      </c>
      <c r="BH58" s="580" t="str">
        <f t="shared" si="269"/>
        <v/>
      </c>
      <c r="BI58" s="580" t="str">
        <f t="shared" si="269"/>
        <v/>
      </c>
      <c r="BJ58" s="580" t="str">
        <f t="shared" si="269"/>
        <v/>
      </c>
      <c r="BK58" s="580" t="str">
        <f t="shared" si="269"/>
        <v/>
      </c>
      <c r="BL58" s="580" t="str">
        <f t="shared" si="269"/>
        <v/>
      </c>
      <c r="BM58" s="580" t="str">
        <f t="shared" si="269"/>
        <v/>
      </c>
      <c r="BN58" s="580" t="str">
        <f t="shared" si="269"/>
        <v/>
      </c>
      <c r="BO58" s="580" t="str">
        <f t="shared" si="269"/>
        <v/>
      </c>
      <c r="BP58" s="580" t="str">
        <f t="shared" si="269"/>
        <v/>
      </c>
      <c r="BQ58" s="580" t="str">
        <f t="shared" si="269"/>
        <v/>
      </c>
      <c r="BR58" s="580" t="str">
        <f t="shared" si="269"/>
        <v/>
      </c>
      <c r="BS58" s="580" t="str">
        <f t="shared" si="269"/>
        <v/>
      </c>
      <c r="BT58" s="580" t="str">
        <f t="shared" si="269"/>
        <v/>
      </c>
      <c r="BU58" s="580" t="str">
        <f t="shared" si="269"/>
        <v/>
      </c>
      <c r="BV58" s="580" t="str">
        <f t="shared" si="269"/>
        <v/>
      </c>
      <c r="BW58" s="580" t="str">
        <f t="shared" si="269"/>
        <v/>
      </c>
      <c r="BX58" s="580" t="str">
        <f t="shared" si="269"/>
        <v/>
      </c>
      <c r="BY58" s="580" t="str">
        <f>IF($C$7="No", 0, IF(AND(ISNUMBER(BY59), ISNUMBER(BY60)), SUM(BY59:BY60), ""))</f>
        <v/>
      </c>
      <c r="BZ58" s="580" t="str">
        <f t="shared" ref="BZ58:CD58" si="270">IF($C$7="No", 0, IF(AND(ISNUMBER(BZ59), ISNUMBER(BZ60)), SUM(BZ59:BZ60), ""))</f>
        <v/>
      </c>
      <c r="CA58" s="580" t="str">
        <f t="shared" si="270"/>
        <v/>
      </c>
      <c r="CB58" s="580" t="str">
        <f t="shared" si="270"/>
        <v/>
      </c>
      <c r="CC58" s="580" t="str">
        <f t="shared" si="270"/>
        <v/>
      </c>
      <c r="CD58" s="580" t="str">
        <f t="shared" si="270"/>
        <v/>
      </c>
      <c r="CE58" s="580" t="str">
        <f t="shared" ref="CE58:CI58" si="271">IF(AND(ISNUMBER(CE59),ISNUMBER(CE60)),SUM(CE59:CE60),"")</f>
        <v/>
      </c>
      <c r="CF58" s="580" t="str">
        <f>IF($C$7="No", 0, IF(AND(ISNUMBER(CF59), ISNUMBER(CF60)), SUM(CF59:CF60), ""))</f>
        <v/>
      </c>
      <c r="CG58" s="580" t="str">
        <f>IF($C$7="No", 0, IF(AND(ISNUMBER(CG59), ISNUMBER(CG60)), SUM(CG59:CG60), ""))</f>
        <v/>
      </c>
      <c r="CH58" s="580" t="str">
        <f>IF($C$7="No", 0, IF(AND(ISNUMBER(CH59), ISNUMBER(CH60)), SUM(CH59:CH60), ""))</f>
        <v/>
      </c>
      <c r="CI58" s="209" t="str">
        <f t="shared" si="271"/>
        <v/>
      </c>
      <c r="CJ58" s="907" t="str">
        <f t="shared" si="237"/>
        <v/>
      </c>
      <c r="CK58" s="502"/>
      <c r="CL58" s="506" t="str">
        <f t="shared" ref="CL58:CQ58" si="272">IF(AND(ISNUMBER(CL59),ISNUMBER(CL60)),SUM(CL59:CL60),"")</f>
        <v/>
      </c>
      <c r="CM58" s="506" t="str">
        <f t="shared" si="272"/>
        <v/>
      </c>
      <c r="CN58" s="506" t="str">
        <f t="shared" si="272"/>
        <v/>
      </c>
      <c r="CO58" s="506" t="str">
        <f t="shared" si="272"/>
        <v/>
      </c>
      <c r="CP58" s="506" t="str">
        <f t="shared" si="272"/>
        <v/>
      </c>
      <c r="CQ58" s="506" t="str">
        <f t="shared" si="272"/>
        <v/>
      </c>
      <c r="CR58" s="553" t="str">
        <f t="shared" si="260"/>
        <v/>
      </c>
      <c r="CS58" s="701" t="str">
        <f t="shared" si="261"/>
        <v/>
      </c>
      <c r="CT58" s="1928" t="str">
        <f t="shared" ref="CT58" si="273">IF(AND(ISNUMBER(CT59),ISNUMBER(CT60)),SUM(CT59:CT60),"")</f>
        <v/>
      </c>
      <c r="CU58" s="506" t="str">
        <f>IF(AND(OR('General Info'!$C$19="Yes",'General Info'!$D$19="Yes"),ISNUMBER(CU59),ISNUMBER(CU60)),SUM(CU59:CU60),"")</f>
        <v/>
      </c>
      <c r="CV58" s="506" t="str">
        <f>IF(AND(OR('General Info'!$C$19="Yes",'General Info'!$D$19="Yes"),ISNUMBER(CV59),ISNUMBER(CV60)),SUM(CV59:CV60),"")</f>
        <v/>
      </c>
      <c r="CW58" s="2293" t="str">
        <f>IF(AND(OR('General Info'!$C$19="Yes",'General Info'!$D$19="Yes"),ISNUMBER(AU58),ISNUMBER(CE58)),SUM(AU58,CE58),"")</f>
        <v/>
      </c>
      <c r="CX58" s="2293" t="str">
        <f>IF(AND(OR('General Info'!$C$19="Yes",'General Info'!$D$19="Yes"),ISNUMBER(AQ58),ISNUMBER(CA58)),SUM(AQ58,CA58),"")</f>
        <v/>
      </c>
      <c r="CY58" s="2279" t="str">
        <f>IF(AND(OR('General Info'!$C$19="Yes",'General Info'!$D$19="Yes"),ISNUMBER(CY59),ISNUMBER(CY60)),SUM(CY59:CY60),"")</f>
        <v/>
      </c>
      <c r="CZ58" s="2246"/>
    </row>
    <row r="59" spans="1:104" ht="15" customHeight="1" x14ac:dyDescent="0.25">
      <c r="A59" s="545"/>
      <c r="B59" s="336" t="s">
        <v>859</v>
      </c>
      <c r="C59" s="580" t="str">
        <f>IF(AND(ISNUMBER(N59),ISNUMBER(Z59)),SUM(N59,Z59),"")</f>
        <v/>
      </c>
      <c r="D59" s="580" t="str">
        <f>IF(AND(ISNUMBER(O59),ISNUMBER(AA59)),SUM(O59,AA59),"")</f>
        <v/>
      </c>
      <c r="E59" s="580" t="str">
        <f>IF(AND(ISNUMBER(P59),ISNUMBER(AB59)),SUM(P59,AB59),"")</f>
        <v/>
      </c>
      <c r="F59" s="580" t="str">
        <f>IF(AND(ISNUMBER(Q59),ISNUMBER(AC59)),SUM(Q59,AC59),"")</f>
        <v/>
      </c>
      <c r="G59" s="580" t="str">
        <f>IF(AND(ISNUMBER(R59),ISNUMBER(AD59)),SUM(R59,AD59),"")</f>
        <v/>
      </c>
      <c r="H59" s="580" t="str">
        <f t="shared" si="190"/>
        <v/>
      </c>
      <c r="I59" s="580" t="str">
        <f>IF(AND(ISNUMBER(T59),ISNUMBER(AF59)),SUM(T59,AF59),"")</f>
        <v/>
      </c>
      <c r="J59" s="580" t="str">
        <f>IF(AND(ISNUMBER(U59),ISNUMBER(AG59)),SUM(U59,AG59),"")</f>
        <v/>
      </c>
      <c r="K59" s="580" t="str">
        <f>IF(AND(ISNUMBER(V59),ISNUMBER(AH59)),SUM(V59,AH59),"")</f>
        <v/>
      </c>
      <c r="L59" s="580" t="str">
        <f>IF(AND(ISNUMBER(W59),ISNUMBER(AI59)),SUM(W59,AI59),"")</f>
        <v/>
      </c>
      <c r="M59" s="580" t="str">
        <f>IF(AND(ISNUMBER(X59),ISNUMBER(AJ59)),SUM(X59,AJ59),"")</f>
        <v/>
      </c>
      <c r="N59" s="318"/>
      <c r="O59" s="318"/>
      <c r="P59" s="318"/>
      <c r="Q59" s="318"/>
      <c r="R59" s="318"/>
      <c r="S59" s="479" t="str">
        <f t="shared" si="192"/>
        <v/>
      </c>
      <c r="T59" s="318"/>
      <c r="U59" s="318"/>
      <c r="V59" s="318"/>
      <c r="W59" s="580" t="str">
        <f>IF(AND(ISNUMBER(T59),ISNUMBER(U59),ISNUMBER(V59)),SUM(T59:V59), "")</f>
        <v/>
      </c>
      <c r="X59" s="318"/>
      <c r="Y59" s="318"/>
      <c r="Z59" s="322"/>
      <c r="AA59" s="322"/>
      <c r="AB59" s="322"/>
      <c r="AC59" s="322"/>
      <c r="AD59" s="227"/>
      <c r="AE59" s="580" t="str">
        <f>IF(AND(ISNUMBER(Z59),ISNUMBER(AA59),ISNUMBER(AD59)),SUM(Z59,AA59,AD59),"")</f>
        <v/>
      </c>
      <c r="AF59" s="737"/>
      <c r="AG59" s="322"/>
      <c r="AH59" s="227"/>
      <c r="AI59" s="580" t="str">
        <f>IF(AND(ISNUMBER(AF59),ISNUMBER(AG59),ISNUMBER(AH59)),SUM(AF59:AH59), "")</f>
        <v/>
      </c>
      <c r="AJ59" s="737"/>
      <c r="AK59" s="322"/>
      <c r="AL59" s="318"/>
      <c r="AM59" s="318"/>
      <c r="AN59" s="318"/>
      <c r="AO59" s="318"/>
      <c r="AP59" s="580" t="str">
        <f t="shared" ref="AP59:AT60" si="274">IF(AND(ISNUMBER(BA59),ISNUMBER(BM59)),SUM(BA59,BM59),"")</f>
        <v/>
      </c>
      <c r="AQ59" s="580" t="str">
        <f t="shared" si="274"/>
        <v/>
      </c>
      <c r="AR59" s="580" t="str">
        <f t="shared" si="274"/>
        <v/>
      </c>
      <c r="AS59" s="580" t="str">
        <f t="shared" si="274"/>
        <v/>
      </c>
      <c r="AT59" s="580" t="str">
        <f t="shared" si="274"/>
        <v/>
      </c>
      <c r="AU59" s="580" t="str">
        <f>IF(AND(ISNUMBER(AP59),ISNUMBER(AQ59),ISNUMBER(AT59)),SUM(AP59,AQ59,AT59),"")</f>
        <v/>
      </c>
      <c r="AV59" s="580" t="str">
        <f t="shared" ref="AV59:AZ60" si="275">IF(AND(ISNUMBER(BG59),ISNUMBER(BS59)),SUM(BG59,BS59),"")</f>
        <v/>
      </c>
      <c r="AW59" s="580" t="str">
        <f t="shared" si="275"/>
        <v/>
      </c>
      <c r="AX59" s="580" t="str">
        <f t="shared" si="275"/>
        <v/>
      </c>
      <c r="AY59" s="580" t="str">
        <f t="shared" si="275"/>
        <v/>
      </c>
      <c r="AZ59" s="580" t="str">
        <f t="shared" si="275"/>
        <v/>
      </c>
      <c r="BA59" s="318"/>
      <c r="BB59" s="318"/>
      <c r="BC59" s="318"/>
      <c r="BD59" s="318"/>
      <c r="BE59" s="318"/>
      <c r="BF59" s="479" t="str">
        <f>IF(AND(ISNUMBER(BA59), ISNUMBER(BB59), ISNUMBER(BE59)), SUM(BA59,BB59,BE59), "")</f>
        <v/>
      </c>
      <c r="BG59" s="318"/>
      <c r="BH59" s="318"/>
      <c r="BI59" s="318"/>
      <c r="BJ59" s="580" t="str">
        <f>IF(AND(ISNUMBER(BG59),ISNUMBER(BH59),ISNUMBER(BI59)),SUM(BG59:BI59), "")</f>
        <v/>
      </c>
      <c r="BK59" s="318"/>
      <c r="BL59" s="318"/>
      <c r="BM59" s="318"/>
      <c r="BN59" s="318"/>
      <c r="BO59" s="318"/>
      <c r="BP59" s="318"/>
      <c r="BQ59" s="318"/>
      <c r="BR59" s="479" t="str">
        <f>IF(AND(ISNUMBER(BM59), ISNUMBER(BN59), ISNUMBER(BQ59)), SUM(BM59,BN59,BQ59), "")</f>
        <v/>
      </c>
      <c r="BS59" s="318"/>
      <c r="BT59" s="318"/>
      <c r="BU59" s="318"/>
      <c r="BV59" s="580" t="str">
        <f>IF(AND(ISNUMBER(BS59),ISNUMBER(BT59),ISNUMBER(BU59)),SUM(BS59:BU59), "")</f>
        <v/>
      </c>
      <c r="BW59" s="318"/>
      <c r="BX59" s="318"/>
      <c r="BY59" s="318"/>
      <c r="BZ59" s="318"/>
      <c r="CA59" s="318"/>
      <c r="CB59" s="318"/>
      <c r="CC59" s="318"/>
      <c r="CD59" s="318"/>
      <c r="CE59" s="580" t="str">
        <f>IF($C$7="No", 0, IF(AND(ISNUMBER(BZ59),ISNUMBER(CA59),ISNUMBER(CD59)),SUM(BZ59,CA59,CD59),""))</f>
        <v/>
      </c>
      <c r="CF59" s="318"/>
      <c r="CG59" s="318"/>
      <c r="CH59" s="318"/>
      <c r="CI59" s="209" t="str">
        <f t="shared" ref="CI59:CI63" si="276">IF($C$7="No", 0, IF(AND(ISNUMBER(CF59), ISNUMBER(CG59), ISNUMBER(CH59)), SUM(CF59:CH59), ""))</f>
        <v/>
      </c>
      <c r="CJ59" s="907" t="str">
        <f t="shared" si="237"/>
        <v/>
      </c>
      <c r="CK59" s="502"/>
      <c r="CL59" s="318"/>
      <c r="CM59" s="318"/>
      <c r="CN59" s="318"/>
      <c r="CO59" s="318"/>
      <c r="CP59" s="318"/>
      <c r="CQ59" s="318"/>
      <c r="CR59" s="553" t="str">
        <f t="shared" si="260"/>
        <v/>
      </c>
      <c r="CS59" s="701" t="str">
        <f t="shared" si="261"/>
        <v/>
      </c>
      <c r="CT59" s="1928" t="str">
        <f>IF(AND(OR('General Info'!$C$19="Yes",'General Info'!$D$19="Yes"),ISNUMBER(CO59),ISNUMBER(CP59),ISNUMBER(CU59)),CO59-CP59+CU59,"")</f>
        <v/>
      </c>
      <c r="CU59" s="318"/>
      <c r="CV59" s="318"/>
      <c r="CW59" s="2293" t="str">
        <f>IF(AND(OR('General Info'!$C$19="Yes",'General Info'!$D$19="Yes"),ISNUMBER(AU59),ISNUMBER(CE59)),SUM(AU59,CE59),"")</f>
        <v/>
      </c>
      <c r="CX59" s="2293" t="str">
        <f>IF(AND(OR('General Info'!$C$19="Yes",'General Info'!$D$19="Yes"),ISNUMBER(AQ59),ISNUMBER(CA59)),SUM(AQ59,CA59),"")</f>
        <v/>
      </c>
      <c r="CY59" s="208"/>
      <c r="CZ59" s="2246"/>
    </row>
    <row r="60" spans="1:104" ht="15" customHeight="1" x14ac:dyDescent="0.25">
      <c r="A60" s="545"/>
      <c r="B60" s="336" t="s">
        <v>860</v>
      </c>
      <c r="C60" s="580" t="str">
        <f t="shared" ref="C60:G60" si="277">IF((ISNUMBER(N60)),N60,"")</f>
        <v/>
      </c>
      <c r="D60" s="580" t="str">
        <f t="shared" si="277"/>
        <v/>
      </c>
      <c r="E60" s="580" t="str">
        <f t="shared" si="277"/>
        <v/>
      </c>
      <c r="F60" s="580" t="str">
        <f t="shared" si="277"/>
        <v/>
      </c>
      <c r="G60" s="580" t="str">
        <f t="shared" si="277"/>
        <v/>
      </c>
      <c r="H60" s="580" t="str">
        <f t="shared" si="190"/>
        <v/>
      </c>
      <c r="I60" s="580" t="str">
        <f>IF((ISNUMBER(T60)),T60,"")</f>
        <v/>
      </c>
      <c r="J60" s="580" t="str">
        <f>IF((ISNUMBER(U60)),U60,"")</f>
        <v/>
      </c>
      <c r="K60" s="580" t="str">
        <f>IF((ISNUMBER(V60)),V60,"")</f>
        <v/>
      </c>
      <c r="L60" s="580" t="str">
        <f>IF((ISNUMBER(W60)),W60,"")</f>
        <v/>
      </c>
      <c r="M60" s="580" t="str">
        <f>IF((ISNUMBER(X60)),X60,"")</f>
        <v/>
      </c>
      <c r="N60" s="318"/>
      <c r="O60" s="318"/>
      <c r="P60" s="318"/>
      <c r="Q60" s="318"/>
      <c r="R60" s="318"/>
      <c r="S60" s="479" t="str">
        <f t="shared" si="192"/>
        <v/>
      </c>
      <c r="T60" s="318"/>
      <c r="U60" s="318"/>
      <c r="V60" s="318"/>
      <c r="W60" s="580" t="str">
        <f>IF(AND(ISNUMBER(T60),ISNUMBER(U60),ISNUMBER(V60)),SUM(T60:V60), "")</f>
        <v/>
      </c>
      <c r="X60" s="318"/>
      <c r="Y60" s="318"/>
      <c r="Z60" s="480"/>
      <c r="AA60" s="480"/>
      <c r="AB60" s="480"/>
      <c r="AC60" s="480"/>
      <c r="AD60" s="499"/>
      <c r="AE60" s="781"/>
      <c r="AF60" s="480"/>
      <c r="AG60" s="480"/>
      <c r="AH60" s="480"/>
      <c r="AI60" s="781"/>
      <c r="AJ60" s="480"/>
      <c r="AK60" s="480"/>
      <c r="AL60" s="318"/>
      <c r="AM60" s="318"/>
      <c r="AN60" s="318"/>
      <c r="AO60" s="318"/>
      <c r="AP60" s="580" t="str">
        <f t="shared" si="274"/>
        <v/>
      </c>
      <c r="AQ60" s="580" t="str">
        <f t="shared" si="274"/>
        <v/>
      </c>
      <c r="AR60" s="580" t="str">
        <f t="shared" si="274"/>
        <v/>
      </c>
      <c r="AS60" s="580" t="str">
        <f t="shared" si="274"/>
        <v/>
      </c>
      <c r="AT60" s="580" t="str">
        <f t="shared" si="274"/>
        <v/>
      </c>
      <c r="AU60" s="580" t="str">
        <f>IF(AND(ISNUMBER(AP60),ISNUMBER(AQ60),ISNUMBER(AT60)),SUM(AP60,AQ60,AT60),"")</f>
        <v/>
      </c>
      <c r="AV60" s="580" t="str">
        <f t="shared" si="275"/>
        <v/>
      </c>
      <c r="AW60" s="580" t="str">
        <f t="shared" si="275"/>
        <v/>
      </c>
      <c r="AX60" s="580" t="str">
        <f t="shared" si="275"/>
        <v/>
      </c>
      <c r="AY60" s="580" t="str">
        <f t="shared" si="275"/>
        <v/>
      </c>
      <c r="AZ60" s="580" t="str">
        <f t="shared" si="275"/>
        <v/>
      </c>
      <c r="BA60" s="318"/>
      <c r="BB60" s="318"/>
      <c r="BC60" s="318"/>
      <c r="BD60" s="318"/>
      <c r="BE60" s="318"/>
      <c r="BF60" s="479" t="str">
        <f>IF(AND(ISNUMBER(BA60), ISNUMBER(BB60), ISNUMBER(BE60)), SUM(BA60,BB60,BE60), "")</f>
        <v/>
      </c>
      <c r="BG60" s="318"/>
      <c r="BH60" s="318"/>
      <c r="BI60" s="318"/>
      <c r="BJ60" s="580" t="str">
        <f>IF(AND(ISNUMBER(BG60),ISNUMBER(BH60),ISNUMBER(BI60)),SUM(BG60:BI60), "")</f>
        <v/>
      </c>
      <c r="BK60" s="318"/>
      <c r="BL60" s="318"/>
      <c r="BM60" s="318"/>
      <c r="BN60" s="318"/>
      <c r="BO60" s="318"/>
      <c r="BP60" s="318"/>
      <c r="BQ60" s="318"/>
      <c r="BR60" s="479" t="str">
        <f>IF(AND(ISNUMBER(BM60), ISNUMBER(BN60), ISNUMBER(BQ60)), SUM(BM60,BN60,BQ60), "")</f>
        <v/>
      </c>
      <c r="BS60" s="318"/>
      <c r="BT60" s="318"/>
      <c r="BU60" s="318"/>
      <c r="BV60" s="580" t="str">
        <f>IF(AND(ISNUMBER(BS60),ISNUMBER(BT60),ISNUMBER(BU60)),SUM(BS60:BU60), "")</f>
        <v/>
      </c>
      <c r="BW60" s="318"/>
      <c r="BX60" s="318"/>
      <c r="BY60" s="318"/>
      <c r="BZ60" s="318"/>
      <c r="CA60" s="318"/>
      <c r="CB60" s="318"/>
      <c r="CC60" s="318"/>
      <c r="CD60" s="318"/>
      <c r="CE60" s="580" t="str">
        <f>IF($C$7="No", 0, IF(AND(ISNUMBER(BZ60),ISNUMBER(CA60),ISNUMBER(CD60)),SUM(BZ60,CA60,CD60),""))</f>
        <v/>
      </c>
      <c r="CF60" s="318"/>
      <c r="CG60" s="318"/>
      <c r="CH60" s="318"/>
      <c r="CI60" s="209" t="str">
        <f t="shared" si="276"/>
        <v/>
      </c>
      <c r="CJ60" s="907" t="str">
        <f t="shared" si="237"/>
        <v/>
      </c>
      <c r="CK60" s="502"/>
      <c r="CL60" s="318"/>
      <c r="CM60" s="318"/>
      <c r="CN60" s="318"/>
      <c r="CO60" s="318"/>
      <c r="CP60" s="318"/>
      <c r="CQ60" s="318"/>
      <c r="CR60" s="553" t="str">
        <f t="shared" si="260"/>
        <v/>
      </c>
      <c r="CS60" s="701" t="str">
        <f t="shared" si="261"/>
        <v/>
      </c>
      <c r="CT60" s="1928" t="str">
        <f>IF(AND(OR('General Info'!$C$19="Yes",'General Info'!$D$19="Yes"),ISNUMBER(CO60),ISNUMBER(CP60),ISNUMBER(CU60)),CO60-CP60+CU60,"")</f>
        <v/>
      </c>
      <c r="CU60" s="318"/>
      <c r="CV60" s="318"/>
      <c r="CW60" s="2293" t="str">
        <f>IF(AND(OR('General Info'!$C$19="Yes",'General Info'!$D$19="Yes"),ISNUMBER(AU60),ISNUMBER(CE60)),SUM(AU60,CE60),"")</f>
        <v/>
      </c>
      <c r="CX60" s="2293" t="str">
        <f>IF(AND(OR('General Info'!$C$19="Yes",'General Info'!$D$19="Yes"),ISNUMBER(AQ60),ISNUMBER(CA60)),SUM(AQ60,CA60),"")</f>
        <v/>
      </c>
      <c r="CY60" s="208"/>
      <c r="CZ60" s="2246"/>
    </row>
    <row r="61" spans="1:104" ht="15" customHeight="1" x14ac:dyDescent="0.25">
      <c r="A61" s="545"/>
      <c r="B61" s="507" t="s">
        <v>680</v>
      </c>
      <c r="C61" s="322"/>
      <c r="D61" s="322"/>
      <c r="E61" s="322"/>
      <c r="F61" s="322"/>
      <c r="G61" s="227"/>
      <c r="H61" s="580" t="str">
        <f>IF(AND(ISNUMBER(C61),ISNUMBER(D61),ISNUMBER(G61)),SUM(C61,D61,G61),"")</f>
        <v/>
      </c>
      <c r="I61" s="737"/>
      <c r="J61" s="322"/>
      <c r="K61" s="227"/>
      <c r="L61" s="580" t="str">
        <f>IF(AND(ISNUMBER(I61),ISNUMBER(J61),ISNUMBER(K61)),SUM(I61:K61), "")</f>
        <v/>
      </c>
      <c r="M61" s="737"/>
      <c r="N61" s="480"/>
      <c r="O61" s="480"/>
      <c r="P61" s="480"/>
      <c r="Q61" s="480"/>
      <c r="R61" s="480"/>
      <c r="S61" s="480"/>
      <c r="T61" s="480"/>
      <c r="U61" s="480"/>
      <c r="V61" s="480"/>
      <c r="W61" s="480"/>
      <c r="X61" s="480"/>
      <c r="Y61" s="480"/>
      <c r="Z61" s="480"/>
      <c r="AA61" s="480"/>
      <c r="AB61" s="480"/>
      <c r="AC61" s="480"/>
      <c r="AD61" s="499"/>
      <c r="AE61" s="480"/>
      <c r="AF61" s="480"/>
      <c r="AG61" s="480"/>
      <c r="AH61" s="480"/>
      <c r="AI61" s="480"/>
      <c r="AJ61" s="480"/>
      <c r="AK61" s="480"/>
      <c r="AL61" s="480"/>
      <c r="AM61" s="480"/>
      <c r="AN61" s="480"/>
      <c r="AO61" s="480"/>
      <c r="AP61" s="322"/>
      <c r="AQ61" s="322"/>
      <c r="AR61" s="322"/>
      <c r="AS61" s="322"/>
      <c r="AT61" s="227"/>
      <c r="AU61" s="580" t="str">
        <f>IF(AND(ISNUMBER(AP61),ISNUMBER(AQ61),ISNUMBER(AT61)),SUM(AP61,AQ61,AT61),"")</f>
        <v/>
      </c>
      <c r="AV61" s="737"/>
      <c r="AW61" s="322"/>
      <c r="AX61" s="227"/>
      <c r="AY61" s="580" t="str">
        <f>IF(AND(ISNUMBER(AV61),ISNUMBER(AW61),ISNUMBER(AX61)),SUM(AV61:AX61), "")</f>
        <v/>
      </c>
      <c r="AZ61" s="737"/>
      <c r="BA61" s="480"/>
      <c r="BB61" s="480"/>
      <c r="BC61" s="480"/>
      <c r="BD61" s="480"/>
      <c r="BE61" s="480"/>
      <c r="BF61" s="480"/>
      <c r="BG61" s="480"/>
      <c r="BH61" s="480"/>
      <c r="BI61" s="480"/>
      <c r="BJ61" s="480"/>
      <c r="BK61" s="480"/>
      <c r="BL61" s="480"/>
      <c r="BM61" s="480"/>
      <c r="BN61" s="480"/>
      <c r="BO61" s="480"/>
      <c r="BP61" s="480"/>
      <c r="BQ61" s="480"/>
      <c r="BR61" s="480"/>
      <c r="BS61" s="480"/>
      <c r="BT61" s="480"/>
      <c r="BU61" s="480"/>
      <c r="BV61" s="480"/>
      <c r="BW61" s="480"/>
      <c r="BX61" s="480"/>
      <c r="BY61" s="318"/>
      <c r="BZ61" s="318"/>
      <c r="CA61" s="318"/>
      <c r="CB61" s="318"/>
      <c r="CC61" s="318"/>
      <c r="CD61" s="318"/>
      <c r="CE61" s="580" t="str">
        <f>IF($C$7="No", 0, IF(AND(ISNUMBER(BZ61),ISNUMBER(CA61),ISNUMBER(CD61)),SUM(BZ61,CA61,CD61),""))</f>
        <v/>
      </c>
      <c r="CF61" s="318"/>
      <c r="CG61" s="318"/>
      <c r="CH61" s="318"/>
      <c r="CI61" s="209" t="str">
        <f t="shared" si="276"/>
        <v/>
      </c>
      <c r="CJ61" s="907" t="str">
        <f t="shared" si="237"/>
        <v/>
      </c>
      <c r="CK61" s="502"/>
      <c r="CL61" s="318"/>
      <c r="CM61" s="318"/>
      <c r="CN61" s="318"/>
      <c r="CO61" s="318"/>
      <c r="CP61" s="318"/>
      <c r="CQ61" s="318"/>
      <c r="CR61" s="553" t="str">
        <f t="shared" si="260"/>
        <v/>
      </c>
      <c r="CS61" s="701" t="str">
        <f t="shared" si="261"/>
        <v/>
      </c>
      <c r="CT61" s="1928" t="str">
        <f>IF(AND(OR('General Info'!$C$19="Yes",'General Info'!$D$19="Yes"),ISNUMBER(CO61),ISNUMBER(CP61),ISNUMBER(CU61)),CO61-CP61+CU61,"")</f>
        <v/>
      </c>
      <c r="CU61" s="318"/>
      <c r="CV61" s="318"/>
      <c r="CW61" s="2293" t="str">
        <f>IF(AND(OR('General Info'!$C$19="Yes",'General Info'!$D$19="Yes"),ISNUMBER(AU61),ISNUMBER(CE61)),SUM(AU61,CE61),"")</f>
        <v/>
      </c>
      <c r="CX61" s="2293" t="str">
        <f>IF(AND(OR('General Info'!$C$19="Yes",'General Info'!$D$19="Yes"),ISNUMBER(AQ61),ISNUMBER(CA61)),SUM(AQ61,CA61),"")</f>
        <v/>
      </c>
      <c r="CY61" s="208"/>
      <c r="CZ61" s="2246"/>
    </row>
    <row r="62" spans="1:104" ht="15" customHeight="1" x14ac:dyDescent="0.25">
      <c r="A62" s="545"/>
      <c r="B62" s="337" t="s">
        <v>861</v>
      </c>
      <c r="C62" s="318"/>
      <c r="D62" s="318"/>
      <c r="E62" s="318"/>
      <c r="F62" s="318"/>
      <c r="G62" s="208"/>
      <c r="H62" s="580" t="str">
        <f t="shared" si="190"/>
        <v/>
      </c>
      <c r="I62" s="481"/>
      <c r="J62" s="318"/>
      <c r="K62" s="208"/>
      <c r="L62" s="580" t="str">
        <f>IF(AND(ISNUMBER(I62),ISNUMBER(J62),ISNUMBER(K62)),SUM(I62:K62), "")</f>
        <v/>
      </c>
      <c r="M62" s="481"/>
      <c r="N62" s="480"/>
      <c r="O62" s="480"/>
      <c r="P62" s="480"/>
      <c r="Q62" s="480"/>
      <c r="R62" s="480"/>
      <c r="S62" s="480"/>
      <c r="T62" s="480"/>
      <c r="U62" s="480"/>
      <c r="V62" s="480"/>
      <c r="W62" s="480"/>
      <c r="X62" s="480"/>
      <c r="Y62" s="480"/>
      <c r="Z62" s="480"/>
      <c r="AA62" s="480"/>
      <c r="AB62" s="480"/>
      <c r="AC62" s="480"/>
      <c r="AD62" s="499"/>
      <c r="AE62" s="480"/>
      <c r="AF62" s="480"/>
      <c r="AG62" s="480"/>
      <c r="AH62" s="480"/>
      <c r="AI62" s="480"/>
      <c r="AJ62" s="480"/>
      <c r="AK62" s="480"/>
      <c r="AL62" s="318"/>
      <c r="AM62" s="318"/>
      <c r="AN62" s="318"/>
      <c r="AO62" s="318"/>
      <c r="AP62" s="318"/>
      <c r="AQ62" s="318"/>
      <c r="AR62" s="318"/>
      <c r="AS62" s="318"/>
      <c r="AT62" s="208"/>
      <c r="AU62" s="580" t="str">
        <f>IF(AND(ISNUMBER(AP62),ISNUMBER(AQ62),ISNUMBER(AT62)),SUM(AP62,AQ62,AT62),"")</f>
        <v/>
      </c>
      <c r="AV62" s="481"/>
      <c r="AW62" s="318"/>
      <c r="AX62" s="208"/>
      <c r="AY62" s="580" t="str">
        <f>IF(AND(ISNUMBER(AV62),ISNUMBER(AW62),ISNUMBER(AX62)),SUM(AV62:AX62), "")</f>
        <v/>
      </c>
      <c r="AZ62" s="481"/>
      <c r="BA62" s="480"/>
      <c r="BB62" s="480"/>
      <c r="BC62" s="480"/>
      <c r="BD62" s="480"/>
      <c r="BE62" s="480"/>
      <c r="BF62" s="480"/>
      <c r="BG62" s="480"/>
      <c r="BH62" s="480"/>
      <c r="BI62" s="480"/>
      <c r="BJ62" s="480"/>
      <c r="BK62" s="480"/>
      <c r="BL62" s="480"/>
      <c r="BM62" s="480"/>
      <c r="BN62" s="480"/>
      <c r="BO62" s="480"/>
      <c r="BP62" s="480"/>
      <c r="BQ62" s="480"/>
      <c r="BR62" s="480"/>
      <c r="BS62" s="480"/>
      <c r="BT62" s="480"/>
      <c r="BU62" s="480"/>
      <c r="BV62" s="480"/>
      <c r="BW62" s="480"/>
      <c r="BX62" s="480"/>
      <c r="BY62" s="318"/>
      <c r="BZ62" s="318"/>
      <c r="CA62" s="318"/>
      <c r="CB62" s="318"/>
      <c r="CC62" s="318"/>
      <c r="CD62" s="318"/>
      <c r="CE62" s="580" t="str">
        <f>IF($C$7="No", 0, IF(AND(ISNUMBER(BZ62),ISNUMBER(CA62),ISNUMBER(CD62)),SUM(BZ62,CA62,CD62),""))</f>
        <v/>
      </c>
      <c r="CF62" s="318"/>
      <c r="CG62" s="318"/>
      <c r="CH62" s="318"/>
      <c r="CI62" s="209" t="str">
        <f t="shared" si="276"/>
        <v/>
      </c>
      <c r="CJ62" s="907" t="str">
        <f t="shared" si="237"/>
        <v/>
      </c>
      <c r="CK62" s="502"/>
      <c r="CL62" s="318"/>
      <c r="CM62" s="318"/>
      <c r="CN62" s="480"/>
      <c r="CO62" s="318"/>
      <c r="CP62" s="318"/>
      <c r="CQ62" s="318"/>
      <c r="CR62" s="553" t="str">
        <f t="shared" si="260"/>
        <v/>
      </c>
      <c r="CS62" s="701" t="str">
        <f t="shared" si="261"/>
        <v/>
      </c>
      <c r="CT62" s="1928" t="str">
        <f>IF(AND(OR('General Info'!$C$19="Yes",'General Info'!$D$19="Yes"),ISNUMBER(CO62),ISNUMBER(CP62),ISNUMBER(CU62)),CO62-CP62+CU62,"")</f>
        <v/>
      </c>
      <c r="CU62" s="318"/>
      <c r="CV62" s="318"/>
      <c r="CW62" s="2293" t="str">
        <f>IF(AND(OR('General Info'!$C$19="Yes",'General Info'!$D$19="Yes"),ISNUMBER(AU62),ISNUMBER(CE62)),SUM(AU62,CE62),"")</f>
        <v/>
      </c>
      <c r="CX62" s="2293" t="str">
        <f>IF(AND(OR('General Info'!$C$19="Yes",'General Info'!$D$19="Yes"),ISNUMBER(AQ62),ISNUMBER(CA62)),SUM(AQ62,CA62),"")</f>
        <v/>
      </c>
      <c r="CY62" s="208"/>
      <c r="CZ62" s="2246"/>
    </row>
    <row r="63" spans="1:104" ht="15" customHeight="1" x14ac:dyDescent="0.25">
      <c r="A63" s="545"/>
      <c r="B63" s="336" t="s">
        <v>862</v>
      </c>
      <c r="C63" s="318"/>
      <c r="D63" s="318"/>
      <c r="E63" s="318"/>
      <c r="F63" s="318"/>
      <c r="G63" s="208"/>
      <c r="H63" s="580" t="str">
        <f t="shared" si="190"/>
        <v/>
      </c>
      <c r="I63" s="481"/>
      <c r="J63" s="318"/>
      <c r="K63" s="208"/>
      <c r="L63" s="580" t="str">
        <f>IF(AND(ISNUMBER(I63),ISNUMBER(J63),ISNUMBER(K63)),SUM(I63:K63), "")</f>
        <v/>
      </c>
      <c r="M63" s="502"/>
      <c r="N63" s="480"/>
      <c r="O63" s="480"/>
      <c r="P63" s="480"/>
      <c r="Q63" s="480"/>
      <c r="R63" s="480"/>
      <c r="S63" s="480"/>
      <c r="T63" s="480"/>
      <c r="U63" s="480"/>
      <c r="V63" s="480"/>
      <c r="W63" s="480"/>
      <c r="X63" s="480"/>
      <c r="Y63" s="480"/>
      <c r="Z63" s="480"/>
      <c r="AA63" s="480"/>
      <c r="AB63" s="480"/>
      <c r="AC63" s="480"/>
      <c r="AD63" s="499"/>
      <c r="AE63" s="480"/>
      <c r="AF63" s="480"/>
      <c r="AG63" s="480"/>
      <c r="AH63" s="480"/>
      <c r="AI63" s="480"/>
      <c r="AJ63" s="480"/>
      <c r="AK63" s="480"/>
      <c r="AL63" s="318"/>
      <c r="AM63" s="480"/>
      <c r="AN63" s="318"/>
      <c r="AO63" s="480"/>
      <c r="AP63" s="318"/>
      <c r="AQ63" s="318"/>
      <c r="AR63" s="318"/>
      <c r="AS63" s="318"/>
      <c r="AT63" s="208"/>
      <c r="AU63" s="580" t="str">
        <f>IF(AND(ISNUMBER(AP63),ISNUMBER(AQ63),ISNUMBER(AT63)),SUM(AP63,AQ63,AT63),"")</f>
        <v/>
      </c>
      <c r="AV63" s="481"/>
      <c r="AW63" s="318"/>
      <c r="AX63" s="208"/>
      <c r="AY63" s="580" t="str">
        <f>IF(AND(ISNUMBER(AV63),ISNUMBER(AW63),ISNUMBER(AX63)),SUM(AV63:AX63), "")</f>
        <v/>
      </c>
      <c r="AZ63" s="502"/>
      <c r="BA63" s="480"/>
      <c r="BB63" s="480"/>
      <c r="BC63" s="480"/>
      <c r="BD63" s="480"/>
      <c r="BE63" s="480"/>
      <c r="BF63" s="480"/>
      <c r="BG63" s="480"/>
      <c r="BH63" s="480"/>
      <c r="BI63" s="480"/>
      <c r="BJ63" s="480"/>
      <c r="BK63" s="480"/>
      <c r="BL63" s="480"/>
      <c r="BM63" s="480"/>
      <c r="BN63" s="480"/>
      <c r="BO63" s="480"/>
      <c r="BP63" s="480"/>
      <c r="BQ63" s="480"/>
      <c r="BR63" s="480"/>
      <c r="BS63" s="480"/>
      <c r="BT63" s="480"/>
      <c r="BU63" s="480"/>
      <c r="BV63" s="480"/>
      <c r="BW63" s="480"/>
      <c r="BX63" s="480"/>
      <c r="BY63" s="318"/>
      <c r="BZ63" s="318"/>
      <c r="CA63" s="318"/>
      <c r="CB63" s="318"/>
      <c r="CC63" s="318"/>
      <c r="CD63" s="318"/>
      <c r="CE63" s="580" t="str">
        <f>IF($C$7="No", 0, IF(AND(ISNUMBER(BZ63),ISNUMBER(CA63),ISNUMBER(CD63)),SUM(BZ63,CA63,CD63),""))</f>
        <v/>
      </c>
      <c r="CF63" s="318"/>
      <c r="CG63" s="318"/>
      <c r="CH63" s="318"/>
      <c r="CI63" s="209" t="str">
        <f t="shared" si="276"/>
        <v/>
      </c>
      <c r="CJ63" s="907" t="str">
        <f t="shared" si="237"/>
        <v/>
      </c>
      <c r="CK63" s="502"/>
      <c r="CL63" s="318"/>
      <c r="CM63" s="318"/>
      <c r="CN63" s="480"/>
      <c r="CO63" s="318"/>
      <c r="CP63" s="318"/>
      <c r="CQ63" s="318"/>
      <c r="CR63" s="553" t="str">
        <f t="shared" si="260"/>
        <v/>
      </c>
      <c r="CS63" s="701" t="str">
        <f t="shared" si="261"/>
        <v/>
      </c>
      <c r="CT63" s="1928" t="str">
        <f>IF(AND(OR('General Info'!$C$19="Yes",'General Info'!$D$19="Yes"),ISNUMBER(CO63),ISNUMBER(CP63),ISNUMBER(CU63)),CO63-CP63+CU63,"")</f>
        <v/>
      </c>
      <c r="CU63" s="318"/>
      <c r="CV63" s="318"/>
      <c r="CW63" s="2293" t="str">
        <f>IF(AND(OR('General Info'!$C$19="Yes",'General Info'!$D$19="Yes"),ISNUMBER(AU63),ISNUMBER(CE63)),SUM(AU63,CE63),"")</f>
        <v/>
      </c>
      <c r="CX63" s="2293" t="str">
        <f>IF(AND(OR('General Info'!$C$19="Yes",'General Info'!$D$19="Yes"),ISNUMBER(AQ63),ISNUMBER(CA63)),SUM(AQ63,CA63),"")</f>
        <v/>
      </c>
      <c r="CY63" s="208"/>
      <c r="CZ63" s="2246"/>
    </row>
    <row r="64" spans="1:104" ht="15" customHeight="1" x14ac:dyDescent="0.25">
      <c r="A64" s="545"/>
      <c r="B64" s="850" t="str">
        <f>"Check: row " &amp; ROW(B63) &amp; " ≤ row " &amp; ROW(B62)</f>
        <v>Check: row 63 ≤ row 62</v>
      </c>
      <c r="C64" s="902" t="str">
        <f t="shared" ref="C64:G64" si="278">IF(AND(ISNUMBER(C63), ISNUMBER(C62)), IF(C63&lt;=C62, "Pass", "Fail"),"")</f>
        <v/>
      </c>
      <c r="D64" s="902" t="str">
        <f t="shared" si="278"/>
        <v/>
      </c>
      <c r="E64" s="902" t="str">
        <f t="shared" si="278"/>
        <v/>
      </c>
      <c r="F64" s="902" t="str">
        <f t="shared" si="278"/>
        <v/>
      </c>
      <c r="G64" s="902" t="str">
        <f t="shared" si="278"/>
        <v/>
      </c>
      <c r="H64" s="1040"/>
      <c r="I64" s="902" t="str">
        <f>IF(AND(ISNUMBER(I63), ISNUMBER(I62)), IF(I63&lt;=I62, "Pass", "Fail"),"")</f>
        <v/>
      </c>
      <c r="J64" s="902" t="str">
        <f>IF(AND(ISNUMBER(J63), ISNUMBER(J62)), IF(J63&lt;=J62, "Pass", "Fail"),"")</f>
        <v/>
      </c>
      <c r="K64" s="902" t="str">
        <f>IF(AND(ISNUMBER(K63), ISNUMBER(K62)), IF(K63&lt;=K62, "Pass", "Fail"),"")</f>
        <v/>
      </c>
      <c r="L64" s="853"/>
      <c r="M64" s="491"/>
      <c r="N64" s="491"/>
      <c r="O64" s="491"/>
      <c r="P64" s="491"/>
      <c r="Q64" s="491"/>
      <c r="R64" s="491"/>
      <c r="S64" s="491"/>
      <c r="T64" s="491"/>
      <c r="U64" s="491"/>
      <c r="V64" s="491"/>
      <c r="W64" s="491"/>
      <c r="X64" s="491"/>
      <c r="Y64" s="491"/>
      <c r="Z64" s="491"/>
      <c r="AA64" s="491"/>
      <c r="AB64" s="491"/>
      <c r="AC64" s="491"/>
      <c r="AD64" s="967"/>
      <c r="AE64" s="491"/>
      <c r="AF64" s="491"/>
      <c r="AG64" s="491"/>
      <c r="AH64" s="491"/>
      <c r="AI64" s="491"/>
      <c r="AJ64" s="491"/>
      <c r="AK64" s="491"/>
      <c r="AL64" s="902" t="str">
        <f>IF(AND(ISNUMBER(AL63), ISNUMBER(AL62)), IF(AL63&lt;=AL62, "Pass", "Fail"),"")</f>
        <v/>
      </c>
      <c r="AM64" s="491"/>
      <c r="AN64" s="902" t="str">
        <f>IF(AND(ISNUMBER(AN63), ISNUMBER(AN62)), IF(AN63&lt;=AN62, "Pass", "Fail"),"")</f>
        <v/>
      </c>
      <c r="AO64" s="491"/>
      <c r="AP64" s="902" t="str">
        <f>IF(AND(ISNUMBER(AP63), ISNUMBER(AP62)), IF(AP63&lt;=AP62, "Pass", "Fail"),"")</f>
        <v/>
      </c>
      <c r="AQ64" s="902" t="str">
        <f>IF(AND(ISNUMBER(AQ63), ISNUMBER(AQ62)), IF(AQ63&lt;=AQ62, "Pass", "Fail"),"")</f>
        <v/>
      </c>
      <c r="AR64" s="902" t="str">
        <f t="shared" ref="AR64:AT64" si="279">IF(AND(ISNUMBER(AR63), ISNUMBER(AR62)), IF(AR63&lt;=AR62, "Pass", "Fail"),"")</f>
        <v/>
      </c>
      <c r="AS64" s="902" t="str">
        <f t="shared" si="279"/>
        <v/>
      </c>
      <c r="AT64" s="902" t="str">
        <f t="shared" si="279"/>
        <v/>
      </c>
      <c r="AU64" s="781"/>
      <c r="AV64" s="902" t="str">
        <f t="shared" ref="AV64" si="280">IF(AND(ISNUMBER(AV63), ISNUMBER(AV62)), IF(AV63&lt;=AV62, "Pass", "Fail"),"")</f>
        <v/>
      </c>
      <c r="AW64" s="902" t="str">
        <f t="shared" ref="AW64" si="281">IF(AND(ISNUMBER(AW63), ISNUMBER(AW62)), IF(AW63&lt;=AW62, "Pass", "Fail"),"")</f>
        <v/>
      </c>
      <c r="AX64" s="902" t="str">
        <f t="shared" ref="AX64" si="282">IF(AND(ISNUMBER(AX63), ISNUMBER(AX62)), IF(AX63&lt;=AX62, "Pass", "Fail"),"")</f>
        <v/>
      </c>
      <c r="AY64" s="781"/>
      <c r="AZ64" s="491"/>
      <c r="BA64" s="491"/>
      <c r="BB64" s="491"/>
      <c r="BC64" s="491"/>
      <c r="BD64" s="491"/>
      <c r="BE64" s="491"/>
      <c r="BF64" s="491"/>
      <c r="BG64" s="491"/>
      <c r="BH64" s="491"/>
      <c r="BI64" s="491"/>
      <c r="BJ64" s="491"/>
      <c r="BK64" s="491"/>
      <c r="BL64" s="491"/>
      <c r="BM64" s="491"/>
      <c r="BN64" s="491"/>
      <c r="BO64" s="491"/>
      <c r="BP64" s="491"/>
      <c r="BQ64" s="491"/>
      <c r="BR64" s="491"/>
      <c r="BS64" s="491"/>
      <c r="BT64" s="491"/>
      <c r="BU64" s="491"/>
      <c r="BV64" s="491"/>
      <c r="BW64" s="491"/>
      <c r="BX64" s="491"/>
      <c r="BY64" s="491"/>
      <c r="BZ64" s="491"/>
      <c r="CA64" s="491"/>
      <c r="CB64" s="491"/>
      <c r="CC64" s="491"/>
      <c r="CD64" s="491"/>
      <c r="CE64" s="491"/>
      <c r="CF64" s="491"/>
      <c r="CG64" s="491"/>
      <c r="CH64" s="491"/>
      <c r="CI64" s="967"/>
      <c r="CJ64" s="480"/>
      <c r="CK64" s="966"/>
      <c r="CL64" s="902" t="str">
        <f t="shared" ref="CL64" si="283">IF(AND(ISNUMBER(CL63), ISNUMBER(CL62)), IF(CL63&lt;=CL62, "Pass", "Fail"),"")</f>
        <v/>
      </c>
      <c r="CM64" s="491"/>
      <c r="CN64" s="491"/>
      <c r="CO64" s="902" t="str">
        <f t="shared" ref="CO64" si="284">IF(AND(ISNUMBER(CO63), ISNUMBER(CO62)), IF(CO63&lt;=CO62, "Pass", "Fail"),"")</f>
        <v/>
      </c>
      <c r="CP64" s="902" t="str">
        <f t="shared" ref="CP64" si="285">IF(AND(ISNUMBER(CP63), ISNUMBER(CP62)), IF(CP63&lt;=CP62, "Pass", "Fail"),"")</f>
        <v/>
      </c>
      <c r="CQ64" s="902" t="str">
        <f t="shared" ref="CQ64" si="286">IF(AND(ISNUMBER(CQ63), ISNUMBER(CQ62)), IF(CQ63&lt;=CQ62, "Pass", "Fail"),"")</f>
        <v/>
      </c>
      <c r="CR64" s="865"/>
      <c r="CS64" s="866"/>
      <c r="CT64" s="2278" t="str">
        <f t="shared" ref="CT64:CY64" si="287">IF(AND(ISNUMBER(CT63), ISNUMBER(CT62)), IF(CT63&lt;=CT62, "Pass", "Fail"),"")</f>
        <v/>
      </c>
      <c r="CU64" s="553" t="str">
        <f t="shared" si="287"/>
        <v/>
      </c>
      <c r="CV64" s="553" t="str">
        <f t="shared" si="287"/>
        <v/>
      </c>
      <c r="CW64" s="553" t="str">
        <f t="shared" si="287"/>
        <v/>
      </c>
      <c r="CX64" s="553" t="str">
        <f t="shared" si="287"/>
        <v/>
      </c>
      <c r="CY64" s="701" t="str">
        <f t="shared" si="287"/>
        <v/>
      </c>
      <c r="CZ64" s="2246"/>
    </row>
    <row r="65" spans="1:104" ht="15" customHeight="1" x14ac:dyDescent="0.25">
      <c r="A65" s="545"/>
      <c r="B65" s="847" t="s">
        <v>956</v>
      </c>
      <c r="C65" s="1039" t="str">
        <f t="shared" ref="C65:L65" si="288">IF(AND(ISNUMBER(C17),ISNUMBER(C20),ISNUMBER(C36),ISNUMBER(C37),ISNUMBER(C38),ISNUMBER(C39), ISNUMBER(C40), ISNUMBER(C44), ISNUMBER(C41), ISNUMBER(C51),ISNUMBER(C55),ISNUMBER(C58), ISNUMBER(C62), ISNUMBER(C61)),SUM(C17, C20,C36,C37,C38,C39,C40,C44,C41,C51, C55, C58,C62,C61),"")</f>
        <v/>
      </c>
      <c r="D65" s="1039" t="str">
        <f t="shared" si="288"/>
        <v/>
      </c>
      <c r="E65" s="1039" t="str">
        <f t="shared" si="288"/>
        <v/>
      </c>
      <c r="F65" s="1039" t="str">
        <f t="shared" si="288"/>
        <v/>
      </c>
      <c r="G65" s="1039" t="str">
        <f t="shared" si="288"/>
        <v/>
      </c>
      <c r="H65" s="1039" t="str">
        <f t="shared" si="288"/>
        <v/>
      </c>
      <c r="I65" s="1039" t="str">
        <f t="shared" ref="I65" si="289">IF(AND(ISNUMBER(I17),ISNUMBER(I20),ISNUMBER(I36),ISNUMBER(I37),ISNUMBER(I38),ISNUMBER(I39), ISNUMBER(I40), ISNUMBER(I44), ISNUMBER(I41), ISNUMBER(I51),ISNUMBER(I55),ISNUMBER(I58), ISNUMBER(I62), ISNUMBER(I61)),SUM(I17, I20,I36,I37,I38,I39,I40,I44,I41,I51, I55, I58,I62,I61),"")</f>
        <v/>
      </c>
      <c r="J65" s="1039" t="str">
        <f t="shared" ref="J65" si="290">IF(AND(ISNUMBER(J17),ISNUMBER(J20),ISNUMBER(J36),ISNUMBER(J37),ISNUMBER(J38),ISNUMBER(J39), ISNUMBER(J40), ISNUMBER(J44), ISNUMBER(J41), ISNUMBER(J51),ISNUMBER(J55),ISNUMBER(J58), ISNUMBER(J62), ISNUMBER(J61)),SUM(J17, J20,J36,J37,J38,J39,J40,J44,J41,J51, J55, J58,J62,J61),"")</f>
        <v/>
      </c>
      <c r="K65" s="1039" t="str">
        <f t="shared" ref="K65" si="291">IF(AND(ISNUMBER(K17),ISNUMBER(K20),ISNUMBER(K36),ISNUMBER(K37),ISNUMBER(K38),ISNUMBER(K39), ISNUMBER(K40), ISNUMBER(K44), ISNUMBER(K41), ISNUMBER(K51),ISNUMBER(K55),ISNUMBER(K58), ISNUMBER(K62), ISNUMBER(K61)),SUM(K17, K20,K36,K37,K38,K39,K40,K44,K41,K51, K55, K58,K62,K61),"")</f>
        <v/>
      </c>
      <c r="L65" s="1039" t="str">
        <f t="shared" si="288"/>
        <v/>
      </c>
      <c r="M65" s="1039" t="str">
        <f>IF(AND(ISNUMBER(M17),ISNUMBER(M20),ISNUMBER(M36),ISNUMBER(M37),ISNUMBER(M38),ISNUMBER(M39), ISNUMBER(M40), ISNUMBER(M44), ISNUMBER(M41), ISNUMBER(M51),ISNUMBER(M55),ISNUMBER(M58), ISNUMBER(M62), ISNUMBER(M61)),SUM(M17, M20,M36,M37,M38,M39,M40,M44,M41,M51, M55, M58,M62,M61),"")</f>
        <v/>
      </c>
      <c r="N65" s="851" t="str">
        <f t="shared" ref="N65:Y65" si="292">IF(AND(ISNUMBER(N17),ISNUMBER(N20),ISNUMBER(N36),ISNUMBER(N37),ISNUMBER(N38),ISNUMBER(N39), ISNUMBER(N40), ISNUMBER(N44), ISNUMBER(N41), ISNUMBER(N58)),SUM(N17, N20,N36,N37,N38,N39,N40,N44,N41, N58),"")</f>
        <v/>
      </c>
      <c r="O65" s="851" t="str">
        <f t="shared" si="292"/>
        <v/>
      </c>
      <c r="P65" s="851" t="str">
        <f t="shared" si="292"/>
        <v/>
      </c>
      <c r="Q65" s="851" t="str">
        <f t="shared" si="292"/>
        <v/>
      </c>
      <c r="R65" s="851" t="str">
        <f t="shared" si="292"/>
        <v/>
      </c>
      <c r="S65" s="851" t="str">
        <f t="shared" si="292"/>
        <v/>
      </c>
      <c r="T65" s="851" t="str">
        <f t="shared" ref="T65" si="293">IF(AND(ISNUMBER(T17),ISNUMBER(T20),ISNUMBER(T36),ISNUMBER(T37),ISNUMBER(T38),ISNUMBER(T39), ISNUMBER(T40), ISNUMBER(T44), ISNUMBER(T41), ISNUMBER(T58)),SUM(T17, T20,T36,T37,T38,T39,T40,T44,T41, T58),"")</f>
        <v/>
      </c>
      <c r="U65" s="851" t="str">
        <f t="shared" ref="U65" si="294">IF(AND(ISNUMBER(U17),ISNUMBER(U20),ISNUMBER(U36),ISNUMBER(U37),ISNUMBER(U38),ISNUMBER(U39), ISNUMBER(U40), ISNUMBER(U44), ISNUMBER(U41), ISNUMBER(U58)),SUM(U17, U20,U36,U37,U38,U39,U40,U44,U41, U58),"")</f>
        <v/>
      </c>
      <c r="V65" s="851" t="str">
        <f t="shared" ref="V65" si="295">IF(AND(ISNUMBER(V17),ISNUMBER(V20),ISNUMBER(V36),ISNUMBER(V37),ISNUMBER(V38),ISNUMBER(V39), ISNUMBER(V40), ISNUMBER(V44), ISNUMBER(V41), ISNUMBER(V58)),SUM(V17, V20,V36,V37,V38,V39,V40,V44,V41, V58),"")</f>
        <v/>
      </c>
      <c r="W65" s="851" t="str">
        <f t="shared" si="292"/>
        <v/>
      </c>
      <c r="X65" s="851" t="str">
        <f t="shared" si="292"/>
        <v/>
      </c>
      <c r="Y65" s="851" t="str">
        <f t="shared" si="292"/>
        <v/>
      </c>
      <c r="Z65" s="851" t="str">
        <f t="shared" ref="Z65:AK65" si="296">IF(AND(ISNUMBER(Z17),ISNUMBER(Z20),ISNUMBER(Z36),ISNUMBER(Z37),ISNUMBER(Z38),ISNUMBER(Z39), ISNUMBER(Z58)),SUM(Z17, Z20,Z36,Z37,Z38,Z39,Z58),"")</f>
        <v/>
      </c>
      <c r="AA65" s="851" t="str">
        <f t="shared" si="296"/>
        <v/>
      </c>
      <c r="AB65" s="851" t="str">
        <f t="shared" si="296"/>
        <v/>
      </c>
      <c r="AC65" s="851" t="str">
        <f t="shared" si="296"/>
        <v/>
      </c>
      <c r="AD65" s="1208" t="str">
        <f t="shared" si="296"/>
        <v/>
      </c>
      <c r="AE65" s="851" t="str">
        <f t="shared" si="296"/>
        <v/>
      </c>
      <c r="AF65" s="851" t="str">
        <f t="shared" ref="AF65" si="297">IF(AND(ISNUMBER(AF17),ISNUMBER(AF20),ISNUMBER(AF36),ISNUMBER(AF37),ISNUMBER(AF38),ISNUMBER(AF39), ISNUMBER(AF58)),SUM(AF17, AF20,AF36,AF37,AF38,AF39,AF58),"")</f>
        <v/>
      </c>
      <c r="AG65" s="851" t="str">
        <f t="shared" ref="AG65" si="298">IF(AND(ISNUMBER(AG17),ISNUMBER(AG20),ISNUMBER(AG36),ISNUMBER(AG37),ISNUMBER(AG38),ISNUMBER(AG39), ISNUMBER(AG58)),SUM(AG17, AG20,AG36,AG37,AG38,AG39,AG58),"")</f>
        <v/>
      </c>
      <c r="AH65" s="851" t="str">
        <f t="shared" ref="AH65" si="299">IF(AND(ISNUMBER(AH17),ISNUMBER(AH20),ISNUMBER(AH36),ISNUMBER(AH37),ISNUMBER(AH38),ISNUMBER(AH39), ISNUMBER(AH58)),SUM(AH17, AH20,AH36,AH37,AH38,AH39,AH58),"")</f>
        <v/>
      </c>
      <c r="AI65" s="851" t="str">
        <f t="shared" si="296"/>
        <v/>
      </c>
      <c r="AJ65" s="851" t="str">
        <f t="shared" si="296"/>
        <v/>
      </c>
      <c r="AK65" s="851" t="str">
        <f t="shared" si="296"/>
        <v/>
      </c>
      <c r="AL65" s="860"/>
      <c r="AM65" s="860"/>
      <c r="AN65" s="860"/>
      <c r="AO65" s="860"/>
      <c r="AP65" s="851" t="str">
        <f t="shared" ref="AP65:AY65" si="300">IF(AND(ISNUMBER(AP17),ISNUMBER(AP20),ISNUMBER(AP36),ISNUMBER(AP37),ISNUMBER(AP38),ISNUMBER(AP39), ISNUMBER(AP40), ISNUMBER(AP44), ISNUMBER(AP41), ISNUMBER(AP55),ISNUMBER(AP58), ISNUMBER(AP62), ISNUMBER(AP61)),SUM(AP17, AP20,AP36,AP37,AP38,AP39,AP40,AP44,AP41, AP55, AP58,AP62,AP61),"")</f>
        <v/>
      </c>
      <c r="AQ65" s="851" t="str">
        <f t="shared" si="300"/>
        <v/>
      </c>
      <c r="AR65" s="851" t="str">
        <f t="shared" si="300"/>
        <v/>
      </c>
      <c r="AS65" s="851" t="str">
        <f t="shared" si="300"/>
        <v/>
      </c>
      <c r="AT65" s="851" t="str">
        <f t="shared" si="300"/>
        <v/>
      </c>
      <c r="AU65" s="851" t="str">
        <f t="shared" si="300"/>
        <v/>
      </c>
      <c r="AV65" s="851" t="str">
        <f t="shared" ref="AV65" si="301">IF(AND(ISNUMBER(AV17),ISNUMBER(AV20),ISNUMBER(AV36),ISNUMBER(AV37),ISNUMBER(AV38),ISNUMBER(AV39), ISNUMBER(AV40), ISNUMBER(AV44), ISNUMBER(AV41), ISNUMBER(AV55),ISNUMBER(AV58), ISNUMBER(AV62), ISNUMBER(AV61)),SUM(AV17, AV20,AV36,AV37,AV38,AV39,AV40,AV44,AV41, AV55, AV58,AV62,AV61),"")</f>
        <v/>
      </c>
      <c r="AW65" s="851" t="str">
        <f t="shared" ref="AW65" si="302">IF(AND(ISNUMBER(AW17),ISNUMBER(AW20),ISNUMBER(AW36),ISNUMBER(AW37),ISNUMBER(AW38),ISNUMBER(AW39), ISNUMBER(AW40), ISNUMBER(AW44), ISNUMBER(AW41), ISNUMBER(AW55),ISNUMBER(AW58), ISNUMBER(AW62), ISNUMBER(AW61)),SUM(AW17, AW20,AW36,AW37,AW38,AW39,AW40,AW44,AW41, AW55, AW58,AW62,AW61),"")</f>
        <v/>
      </c>
      <c r="AX65" s="851" t="str">
        <f t="shared" ref="AX65" si="303">IF(AND(ISNUMBER(AX17),ISNUMBER(AX20),ISNUMBER(AX36),ISNUMBER(AX37),ISNUMBER(AX38),ISNUMBER(AX39), ISNUMBER(AX40), ISNUMBER(AX44), ISNUMBER(AX41), ISNUMBER(AX55),ISNUMBER(AX58), ISNUMBER(AX62), ISNUMBER(AX61)),SUM(AX17, AX20,AX36,AX37,AX38,AX39,AX40,AX44,AX41, AX55, AX58,AX62,AX61),"")</f>
        <v/>
      </c>
      <c r="AY65" s="851" t="str">
        <f t="shared" si="300"/>
        <v/>
      </c>
      <c r="AZ65" s="851" t="str">
        <f>IF(AND(ISNUMBER(AZ17),ISNUMBER(AZ20),ISNUMBER(AZ36),ISNUMBER(AZ37),ISNUMBER(AZ38),ISNUMBER(AZ39), ISNUMBER(AZ40), ISNUMBER(AZ44), ISNUMBER(AZ41),ISNUMBER(AZ55),ISNUMBER(AZ58), ISNUMBER(AZ62), ISNUMBER(AZ61)),SUM(AZ17, AZ20,AZ36,AZ37,AZ38,AZ39,AZ40,AZ44,AZ41, AZ55, AZ58,AZ62,AZ61),"")</f>
        <v/>
      </c>
      <c r="BA65" s="851" t="str">
        <f>IF(AND(ISNUMBER(BA17), ISNUMBER(BA20), ISNUMBER(BA36), ISNUMBER(BA38), ISNUMBER(BA40), ISNUMBER(BA44), ISNUMBER(BA41), ISNUMBER(BA58)), SUM(BA17, BA20, BA36, BA38, BA40, BA44,BA41, BA58),"")</f>
        <v/>
      </c>
      <c r="BB65" s="851" t="str">
        <f t="shared" ref="BB65:BJ65" si="304">IF(AND(ISNUMBER(BB17), ISNUMBER(BB20), ISNUMBER(BB36), ISNUMBER(BB38), ISNUMBER(BB40), ISNUMBER(BB44), ISNUMBER(BB41), ISNUMBER(BB58)), SUM(BB17, BB20, BB36, BB38, BB40, BB44,BB41, BB58),"")</f>
        <v/>
      </c>
      <c r="BC65" s="851" t="str">
        <f t="shared" si="304"/>
        <v/>
      </c>
      <c r="BD65" s="851" t="str">
        <f t="shared" si="304"/>
        <v/>
      </c>
      <c r="BE65" s="851" t="str">
        <f t="shared" si="304"/>
        <v/>
      </c>
      <c r="BF65" s="851" t="str">
        <f t="shared" si="304"/>
        <v/>
      </c>
      <c r="BG65" s="851" t="str">
        <f t="shared" si="304"/>
        <v/>
      </c>
      <c r="BH65" s="851" t="str">
        <f t="shared" si="304"/>
        <v/>
      </c>
      <c r="BI65" s="851" t="str">
        <f t="shared" si="304"/>
        <v/>
      </c>
      <c r="BJ65" s="851" t="str">
        <f t="shared" si="304"/>
        <v/>
      </c>
      <c r="BK65" s="851" t="str">
        <f>IF(AND(ISNUMBER(BK17), ISNUMBER(BK20), ISNUMBER(BK36), ISNUMBER(BK38), ISNUMBER(BK40), ISNUMBER(BK44), ISNUMBER(BK41), ISNUMBER(BK58)), SUM(BK17, BK20, BK36, BK38, BK40, BK44,BK41, BK58),"")</f>
        <v/>
      </c>
      <c r="BL65" s="851" t="str">
        <f>IF(AND(ISNUMBER(BL17), ISNUMBER(BL20), ISNUMBER(BL36), ISNUMBER(BL38), ISNUMBER(BL40), ISNUMBER(BL44), ISNUMBER(BL41), ISNUMBER(BL58)), SUM(BL17, BL20, BL36, BL38, BL40, BL44,BL41, BL58),"")</f>
        <v/>
      </c>
      <c r="BM65" s="851" t="str">
        <f t="shared" ref="BM65:BX65" si="305">IF(AND(ISNUMBER(BM17), ISNUMBER(BM20), ISNUMBER(BM36), ISNUMBER(BM37), ISNUMBER(BM38), ISNUMBER(BM39), ISNUMBER(BM40), ISNUMBER(BM41), ISNUMBER(BM44), ISNUMBER(BM58)), SUM(BM17,BM20,BM36:BM41,BM44,BM58), "")</f>
        <v/>
      </c>
      <c r="BN65" s="851" t="str">
        <f t="shared" si="305"/>
        <v/>
      </c>
      <c r="BO65" s="851" t="str">
        <f t="shared" si="305"/>
        <v/>
      </c>
      <c r="BP65" s="851" t="str">
        <f t="shared" si="305"/>
        <v/>
      </c>
      <c r="BQ65" s="851" t="str">
        <f t="shared" si="305"/>
        <v/>
      </c>
      <c r="BR65" s="851" t="str">
        <f t="shared" si="305"/>
        <v/>
      </c>
      <c r="BS65" s="851" t="str">
        <f t="shared" si="305"/>
        <v/>
      </c>
      <c r="BT65" s="851" t="str">
        <f t="shared" si="305"/>
        <v/>
      </c>
      <c r="BU65" s="851" t="str">
        <f t="shared" si="305"/>
        <v/>
      </c>
      <c r="BV65" s="851" t="str">
        <f t="shared" si="305"/>
        <v/>
      </c>
      <c r="BW65" s="851" t="str">
        <f t="shared" si="305"/>
        <v/>
      </c>
      <c r="BX65" s="851" t="str">
        <f t="shared" si="305"/>
        <v/>
      </c>
      <c r="BY65" s="851"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851" t="str">
        <f t="shared" si="306"/>
        <v/>
      </c>
      <c r="CA65" s="851" t="str">
        <f t="shared" si="306"/>
        <v/>
      </c>
      <c r="CB65" s="851" t="str">
        <f t="shared" si="306"/>
        <v/>
      </c>
      <c r="CC65" s="851" t="str">
        <f t="shared" si="306"/>
        <v/>
      </c>
      <c r="CD65" s="851" t="str">
        <f t="shared" si="306"/>
        <v/>
      </c>
      <c r="CE65" s="851" t="str">
        <f t="shared" si="306"/>
        <v/>
      </c>
      <c r="CF65" s="851" t="str">
        <f t="shared" si="306"/>
        <v/>
      </c>
      <c r="CG65" s="851" t="str">
        <f t="shared" si="306"/>
        <v/>
      </c>
      <c r="CH65" s="851" t="str">
        <f t="shared" si="306"/>
        <v/>
      </c>
      <c r="CI65" s="1208" t="str">
        <f t="shared" si="306"/>
        <v/>
      </c>
      <c r="CJ65" s="480"/>
      <c r="CK65" s="502"/>
      <c r="CL65" s="851" t="str">
        <f>IF(AND(ISNUMBER(CL17), ISNUMBER(CL20), ISNUMBER(CL36), ISNUMBER(CL37), ISNUMBER(CL38), ISNUMBER(CL39), ISNUMBER(CL40), ISNUMBER(CL44), ISNUMBER(CL41), ISNUMBER(CL55),ISNUMBER(CL58), ISNUMBER(CL62), ISNUMBER(CL61)), SUM(CL17, CL20, CL36:CL41, CL44, CL55, CL58, CL61, CL62), "")</f>
        <v/>
      </c>
      <c r="CM65" s="851" t="str">
        <f>IF(AND(ISNUMBER(CM17), ISNUMBER(CM20), ISNUMBER(CM36), ISNUMBER(CM37), ISNUMBER(CM38), ISNUMBER(CM39), ISNUMBER(CM40), ISNUMBER(CM44), ISNUMBER(CM41), ISNUMBER(CM55),ISNUMBER(CM58), ISNUMBER(CM61), ISNUMBER(CM62)), SUM(CM17, CM20, CM36:CM41, CM44, CM55, CM58, CM61, CM62), "")</f>
        <v/>
      </c>
      <c r="CN65" s="851" t="str">
        <f>IF(AND(ISNUMBER(CN17), ISNUMBER(CN20), ISNUMBER(CN36), ISNUMBER(CN37), ISNUMBER(CN38), ISNUMBER(CN39), ISNUMBER(CN40), ISNUMBER(CN44), ISNUMBER(CN41), ISNUMBER(CN55),ISNUMBER(CN58), ISNUMBER(CN61)), SUM(CN17, CN20, CN36, CN37:CN41, CN44, CN55, CN58, CN61),"")</f>
        <v/>
      </c>
      <c r="CO65" s="851" t="str">
        <f>IF(AND(ISNUMBER(CO17), ISNUMBER(CO20), ISNUMBER(CO36), ISNUMBER(CO37), ISNUMBER(CO38), ISNUMBER(CO39), ISNUMBER(CO40), ISNUMBER(CO44), ISNUMBER(CO41), ISNUMBER(CO51), ISNUMBER(CO55),ISNUMBER(CO58), ISNUMBER(CO62), ISNUMBER(CO61)), SUM(CO17, CO20, CO36:CO41, CO44, CO51, CO55, CO58, CO61, CO62), "")</f>
        <v/>
      </c>
      <c r="CP65" s="851" t="str">
        <f>IF(AND(ISNUMBER(CP17), ISNUMBER(CP20), ISNUMBER(CP36), ISNUMBER(CP37), ISNUMBER(CP38), ISNUMBER(CP39), ISNUMBER(CP40), ISNUMBER(CP44), ISNUMBER(CP41), ISNUMBER(CP51), ISNUMBER(CP55),ISNUMBER(CP58), ISNUMBER(CP62), ISNUMBER(CP61)), SUM(CP17, CP20, CP36:CP41, CP44, CP51, CP55, CP58, CP61, CP62), "")</f>
        <v/>
      </c>
      <c r="CQ65" s="851" t="str">
        <f>IF(AND(ISNUMBER(CQ17), ISNUMBER(CQ20), ISNUMBER(CQ36), ISNUMBER(CQ37), ISNUMBER(CQ38), ISNUMBER(CQ39), ISNUMBER(CQ40), ISNUMBER(CQ44), ISNUMBER(CQ41), ISNUMBER(CQ51), ISNUMBER(CQ55),ISNUMBER(CQ58), ISNUMBER(CQ62), ISNUMBER(CQ61)), SUM(CQ17, CQ20, CQ36:CQ41, CQ44, CQ51, CQ55, CQ58, CQ61, CQ62), "")</f>
        <v/>
      </c>
      <c r="CR65" s="865"/>
      <c r="CS65" s="866"/>
      <c r="CT65" s="2280" t="str">
        <f t="shared" ref="CT65:CY65" si="307">IF(AND(ISNUMBER(CT17), ISNUMBER(CT20), ISNUMBER(CT36), ISNUMBER(CT37), ISNUMBER(CT38), ISNUMBER(CT39), ISNUMBER(CT40), ISNUMBER(CT44), ISNUMBER(CT41), ISNUMBER(CT51), ISNUMBER(CT55),ISNUMBER(CT58), ISNUMBER(CT62), ISNUMBER(CT61)), SUM(CT17, CT20, CT36:CT41, CT44, CT51, CT55, CT58, CT61, CT62), "")</f>
        <v/>
      </c>
      <c r="CU65" s="851" t="str">
        <f t="shared" si="307"/>
        <v/>
      </c>
      <c r="CV65" s="851" t="str">
        <f t="shared" si="307"/>
        <v/>
      </c>
      <c r="CW65" s="851" t="str">
        <f t="shared" si="307"/>
        <v/>
      </c>
      <c r="CX65" s="851" t="str">
        <f t="shared" si="307"/>
        <v/>
      </c>
      <c r="CY65" s="1208" t="str">
        <f t="shared" si="307"/>
        <v/>
      </c>
      <c r="CZ65" s="2246"/>
    </row>
    <row r="66" spans="1:104" ht="15" customHeight="1" x14ac:dyDescent="0.25">
      <c r="A66" s="545"/>
      <c r="B66" s="1079" t="s">
        <v>889</v>
      </c>
      <c r="C66" s="2293" t="str">
        <f t="shared" ref="C66:M66" si="308">IF(ISNUMBER(C65),C65-C51, "")</f>
        <v/>
      </c>
      <c r="D66" s="2293" t="str">
        <f t="shared" si="308"/>
        <v/>
      </c>
      <c r="E66" s="2293" t="str">
        <f t="shared" si="308"/>
        <v/>
      </c>
      <c r="F66" s="2293" t="str">
        <f t="shared" si="308"/>
        <v/>
      </c>
      <c r="G66" s="2293" t="str">
        <f t="shared" si="308"/>
        <v/>
      </c>
      <c r="H66" s="2293" t="str">
        <f t="shared" si="308"/>
        <v/>
      </c>
      <c r="I66" s="2293" t="str">
        <f t="shared" ref="I66" si="309">IF(ISNUMBER(I65),I65-I51, "")</f>
        <v/>
      </c>
      <c r="J66" s="2293" t="str">
        <f t="shared" ref="J66" si="310">IF(ISNUMBER(J65),J65-J51, "")</f>
        <v/>
      </c>
      <c r="K66" s="2293" t="str">
        <f t="shared" ref="K66" si="311">IF(ISNUMBER(K65),K65-K51, "")</f>
        <v/>
      </c>
      <c r="L66" s="2293" t="str">
        <f t="shared" si="308"/>
        <v/>
      </c>
      <c r="M66" s="2293" t="str">
        <f t="shared" si="308"/>
        <v/>
      </c>
      <c r="N66" s="480"/>
      <c r="O66" s="480"/>
      <c r="P66" s="480"/>
      <c r="Q66" s="480"/>
      <c r="R66" s="480"/>
      <c r="S66" s="480"/>
      <c r="T66" s="480"/>
      <c r="U66" s="480"/>
      <c r="V66" s="480"/>
      <c r="W66" s="480"/>
      <c r="X66" s="480"/>
      <c r="Y66" s="480"/>
      <c r="Z66" s="480"/>
      <c r="AA66" s="480"/>
      <c r="AB66" s="480"/>
      <c r="AC66" s="480"/>
      <c r="AD66" s="499"/>
      <c r="AE66" s="480"/>
      <c r="AF66" s="480"/>
      <c r="AG66" s="480"/>
      <c r="AH66" s="480"/>
      <c r="AI66" s="480"/>
      <c r="AJ66" s="480"/>
      <c r="AK66" s="480"/>
      <c r="AL66" s="2293" t="str">
        <f t="shared" ref="AL66" si="312">IF(ISNUMBER(AL65),AL65-AL51, "")</f>
        <v/>
      </c>
      <c r="AM66" s="2293" t="str">
        <f t="shared" ref="AM66" si="313">IF(ISNUMBER(AM65),AM65-AM51, "")</f>
        <v/>
      </c>
      <c r="AN66" s="2293" t="str">
        <f t="shared" ref="AN66" si="314">IF(ISNUMBER(AN65),AN65-AN51, "")</f>
        <v/>
      </c>
      <c r="AO66" s="2293" t="str">
        <f t="shared" ref="AO66" si="315">IF(ISNUMBER(AO65),AO65-AO51, "")</f>
        <v/>
      </c>
      <c r="AP66" s="480"/>
      <c r="AQ66" s="480"/>
      <c r="AR66" s="480"/>
      <c r="AS66" s="480"/>
      <c r="AT66" s="480"/>
      <c r="AU66" s="480"/>
      <c r="AV66" s="480"/>
      <c r="AW66" s="480"/>
      <c r="AX66" s="480"/>
      <c r="AY66" s="480"/>
      <c r="AZ66" s="480"/>
      <c r="BA66" s="480"/>
      <c r="BB66" s="480"/>
      <c r="BC66" s="480"/>
      <c r="BD66" s="480"/>
      <c r="BE66" s="480"/>
      <c r="BF66" s="480"/>
      <c r="BG66" s="480"/>
      <c r="BH66" s="480"/>
      <c r="BI66" s="480"/>
      <c r="BJ66" s="480"/>
      <c r="BK66" s="480"/>
      <c r="BL66" s="480"/>
      <c r="BM66" s="480"/>
      <c r="BN66" s="480"/>
      <c r="BO66" s="480"/>
      <c r="BP66" s="480"/>
      <c r="BQ66" s="480"/>
      <c r="BR66" s="480"/>
      <c r="BS66" s="480"/>
      <c r="BT66" s="480"/>
      <c r="BU66" s="480"/>
      <c r="BV66" s="480"/>
      <c r="BW66" s="480"/>
      <c r="BX66" s="480"/>
      <c r="BY66" s="480"/>
      <c r="BZ66" s="480"/>
      <c r="CA66" s="480"/>
      <c r="CB66" s="480"/>
      <c r="CC66" s="480"/>
      <c r="CD66" s="480"/>
      <c r="CE66" s="480"/>
      <c r="CF66" s="480"/>
      <c r="CG66" s="480"/>
      <c r="CH66" s="480"/>
      <c r="CI66" s="499"/>
      <c r="CJ66" s="480"/>
      <c r="CK66" s="502"/>
      <c r="CL66" s="480"/>
      <c r="CM66" s="480"/>
      <c r="CN66" s="480"/>
      <c r="CO66" s="480"/>
      <c r="CP66" s="480"/>
      <c r="CQ66" s="480"/>
      <c r="CR66" s="865"/>
      <c r="CS66" s="866"/>
      <c r="CT66" s="2281"/>
      <c r="CU66" s="480"/>
      <c r="CV66" s="480"/>
      <c r="CW66" s="480"/>
      <c r="CX66" s="480"/>
      <c r="CY66" s="499"/>
      <c r="CZ66" s="2246"/>
    </row>
    <row r="67" spans="1:104" ht="15" customHeight="1" x14ac:dyDescent="0.25">
      <c r="A67" s="545"/>
      <c r="B67" s="1080" t="str">
        <f>"Check: DefCap provisioning data versus row " &amp; ROW(B65)</f>
        <v>Check: DefCap provisioning data versus row 65</v>
      </c>
      <c r="C67" s="355"/>
      <c r="D67" s="355"/>
      <c r="E67" s="355"/>
      <c r="F67" s="355"/>
      <c r="G67" s="355"/>
      <c r="H67" s="355"/>
      <c r="I67" s="355"/>
      <c r="J67" s="355"/>
      <c r="K67" s="355"/>
      <c r="L67" s="355"/>
      <c r="M67" s="355"/>
      <c r="N67" s="500"/>
      <c r="O67" s="500"/>
      <c r="P67" s="500"/>
      <c r="Q67" s="500"/>
      <c r="R67" s="500"/>
      <c r="S67" s="500"/>
      <c r="T67" s="500"/>
      <c r="U67" s="500"/>
      <c r="V67" s="500"/>
      <c r="W67" s="500"/>
      <c r="X67" s="500"/>
      <c r="Y67" s="500"/>
      <c r="Z67" s="500"/>
      <c r="AA67" s="500"/>
      <c r="AB67" s="500"/>
      <c r="AC67" s="500"/>
      <c r="AD67" s="501"/>
      <c r="AE67" s="500"/>
      <c r="AF67" s="500"/>
      <c r="AG67" s="500"/>
      <c r="AH67" s="500"/>
      <c r="AI67" s="500"/>
      <c r="AJ67" s="500"/>
      <c r="AK67" s="500"/>
      <c r="AL67" s="2590"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
      </c>
      <c r="AM67" s="2591"/>
      <c r="AN67" s="2591"/>
      <c r="AO67" s="2606"/>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1"/>
      <c r="CJ67" s="500"/>
      <c r="CK67" s="503"/>
      <c r="CL67" s="500"/>
      <c r="CM67" s="500"/>
      <c r="CN67" s="500"/>
      <c r="CO67" s="500"/>
      <c r="CP67" s="500"/>
      <c r="CQ67" s="500"/>
      <c r="CR67" s="867"/>
      <c r="CS67" s="868"/>
      <c r="CT67" s="2282"/>
      <c r="CU67" s="500"/>
      <c r="CV67" s="500"/>
      <c r="CW67" s="500"/>
      <c r="CX67" s="500"/>
      <c r="CY67" s="501"/>
      <c r="CZ67" s="2246"/>
    </row>
    <row r="68" spans="1:104" ht="60" customHeight="1" x14ac:dyDescent="0.25">
      <c r="A68" s="545"/>
      <c r="B68" s="1993" t="s">
        <v>1519</v>
      </c>
      <c r="C68" s="846" t="str">
        <f t="shared" ref="C68" si="316">IF(AND(ISNUMBER(N68),ISNUMBER(Z68)),SUM(N68,Z68),"")</f>
        <v/>
      </c>
      <c r="D68" s="846" t="str">
        <f t="shared" ref="D68" si="317">IF(AND(ISNUMBER(O68),ISNUMBER(AA68)),SUM(O68,AA68),"")</f>
        <v/>
      </c>
      <c r="E68" s="846" t="str">
        <f t="shared" ref="E68" si="318">IF(AND(ISNUMBER(P68),ISNUMBER(AB68)),SUM(P68,AB68),"")</f>
        <v/>
      </c>
      <c r="F68" s="846" t="str">
        <f t="shared" ref="F68" si="319">IF(AND(ISNUMBER(Q68),ISNUMBER(AC68)),SUM(Q68,AC68),"")</f>
        <v/>
      </c>
      <c r="G68" s="846" t="str">
        <f t="shared" ref="G68" si="320">IF(AND(ISNUMBER(R68),ISNUMBER(AD68)),SUM(R68,AD68),"")</f>
        <v/>
      </c>
      <c r="H68" s="846" t="str">
        <f t="shared" ref="H68" si="321">IF(AND(ISNUMBER(C68),ISNUMBER(D68),ISNUMBER(G68)),SUM(C68,D68,G68),"")</f>
        <v/>
      </c>
      <c r="I68" s="846" t="str">
        <f t="shared" ref="I68" si="322">IF(AND(ISNUMBER(T68),ISNUMBER(AF68)),SUM(T68,AF68),"")</f>
        <v/>
      </c>
      <c r="J68" s="846" t="str">
        <f t="shared" ref="J68" si="323">IF(AND(ISNUMBER(U68),ISNUMBER(AG68)),SUM(U68,AG68),"")</f>
        <v/>
      </c>
      <c r="K68" s="846" t="str">
        <f t="shared" ref="K68" si="324">IF(AND(ISNUMBER(V68),ISNUMBER(AH68)),SUM(V68,AH68),"")</f>
        <v/>
      </c>
      <c r="L68" s="846" t="str">
        <f t="shared" ref="L68" si="325">IF(AND(ISNUMBER(W68),ISNUMBER(AI68)),SUM(W68,AI68),"")</f>
        <v/>
      </c>
      <c r="M68" s="846" t="str">
        <f t="shared" ref="M68" si="326">IF(AND(ISNUMBER(X68),ISNUMBER(AJ68)),SUM(X68,AJ68),"")</f>
        <v/>
      </c>
      <c r="N68" s="1339"/>
      <c r="O68" s="1339"/>
      <c r="P68" s="1339"/>
      <c r="Q68" s="1339"/>
      <c r="R68" s="1891"/>
      <c r="S68" s="846" t="str">
        <f t="shared" ref="S68" si="327">IF(AND(ISNUMBER(N68),ISNUMBER(O68),ISNUMBER(R68)),SUM(N68,O68,R68),"")</f>
        <v/>
      </c>
      <c r="T68" s="745"/>
      <c r="U68" s="1339"/>
      <c r="V68" s="1891"/>
      <c r="W68" s="846" t="str">
        <f t="shared" ref="W68" si="328">IF(AND(ISNUMBER(T68),ISNUMBER(U68),ISNUMBER(V68)),SUM(T68:V68), "")</f>
        <v/>
      </c>
      <c r="X68" s="745"/>
      <c r="Y68" s="1339"/>
      <c r="Z68" s="1339"/>
      <c r="AA68" s="1339"/>
      <c r="AB68" s="1339"/>
      <c r="AC68" s="1339"/>
      <c r="AD68" s="1891"/>
      <c r="AE68" s="846" t="str">
        <f t="shared" ref="AE68" si="329">IF(AND(ISNUMBER(Z68),ISNUMBER(AA68),ISNUMBER(AD68)),SUM(Z68,AA68,AD68),"")</f>
        <v/>
      </c>
      <c r="AF68" s="745"/>
      <c r="AG68" s="1339"/>
      <c r="AH68" s="1891"/>
      <c r="AI68" s="846" t="str">
        <f>IF(AND(ISNUMBER(AF68),ISNUMBER(AG68),ISNUMBER(AH68)),SUM(AF68:AH68), "")</f>
        <v/>
      </c>
      <c r="AJ68" s="745"/>
      <c r="AK68" s="1339"/>
      <c r="AL68" s="1339"/>
      <c r="AM68" s="1339"/>
      <c r="AN68" s="1339"/>
      <c r="AO68" s="1339"/>
      <c r="AP68" s="1614"/>
      <c r="AQ68" s="1614"/>
      <c r="AR68" s="1614"/>
      <c r="AS68" s="1614"/>
      <c r="AT68" s="1888"/>
      <c r="AU68" s="1614"/>
      <c r="AV68" s="1995"/>
      <c r="AW68" s="1614"/>
      <c r="AX68" s="1888"/>
      <c r="AY68" s="1614"/>
      <c r="AZ68" s="1995"/>
      <c r="BA68" s="1996"/>
      <c r="BB68" s="1996"/>
      <c r="BC68" s="1996"/>
      <c r="BD68" s="1996"/>
      <c r="BE68" s="1996"/>
      <c r="BF68" s="1996"/>
      <c r="BG68" s="1996"/>
      <c r="BH68" s="1996"/>
      <c r="BI68" s="1996"/>
      <c r="BJ68" s="1996"/>
      <c r="BK68" s="1996"/>
      <c r="BL68" s="1996"/>
      <c r="BM68" s="1996"/>
      <c r="BN68" s="1996"/>
      <c r="BO68" s="1996"/>
      <c r="BP68" s="1996"/>
      <c r="BQ68" s="1996"/>
      <c r="BR68" s="1996"/>
      <c r="BS68" s="1996"/>
      <c r="BT68" s="1996"/>
      <c r="BU68" s="1996"/>
      <c r="BV68" s="1996"/>
      <c r="BW68" s="1996"/>
      <c r="BX68" s="1996"/>
      <c r="BY68" s="1614"/>
      <c r="BZ68" s="1614"/>
      <c r="CA68" s="1614"/>
      <c r="CB68" s="1614"/>
      <c r="CC68" s="1614"/>
      <c r="CD68" s="1614"/>
      <c r="CE68" s="1614"/>
      <c r="CF68" s="1614"/>
      <c r="CG68" s="1614"/>
      <c r="CH68" s="1614"/>
      <c r="CI68" s="1888"/>
      <c r="CJ68" s="1997"/>
      <c r="CK68" s="1998"/>
      <c r="CL68" s="1614"/>
      <c r="CM68" s="1614"/>
      <c r="CN68" s="1996"/>
      <c r="CO68" s="1614"/>
      <c r="CP68" s="1614"/>
      <c r="CQ68" s="1614"/>
      <c r="CR68" s="1370"/>
      <c r="CS68" s="1999"/>
      <c r="CT68" s="2267"/>
      <c r="CU68" s="1614"/>
      <c r="CV68" s="1614"/>
      <c r="CW68" s="1614"/>
      <c r="CX68" s="1614"/>
      <c r="CY68" s="1614"/>
      <c r="CZ68" s="2246"/>
    </row>
    <row r="69" spans="1:104" ht="60" customHeight="1" x14ac:dyDescent="0.25">
      <c r="A69" s="545"/>
      <c r="B69" s="1994" t="s">
        <v>1520</v>
      </c>
      <c r="C69" s="1041" t="str">
        <f t="shared" ref="C69" si="330">IF(AND(ISNUMBER(N69),ISNUMBER(Z69)),SUM(N69,Z69),"")</f>
        <v/>
      </c>
      <c r="D69" s="1041" t="str">
        <f t="shared" ref="D69" si="331">IF(AND(ISNUMBER(O69),ISNUMBER(AA69)),SUM(O69,AA69),"")</f>
        <v/>
      </c>
      <c r="E69" s="1041" t="str">
        <f t="shared" ref="E69" si="332">IF(AND(ISNUMBER(P69),ISNUMBER(AB69)),SUM(P69,AB69),"")</f>
        <v/>
      </c>
      <c r="F69" s="1041" t="str">
        <f t="shared" ref="F69" si="333">IF(AND(ISNUMBER(Q69),ISNUMBER(AC69)),SUM(Q69,AC69),"")</f>
        <v/>
      </c>
      <c r="G69" s="1041" t="str">
        <f t="shared" ref="G69" si="334">IF(AND(ISNUMBER(R69),ISNUMBER(AD69)),SUM(R69,AD69),"")</f>
        <v/>
      </c>
      <c r="H69" s="1041" t="str">
        <f t="shared" ref="H69" si="335">IF(AND(ISNUMBER(C69),ISNUMBER(D69),ISNUMBER(G69)),SUM(C69,D69,G69),"")</f>
        <v/>
      </c>
      <c r="I69" s="1041" t="str">
        <f t="shared" ref="I69" si="336">IF(AND(ISNUMBER(T69),ISNUMBER(AF69)),SUM(T69,AF69),"")</f>
        <v/>
      </c>
      <c r="J69" s="1041" t="str">
        <f t="shared" ref="J69" si="337">IF(AND(ISNUMBER(U69),ISNUMBER(AG69)),SUM(U69,AG69),"")</f>
        <v/>
      </c>
      <c r="K69" s="1041" t="str">
        <f t="shared" ref="K69" si="338">IF(AND(ISNUMBER(V69),ISNUMBER(AH69)),SUM(V69,AH69),"")</f>
        <v/>
      </c>
      <c r="L69" s="1041" t="str">
        <f t="shared" ref="L69" si="339">IF(AND(ISNUMBER(W69),ISNUMBER(AI69)),SUM(W69,AI69),"")</f>
        <v/>
      </c>
      <c r="M69" s="1041" t="str">
        <f t="shared" ref="M69" si="340">IF(AND(ISNUMBER(X69),ISNUMBER(AJ69)),SUM(X69,AJ69),"")</f>
        <v/>
      </c>
      <c r="N69" s="1274"/>
      <c r="O69" s="1274"/>
      <c r="P69" s="1274"/>
      <c r="Q69" s="1274"/>
      <c r="R69" s="298"/>
      <c r="S69" s="1041" t="str">
        <f t="shared" ref="S69" si="341">IF(AND(ISNUMBER(N69),ISNUMBER(O69),ISNUMBER(R69)),SUM(N69,O69,R69),"")</f>
        <v/>
      </c>
      <c r="T69" s="746"/>
      <c r="U69" s="1274"/>
      <c r="V69" s="298"/>
      <c r="W69" s="1041" t="str">
        <f t="shared" ref="W69" si="342">IF(AND(ISNUMBER(T69),ISNUMBER(U69),ISNUMBER(V69)),SUM(T69:V69), "")</f>
        <v/>
      </c>
      <c r="X69" s="746"/>
      <c r="Y69" s="1274"/>
      <c r="Z69" s="1274"/>
      <c r="AA69" s="1274"/>
      <c r="AB69" s="1274"/>
      <c r="AC69" s="1274"/>
      <c r="AD69" s="298"/>
      <c r="AE69" s="1041" t="str">
        <f t="shared" ref="AE69" si="343">IF(AND(ISNUMBER(Z69),ISNUMBER(AA69),ISNUMBER(AD69)),SUM(Z69,AA69,AD69),"")</f>
        <v/>
      </c>
      <c r="AF69" s="746"/>
      <c r="AG69" s="1274"/>
      <c r="AH69" s="298"/>
      <c r="AI69" s="1041" t="str">
        <f>IF(AND(ISNUMBER(AF69),ISNUMBER(AG69),ISNUMBER(AH69)),SUM(AF69:AH69), "")</f>
        <v/>
      </c>
      <c r="AJ69" s="746"/>
      <c r="AK69" s="1274"/>
      <c r="AL69" s="1274"/>
      <c r="AM69" s="1274"/>
      <c r="AN69" s="1274"/>
      <c r="AO69" s="1274"/>
      <c r="AP69" s="1735"/>
      <c r="AQ69" s="1735"/>
      <c r="AR69" s="1735"/>
      <c r="AS69" s="1735"/>
      <c r="AT69" s="1991"/>
      <c r="AU69" s="1735"/>
      <c r="AV69" s="2000"/>
      <c r="AW69" s="1735"/>
      <c r="AX69" s="1991"/>
      <c r="AY69" s="1735"/>
      <c r="AZ69" s="2000"/>
      <c r="BA69" s="1768"/>
      <c r="BB69" s="1768"/>
      <c r="BC69" s="1768"/>
      <c r="BD69" s="1768"/>
      <c r="BE69" s="1768"/>
      <c r="BF69" s="1768"/>
      <c r="BG69" s="1768"/>
      <c r="BH69" s="1768"/>
      <c r="BI69" s="1768"/>
      <c r="BJ69" s="1768"/>
      <c r="BK69" s="1768"/>
      <c r="BL69" s="1768"/>
      <c r="BM69" s="1768"/>
      <c r="BN69" s="1768"/>
      <c r="BO69" s="1768"/>
      <c r="BP69" s="1768"/>
      <c r="BQ69" s="1768"/>
      <c r="BR69" s="1768"/>
      <c r="BS69" s="1768"/>
      <c r="BT69" s="1768"/>
      <c r="BU69" s="1768"/>
      <c r="BV69" s="1768"/>
      <c r="BW69" s="1768"/>
      <c r="BX69" s="1768"/>
      <c r="BY69" s="1735"/>
      <c r="BZ69" s="1735"/>
      <c r="CA69" s="1735"/>
      <c r="CB69" s="1735"/>
      <c r="CC69" s="1735"/>
      <c r="CD69" s="1735"/>
      <c r="CE69" s="1735"/>
      <c r="CF69" s="1735"/>
      <c r="CG69" s="1735"/>
      <c r="CH69" s="1735"/>
      <c r="CI69" s="1991"/>
      <c r="CJ69" s="2001"/>
      <c r="CK69" s="911"/>
      <c r="CL69" s="1735"/>
      <c r="CM69" s="1735"/>
      <c r="CN69" s="1768"/>
      <c r="CO69" s="1735"/>
      <c r="CP69" s="1735"/>
      <c r="CQ69" s="1735"/>
      <c r="CR69" s="1942"/>
      <c r="CS69" s="2002"/>
      <c r="CT69" s="2263"/>
      <c r="CU69" s="1735"/>
      <c r="CV69" s="1735"/>
      <c r="CW69" s="1735"/>
      <c r="CX69" s="1735"/>
      <c r="CY69" s="1735"/>
      <c r="CZ69" s="2246"/>
    </row>
    <row r="70" spans="1:104" ht="15" customHeight="1" x14ac:dyDescent="0.25">
      <c r="A70" s="1036"/>
      <c r="B70" s="549"/>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c r="BT70" s="549"/>
      <c r="BU70" s="549"/>
      <c r="BV70" s="549"/>
      <c r="BW70" s="549"/>
      <c r="BX70" s="549"/>
      <c r="BY70" s="549"/>
      <c r="BZ70" s="549"/>
      <c r="CA70" s="549"/>
      <c r="CB70" s="549"/>
      <c r="CC70" s="549"/>
      <c r="CD70" s="549"/>
      <c r="CE70" s="549"/>
      <c r="CF70" s="549"/>
      <c r="CG70" s="428"/>
      <c r="CH70" s="428"/>
      <c r="CI70" s="428"/>
      <c r="CJ70" s="428"/>
      <c r="CK70" s="428"/>
      <c r="CL70" s="549"/>
      <c r="CM70" s="549"/>
      <c r="CN70" s="549"/>
      <c r="CO70" s="549"/>
      <c r="CP70" s="549"/>
      <c r="CQ70" s="549"/>
      <c r="CR70" s="549"/>
      <c r="CS70" s="549"/>
      <c r="CT70" s="2248"/>
      <c r="CU70" s="2248"/>
      <c r="CV70" s="2248"/>
      <c r="CW70" s="2248"/>
      <c r="CX70" s="2248"/>
      <c r="CY70" s="2248"/>
      <c r="CZ70" s="2247"/>
    </row>
    <row r="71" spans="1:104" ht="45" customHeight="1" x14ac:dyDescent="0.25">
      <c r="A71" s="493" t="s">
        <v>2161</v>
      </c>
      <c r="B71" s="494"/>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55"/>
      <c r="CH71" s="155"/>
      <c r="CI71" s="155"/>
      <c r="CJ71" s="155"/>
      <c r="CK71" s="155"/>
      <c r="CL71" s="192"/>
      <c r="CM71" s="192"/>
      <c r="CN71" s="192"/>
      <c r="CO71" s="192"/>
      <c r="CP71" s="192"/>
      <c r="CQ71" s="192"/>
      <c r="CR71" s="192"/>
      <c r="CS71" s="192"/>
      <c r="CT71" s="192"/>
      <c r="CU71" s="192"/>
      <c r="CV71" s="192"/>
      <c r="CW71" s="192"/>
      <c r="CX71" s="192"/>
      <c r="CY71" s="192"/>
      <c r="CZ71" s="504"/>
    </row>
    <row r="72" spans="1:104" ht="15" customHeight="1" x14ac:dyDescent="0.3">
      <c r="A72" s="493"/>
      <c r="B72" s="1105"/>
      <c r="C72" s="2793" t="s">
        <v>886</v>
      </c>
      <c r="D72" s="2793"/>
      <c r="E72" s="2793"/>
      <c r="F72" s="2793"/>
      <c r="G72" s="2793"/>
      <c r="H72" s="2793"/>
      <c r="I72" s="2793"/>
      <c r="J72" s="2793"/>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477"/>
      <c r="BN72" s="477"/>
      <c r="BO72" s="477"/>
      <c r="BP72" s="477"/>
      <c r="BQ72" s="477"/>
      <c r="BR72" s="477"/>
      <c r="BS72" s="477"/>
      <c r="BT72" s="477"/>
      <c r="BU72" s="477"/>
      <c r="BV72" s="477"/>
      <c r="BW72" s="477"/>
      <c r="BX72" s="477"/>
      <c r="BY72" s="477"/>
      <c r="BZ72" s="477"/>
      <c r="CA72" s="477"/>
      <c r="CB72" s="477"/>
      <c r="CC72" s="477"/>
      <c r="CD72" s="477"/>
      <c r="CE72" s="477"/>
      <c r="CF72" s="477"/>
      <c r="CG72" s="155"/>
      <c r="CH72" s="155"/>
      <c r="CI72" s="155"/>
      <c r="CJ72" s="155"/>
      <c r="CK72" s="155"/>
      <c r="CL72" s="258"/>
      <c r="CM72" s="258"/>
      <c r="CN72" s="258"/>
      <c r="CO72" s="258"/>
      <c r="CP72" s="258"/>
      <c r="CQ72" s="258"/>
      <c r="CR72" s="258"/>
      <c r="CS72" s="258"/>
      <c r="CT72" s="258"/>
      <c r="CU72" s="258"/>
      <c r="CV72" s="258"/>
      <c r="CW72" s="258"/>
      <c r="CX72" s="258"/>
      <c r="CY72" s="258"/>
      <c r="CZ72" s="791"/>
    </row>
    <row r="73" spans="1:104" ht="15" customHeight="1" x14ac:dyDescent="0.25">
      <c r="A73" s="505"/>
      <c r="C73" s="2786" t="s">
        <v>688</v>
      </c>
      <c r="D73" s="2789"/>
      <c r="E73" s="2789"/>
      <c r="F73" s="2789"/>
      <c r="G73" s="2789"/>
      <c r="H73" s="2789"/>
      <c r="I73" s="2789"/>
      <c r="J73" s="2789"/>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477"/>
      <c r="BN73" s="477"/>
      <c r="BO73" s="477"/>
      <c r="BP73" s="477"/>
      <c r="BQ73" s="477"/>
      <c r="BR73" s="477"/>
      <c r="BS73" s="477"/>
      <c r="BT73" s="477"/>
      <c r="BU73" s="477"/>
      <c r="BV73" s="477"/>
      <c r="BW73" s="477"/>
      <c r="BX73" s="477"/>
      <c r="BY73" s="477"/>
      <c r="BZ73" s="477"/>
      <c r="CA73" s="477"/>
      <c r="CB73" s="477"/>
      <c r="CC73" s="477"/>
      <c r="CD73" s="477"/>
      <c r="CE73" s="477"/>
      <c r="CF73" s="477"/>
      <c r="CG73" s="155"/>
      <c r="CH73" s="155"/>
      <c r="CI73" s="155"/>
      <c r="CJ73" s="155"/>
      <c r="CK73" s="155"/>
      <c r="CL73" s="258"/>
      <c r="CM73" s="258"/>
      <c r="CN73" s="258"/>
      <c r="CO73" s="258"/>
      <c r="CP73" s="258"/>
      <c r="CQ73" s="258"/>
      <c r="CR73" s="258"/>
      <c r="CS73" s="258"/>
      <c r="CT73" s="258"/>
      <c r="CU73" s="258"/>
      <c r="CV73" s="258"/>
      <c r="CW73" s="258"/>
      <c r="CX73" s="258"/>
      <c r="CY73" s="258"/>
      <c r="CZ73" s="791"/>
    </row>
    <row r="74" spans="1:104" ht="15" customHeight="1" x14ac:dyDescent="0.25">
      <c r="A74" s="505"/>
      <c r="B74" s="206"/>
      <c r="C74" s="2783" t="s">
        <v>652</v>
      </c>
      <c r="D74" s="2758"/>
      <c r="E74" s="2758"/>
      <c r="F74" s="2758"/>
      <c r="G74" s="2758"/>
      <c r="H74" s="2759"/>
      <c r="I74" s="2785" t="s">
        <v>41</v>
      </c>
      <c r="J74" s="2786" t="s">
        <v>686</v>
      </c>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477"/>
      <c r="BN74" s="477"/>
      <c r="BO74" s="477"/>
      <c r="BP74" s="477"/>
      <c r="BQ74" s="477"/>
      <c r="BR74" s="477"/>
      <c r="BS74" s="477"/>
      <c r="BT74" s="477"/>
      <c r="BU74" s="477"/>
      <c r="BV74" s="477"/>
      <c r="BW74" s="477"/>
      <c r="BX74" s="477"/>
      <c r="BY74" s="477"/>
      <c r="BZ74" s="477"/>
      <c r="CA74" s="477"/>
      <c r="CB74" s="477"/>
      <c r="CC74" s="477"/>
      <c r="CD74" s="477"/>
      <c r="CE74" s="477"/>
      <c r="CF74" s="477"/>
      <c r="CG74" s="155"/>
      <c r="CH74" s="155"/>
      <c r="CI74" s="155"/>
      <c r="CJ74" s="155"/>
      <c r="CK74" s="155"/>
      <c r="CL74" s="258"/>
      <c r="CM74" s="258"/>
      <c r="CN74" s="258"/>
      <c r="CO74" s="258"/>
      <c r="CP74" s="258"/>
      <c r="CQ74" s="258"/>
      <c r="CR74" s="258"/>
      <c r="CS74" s="258"/>
      <c r="CT74" s="258"/>
      <c r="CU74" s="258"/>
      <c r="CV74" s="258"/>
      <c r="CW74" s="258"/>
      <c r="CX74" s="258"/>
      <c r="CY74" s="258"/>
      <c r="CZ74" s="791"/>
    </row>
    <row r="75" spans="1:104" ht="37.5" customHeight="1" x14ac:dyDescent="0.25">
      <c r="A75" s="505"/>
      <c r="B75" s="206"/>
      <c r="C75" s="2787" t="s">
        <v>998</v>
      </c>
      <c r="D75" s="2746" t="s">
        <v>657</v>
      </c>
      <c r="E75" s="782"/>
      <c r="F75" s="2180"/>
      <c r="G75" s="2728" t="s">
        <v>1693</v>
      </c>
      <c r="H75" s="2781" t="s">
        <v>691</v>
      </c>
      <c r="I75" s="2785"/>
      <c r="J75" s="2786"/>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477"/>
      <c r="BN75" s="477"/>
      <c r="BO75" s="477"/>
      <c r="BP75" s="477"/>
      <c r="BQ75" s="477"/>
      <c r="BR75" s="477"/>
      <c r="BS75" s="477"/>
      <c r="BT75" s="477"/>
      <c r="BU75" s="477"/>
      <c r="BV75" s="477"/>
      <c r="BW75" s="477"/>
      <c r="BX75" s="477"/>
      <c r="BY75" s="477"/>
      <c r="BZ75" s="477"/>
      <c r="CA75" s="477"/>
      <c r="CB75" s="477"/>
      <c r="CC75" s="477"/>
      <c r="CD75" s="477"/>
      <c r="CE75" s="477"/>
      <c r="CF75" s="477"/>
      <c r="CG75" s="155"/>
      <c r="CH75" s="155"/>
      <c r="CI75" s="155"/>
      <c r="CJ75" s="155"/>
      <c r="CK75" s="155"/>
      <c r="CL75" s="258"/>
      <c r="CM75" s="258"/>
      <c r="CN75" s="258"/>
      <c r="CO75" s="258"/>
      <c r="CP75" s="258"/>
      <c r="CQ75" s="258"/>
      <c r="CR75" s="258"/>
      <c r="CS75" s="258"/>
      <c r="CT75" s="258"/>
      <c r="CU75" s="258"/>
      <c r="CV75" s="258"/>
      <c r="CW75" s="258"/>
      <c r="CX75" s="258"/>
      <c r="CY75" s="258"/>
      <c r="CZ75" s="791"/>
    </row>
    <row r="76" spans="1:104" ht="37.5" customHeight="1" x14ac:dyDescent="0.25">
      <c r="A76" s="545"/>
      <c r="B76" s="2297"/>
      <c r="C76" s="2788"/>
      <c r="D76" s="2747"/>
      <c r="E76" s="783"/>
      <c r="F76" s="2287"/>
      <c r="G76" s="2729"/>
      <c r="H76" s="2784"/>
      <c r="I76" s="2785"/>
      <c r="J76" s="2786"/>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477"/>
      <c r="BN76" s="477"/>
      <c r="BO76" s="477"/>
      <c r="BP76" s="477"/>
      <c r="BQ76" s="477"/>
      <c r="BR76" s="477"/>
      <c r="BS76" s="477"/>
      <c r="BT76" s="477"/>
      <c r="BU76" s="477"/>
      <c r="BV76" s="477"/>
      <c r="BW76" s="477"/>
      <c r="BX76" s="477"/>
      <c r="BY76" s="477"/>
      <c r="BZ76" s="477"/>
      <c r="CA76" s="477"/>
      <c r="CB76" s="477"/>
      <c r="CC76" s="477"/>
      <c r="CD76" s="477"/>
      <c r="CE76" s="477"/>
      <c r="CF76" s="477"/>
      <c r="CG76" s="155"/>
      <c r="CH76" s="155"/>
      <c r="CI76" s="155"/>
      <c r="CJ76" s="155"/>
      <c r="CK76" s="155"/>
      <c r="CL76" s="258"/>
      <c r="CM76" s="258"/>
      <c r="CN76" s="258"/>
      <c r="CO76" s="258"/>
      <c r="CP76" s="258"/>
      <c r="CQ76" s="258"/>
      <c r="CR76" s="258"/>
      <c r="CS76" s="258"/>
      <c r="CT76" s="258"/>
      <c r="CU76" s="258"/>
      <c r="CV76" s="258"/>
      <c r="CW76" s="258"/>
      <c r="CX76" s="258"/>
      <c r="CY76" s="258"/>
      <c r="CZ76" s="791"/>
    </row>
    <row r="77" spans="1:104" ht="15" customHeight="1" x14ac:dyDescent="0.25">
      <c r="A77" s="545"/>
      <c r="B77" s="835" t="s">
        <v>863</v>
      </c>
      <c r="C77" s="846" t="str">
        <f t="shared" ref="C77:J77" si="344">IF(AND(ISNUMBER(C78),ISNUMBER(C79)), SUM(C78,C79),"")</f>
        <v/>
      </c>
      <c r="D77" s="846" t="str">
        <f t="shared" si="344"/>
        <v/>
      </c>
      <c r="E77" s="968"/>
      <c r="F77" s="846" t="str">
        <f t="shared" si="344"/>
        <v/>
      </c>
      <c r="G77" s="846" t="str">
        <f t="shared" si="344"/>
        <v/>
      </c>
      <c r="H77" s="846" t="str">
        <f t="shared" si="344"/>
        <v/>
      </c>
      <c r="I77" s="846" t="str">
        <f t="shared" si="344"/>
        <v/>
      </c>
      <c r="J77" s="915" t="str">
        <f t="shared" si="344"/>
        <v/>
      </c>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477"/>
      <c r="BN77" s="477"/>
      <c r="BO77" s="477"/>
      <c r="BP77" s="477"/>
      <c r="BQ77" s="477"/>
      <c r="BR77" s="477"/>
      <c r="BS77" s="477"/>
      <c r="BT77" s="477"/>
      <c r="BU77" s="477"/>
      <c r="BV77" s="477"/>
      <c r="BW77" s="477"/>
      <c r="BX77" s="477"/>
      <c r="BY77" s="477"/>
      <c r="BZ77" s="477"/>
      <c r="CA77" s="477"/>
      <c r="CB77" s="477"/>
      <c r="CC77" s="477"/>
      <c r="CD77" s="477"/>
      <c r="CE77" s="477"/>
      <c r="CF77" s="477"/>
      <c r="CG77" s="155"/>
      <c r="CH77" s="155"/>
      <c r="CI77" s="155"/>
      <c r="CJ77" s="155"/>
      <c r="CK77" s="155"/>
      <c r="CL77" s="258"/>
      <c r="CM77" s="258"/>
      <c r="CN77" s="258"/>
      <c r="CO77" s="258"/>
      <c r="CP77" s="258"/>
      <c r="CQ77" s="258"/>
      <c r="CR77" s="258"/>
      <c r="CS77" s="258"/>
      <c r="CT77" s="258"/>
      <c r="CU77" s="258"/>
      <c r="CV77" s="258"/>
      <c r="CW77" s="258"/>
      <c r="CX77" s="258"/>
      <c r="CY77" s="258"/>
      <c r="CZ77" s="791"/>
    </row>
    <row r="78" spans="1:104" ht="15" customHeight="1" x14ac:dyDescent="0.25">
      <c r="A78" s="545"/>
      <c r="B78" s="336" t="s">
        <v>864</v>
      </c>
      <c r="C78" s="1044"/>
      <c r="D78" s="1044"/>
      <c r="E78" s="1042"/>
      <c r="F78" s="1044"/>
      <c r="G78" s="1046"/>
      <c r="H78" s="580" t="str">
        <f>IF(AND(ISNUMBER(C78),ISNUMBER(D78),ISNUMBER(G78)),SUM(C78,D78,G78),"")</f>
        <v/>
      </c>
      <c r="I78" s="1047"/>
      <c r="J78" s="1046"/>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477"/>
      <c r="BN78" s="477"/>
      <c r="BO78" s="477"/>
      <c r="BP78" s="477"/>
      <c r="BQ78" s="477"/>
      <c r="BR78" s="477"/>
      <c r="BS78" s="477"/>
      <c r="BT78" s="477"/>
      <c r="BU78" s="477"/>
      <c r="BV78" s="477"/>
      <c r="BW78" s="477"/>
      <c r="BX78" s="477"/>
      <c r="BY78" s="477"/>
      <c r="BZ78" s="477"/>
      <c r="CA78" s="477"/>
      <c r="CB78" s="477"/>
      <c r="CC78" s="477"/>
      <c r="CD78" s="477"/>
      <c r="CE78" s="477"/>
      <c r="CF78" s="477"/>
      <c r="CG78" s="155"/>
      <c r="CH78" s="155"/>
      <c r="CI78" s="155"/>
      <c r="CJ78" s="155"/>
      <c r="CK78" s="155"/>
      <c r="CL78" s="258"/>
      <c r="CM78" s="258"/>
      <c r="CN78" s="258"/>
      <c r="CO78" s="258"/>
      <c r="CP78" s="258"/>
      <c r="CQ78" s="258"/>
      <c r="CR78" s="258"/>
      <c r="CS78" s="258"/>
      <c r="CT78" s="258"/>
      <c r="CU78" s="258"/>
      <c r="CV78" s="258"/>
      <c r="CW78" s="258"/>
      <c r="CX78" s="258"/>
      <c r="CY78" s="258"/>
      <c r="CZ78" s="791"/>
    </row>
    <row r="79" spans="1:104" ht="15" customHeight="1" x14ac:dyDescent="0.25">
      <c r="A79" s="545"/>
      <c r="B79" s="509" t="s">
        <v>865</v>
      </c>
      <c r="C79" s="800"/>
      <c r="D79" s="800"/>
      <c r="E79" s="1045"/>
      <c r="F79" s="800"/>
      <c r="G79" s="801"/>
      <c r="H79" s="1041" t="str">
        <f>IF(AND(ISNUMBER(C79),ISNUMBER(D79),ISNUMBER(G79)),SUM(C79,D79,G79),"")</f>
        <v/>
      </c>
      <c r="I79" s="799"/>
      <c r="J79" s="801"/>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477"/>
      <c r="BN79" s="477"/>
      <c r="BO79" s="477"/>
      <c r="BP79" s="477"/>
      <c r="BQ79" s="477"/>
      <c r="BR79" s="477"/>
      <c r="BS79" s="477"/>
      <c r="BT79" s="477"/>
      <c r="BU79" s="477"/>
      <c r="BV79" s="477"/>
      <c r="BW79" s="477"/>
      <c r="BX79" s="477"/>
      <c r="BY79" s="477"/>
      <c r="BZ79" s="477"/>
      <c r="CA79" s="477"/>
      <c r="CB79" s="477"/>
      <c r="CC79" s="477"/>
      <c r="CD79" s="477"/>
      <c r="CE79" s="477"/>
      <c r="CF79" s="477"/>
      <c r="CG79" s="155"/>
      <c r="CH79" s="155"/>
      <c r="CI79" s="155"/>
      <c r="CJ79" s="155"/>
      <c r="CK79" s="155"/>
      <c r="CL79" s="258"/>
      <c r="CM79" s="258"/>
      <c r="CN79" s="258"/>
      <c r="CO79" s="258"/>
      <c r="CP79" s="258"/>
      <c r="CQ79" s="258"/>
      <c r="CR79" s="258"/>
      <c r="CS79" s="258"/>
      <c r="CT79" s="258"/>
      <c r="CU79" s="258"/>
      <c r="CV79" s="258"/>
      <c r="CW79" s="258"/>
      <c r="CX79" s="258"/>
      <c r="CY79" s="258"/>
      <c r="CZ79" s="791"/>
    </row>
    <row r="80" spans="1:104" ht="15" customHeight="1" x14ac:dyDescent="0.25">
      <c r="A80" s="545"/>
      <c r="B80" s="1106" t="str">
        <f>"Check: row " &amp; ROW(B77) &amp;" = row " &amp; ROW(B51)</f>
        <v>Check: row 77 = row 51</v>
      </c>
      <c r="C80" s="1043" t="str">
        <f>IF(AND(ISNUMBER(C51),ISNUMBER(C77)),IF(C51=C77, "Pass", "Fail"),"")</f>
        <v/>
      </c>
      <c r="D80" s="1043" t="str">
        <f>IF(AND(ISNUMBER(D51),ISNUMBER(D77)),IF(D51=D77, "Pass", "Fail"),"")</f>
        <v/>
      </c>
      <c r="E80" s="783"/>
      <c r="F80" s="1043" t="str">
        <f>IF(AND(ISNUMBER(F51),ISNUMBER(F77)),IF(F51=F77, "Pass", "Fail"),"")</f>
        <v/>
      </c>
      <c r="G80" s="1043" t="str">
        <f>IF(AND(ISNUMBER(G51),ISNUMBER(G77)),IF(G51=G77, "Pass", "Fail"),"")</f>
        <v/>
      </c>
      <c r="H80" s="1043" t="str">
        <f>IF(AND(ISNUMBER(H51),ISNUMBER(H77)),IF(H51=H77, "Pass", "Fail"),"")</f>
        <v/>
      </c>
      <c r="I80" s="1043" t="str">
        <f>IF(AND(ISNUMBER(L51),ISNUMBER(I77)),IF(L51=I77, "Pass", "Fail"),"")</f>
        <v/>
      </c>
      <c r="J80" s="1002" t="str">
        <f>IF(AND(ISNUMBER(M51),ISNUMBER(J77)),IF(M51=J77, "Pass", "Fail"),"")</f>
        <v/>
      </c>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477"/>
      <c r="BN80" s="477"/>
      <c r="BO80" s="477"/>
      <c r="BP80" s="477"/>
      <c r="BQ80" s="477"/>
      <c r="BR80" s="477"/>
      <c r="BS80" s="477"/>
      <c r="BT80" s="477"/>
      <c r="BU80" s="477"/>
      <c r="BV80" s="477"/>
      <c r="BW80" s="477"/>
      <c r="BX80" s="477"/>
      <c r="BY80" s="477"/>
      <c r="BZ80" s="477"/>
      <c r="CA80" s="477"/>
      <c r="CB80" s="477"/>
      <c r="CC80" s="477"/>
      <c r="CD80" s="477"/>
      <c r="CE80" s="477"/>
      <c r="CF80" s="477"/>
      <c r="CG80" s="155"/>
      <c r="CH80" s="155"/>
      <c r="CI80" s="155"/>
      <c r="CJ80" s="155"/>
      <c r="CK80" s="155"/>
      <c r="CL80" s="258"/>
      <c r="CM80" s="258"/>
      <c r="CN80" s="258"/>
      <c r="CO80" s="258"/>
      <c r="CP80" s="258"/>
      <c r="CQ80" s="258"/>
      <c r="CR80" s="258"/>
      <c r="CS80" s="258"/>
      <c r="CT80" s="258"/>
      <c r="CU80" s="258"/>
      <c r="CV80" s="258"/>
      <c r="CW80" s="258"/>
      <c r="CX80" s="258"/>
      <c r="CY80" s="258"/>
      <c r="CZ80" s="791"/>
    </row>
    <row r="81" spans="1:104" ht="15" customHeight="1" x14ac:dyDescent="0.25">
      <c r="A81" s="1036"/>
      <c r="B81" s="525"/>
      <c r="C81" s="525"/>
      <c r="D81" s="525"/>
      <c r="E81" s="525"/>
      <c r="F81" s="525"/>
      <c r="G81" s="525"/>
      <c r="H81" s="525"/>
      <c r="I81" s="525"/>
      <c r="J81" s="525"/>
      <c r="K81" s="525"/>
      <c r="L81" s="525"/>
      <c r="M81" s="525"/>
      <c r="N81" s="549"/>
      <c r="O81" s="549"/>
      <c r="P81" s="549"/>
      <c r="Q81" s="549"/>
      <c r="R81" s="549"/>
      <c r="S81" s="549"/>
      <c r="T81" s="549"/>
      <c r="U81" s="549"/>
      <c r="V81" s="549"/>
      <c r="W81" s="549"/>
      <c r="X81" s="549"/>
      <c r="Y81" s="549"/>
      <c r="Z81" s="549"/>
      <c r="AA81" s="549"/>
      <c r="AB81" s="2298"/>
      <c r="AC81" s="2298"/>
      <c r="AD81" s="2298"/>
      <c r="AE81" s="2298"/>
      <c r="AF81" s="2298"/>
      <c r="AG81" s="2298"/>
      <c r="AH81" s="2298"/>
      <c r="AI81" s="549"/>
      <c r="AJ81" s="525"/>
      <c r="AK81" s="525"/>
      <c r="AL81" s="525"/>
      <c r="AM81" s="525"/>
      <c r="AN81" s="525"/>
      <c r="AO81" s="525"/>
      <c r="AP81" s="525"/>
      <c r="AQ81" s="525"/>
      <c r="AR81" s="525"/>
      <c r="AS81" s="525"/>
      <c r="AT81" s="525"/>
      <c r="AU81" s="525"/>
      <c r="AV81" s="525"/>
      <c r="AW81" s="525"/>
      <c r="AX81" s="525"/>
      <c r="AY81" s="525"/>
      <c r="AZ81" s="525"/>
      <c r="BA81" s="525"/>
      <c r="BB81" s="525"/>
      <c r="BC81" s="525"/>
      <c r="BD81" s="525"/>
      <c r="BE81" s="525"/>
      <c r="BF81" s="525"/>
      <c r="BG81" s="525"/>
      <c r="BH81" s="525"/>
      <c r="BI81" s="525"/>
      <c r="BJ81" s="525"/>
      <c r="BK81" s="525"/>
      <c r="BL81" s="525"/>
      <c r="BM81" s="525"/>
      <c r="BN81" s="525"/>
      <c r="BO81" s="525"/>
      <c r="BP81" s="525"/>
      <c r="BQ81" s="525"/>
      <c r="BR81" s="525"/>
      <c r="BS81" s="525"/>
      <c r="BT81" s="525"/>
      <c r="BU81" s="525"/>
      <c r="BV81" s="525"/>
      <c r="BW81" s="525"/>
      <c r="BX81" s="525"/>
      <c r="BY81" s="525"/>
      <c r="BZ81" s="525"/>
      <c r="CA81" s="525"/>
      <c r="CB81" s="525"/>
      <c r="CC81" s="525"/>
      <c r="CD81" s="525"/>
      <c r="CE81" s="525"/>
      <c r="CF81" s="525"/>
      <c r="CG81" s="525"/>
      <c r="CH81" s="525"/>
      <c r="CI81" s="525"/>
      <c r="CJ81" s="525"/>
      <c r="CK81" s="525"/>
      <c r="CL81" s="525"/>
      <c r="CM81" s="525"/>
      <c r="CN81" s="525"/>
      <c r="CO81" s="525"/>
      <c r="CP81" s="525"/>
      <c r="CQ81" s="525"/>
      <c r="CR81" s="525"/>
      <c r="CS81" s="525"/>
      <c r="CT81" s="525"/>
      <c r="CU81" s="525"/>
      <c r="CV81" s="525"/>
      <c r="CW81" s="525"/>
      <c r="CX81" s="525"/>
      <c r="CY81" s="525"/>
      <c r="CZ81" s="2302"/>
    </row>
  </sheetData>
  <mergeCells count="137">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17:CL69 CO17:CQ65 C77:J79">
    <cfRule type="cellIs" dxfId="84" priority="715" stopIfTrue="1" operator="lessThan">
      <formula>0</formula>
    </cfRule>
  </conditionalFormatting>
  <conditionalFormatting sqref="CT65:CY65">
    <cfRule type="cellIs" dxfId="83" priority="63" stopIfTrue="1" operator="lessThan">
      <formula>0</formula>
    </cfRule>
  </conditionalFormatting>
  <conditionalFormatting sqref="CU17:CV63">
    <cfRule type="cellIs" dxfId="82" priority="52" stopIfTrue="1" operator="lessThan">
      <formula>0</formula>
    </cfRule>
  </conditionalFormatting>
  <conditionalFormatting sqref="CY17:CY63">
    <cfRule type="cellIs" dxfId="81" priority="51" stopIfTrue="1" operator="lessThan">
      <formula>0</formula>
    </cfRule>
  </conditionalFormatting>
  <conditionalFormatting sqref="A1:CZ1048576">
    <cfRule type="cellIs" dxfId="80" priority="7751" stopIfTrue="1" operator="equal">
      <formula>"Pass"</formula>
    </cfRule>
    <cfRule type="cellIs" dxfId="79" priority="7752" stopIfTrue="1" operator="equal">
      <formula>"Please check"</formula>
    </cfRule>
    <cfRule type="cellIs" dxfId="78" priority="7789" stopIfTrue="1" operator="equal">
      <formula>"Fail"</formula>
    </cfRule>
    <cfRule type="cellIs" dxfId="77" priority="8218" stopIfTrue="1" operator="equal">
      <formula>"Please fill in all mandatory cells AO60:AR60"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T70"/>
  <sheetViews>
    <sheetView zoomScale="75" zoomScaleNormal="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241" customWidth="1"/>
    <col min="2" max="2" width="60.7109375" style="251" customWidth="1"/>
    <col min="3" max="13" width="16.7109375" style="251" customWidth="1"/>
    <col min="14" max="19" width="16.7109375" style="258" customWidth="1"/>
    <col min="20" max="20" width="1.7109375" style="477" customWidth="1"/>
    <col min="21" max="16384" width="16.85546875" hidden="1"/>
  </cols>
  <sheetData>
    <row r="1" spans="1:20" ht="30" customHeight="1" x14ac:dyDescent="0.55000000000000004">
      <c r="A1" s="1098" t="s">
        <v>508</v>
      </c>
      <c r="B1" s="1099"/>
      <c r="C1" s="1077"/>
      <c r="D1" s="1077"/>
      <c r="E1" s="1062" t="str">
        <f>CONCATENATE("Reporting unit: ", 'General Info'!$C$7, " ", 'General Info'!$C$5)</f>
        <v xml:space="preserve">Reporting unit: 1 </v>
      </c>
      <c r="F1" s="1062"/>
      <c r="G1" s="1062"/>
      <c r="H1" s="1077"/>
      <c r="I1" s="1077"/>
      <c r="J1" s="1077"/>
      <c r="K1" s="1077"/>
      <c r="L1" s="1077"/>
      <c r="M1" s="1077"/>
      <c r="N1" s="1077"/>
      <c r="O1" s="1077"/>
      <c r="P1" s="1077"/>
      <c r="Q1" s="1077"/>
      <c r="R1" s="1077"/>
      <c r="S1" s="1077"/>
      <c r="T1" s="1005"/>
    </row>
    <row r="2" spans="1:20" ht="15" customHeight="1" x14ac:dyDescent="0.25">
      <c r="A2" s="545"/>
      <c r="B2" s="258"/>
      <c r="C2" s="258"/>
      <c r="D2" s="258"/>
      <c r="E2" s="258"/>
      <c r="F2" s="258"/>
      <c r="G2" s="1246"/>
      <c r="H2" s="258"/>
      <c r="I2" s="258"/>
      <c r="J2" s="258"/>
      <c r="K2" s="258"/>
      <c r="L2" s="258"/>
      <c r="M2" s="258"/>
      <c r="T2" s="544"/>
    </row>
    <row r="3" spans="1:20" ht="30" customHeight="1" x14ac:dyDescent="0.25">
      <c r="A3" s="545"/>
      <c r="B3" s="1247" t="s">
        <v>1037</v>
      </c>
      <c r="C3" s="1248"/>
      <c r="D3" s="1249"/>
      <c r="E3" s="1249"/>
      <c r="F3" s="477"/>
      <c r="G3" s="1108" t="s">
        <v>630</v>
      </c>
      <c r="H3" s="1109"/>
      <c r="I3" s="1109"/>
      <c r="J3" s="1109"/>
      <c r="K3" s="1109"/>
      <c r="L3" s="1109"/>
      <c r="M3" s="1109"/>
      <c r="T3" s="544"/>
    </row>
    <row r="4" spans="1:20" ht="15" hidden="1" customHeight="1" x14ac:dyDescent="0.25">
      <c r="A4" s="545"/>
      <c r="B4" s="267"/>
      <c r="C4" s="237"/>
      <c r="D4" s="237"/>
      <c r="E4" s="347"/>
      <c r="F4" s="477"/>
      <c r="G4" s="575"/>
      <c r="H4" s="1245"/>
      <c r="I4" s="258"/>
      <c r="J4" s="258"/>
      <c r="K4" s="258"/>
      <c r="L4" s="258"/>
      <c r="M4" s="258"/>
      <c r="T4" s="544"/>
    </row>
    <row r="5" spans="1:20" ht="15" customHeight="1" x14ac:dyDescent="0.25">
      <c r="A5" s="430"/>
      <c r="B5" s="1354" t="s">
        <v>1001</v>
      </c>
      <c r="C5" s="2824" t="str">
        <f>'Supervisory information'!C39</f>
        <v>Yes</v>
      </c>
      <c r="D5" s="2825"/>
      <c r="E5" s="2825"/>
      <c r="F5" s="1031"/>
      <c r="G5" s="2826" t="s">
        <v>631</v>
      </c>
      <c r="H5" s="2827"/>
      <c r="I5" s="2824" t="str">
        <f>IF(AND(COUNTBLANK($C$19:$K$31)&lt;&gt;0,C5= "Yes"), "Please fill in all the yellow cells, empty cells are not allowed", "")</f>
        <v>Please fill in all the yellow cells, empty cells are not allowed</v>
      </c>
      <c r="J5" s="2825"/>
      <c r="K5" s="2825"/>
      <c r="L5" s="2825"/>
      <c r="M5" s="2825"/>
      <c r="T5" s="1362"/>
    </row>
    <row r="6" spans="1:20" ht="15" customHeight="1" x14ac:dyDescent="0.25">
      <c r="A6" s="430"/>
      <c r="B6" s="1354" t="s">
        <v>1011</v>
      </c>
      <c r="C6" s="2824" t="str">
        <f>IF('General Info'!C44="", "", 'General Info'!C44)</f>
        <v/>
      </c>
      <c r="D6" s="2825"/>
      <c r="E6" s="2825"/>
      <c r="F6" s="1031"/>
      <c r="G6" s="1250"/>
      <c r="H6" s="588"/>
      <c r="I6" s="1251"/>
      <c r="J6" s="1250"/>
      <c r="K6" s="1250"/>
      <c r="L6" s="1250"/>
      <c r="M6" s="1250"/>
      <c r="T6" s="1362"/>
    </row>
    <row r="7" spans="1:20" ht="15" customHeight="1" x14ac:dyDescent="0.25">
      <c r="A7" s="430"/>
      <c r="B7" s="1354" t="s">
        <v>554</v>
      </c>
      <c r="C7" s="2824" t="str">
        <f>IF(ISNUMBER(DefCap!$D$45), DefCap!$D$45, "No info in DefCap worksheet")</f>
        <v>No info in DefCap worksheet</v>
      </c>
      <c r="D7" s="2825"/>
      <c r="E7" s="2825"/>
      <c r="F7" s="1031"/>
      <c r="G7" s="2826" t="s">
        <v>1002</v>
      </c>
      <c r="H7" s="2827"/>
      <c r="I7" s="2824" t="str">
        <f>IF(AND((COUNTBLANK(E44:E49)+COUNTBLANK(I44:I49)+COUNTBLANK(J44:K49))&lt;&gt;0,C5="Yes"), "For EU banks only: fill in all the green cells, empty cells are not allowed", "")</f>
        <v>For EU banks only: fill in all the green cells, empty cells are not allowed</v>
      </c>
      <c r="J7" s="2825"/>
      <c r="K7" s="2825"/>
      <c r="L7" s="2825"/>
      <c r="M7" s="2825"/>
      <c r="T7" s="1362"/>
    </row>
    <row r="8" spans="1:20" ht="15" customHeight="1" x14ac:dyDescent="0.25">
      <c r="A8" s="430"/>
      <c r="B8" s="1355" t="s">
        <v>525</v>
      </c>
      <c r="C8" s="2830" t="str">
        <f>IF(ISNUMBER(DefCap!$D$47), DefCap!$D$47, "No info in DefCap worksheet")</f>
        <v>No info in DefCap worksheet</v>
      </c>
      <c r="D8" s="2831"/>
      <c r="E8" s="2831"/>
      <c r="F8" s="1031"/>
      <c r="G8" s="2828" t="s">
        <v>999</v>
      </c>
      <c r="H8" s="2829"/>
      <c r="I8" s="2830" t="str">
        <f>IF(AND(COUNTBLANK(C58:J60)&lt;&gt;0,C5= "Yes"), "Please fill in all the yellow and green cells, empty cells are not allowed", "")</f>
        <v>Please fill in all the yellow and green cells, empty cells are not allowed</v>
      </c>
      <c r="J8" s="2831"/>
      <c r="K8" s="2831"/>
      <c r="L8" s="2831"/>
      <c r="M8" s="2831"/>
      <c r="T8" s="1362"/>
    </row>
    <row r="9" spans="1:20" ht="15" customHeight="1" x14ac:dyDescent="0.25">
      <c r="A9" s="545"/>
      <c r="B9" s="258"/>
      <c r="C9" s="258"/>
      <c r="D9" s="258"/>
      <c r="E9" s="258"/>
      <c r="F9" s="258"/>
      <c r="G9" s="1244"/>
      <c r="H9" s="258"/>
      <c r="I9" s="258"/>
      <c r="J9" s="258"/>
      <c r="K9" s="258"/>
      <c r="L9" s="258"/>
      <c r="M9" s="258"/>
      <c r="T9" s="609"/>
    </row>
    <row r="10" spans="1:20" ht="45" customHeight="1" x14ac:dyDescent="0.25">
      <c r="A10" s="1018" t="s">
        <v>2162</v>
      </c>
      <c r="B10" s="1066"/>
      <c r="C10" s="1105"/>
      <c r="D10" s="1105"/>
      <c r="E10" s="1105"/>
      <c r="F10" s="1105"/>
      <c r="G10" s="1105"/>
      <c r="H10" s="1105"/>
      <c r="I10" s="1105"/>
      <c r="J10" s="1105"/>
      <c r="K10" s="1105"/>
      <c r="L10" s="1105"/>
      <c r="M10" s="1105"/>
      <c r="N10" s="1105"/>
      <c r="O10" s="1105"/>
      <c r="P10" s="1105"/>
      <c r="Q10" s="1105"/>
      <c r="R10" s="1105"/>
      <c r="S10" s="1105"/>
      <c r="T10" s="544"/>
    </row>
    <row r="11" spans="1:20" ht="45" customHeight="1" x14ac:dyDescent="0.25">
      <c r="A11" s="493" t="s">
        <v>2163</v>
      </c>
      <c r="B11" s="317"/>
      <c r="C11" s="477"/>
      <c r="D11" s="477"/>
      <c r="E11" s="477"/>
      <c r="F11" s="477"/>
      <c r="G11" s="477"/>
      <c r="H11" s="477"/>
      <c r="I11" s="477"/>
      <c r="J11" s="477"/>
      <c r="K11" s="477"/>
      <c r="L11" s="477"/>
      <c r="M11" s="477"/>
      <c r="N11" s="477"/>
      <c r="O11" s="477"/>
      <c r="P11" s="477"/>
      <c r="Q11" s="477"/>
      <c r="R11" s="477"/>
      <c r="S11" s="477"/>
      <c r="T11" s="544"/>
    </row>
    <row r="12" spans="1:20" ht="15" customHeight="1" x14ac:dyDescent="0.25">
      <c r="A12" s="493"/>
      <c r="B12" s="1365"/>
      <c r="C12" s="1077"/>
      <c r="D12" s="1077"/>
      <c r="E12" s="1077"/>
      <c r="F12" s="1366" t="s">
        <v>41</v>
      </c>
      <c r="G12" s="477"/>
      <c r="H12" s="477"/>
      <c r="I12" s="477"/>
      <c r="J12" s="477"/>
      <c r="K12" s="477"/>
      <c r="L12" s="477"/>
      <c r="M12" s="477"/>
      <c r="N12" s="477"/>
      <c r="O12" s="477"/>
      <c r="P12" s="477"/>
      <c r="Q12" s="477"/>
      <c r="R12" s="477"/>
      <c r="S12" s="477"/>
      <c r="T12" s="544"/>
    </row>
    <row r="13" spans="1:20" ht="15" customHeight="1" x14ac:dyDescent="0.25">
      <c r="A13" s="545"/>
      <c r="B13" s="959" t="s">
        <v>625</v>
      </c>
      <c r="C13" s="959"/>
      <c r="D13" s="959"/>
      <c r="E13" s="372"/>
      <c r="F13" s="961" t="str">
        <f>IF(AND(ISNUMBER(F14),ISNUMBER(F15)), F14+F15, "")</f>
        <v/>
      </c>
      <c r="G13" s="477"/>
      <c r="H13" s="477"/>
      <c r="I13" s="477"/>
      <c r="J13" s="477"/>
      <c r="K13" s="477"/>
      <c r="L13" s="477"/>
      <c r="M13" s="477"/>
      <c r="N13" s="477"/>
      <c r="O13" s="477"/>
      <c r="P13" s="477"/>
      <c r="Q13" s="477"/>
      <c r="R13" s="477"/>
      <c r="S13" s="477"/>
      <c r="T13" s="544"/>
    </row>
    <row r="14" spans="1:20" ht="15" customHeight="1" x14ac:dyDescent="0.25">
      <c r="A14" s="545"/>
      <c r="B14" s="960" t="s">
        <v>904</v>
      </c>
      <c r="C14" s="372"/>
      <c r="D14" s="372"/>
      <c r="E14" s="372"/>
      <c r="F14" s="692"/>
      <c r="G14" s="477"/>
      <c r="H14" s="477"/>
      <c r="I14" s="477"/>
      <c r="J14" s="477"/>
      <c r="K14" s="477"/>
      <c r="L14" s="477"/>
      <c r="M14" s="477"/>
      <c r="N14" s="477"/>
      <c r="O14" s="477"/>
      <c r="P14" s="477"/>
      <c r="Q14" s="477"/>
      <c r="R14" s="477"/>
      <c r="S14" s="477"/>
      <c r="T14" s="544"/>
    </row>
    <row r="15" spans="1:20" ht="15" customHeight="1" x14ac:dyDescent="0.25">
      <c r="A15" s="545"/>
      <c r="B15" s="962" t="s">
        <v>905</v>
      </c>
      <c r="C15" s="384"/>
      <c r="D15" s="384"/>
      <c r="E15" s="384"/>
      <c r="F15" s="691"/>
      <c r="G15" s="477"/>
      <c r="H15" s="477"/>
      <c r="I15" s="477"/>
      <c r="J15" s="477"/>
      <c r="K15" s="477"/>
      <c r="L15" s="477"/>
      <c r="M15" s="477"/>
      <c r="N15" s="477"/>
      <c r="O15" s="477"/>
      <c r="P15" s="477"/>
      <c r="Q15" s="477"/>
      <c r="R15" s="477"/>
      <c r="S15" s="477"/>
      <c r="T15" s="544"/>
    </row>
    <row r="16" spans="1:20" ht="60" customHeight="1" x14ac:dyDescent="0.25">
      <c r="A16" s="493" t="s">
        <v>2164</v>
      </c>
      <c r="B16" s="317"/>
      <c r="C16" s="477"/>
      <c r="D16" s="477"/>
      <c r="E16" s="477"/>
      <c r="F16" s="477"/>
      <c r="G16" s="477"/>
      <c r="H16" s="477"/>
      <c r="I16" s="477"/>
      <c r="J16" s="477"/>
      <c r="K16" s="477"/>
      <c r="L16" s="477"/>
      <c r="M16" s="477"/>
      <c r="N16" s="477"/>
      <c r="O16" s="477"/>
      <c r="P16" s="477"/>
      <c r="Q16" s="477"/>
      <c r="R16" s="477"/>
      <c r="S16" s="477"/>
      <c r="T16" s="544"/>
    </row>
    <row r="17" spans="1:20" ht="30" customHeight="1" x14ac:dyDescent="0.25">
      <c r="A17" s="493"/>
      <c r="B17" s="2806"/>
      <c r="C17" s="2832" t="s">
        <v>505</v>
      </c>
      <c r="D17" s="2832"/>
      <c r="E17" s="2832"/>
      <c r="F17" s="2833"/>
      <c r="G17" s="2835" t="s">
        <v>558</v>
      </c>
      <c r="H17" s="2836"/>
      <c r="I17" s="2836"/>
      <c r="J17" s="2837"/>
      <c r="K17" s="1353" t="s">
        <v>729</v>
      </c>
      <c r="L17" s="1359" t="s">
        <v>1080</v>
      </c>
      <c r="M17" s="1367" t="s">
        <v>505</v>
      </c>
      <c r="N17" s="2834" t="s">
        <v>602</v>
      </c>
      <c r="O17" s="2835"/>
      <c r="P17" s="2813" t="s">
        <v>729</v>
      </c>
      <c r="Q17" s="2813"/>
      <c r="R17" s="2804" t="s">
        <v>1080</v>
      </c>
      <c r="S17" s="2804"/>
      <c r="T17" s="1364"/>
    </row>
    <row r="18" spans="1:20" ht="90" customHeight="1" x14ac:dyDescent="0.25">
      <c r="A18" s="493"/>
      <c r="B18" s="2807"/>
      <c r="C18" s="736" t="s">
        <v>548</v>
      </c>
      <c r="D18" s="375" t="s">
        <v>543</v>
      </c>
      <c r="E18" s="375" t="s">
        <v>569</v>
      </c>
      <c r="F18" s="375" t="s">
        <v>41</v>
      </c>
      <c r="G18" s="375" t="s">
        <v>548</v>
      </c>
      <c r="H18" s="375" t="s">
        <v>543</v>
      </c>
      <c r="I18" s="375" t="s">
        <v>569</v>
      </c>
      <c r="J18" s="375" t="s">
        <v>41</v>
      </c>
      <c r="K18" s="582" t="s">
        <v>764</v>
      </c>
      <c r="L18" s="582" t="s">
        <v>1081</v>
      </c>
      <c r="M18" s="583" t="s">
        <v>616</v>
      </c>
      <c r="N18" s="432" t="s">
        <v>874</v>
      </c>
      <c r="O18" s="584" t="s">
        <v>616</v>
      </c>
      <c r="P18" s="1368" t="s">
        <v>766</v>
      </c>
      <c r="Q18" s="1363" t="s">
        <v>767</v>
      </c>
      <c r="R18" s="1368" t="s">
        <v>766</v>
      </c>
      <c r="S18" s="1363" t="s">
        <v>767</v>
      </c>
      <c r="T18" s="1364"/>
    </row>
    <row r="19" spans="1:20" ht="15" customHeight="1" x14ac:dyDescent="0.25">
      <c r="A19" s="545"/>
      <c r="B19" s="1369" t="s">
        <v>906</v>
      </c>
      <c r="C19" s="804" t="str">
        <f>IF(AND(ISNUMBER(C20),ISNUMBER(C21),ISNUMBER(C22),ISNUMBER(C23)),SUM(C20:C23),"")</f>
        <v/>
      </c>
      <c r="D19" s="805" t="str">
        <f>IF(AND(ISNUMBER(D20),ISNUMBER(D21),ISNUMBER(D22),ISNUMBER(D23)),SUM(D20:D23),"")</f>
        <v/>
      </c>
      <c r="E19" s="805" t="str">
        <f t="shared" ref="E19:L19" si="0">IF(AND(ISNUMBER(E20),ISNUMBER(E21),ISNUMBER(E22),ISNUMBER(E23)),SUM(E20,E21,E22,E23),"")</f>
        <v/>
      </c>
      <c r="F19" s="805" t="str">
        <f t="shared" si="0"/>
        <v/>
      </c>
      <c r="G19" s="805" t="str">
        <f t="shared" si="0"/>
        <v/>
      </c>
      <c r="H19" s="805" t="str">
        <f t="shared" si="0"/>
        <v/>
      </c>
      <c r="I19" s="805" t="str">
        <f t="shared" si="0"/>
        <v/>
      </c>
      <c r="J19" s="805" t="str">
        <f t="shared" si="0"/>
        <v/>
      </c>
      <c r="K19" s="805" t="str">
        <f t="shared" si="0"/>
        <v/>
      </c>
      <c r="L19" s="805" t="str">
        <f t="shared" si="0"/>
        <v/>
      </c>
      <c r="M19" s="809" t="str">
        <f>IF(AND(ISNUMBER(E19), ISNUMBER(F19), E19&lt;&gt;0, F19&lt;&gt;0), IF(F19/E19&gt;=0.07, "Pass", "Fail"), "")</f>
        <v/>
      </c>
      <c r="N19" s="1143" t="str">
        <f>IF(AND(ISNUMBER(J19),ISNUMBER(I19), J19&lt;&gt;0, I19&lt;&gt;0),IF(J19/I19&lt;=12.5,"Pass","Fail"), "")</f>
        <v/>
      </c>
      <c r="O19" s="1143" t="str">
        <f>IF(AND(ISNUMBER(I19), ISNUMBER(J19), I19&lt;&gt;0, J19&lt;&gt;0), IF(J19/I19&gt;=0.15, "Pass", "Fail"), "")</f>
        <v/>
      </c>
      <c r="P19" s="1370"/>
      <c r="Q19" s="767"/>
      <c r="R19" s="1370"/>
      <c r="S19" s="767"/>
      <c r="T19" s="544"/>
    </row>
    <row r="20" spans="1:20" ht="15" customHeight="1" x14ac:dyDescent="0.25">
      <c r="A20" s="545"/>
      <c r="B20" s="336" t="s">
        <v>907</v>
      </c>
      <c r="C20" s="737"/>
      <c r="D20" s="322"/>
      <c r="E20" s="807" t="str">
        <f>IF(AND(ISNUMBER(C20), ISNUMBER(D20)),C20-D20, "")</f>
        <v/>
      </c>
      <c r="F20" s="322"/>
      <c r="G20" s="318"/>
      <c r="H20" s="318"/>
      <c r="I20" s="269" t="str">
        <f>IF(AND(ISNUMBER(G20), ISNUMBER(H20)),G20-H20, "")</f>
        <v/>
      </c>
      <c r="J20" s="318"/>
      <c r="K20" s="318"/>
      <c r="L20" s="318"/>
      <c r="M20" s="809" t="str">
        <f t="shared" ref="M20:M29" si="1">IF(AND(ISNUMBER(E20), ISNUMBER(F20), E20&lt;&gt;0, F20&lt;&gt;0), IF(F20/E20&gt;=0.07, "Pass", "Fail"), "")</f>
        <v/>
      </c>
      <c r="N20" s="806" t="str">
        <f>IF(AND(ISNUMBER(J20),ISNUMBER(I20), J20&lt;&gt;0, I20&lt;&gt;0),IF(J20/I20&lt;=12.5,"Pass","Fail"), "")</f>
        <v/>
      </c>
      <c r="O20" s="806" t="str">
        <f t="shared" ref="O20:O23" si="2">IF(AND(ISNUMBER(I20), ISNUMBER(J20), I20&lt;&gt;0, J20&lt;&gt;0), IF(J20/I20&gt;=0.15, "Pass", "Fail"), "")</f>
        <v/>
      </c>
      <c r="P20" s="808" t="str">
        <f>IF(OR(ISNUMBER(J20)=FALSE, I20=0), "", IF(ISNUMBER(K20)=FALSE, "Fail", IF(AND(K20/I20&gt;=0.15, K20/I20&lt;=12.5), "Pass"," Please explain")))</f>
        <v/>
      </c>
      <c r="Q20" s="795" t="str">
        <f>IF(OR(ISNUMBER(J20)=FALSE, I20=0), "", IF(ISNUMBER(K20)=FALSE, "Fail", IF(OR((J20/I20=0.15), (J20/I20=12.5), (J20&lt;&gt;K20)), "Pass", "Please explain")))</f>
        <v/>
      </c>
      <c r="R20" s="808" t="str">
        <f>IF(OR(ISNUMBER(J20)=FALSE, I20=0), "", IF(ISNUMBER(L20)=FALSE, "Fail", IF(AND(L20/I20&gt;=0.15, L20/I20&lt;=12.5), "Pass"," Please explain")))</f>
        <v/>
      </c>
      <c r="S20" s="795" t="str">
        <f>IF(OR(ISNUMBER(J20)=FALSE, I20=0), "", IF(ISNUMBER(L20)=FALSE, "Fail", IF(OR((J20/I20=0.15), (J20/I20=12.5), (J20&lt;&gt;L20)), "Pass", "Please explain")))</f>
        <v/>
      </c>
      <c r="T20" s="544"/>
    </row>
    <row r="21" spans="1:20" ht="15" customHeight="1" x14ac:dyDescent="0.25">
      <c r="A21" s="545"/>
      <c r="B21" s="336" t="s">
        <v>908</v>
      </c>
      <c r="C21" s="481"/>
      <c r="D21" s="318"/>
      <c r="E21" s="269" t="str">
        <f t="shared" ref="E21:E24" si="3">IF(AND(ISNUMBER(C21), ISNUMBER(D21)),C21-D21, "")</f>
        <v/>
      </c>
      <c r="F21" s="318"/>
      <c r="G21" s="318"/>
      <c r="H21" s="318"/>
      <c r="I21" s="269" t="str">
        <f t="shared" ref="I21:I24" si="4">IF(AND(ISNUMBER(G21), ISNUMBER(H21)),G21-H21, "")</f>
        <v/>
      </c>
      <c r="J21" s="208"/>
      <c r="K21" s="580" t="str">
        <f>IF(ISNUMBER(J21),J21,"")</f>
        <v/>
      </c>
      <c r="L21" s="320"/>
      <c r="M21" s="809" t="str">
        <f t="shared" si="1"/>
        <v/>
      </c>
      <c r="N21" s="806" t="str">
        <f t="shared" ref="N21:N30" si="5">IF(AND(ISNUMBER(J21),ISNUMBER(I21), J21&lt;&gt;0, I21&lt;&gt;0),IF(J21/I21&lt;=12.5,"Pass","Fail"), "")</f>
        <v/>
      </c>
      <c r="O21" s="806" t="str">
        <f t="shared" si="2"/>
        <v/>
      </c>
      <c r="P21" s="589"/>
      <c r="Q21" s="259"/>
      <c r="R21" s="808" t="str">
        <f>IF(OR(ISNUMBER(J21)=FALSE, I21=0), "", IF(ISNUMBER(L21)=FALSE, "Fail", IF(AND(L21/I21&gt;=0.15, L21/I21&lt;=12.5), "Pass"," Please explain")))</f>
        <v/>
      </c>
      <c r="S21" s="795" t="str">
        <f>IF(OR(ISNUMBER(J21)=FALSE, I21=0), "", IF(ISNUMBER(L21)=FALSE, "Fail", IF(OR((J21/I21=0.15), (J21/I21=12.5), (J21&lt;&gt;L21)), "Pass", "Please explain")))</f>
        <v/>
      </c>
      <c r="T21" s="544"/>
    </row>
    <row r="22" spans="1:20" ht="15" customHeight="1" x14ac:dyDescent="0.25">
      <c r="A22" s="545"/>
      <c r="B22" s="336" t="s">
        <v>909</v>
      </c>
      <c r="C22" s="481"/>
      <c r="D22" s="318"/>
      <c r="E22" s="269" t="str">
        <f t="shared" si="3"/>
        <v/>
      </c>
      <c r="F22" s="318"/>
      <c r="G22" s="318"/>
      <c r="H22" s="318"/>
      <c r="I22" s="269" t="str">
        <f t="shared" si="4"/>
        <v/>
      </c>
      <c r="J22" s="318"/>
      <c r="K22" s="208"/>
      <c r="L22" s="580" t="str">
        <f>IF(ISNUMBER(K22), K22, "")</f>
        <v/>
      </c>
      <c r="M22" s="809" t="str">
        <f t="shared" si="1"/>
        <v/>
      </c>
      <c r="N22" s="806" t="str">
        <f t="shared" si="5"/>
        <v/>
      </c>
      <c r="O22" s="806" t="str">
        <f t="shared" si="2"/>
        <v/>
      </c>
      <c r="P22" s="808" t="str">
        <f>IF(OR(ISNUMBER(J22)=FALSE, I22=0), "", IF(ISNUMBER(K22)=FALSE, "Fail", IF(AND(K22/I22&gt;=0.15, K22/I22&lt;=12.5), "Pass"," Please explain")))</f>
        <v/>
      </c>
      <c r="Q22" s="795" t="str">
        <f>IF(OR(ISNUMBER(J22)=FALSE, I22=0), "", IF(ISNUMBER(K22)=FALSE, "Fail", IF(OR((J22/I22=0.15), (J22/I22=12.5), (J22&lt;&gt;K22)), "Pass", "Please explain")))</f>
        <v/>
      </c>
      <c r="R22" s="589"/>
      <c r="S22" s="1251"/>
      <c r="T22" s="544"/>
    </row>
    <row r="23" spans="1:20" ht="15" customHeight="1" x14ac:dyDescent="0.25">
      <c r="A23" s="545"/>
      <c r="B23" s="336" t="s">
        <v>911</v>
      </c>
      <c r="C23" s="481"/>
      <c r="D23" s="318"/>
      <c r="E23" s="269" t="str">
        <f t="shared" si="3"/>
        <v/>
      </c>
      <c r="F23" s="318"/>
      <c r="G23" s="318"/>
      <c r="H23" s="318"/>
      <c r="I23" s="269" t="str">
        <f t="shared" si="4"/>
        <v/>
      </c>
      <c r="J23" s="208"/>
      <c r="K23" s="580" t="str">
        <f>IF(ISNUMBER(J23),J23,"")</f>
        <v/>
      </c>
      <c r="L23" s="919" t="str">
        <f>IF(ISNUMBER(J23),J23,"")</f>
        <v/>
      </c>
      <c r="M23" s="809" t="str">
        <f t="shared" si="1"/>
        <v/>
      </c>
      <c r="N23" s="806" t="str">
        <f t="shared" si="5"/>
        <v/>
      </c>
      <c r="O23" s="806" t="str">
        <f t="shared" si="2"/>
        <v/>
      </c>
      <c r="P23" s="589"/>
      <c r="Q23" s="259"/>
      <c r="R23" s="589"/>
      <c r="S23" s="259"/>
      <c r="T23" s="544"/>
    </row>
    <row r="24" spans="1:20" ht="15" customHeight="1" x14ac:dyDescent="0.25">
      <c r="A24" s="545"/>
      <c r="B24" s="615" t="s">
        <v>912</v>
      </c>
      <c r="C24" s="481"/>
      <c r="D24" s="318"/>
      <c r="E24" s="269" t="str">
        <f t="shared" si="3"/>
        <v/>
      </c>
      <c r="F24" s="318"/>
      <c r="G24" s="318"/>
      <c r="H24" s="318"/>
      <c r="I24" s="269" t="str">
        <f t="shared" si="4"/>
        <v/>
      </c>
      <c r="J24" s="208"/>
      <c r="K24" s="580" t="str">
        <f>IF(ISNUMBER(J24),J24,"")</f>
        <v/>
      </c>
      <c r="L24" s="580" t="str">
        <f>IF(ISNUMBER(J24),J24,"")</f>
        <v/>
      </c>
      <c r="M24" s="809" t="str">
        <f>IF(AND(ISNUMBER(E24), ISNUMBER(F24), E24&lt;&gt;0, F24&lt;&gt;0), IF(F24/E24&gt;=0.2, "Pass", "Fail"), "")</f>
        <v/>
      </c>
      <c r="N24" s="806" t="str">
        <f t="shared" si="5"/>
        <v/>
      </c>
      <c r="O24" s="806" t="str">
        <f>IF(AND(ISNUMBER(I24), ISNUMBER(J24), I24&lt;&gt;0, J24&lt;&gt;0), IF(J24/I24&gt;=1, "Pass", "Fail"), "")</f>
        <v/>
      </c>
      <c r="P24" s="589"/>
      <c r="Q24" s="259"/>
      <c r="R24" s="589"/>
      <c r="S24" s="259"/>
      <c r="T24" s="544"/>
    </row>
    <row r="25" spans="1:20" ht="15" customHeight="1" x14ac:dyDescent="0.25">
      <c r="A25" s="545"/>
      <c r="B25" s="337" t="s">
        <v>913</v>
      </c>
      <c r="C25" s="269" t="str">
        <f>IF(AND(ISNUMBER(C26),ISNUMBER(C27), ISNUMBER(C28), ISNUMBER(C29)), SUM(C26:C29),"")</f>
        <v/>
      </c>
      <c r="D25" s="269" t="str">
        <f t="shared" ref="D25:L25" si="6">IF(AND(ISNUMBER(D26),ISNUMBER(D27),ISNUMBER(D28),ISNUMBER(D29)),SUM(D26:D29),"")</f>
        <v/>
      </c>
      <c r="E25" s="269" t="str">
        <f t="shared" si="6"/>
        <v/>
      </c>
      <c r="F25" s="269" t="str">
        <f t="shared" si="6"/>
        <v/>
      </c>
      <c r="G25" s="269" t="str">
        <f t="shared" si="6"/>
        <v/>
      </c>
      <c r="H25" s="269" t="str">
        <f t="shared" si="6"/>
        <v/>
      </c>
      <c r="I25" s="269" t="str">
        <f t="shared" si="6"/>
        <v/>
      </c>
      <c r="J25" s="269" t="str">
        <f t="shared" si="6"/>
        <v/>
      </c>
      <c r="K25" s="269" t="str">
        <f t="shared" si="6"/>
        <v/>
      </c>
      <c r="L25" s="269" t="str">
        <f t="shared" si="6"/>
        <v/>
      </c>
      <c r="M25" s="809" t="str">
        <f t="shared" si="1"/>
        <v/>
      </c>
      <c r="N25" s="806" t="str">
        <f t="shared" si="5"/>
        <v/>
      </c>
      <c r="O25" s="806" t="str">
        <f>IF(AND(ISNUMBER(I25), ISNUMBER(J25), I25&lt;&gt;0, J25&lt;&gt;0), IF(J25/I25&gt;=0.1, "Pass", "Fail"), "")</f>
        <v/>
      </c>
      <c r="P25" s="589"/>
      <c r="Q25" s="259"/>
      <c r="R25" s="589"/>
      <c r="S25" s="259"/>
      <c r="T25" s="544"/>
    </row>
    <row r="26" spans="1:20" ht="15" customHeight="1" x14ac:dyDescent="0.25">
      <c r="A26" s="545"/>
      <c r="B26" s="336" t="s">
        <v>907</v>
      </c>
      <c r="C26" s="481"/>
      <c r="D26" s="318"/>
      <c r="E26" s="269" t="str">
        <f t="shared" ref="E26:E30" si="7">IF(AND(ISNUMBER(C26), ISNUMBER(D26)),C26-D26, "")</f>
        <v/>
      </c>
      <c r="F26" s="318"/>
      <c r="G26" s="318"/>
      <c r="H26" s="318"/>
      <c r="I26" s="269" t="str">
        <f t="shared" ref="I26:I30" si="8">IF(AND(ISNUMBER(G26), ISNUMBER(H26)),G26-H26, "")</f>
        <v/>
      </c>
      <c r="J26" s="318"/>
      <c r="K26" s="318"/>
      <c r="L26" s="318"/>
      <c r="M26" s="809" t="str">
        <f t="shared" si="1"/>
        <v/>
      </c>
      <c r="N26" s="806" t="str">
        <f t="shared" si="5"/>
        <v/>
      </c>
      <c r="O26" s="806" t="str">
        <f>IF(AND(ISNUMBER(I26), ISNUMBER(J26), I26&lt;&gt;0, J26&lt;&gt;0), IF(J26/I26&gt;=0.1, "Pass", "Fail"), "")</f>
        <v/>
      </c>
      <c r="P26" s="808" t="str">
        <f>IF(OR(ISNUMBER(J26)=FALSE, I26=0), "", IF(ISNUMBER(K26)=FALSE, "Fail", IF(AND(K26/I26&gt;=0.1, K26/I26&lt;=12.5), "Pass"," Please explain")))</f>
        <v/>
      </c>
      <c r="Q26" s="795" t="str">
        <f>IF(OR(ISNUMBER(J26)=FALSE, I26=0), "", IF(ISNUMBER(K26)=FALSE, "Fail", IF(OR((J26/I26=0.1), (J26/I26=12.5), (J26&lt;&gt;K26)), "Pass", "Please explain")))</f>
        <v/>
      </c>
      <c r="R26" s="808" t="str">
        <f>IF(OR(ISNUMBER(J26)=FALSE, I26=0), "", IF(ISNUMBER(L26)=FALSE, "Fail", IF(AND(L26/I26&gt;=0.1, L26/I26&lt;=12.5), "Pass"," Please explain")))</f>
        <v/>
      </c>
      <c r="S26" s="795" t="str">
        <f>IF(OR(ISNUMBER(J26)=FALSE, I26=0), "", IF(ISNUMBER(L26)=FALSE, "Fail", IF(OR((J26/I26=0.1), (J26/I26=12.5), (J26&lt;&gt;L26)), "Pass", "Please explain")))</f>
        <v/>
      </c>
      <c r="T26" s="544"/>
    </row>
    <row r="27" spans="1:20" ht="15" customHeight="1" x14ac:dyDescent="0.25">
      <c r="A27" s="545"/>
      <c r="B27" s="334" t="s">
        <v>908</v>
      </c>
      <c r="C27" s="481"/>
      <c r="D27" s="318"/>
      <c r="E27" s="269" t="str">
        <f t="shared" si="7"/>
        <v/>
      </c>
      <c r="F27" s="318"/>
      <c r="G27" s="318"/>
      <c r="H27" s="318"/>
      <c r="I27" s="269" t="str">
        <f t="shared" si="8"/>
        <v/>
      </c>
      <c r="J27" s="208"/>
      <c r="K27" s="580" t="str">
        <f>IF(ISNUMBER(J27),J27,"")</f>
        <v/>
      </c>
      <c r="L27" s="318"/>
      <c r="M27" s="809" t="str">
        <f t="shared" si="1"/>
        <v/>
      </c>
      <c r="N27" s="806" t="str">
        <f t="shared" si="5"/>
        <v/>
      </c>
      <c r="O27" s="806" t="str">
        <f>IF(AND(ISNUMBER(I27), ISNUMBER(J27), I27&lt;&gt;0, J27&lt;&gt;0), IF(J27/I27&gt;=0.1, "Pass", "Fail"), "")</f>
        <v/>
      </c>
      <c r="P27" s="589"/>
      <c r="Q27" s="259"/>
      <c r="R27" s="808" t="str">
        <f>IF(OR(ISNUMBER(J27)=FALSE, I27=0), "", IF(ISNUMBER(L27)=FALSE, "Fail", IF(AND(L27/I27&gt;=0.1, L27/I27&lt;=12.5), "Pass"," Please explain")))</f>
        <v/>
      </c>
      <c r="S27" s="795" t="str">
        <f>IF(OR(ISNUMBER(J27)=FALSE, I27=0), "", IF(ISNUMBER(L27)=FALSE, "Fail", IF(OR((J27/I27=0.1), (J27/I27=12.5), (J27&lt;&gt;L27)), "Pass", "Please explain")))</f>
        <v/>
      </c>
      <c r="T27" s="544"/>
    </row>
    <row r="28" spans="1:20" ht="15" customHeight="1" x14ac:dyDescent="0.25">
      <c r="A28" s="545"/>
      <c r="B28" s="336" t="s">
        <v>909</v>
      </c>
      <c r="C28" s="481"/>
      <c r="D28" s="318"/>
      <c r="E28" s="269" t="str">
        <f>IF(AND(ISNUMBER(C28), ISNUMBER(D28)),C28-D28, "")</f>
        <v/>
      </c>
      <c r="F28" s="318"/>
      <c r="G28" s="318"/>
      <c r="H28" s="318"/>
      <c r="I28" s="269" t="str">
        <f>IF(AND(ISNUMBER(G28), ISNUMBER(H28)),G28-H28, "")</f>
        <v/>
      </c>
      <c r="J28" s="208"/>
      <c r="K28" s="318"/>
      <c r="L28" s="580" t="str">
        <f>IF(ISNUMBER(K28), K28, "")</f>
        <v/>
      </c>
      <c r="M28" s="809" t="str">
        <f t="shared" si="1"/>
        <v/>
      </c>
      <c r="N28" s="806" t="str">
        <f t="shared" si="5"/>
        <v/>
      </c>
      <c r="O28" s="806" t="str">
        <f>IF(AND(ISNUMBER(I28), ISNUMBER(J28), I28&lt;&gt;0, J28&lt;&gt;0), IF(J28/I28&gt;=0.1, "Pass", "Fail"), "")</f>
        <v/>
      </c>
      <c r="P28" s="589"/>
      <c r="Q28" s="259"/>
      <c r="R28" s="589"/>
      <c r="S28" s="1251"/>
      <c r="T28" s="544"/>
    </row>
    <row r="29" spans="1:20" ht="15" customHeight="1" x14ac:dyDescent="0.25">
      <c r="A29" s="545"/>
      <c r="B29" s="336" t="s">
        <v>910</v>
      </c>
      <c r="C29" s="481"/>
      <c r="D29" s="318"/>
      <c r="E29" s="269" t="str">
        <f t="shared" si="7"/>
        <v/>
      </c>
      <c r="F29" s="318"/>
      <c r="G29" s="318"/>
      <c r="H29" s="318"/>
      <c r="I29" s="269" t="str">
        <f t="shared" si="8"/>
        <v/>
      </c>
      <c r="J29" s="208"/>
      <c r="K29" s="580" t="str">
        <f>IF(ISNUMBER(J29),J29,"")</f>
        <v/>
      </c>
      <c r="L29" s="580" t="str">
        <f>IF(ISNUMBER(J29),J29,"")</f>
        <v/>
      </c>
      <c r="M29" s="809" t="str">
        <f t="shared" si="1"/>
        <v/>
      </c>
      <c r="N29" s="806" t="str">
        <f t="shared" si="5"/>
        <v/>
      </c>
      <c r="O29" s="806" t="str">
        <f>IF(AND(ISNUMBER(I29), ISNUMBER(J29), I29&lt;&gt;0, J29&lt;&gt;0), IF(J29/I29&gt;=0.1, "Pass", "Fail"), "")</f>
        <v/>
      </c>
      <c r="P29" s="589"/>
      <c r="Q29" s="259"/>
      <c r="R29" s="589"/>
      <c r="S29" s="259"/>
      <c r="T29" s="544"/>
    </row>
    <row r="30" spans="1:20" ht="15" customHeight="1" x14ac:dyDescent="0.25">
      <c r="A30" s="545"/>
      <c r="B30" s="952" t="s">
        <v>526</v>
      </c>
      <c r="C30" s="489"/>
      <c r="D30" s="320"/>
      <c r="E30" s="953" t="str">
        <f t="shared" si="7"/>
        <v/>
      </c>
      <c r="F30" s="320"/>
      <c r="G30" s="320"/>
      <c r="H30" s="320"/>
      <c r="I30" s="953" t="str">
        <f t="shared" si="8"/>
        <v/>
      </c>
      <c r="J30" s="358"/>
      <c r="K30" s="580" t="str">
        <f>IF(ISNUMBER(J30),J30,"")</f>
        <v/>
      </c>
      <c r="L30" s="580" t="str">
        <f>IF(ISNUMBER(J30),J30,"")</f>
        <v/>
      </c>
      <c r="M30" s="954" t="str">
        <f>IF(AND(ISNUMBER(E30), ISNUMBER(F30), E30&lt;&gt;0, F30&lt;&gt;0), IF(F30/E30&gt;=12.5, "Pass", "Fail"), "")</f>
        <v/>
      </c>
      <c r="N30" s="955" t="str">
        <f t="shared" si="5"/>
        <v/>
      </c>
      <c r="O30" s="956" t="str">
        <f>IF(AND(ISNUMBER(I30), ISNUMBER(J30), I30&lt;&gt;0, J30&lt;&gt;0), IF(J30/I30=12.5, "Pass", "Fail"), "")</f>
        <v/>
      </c>
      <c r="P30" s="957"/>
      <c r="Q30" s="562"/>
      <c r="R30" s="957"/>
      <c r="S30" s="562"/>
      <c r="T30" s="544"/>
    </row>
    <row r="31" spans="1:20" ht="15" customHeight="1" x14ac:dyDescent="0.25">
      <c r="A31" s="545"/>
      <c r="B31" s="1142" t="s">
        <v>116</v>
      </c>
      <c r="C31" s="930" t="str">
        <f>IF(AND(ISNUMBER(C19), ISNUMBER(C25),ISNUMBER(C30)), SUM(C19,C25,C30),"")</f>
        <v/>
      </c>
      <c r="D31" s="848" t="str">
        <f t="shared" ref="D31:F31" si="9">IF(AND(ISNUMBER(D19), ISNUMBER(D25),ISNUMBER(D30)), SUM(D19,D25,D30),"")</f>
        <v/>
      </c>
      <c r="E31" s="848" t="str">
        <f t="shared" si="9"/>
        <v/>
      </c>
      <c r="F31" s="848" t="str">
        <f t="shared" si="9"/>
        <v/>
      </c>
      <c r="G31" s="848" t="str">
        <f>IF(AND(ISNUMBER(G19), ISNUMBER(G25),ISNUMBER(G30)), SUM(G19,G25,G30),"")</f>
        <v/>
      </c>
      <c r="H31" s="848" t="str">
        <f t="shared" ref="H31" si="10">IF(AND(ISNUMBER(H19), ISNUMBER(H25),ISNUMBER(H30)), SUM(H19,H25,H30),"")</f>
        <v/>
      </c>
      <c r="I31" s="848" t="str">
        <f t="shared" ref="I31" si="11">IF(AND(ISNUMBER(I19), ISNUMBER(I25),ISNUMBER(I30)), SUM(I19,I25,I30),"")</f>
        <v/>
      </c>
      <c r="J31" s="848" t="str">
        <f t="shared" ref="J31" si="12">IF(AND(ISNUMBER(J19), ISNUMBER(J25),ISNUMBER(J30)), SUM(J19,J25,J30),"")</f>
        <v/>
      </c>
      <c r="K31" s="848" t="str">
        <f>IF(AND(ISNUMBER(K19), ISNUMBER(K25),ISNUMBER(K30)), SUM(K19,K25,K30),"")</f>
        <v/>
      </c>
      <c r="L31" s="848" t="str">
        <f>IF(AND(ISNUMBER(L19), ISNUMBER(L25),ISNUMBER(L30)), SUM(L19,L25,L30),"")</f>
        <v/>
      </c>
      <c r="M31" s="1440"/>
      <c r="N31" s="531"/>
      <c r="O31" s="531"/>
      <c r="P31" s="531"/>
      <c r="Q31" s="531"/>
      <c r="R31" s="531"/>
      <c r="S31" s="531"/>
      <c r="T31" s="544"/>
    </row>
    <row r="32" spans="1:20" ht="15" customHeight="1" x14ac:dyDescent="0.25">
      <c r="A32" s="545"/>
      <c r="B32" s="336" t="s">
        <v>1107</v>
      </c>
      <c r="C32" s="1440"/>
      <c r="D32" s="1440"/>
      <c r="E32" s="318"/>
      <c r="F32" s="318"/>
      <c r="G32" s="319"/>
      <c r="H32" s="319"/>
      <c r="I32" s="319"/>
      <c r="J32" s="319"/>
      <c r="K32" s="319"/>
      <c r="L32" s="319"/>
      <c r="M32" s="1440"/>
      <c r="N32" s="531"/>
      <c r="O32" s="531"/>
      <c r="P32" s="531"/>
      <c r="Q32" s="531"/>
      <c r="R32" s="531"/>
      <c r="S32" s="531"/>
      <c r="T32" s="544"/>
    </row>
    <row r="33" spans="1:20" ht="15" customHeight="1" x14ac:dyDescent="0.25">
      <c r="A33" s="545"/>
      <c r="B33" s="2808" t="s">
        <v>1108</v>
      </c>
      <c r="C33" s="2808"/>
      <c r="D33" s="2808"/>
      <c r="E33" s="808" t="str">
        <f>IF(AND(ISNUMBER(E31), ISNUMBER(E32)), IF(E32&lt;=E31, "Pass", "Fail"), "")</f>
        <v/>
      </c>
      <c r="F33" s="808" t="str">
        <f>IF(AND(ISNUMBER(F31), ISNUMBER(F32)), IF(F32&lt;=F31, "Pass", "Fail"), "")</f>
        <v/>
      </c>
      <c r="G33" s="319"/>
      <c r="H33" s="319"/>
      <c r="I33" s="319"/>
      <c r="J33" s="319"/>
      <c r="K33" s="531"/>
      <c r="L33" s="531"/>
      <c r="M33" s="531"/>
      <c r="N33" s="531"/>
      <c r="O33" s="531"/>
      <c r="P33" s="531"/>
      <c r="Q33" s="531"/>
      <c r="R33" s="531"/>
      <c r="S33" s="531"/>
      <c r="T33" s="544"/>
    </row>
    <row r="34" spans="1:20" ht="15" customHeight="1" x14ac:dyDescent="0.25">
      <c r="A34" s="545"/>
      <c r="B34" s="2802" t="s">
        <v>957</v>
      </c>
      <c r="C34" s="2802"/>
      <c r="D34" s="2802"/>
      <c r="E34" s="335"/>
      <c r="F34" s="820" t="str">
        <f>IF(AND(ISNUMBER(F13), ISNUMBER(F31)), IF(F31&lt;=F13, "Pass", "Fail"), "")</f>
        <v/>
      </c>
      <c r="G34" s="335"/>
      <c r="H34" s="335"/>
      <c r="I34" s="335"/>
      <c r="J34" s="335"/>
      <c r="K34" s="324"/>
      <c r="L34" s="324"/>
      <c r="M34" s="324"/>
      <c r="N34" s="324"/>
      <c r="O34" s="324"/>
      <c r="P34" s="324"/>
      <c r="Q34" s="324"/>
      <c r="R34" s="324"/>
      <c r="S34" s="324"/>
      <c r="T34" s="544"/>
    </row>
    <row r="35" spans="1:20" ht="15" customHeight="1" x14ac:dyDescent="0.25">
      <c r="A35" s="545"/>
      <c r="B35" s="1369" t="s">
        <v>1661</v>
      </c>
      <c r="C35" s="1443"/>
      <c r="D35" s="1443"/>
      <c r="E35" s="2059"/>
      <c r="F35" s="2059"/>
      <c r="G35" s="732"/>
      <c r="H35" s="732"/>
      <c r="I35" s="2059"/>
      <c r="J35" s="2059"/>
      <c r="K35" s="2059"/>
      <c r="L35" s="2059"/>
      <c r="M35" s="732"/>
      <c r="N35" s="732"/>
      <c r="O35" s="732"/>
      <c r="P35" s="732"/>
      <c r="Q35" s="732"/>
      <c r="R35" s="732"/>
      <c r="S35" s="733"/>
      <c r="T35" s="544"/>
    </row>
    <row r="36" spans="1:20" ht="15" customHeight="1" x14ac:dyDescent="0.25">
      <c r="A36" s="545"/>
      <c r="B36" s="858" t="s">
        <v>1662</v>
      </c>
      <c r="C36" s="2066"/>
      <c r="D36" s="2066"/>
      <c r="E36" s="2067"/>
      <c r="F36" s="2067"/>
      <c r="G36" s="2068"/>
      <c r="H36" s="2068"/>
      <c r="I36" s="2067"/>
      <c r="J36" s="2067"/>
      <c r="K36" s="2067"/>
      <c r="L36" s="2067"/>
      <c r="M36" s="2068"/>
      <c r="N36" s="2068"/>
      <c r="O36" s="2068"/>
      <c r="P36" s="2068"/>
      <c r="Q36" s="2068"/>
      <c r="R36" s="2068"/>
      <c r="S36" s="2069"/>
      <c r="T36" s="544"/>
    </row>
    <row r="37" spans="1:20" ht="15" customHeight="1" x14ac:dyDescent="0.25">
      <c r="A37" s="545"/>
      <c r="B37" s="2808" t="str">
        <f>"Check: row " &amp; ROW(F35) &amp; " ≤ row " &amp; ROW(B19)</f>
        <v>Check: row 35 ≤ row 19</v>
      </c>
      <c r="C37" s="2808"/>
      <c r="D37" s="2809"/>
      <c r="E37" s="808" t="str">
        <f>IF(AND(ISNUMBER(E19), ISNUMBER(E35)), IF(E35&lt;=E19, "Pass", "Fail"), "")</f>
        <v/>
      </c>
      <c r="F37" s="808" t="str">
        <f>IF(AND(ISNUMBER(F19), ISNUMBER(F35)), IF(F35&lt;=F19, "Pass", "Fail"), "")</f>
        <v/>
      </c>
      <c r="G37" s="319"/>
      <c r="H37" s="319"/>
      <c r="I37" s="808" t="str">
        <f>IF(AND(ISNUMBER(I19), ISNUMBER(I35)), IF(I35&lt;=I19, "Pass", "Fail"), "")</f>
        <v/>
      </c>
      <c r="J37" s="808" t="str">
        <f>IF(AND(ISNUMBER(J19), ISNUMBER(J35)), IF(J35&lt;=J19, "Pass", "Fail"), "")</f>
        <v/>
      </c>
      <c r="K37" s="808" t="str">
        <f>IF(AND(ISNUMBER(K19), ISNUMBER(K35)), IF(K35&lt;=K19, "Pass", "Fail"), "")</f>
        <v/>
      </c>
      <c r="L37" s="808" t="str">
        <f>IF(AND(ISNUMBER(L19), ISNUMBER(L35)), IF(L35&lt;=L19, "Pass", "Fail"), "")</f>
        <v/>
      </c>
      <c r="M37" s="319"/>
      <c r="N37" s="319"/>
      <c r="O37" s="319"/>
      <c r="P37" s="319"/>
      <c r="Q37" s="319"/>
      <c r="R37" s="319"/>
      <c r="S37" s="531"/>
      <c r="T37" s="544"/>
    </row>
    <row r="38" spans="1:20" ht="15" customHeight="1" x14ac:dyDescent="0.25">
      <c r="A38" s="545"/>
      <c r="B38" s="2802" t="str">
        <f>"Check: row " &amp; ROW(F36) &amp; " ≤ row " &amp; ROW(B35)</f>
        <v>Check: row 36 ≤ row 35</v>
      </c>
      <c r="C38" s="2802"/>
      <c r="D38" s="2803"/>
      <c r="E38" s="820" t="str">
        <f>IF(AND(ISNUMBER(E35), ISNUMBER(E36)), IF(E36&lt;=E35, "Pass", "Fail"), "")</f>
        <v/>
      </c>
      <c r="F38" s="820" t="str">
        <f>IF(AND(ISNUMBER(F35), ISNUMBER(F36)), IF(F36&lt;=F35, "Pass", "Fail"), "")</f>
        <v/>
      </c>
      <c r="G38" s="335"/>
      <c r="H38" s="335"/>
      <c r="I38" s="820" t="str">
        <f>IF(AND(ISNUMBER(I35), ISNUMBER(I36)), IF(I36&lt;=I35, "Pass", "Fail"), "")</f>
        <v/>
      </c>
      <c r="J38" s="820" t="str">
        <f>IF(AND(ISNUMBER(J35), ISNUMBER(J36)), IF(J36&lt;=J35, "Pass", "Fail"), "")</f>
        <v/>
      </c>
      <c r="K38" s="820" t="str">
        <f>IF(AND(ISNUMBER(K35), ISNUMBER(K36)), IF(K36&lt;=K35, "Pass", "Fail"), "")</f>
        <v/>
      </c>
      <c r="L38" s="820" t="str">
        <f>IF(AND(ISNUMBER(L35), ISNUMBER(L36)), IF(L36&lt;=L35, "Pass", "Fail"), "")</f>
        <v/>
      </c>
      <c r="M38" s="335"/>
      <c r="N38" s="335"/>
      <c r="O38" s="335"/>
      <c r="P38" s="335"/>
      <c r="Q38" s="335"/>
      <c r="R38" s="335"/>
      <c r="S38" s="324"/>
      <c r="T38" s="544"/>
    </row>
    <row r="39" spans="1:20" ht="60" customHeight="1" x14ac:dyDescent="0.25">
      <c r="A39" s="545"/>
      <c r="B39" s="1980" t="s">
        <v>1516</v>
      </c>
      <c r="C39" s="745"/>
      <c r="D39" s="745"/>
      <c r="E39" s="745"/>
      <c r="F39" s="745"/>
      <c r="G39" s="1443"/>
      <c r="H39" s="1443"/>
      <c r="I39" s="1443"/>
      <c r="J39" s="1443"/>
      <c r="K39" s="1443"/>
      <c r="L39" s="1443"/>
      <c r="M39" s="1443"/>
      <c r="N39" s="1443"/>
      <c r="O39" s="1443"/>
      <c r="P39" s="1443"/>
      <c r="Q39" s="1443"/>
      <c r="R39" s="1443"/>
      <c r="S39" s="1443"/>
      <c r="T39" s="544"/>
    </row>
    <row r="40" spans="1:20" ht="45" customHeight="1" x14ac:dyDescent="0.25">
      <c r="A40" s="545"/>
      <c r="B40" s="1992" t="s">
        <v>1515</v>
      </c>
      <c r="C40" s="746"/>
      <c r="D40" s="746"/>
      <c r="E40" s="746"/>
      <c r="F40" s="746"/>
      <c r="G40" s="1360"/>
      <c r="H40" s="1360"/>
      <c r="I40" s="1360"/>
      <c r="J40" s="1360"/>
      <c r="K40" s="1360"/>
      <c r="L40" s="1360"/>
      <c r="M40" s="1360"/>
      <c r="N40" s="1360"/>
      <c r="O40" s="1360"/>
      <c r="P40" s="1360"/>
      <c r="Q40" s="1360"/>
      <c r="R40" s="1360"/>
      <c r="S40" s="1360"/>
      <c r="T40" s="544"/>
    </row>
    <row r="41" spans="1:20" ht="49.5" customHeight="1" x14ac:dyDescent="0.25">
      <c r="A41" s="493" t="s">
        <v>2165</v>
      </c>
      <c r="B41" s="365"/>
      <c r="C41" s="365"/>
      <c r="D41" s="365"/>
      <c r="E41" s="365"/>
      <c r="F41" s="802"/>
      <c r="G41" s="365"/>
      <c r="H41" s="365"/>
      <c r="I41" s="365"/>
      <c r="J41" s="365"/>
      <c r="K41" s="365"/>
      <c r="L41" s="365"/>
      <c r="M41" s="365"/>
      <c r="N41" s="365"/>
      <c r="O41" s="365"/>
      <c r="P41" s="365"/>
      <c r="Q41" s="365"/>
      <c r="R41" s="365"/>
      <c r="S41" s="365"/>
      <c r="T41" s="544"/>
    </row>
    <row r="42" spans="1:20" ht="30" customHeight="1" x14ac:dyDescent="0.25">
      <c r="A42" s="545"/>
      <c r="B42" s="1078"/>
      <c r="C42" s="2815" t="s">
        <v>505</v>
      </c>
      <c r="D42" s="2815"/>
      <c r="E42" s="2815"/>
      <c r="F42" s="2816"/>
      <c r="G42" s="2817" t="s">
        <v>558</v>
      </c>
      <c r="H42" s="2818"/>
      <c r="I42" s="2818"/>
      <c r="J42" s="2819"/>
      <c r="K42" s="1353" t="s">
        <v>729</v>
      </c>
      <c r="L42" s="1359" t="s">
        <v>1080</v>
      </c>
      <c r="M42" s="1371"/>
      <c r="N42" s="2817" t="s">
        <v>602</v>
      </c>
      <c r="O42" s="2818"/>
      <c r="P42" s="2813" t="s">
        <v>729</v>
      </c>
      <c r="Q42" s="2814"/>
      <c r="R42" s="2805" t="s">
        <v>1080</v>
      </c>
      <c r="S42" s="2804"/>
      <c r="T42" s="544"/>
    </row>
    <row r="43" spans="1:20" ht="90" customHeight="1" x14ac:dyDescent="0.25">
      <c r="A43" s="545"/>
      <c r="B43" s="1244"/>
      <c r="C43" s="734" t="s">
        <v>548</v>
      </c>
      <c r="D43" s="582" t="s">
        <v>543</v>
      </c>
      <c r="E43" s="582" t="s">
        <v>569</v>
      </c>
      <c r="F43" s="582" t="s">
        <v>41</v>
      </c>
      <c r="G43" s="582" t="s">
        <v>548</v>
      </c>
      <c r="H43" s="582" t="s">
        <v>543</v>
      </c>
      <c r="I43" s="582" t="s">
        <v>569</v>
      </c>
      <c r="J43" s="582" t="s">
        <v>41</v>
      </c>
      <c r="K43" s="375" t="s">
        <v>764</v>
      </c>
      <c r="L43" s="375" t="s">
        <v>1081</v>
      </c>
      <c r="M43" s="732"/>
      <c r="N43" s="1372" t="s">
        <v>874</v>
      </c>
      <c r="O43" s="1372" t="s">
        <v>616</v>
      </c>
      <c r="P43" s="1372" t="s">
        <v>766</v>
      </c>
      <c r="Q43" s="1273" t="s">
        <v>767</v>
      </c>
      <c r="R43" s="1372" t="s">
        <v>766</v>
      </c>
      <c r="S43" s="1273" t="s">
        <v>767</v>
      </c>
      <c r="T43" s="544"/>
    </row>
    <row r="44" spans="1:20" ht="15" customHeight="1" x14ac:dyDescent="0.25">
      <c r="A44" s="545"/>
      <c r="B44" s="258" t="s">
        <v>556</v>
      </c>
      <c r="C44" s="735"/>
      <c r="D44" s="735"/>
      <c r="E44" s="805" t="str">
        <f>IF(AND(ISNUMBER(E45),ISNUMBER(E46),ISNUMBER(E47),ISNUMBER(E48),ISNUMBER(E49)),SUM(E45:E49),"")</f>
        <v/>
      </c>
      <c r="F44" s="805" t="str">
        <f>IF(ISNUMBER(E44),E44*12.5,"")</f>
        <v/>
      </c>
      <c r="G44" s="732"/>
      <c r="H44" s="735"/>
      <c r="I44" s="805" t="str">
        <f>IF(AND(ISNUMBER(I45),ISNUMBER(I46),ISNUMBER(I47),ISNUMBER(I48),ISNUMBER(I49)),SUM(I45:I49),"")</f>
        <v/>
      </c>
      <c r="J44" s="805" t="str">
        <f>IF(AND(ISNUMBER(J45),ISNUMBER(J46),ISNUMBER(J47),ISNUMBER(J48),ISNUMBER(J49)),SUM(J45:J49),"")</f>
        <v/>
      </c>
      <c r="K44" s="805" t="str">
        <f>IF(AND(ISNUMBER(K45),ISNUMBER(K46),ISNUMBER(K47),ISNUMBER(K48),ISNUMBER(K49)),SUM(K45:K49),"")</f>
        <v/>
      </c>
      <c r="L44" s="805" t="str">
        <f>IF(AND(ISNUMBER(L45),ISNUMBER(L46),ISNUMBER(L47),ISNUMBER(L48),ISNUMBER(L49)),SUM(L45:L49),"")</f>
        <v/>
      </c>
      <c r="M44" s="732"/>
      <c r="N44" s="810" t="str">
        <f t="shared" ref="N44:N49" si="13">IF(AND(ISNUMBER(J44),ISNUMBER(I44), J44&lt;&gt;0, I44&lt;&gt;0),IF(J44/I44&lt;=12.5,"Pass","Fail"), "")</f>
        <v/>
      </c>
      <c r="O44" s="806" t="str">
        <f t="shared" ref="O44:O48" si="14">IF(AND(ISNUMBER(I44), ISNUMBER(J44), I44&lt;&gt;0,I44&lt;&gt;0), IF(J44/I44&gt;=0.1, "Pass", "Fail"), "")</f>
        <v/>
      </c>
      <c r="P44" s="585"/>
      <c r="Q44" s="586"/>
      <c r="R44" s="585"/>
      <c r="S44" s="586"/>
      <c r="T44" s="544"/>
    </row>
    <row r="45" spans="1:20" ht="15" customHeight="1" x14ac:dyDescent="0.25">
      <c r="A45" s="545"/>
      <c r="B45" s="336" t="s">
        <v>541</v>
      </c>
      <c r="C45" s="321"/>
      <c r="D45" s="321"/>
      <c r="E45" s="798"/>
      <c r="F45" s="319"/>
      <c r="G45" s="319"/>
      <c r="H45" s="321"/>
      <c r="I45" s="792"/>
      <c r="J45" s="792"/>
      <c r="K45" s="792"/>
      <c r="L45" s="792"/>
      <c r="M45" s="319"/>
      <c r="N45" s="795" t="str">
        <f t="shared" si="13"/>
        <v/>
      </c>
      <c r="O45" s="795" t="str">
        <f t="shared" si="14"/>
        <v/>
      </c>
      <c r="P45" s="795" t="str">
        <f>IF(OR(ISNUMBER(J45)=FALSE, I45=0), "", IF(ISNUMBER(K45)=FALSE, "Fail", IF(AND(K45/I45&gt;=0.1, K45/I45&lt;=12.5), "Pass", "Please explain")))</f>
        <v/>
      </c>
      <c r="Q45" s="795" t="str">
        <f>IF(OR(ISNUMBER(J45)=FALSE, I45=0), "", IF(ISNUMBER(K45)=FALSE, "Fail", IF(OR((J45/I45=0.1), (J45/I45=12.5), (J45&lt;&gt;K45)), "Pass", "Please explain")))</f>
        <v/>
      </c>
      <c r="R45" s="795" t="str">
        <f>IF(OR(ISNUMBER(J45)=FALSE, I45=0), "", IF(ISNUMBER(L45)=FALSE, "Fail", IF(AND(L45/I45&gt;=0.1, L45/I45&lt;=12.5), "Pass", "Please explain")))</f>
        <v/>
      </c>
      <c r="S45" s="795" t="str">
        <f>IF(OR(ISNUMBER(J45)=FALSE, I45=0), "", IF(ISNUMBER(L45)=FALSE, "Fail", IF(OR((J45/I45=0.1), (J45/I45=12.5), (J45&lt;&gt;L45)), "Pass", "Please explain")))</f>
        <v/>
      </c>
      <c r="T45" s="544"/>
    </row>
    <row r="46" spans="1:20" ht="15" customHeight="1" x14ac:dyDescent="0.25">
      <c r="A46" s="545"/>
      <c r="B46" s="336" t="s">
        <v>542</v>
      </c>
      <c r="C46" s="321"/>
      <c r="D46" s="321"/>
      <c r="E46" s="798"/>
      <c r="F46" s="319"/>
      <c r="G46" s="319"/>
      <c r="H46" s="321"/>
      <c r="I46" s="792"/>
      <c r="J46" s="792"/>
      <c r="K46" s="811" t="str">
        <f>IF(ISNUMBER(J46),J46,"")</f>
        <v/>
      </c>
      <c r="L46" s="792"/>
      <c r="M46" s="321"/>
      <c r="N46" s="795" t="str">
        <f t="shared" si="13"/>
        <v/>
      </c>
      <c r="O46" s="795" t="str">
        <f t="shared" si="14"/>
        <v/>
      </c>
      <c r="P46" s="585"/>
      <c r="Q46" s="587"/>
      <c r="R46" s="795" t="str">
        <f>IF(OR(ISNUMBER(J46)=FALSE, I46=0), "", IF(ISNUMBER(L46)=FALSE, "Fail", IF(AND(L46/I46&gt;=0.1, L46/I46&lt;=12.5), "Pass", "Please explain")))</f>
        <v/>
      </c>
      <c r="S46" s="795" t="str">
        <f>IF(OR(ISNUMBER(J46)=FALSE, I46=0), "", IF(ISNUMBER(L46)=FALSE, "Fail", IF(OR((J46/I46=0.1), (J46/I46=12.5), (J46&lt;&gt;L46)), "Pass", "Please explain")))</f>
        <v/>
      </c>
      <c r="T46" s="544"/>
    </row>
    <row r="47" spans="1:20" ht="15" customHeight="1" x14ac:dyDescent="0.25">
      <c r="A47" s="545"/>
      <c r="B47" s="336" t="s">
        <v>567</v>
      </c>
      <c r="C47" s="321"/>
      <c r="D47" s="321"/>
      <c r="E47" s="798"/>
      <c r="F47" s="319"/>
      <c r="G47" s="319"/>
      <c r="H47" s="321"/>
      <c r="I47" s="792"/>
      <c r="J47" s="792"/>
      <c r="K47" s="792"/>
      <c r="L47" s="580" t="str">
        <f>IF(ISNUMBER(K47), K47, "")</f>
        <v/>
      </c>
      <c r="M47" s="319"/>
      <c r="N47" s="795" t="str">
        <f t="shared" si="13"/>
        <v/>
      </c>
      <c r="O47" s="795" t="str">
        <f t="shared" si="14"/>
        <v/>
      </c>
      <c r="P47" s="795" t="str">
        <f>IF(OR(ISNUMBER(J47)=FALSE, I47=0), "", IF(ISNUMBER(K47)=FALSE, "Fail", IF(AND(K47/I47&gt;=0.1, K47/I47&lt;=12.5), "Pass", "Please explain")))</f>
        <v/>
      </c>
      <c r="Q47" s="795" t="str">
        <f>IF(OR(ISNUMBER(J47)=FALSE, I47=0), "", IF(ISNUMBER(K47)=FALSE, "Fail", IF(OR((J47/I47=0.1), (J47/I47=12.5), (J47&lt;&gt;K47)), "Pass", "Please explain")))</f>
        <v/>
      </c>
      <c r="R47" s="589"/>
      <c r="S47" s="1251"/>
      <c r="T47" s="544"/>
    </row>
    <row r="48" spans="1:20" ht="15" customHeight="1" x14ac:dyDescent="0.25">
      <c r="A48" s="545"/>
      <c r="B48" s="336" t="s">
        <v>553</v>
      </c>
      <c r="C48" s="321"/>
      <c r="D48" s="321"/>
      <c r="E48" s="798"/>
      <c r="F48" s="319"/>
      <c r="G48" s="319"/>
      <c r="H48" s="321"/>
      <c r="I48" s="792"/>
      <c r="J48" s="792"/>
      <c r="K48" s="811" t="str">
        <f>IF(ISNUMBER(J48),J48,"")</f>
        <v/>
      </c>
      <c r="L48" s="811" t="str">
        <f>IF(ISNUMBER(J48),J48,"")</f>
        <v/>
      </c>
      <c r="M48" s="321"/>
      <c r="N48" s="795" t="str">
        <f t="shared" si="13"/>
        <v/>
      </c>
      <c r="O48" s="795" t="str">
        <f t="shared" si="14"/>
        <v/>
      </c>
      <c r="P48" s="588"/>
      <c r="Q48" s="259"/>
      <c r="R48" s="588"/>
      <c r="S48" s="259"/>
      <c r="T48" s="544"/>
    </row>
    <row r="49" spans="1:20" ht="15" customHeight="1" x14ac:dyDescent="0.25">
      <c r="A49" s="545"/>
      <c r="B49" s="334" t="s">
        <v>568</v>
      </c>
      <c r="C49" s="321"/>
      <c r="D49" s="321"/>
      <c r="E49" s="798"/>
      <c r="F49" s="319"/>
      <c r="G49" s="319"/>
      <c r="H49" s="321"/>
      <c r="I49" s="792"/>
      <c r="J49" s="792"/>
      <c r="K49" s="811" t="str">
        <f>IF(ISNUMBER(J49),J49,"")</f>
        <v/>
      </c>
      <c r="L49" s="811" t="str">
        <f>IF(ISNUMBER(J49),J49,"")</f>
        <v/>
      </c>
      <c r="M49" s="321"/>
      <c r="N49" s="795" t="str">
        <f t="shared" si="13"/>
        <v/>
      </c>
      <c r="O49" s="795" t="str">
        <f>IF(AND(ISNUMBER(I49), ISNUMBER(J49), I49&lt;&gt;0,I49&lt;&gt;0), IF(J49/I49=12.5, "Pass", "Fail"), "")</f>
        <v/>
      </c>
      <c r="P49" s="588"/>
      <c r="Q49" s="259"/>
      <c r="R49" s="588"/>
      <c r="S49" s="259"/>
      <c r="T49" s="544"/>
    </row>
    <row r="50" spans="1:20" ht="15" customHeight="1" x14ac:dyDescent="0.25">
      <c r="A50" s="545"/>
      <c r="B50" s="2802" t="s">
        <v>968</v>
      </c>
      <c r="C50" s="2802"/>
      <c r="D50" s="2802"/>
      <c r="E50" s="820" t="str">
        <f>IF(AND(ISNUMBER(E44), ISNUMBER(C8)),IF(E44&lt;=C8, "Pass", "Fail"), "")</f>
        <v/>
      </c>
      <c r="F50" s="324"/>
      <c r="G50" s="335"/>
      <c r="H50" s="335"/>
      <c r="I50" s="335"/>
      <c r="J50" s="335"/>
      <c r="K50" s="324"/>
      <c r="L50" s="324"/>
      <c r="M50" s="324"/>
      <c r="N50" s="324"/>
      <c r="O50" s="324"/>
      <c r="P50" s="324"/>
      <c r="Q50" s="324"/>
      <c r="R50" s="324"/>
      <c r="S50" s="324"/>
      <c r="T50" s="544"/>
    </row>
    <row r="51" spans="1:20" ht="15" customHeight="1" x14ac:dyDescent="0.25">
      <c r="A51" s="545"/>
      <c r="B51" s="1441" t="str">
        <f>"Of the amount in row " &amp; ROW(B44) &amp; ", amount subject to the final standards"</f>
        <v>Of the amount in row 44, amount subject to the final standards</v>
      </c>
      <c r="C51" s="1442"/>
      <c r="D51" s="1442"/>
      <c r="E51" s="792"/>
      <c r="F51" s="792"/>
      <c r="G51" s="1443"/>
      <c r="H51" s="1443"/>
      <c r="I51" s="1443"/>
      <c r="J51" s="1443"/>
      <c r="K51" s="1443"/>
      <c r="L51" s="1443"/>
      <c r="M51" s="1443"/>
      <c r="N51" s="1443"/>
      <c r="O51" s="1443"/>
      <c r="P51" s="1443"/>
      <c r="Q51" s="1443"/>
      <c r="R51" s="1443"/>
      <c r="S51" s="1443"/>
      <c r="T51" s="544"/>
    </row>
    <row r="52" spans="1:20" ht="15" customHeight="1" x14ac:dyDescent="0.25">
      <c r="A52" s="545"/>
      <c r="B52" s="2802" t="str">
        <f>"Check: deductions reported in row " &amp; ROW(B51) &amp; " less or equal than deductions reported in row " &amp; ROW(B44)</f>
        <v>Check: deductions reported in row 51 less or equal than deductions reported in row 44</v>
      </c>
      <c r="C52" s="2802"/>
      <c r="D52" s="2802"/>
      <c r="E52" s="820" t="str">
        <f>IF(AND(ISNUMBER(E51), ISNUMBER(E44)),IF(E51&lt;=E44, "Pass", "Fail"), "")</f>
        <v/>
      </c>
      <c r="F52" s="820" t="str">
        <f>IF(AND(ISNUMBER(F51), ISNUMBER(F44)),IF(F51&lt;=F44, "Pass", "Fail"), "")</f>
        <v/>
      </c>
      <c r="G52" s="335"/>
      <c r="H52" s="335"/>
      <c r="I52" s="335"/>
      <c r="J52" s="335"/>
      <c r="K52" s="324"/>
      <c r="L52" s="324"/>
      <c r="M52" s="324"/>
      <c r="N52" s="324"/>
      <c r="O52" s="324"/>
      <c r="P52" s="324"/>
      <c r="Q52" s="324"/>
      <c r="R52" s="324"/>
      <c r="S52" s="324"/>
      <c r="T52" s="544"/>
    </row>
    <row r="53" spans="1:20" ht="15" customHeight="1" x14ac:dyDescent="0.25">
      <c r="A53" s="1036"/>
      <c r="B53" s="1356"/>
      <c r="C53" s="1356"/>
      <c r="D53" s="1356"/>
      <c r="E53" s="1356"/>
      <c r="F53" s="1356"/>
      <c r="G53" s="1356"/>
      <c r="H53" s="1356"/>
      <c r="I53" s="1356"/>
      <c r="J53" s="1356"/>
      <c r="K53" s="1356"/>
      <c r="L53" s="1356"/>
      <c r="M53" s="1356"/>
      <c r="N53" s="1356"/>
      <c r="O53" s="1356"/>
      <c r="P53" s="1356"/>
      <c r="Q53" s="977"/>
      <c r="R53" s="1356"/>
      <c r="S53" s="977"/>
      <c r="T53" s="609"/>
    </row>
    <row r="54" spans="1:20" ht="45" customHeight="1" x14ac:dyDescent="0.25">
      <c r="A54" s="1018" t="s">
        <v>2166</v>
      </c>
      <c r="B54" s="365"/>
      <c r="C54" s="1356"/>
      <c r="D54" s="1356"/>
      <c r="E54" s="1356"/>
      <c r="F54" s="1356"/>
      <c r="G54" s="1356"/>
      <c r="H54" s="1356"/>
      <c r="I54" s="1356"/>
      <c r="J54" s="1356"/>
      <c r="K54" s="1356"/>
      <c r="L54" s="1356"/>
      <c r="M54" s="1356"/>
      <c r="N54" s="365"/>
      <c r="O54" s="477"/>
      <c r="P54" s="477"/>
      <c r="Q54" s="477"/>
      <c r="R54" s="477"/>
      <c r="S54" s="477"/>
      <c r="T54" s="785"/>
    </row>
    <row r="55" spans="1:20" ht="15" customHeight="1" x14ac:dyDescent="0.25">
      <c r="A55" s="545"/>
      <c r="B55" s="1066"/>
      <c r="C55" s="1361" t="s">
        <v>505</v>
      </c>
      <c r="D55" s="1361"/>
      <c r="E55" s="1361"/>
      <c r="F55" s="2812"/>
      <c r="G55" s="2812"/>
      <c r="H55" s="2812"/>
      <c r="I55" s="2812"/>
      <c r="J55" s="2812"/>
      <c r="K55" s="2812"/>
      <c r="L55" s="2812"/>
      <c r="M55" s="2812"/>
      <c r="N55" s="477"/>
      <c r="O55" s="477"/>
      <c r="P55" s="477"/>
      <c r="Q55" s="477"/>
      <c r="R55" s="477"/>
      <c r="S55" s="477"/>
      <c r="T55" s="544"/>
    </row>
    <row r="56" spans="1:20" ht="15" customHeight="1" x14ac:dyDescent="0.25">
      <c r="A56" s="545"/>
      <c r="B56" s="192"/>
      <c r="C56" s="2822" t="s">
        <v>116</v>
      </c>
      <c r="D56" s="2823" t="s">
        <v>561</v>
      </c>
      <c r="E56" s="2823"/>
      <c r="F56" s="2823"/>
      <c r="G56" s="2823"/>
      <c r="H56" s="2823"/>
      <c r="I56" s="2820" t="s">
        <v>41</v>
      </c>
      <c r="J56" s="1373" t="s">
        <v>570</v>
      </c>
      <c r="K56" s="2810" t="s">
        <v>525</v>
      </c>
      <c r="L56" s="2811"/>
      <c r="M56" s="2821" t="s">
        <v>566</v>
      </c>
      <c r="N56" s="477"/>
      <c r="O56" s="477"/>
      <c r="P56" s="477"/>
      <c r="Q56" s="477"/>
      <c r="R56" s="477"/>
      <c r="S56" s="477"/>
      <c r="T56" s="544"/>
    </row>
    <row r="57" spans="1:20" ht="45" customHeight="1" x14ac:dyDescent="0.25">
      <c r="A57" s="545"/>
      <c r="B57" s="1374"/>
      <c r="C57" s="2822"/>
      <c r="D57" s="1357" t="s">
        <v>562</v>
      </c>
      <c r="E57" s="1357" t="s">
        <v>563</v>
      </c>
      <c r="F57" s="1357" t="s">
        <v>1061</v>
      </c>
      <c r="G57" s="1357" t="s">
        <v>564</v>
      </c>
      <c r="H57" s="1357" t="s">
        <v>565</v>
      </c>
      <c r="I57" s="2820"/>
      <c r="J57" s="582" t="s">
        <v>555</v>
      </c>
      <c r="K57" s="1357" t="s">
        <v>527</v>
      </c>
      <c r="L57" s="1357" t="s">
        <v>528</v>
      </c>
      <c r="M57" s="2821"/>
      <c r="N57" s="477"/>
      <c r="O57" s="477"/>
      <c r="P57" s="477"/>
      <c r="Q57" s="477"/>
      <c r="R57" s="477"/>
      <c r="S57" s="477"/>
      <c r="T57" s="544"/>
    </row>
    <row r="58" spans="1:20" ht="15" customHeight="1" x14ac:dyDescent="0.25">
      <c r="A58" s="545"/>
      <c r="B58" s="812" t="s">
        <v>529</v>
      </c>
      <c r="C58" s="728" t="str">
        <f>IF(AND(ISNUMBER(D58),ISNUMBER(E58),ISNUMBER(F58),ISNUMBER(G58), ISNUMBER(H58)),SUM(D58,E58,F58,G58,H58),"")</f>
        <v/>
      </c>
      <c r="D58" s="813"/>
      <c r="E58" s="814"/>
      <c r="F58" s="813"/>
      <c r="G58" s="813"/>
      <c r="H58" s="813"/>
      <c r="I58" s="813"/>
      <c r="J58" s="1375"/>
      <c r="K58" s="798"/>
      <c r="L58" s="798"/>
      <c r="M58" s="815" t="str">
        <f>IF(ISNUMBER(J58), J58+K58+L58, "")</f>
        <v/>
      </c>
      <c r="N58" s="477"/>
      <c r="O58" s="477"/>
      <c r="P58" s="477"/>
      <c r="Q58" s="477"/>
      <c r="R58" s="477"/>
      <c r="S58" s="477"/>
      <c r="T58" s="544"/>
    </row>
    <row r="59" spans="1:20" ht="15" customHeight="1" x14ac:dyDescent="0.25">
      <c r="A59" s="545"/>
      <c r="B59" s="816" t="s">
        <v>530</v>
      </c>
      <c r="C59" s="728" t="str">
        <f t="shared" ref="C59:C60" si="15">IF(AND(ISNUMBER(D59),ISNUMBER(E59),ISNUMBER(F59),ISNUMBER(G59), ISNUMBER(H59)),SUM(D59,E59,F59,G59,H59),"")</f>
        <v/>
      </c>
      <c r="D59" s="247"/>
      <c r="E59" s="247"/>
      <c r="F59" s="247"/>
      <c r="G59" s="247"/>
      <c r="H59" s="247"/>
      <c r="I59" s="247"/>
      <c r="J59" s="1375"/>
      <c r="K59" s="798"/>
      <c r="L59" s="798"/>
      <c r="M59" s="203" t="str">
        <f>IF(ISNUMBER(J59), J59+K59+L59, "")</f>
        <v/>
      </c>
      <c r="N59" s="477"/>
      <c r="O59" s="477"/>
      <c r="P59" s="477"/>
      <c r="Q59" s="477"/>
      <c r="R59" s="477"/>
      <c r="S59" s="477"/>
      <c r="T59" s="544"/>
    </row>
    <row r="60" spans="1:20" ht="15" customHeight="1" x14ac:dyDescent="0.25">
      <c r="A60" s="545"/>
      <c r="B60" s="817" t="s">
        <v>531</v>
      </c>
      <c r="C60" s="728" t="str">
        <f t="shared" si="15"/>
        <v/>
      </c>
      <c r="D60" s="199"/>
      <c r="E60" s="199"/>
      <c r="F60" s="199"/>
      <c r="G60" s="199"/>
      <c r="H60" s="199"/>
      <c r="I60" s="199"/>
      <c r="J60" s="1375"/>
      <c r="K60" s="798"/>
      <c r="L60" s="798"/>
      <c r="M60" s="357" t="str">
        <f>IF(ISNUMBER(J60), J60+K60+L60, "")</f>
        <v/>
      </c>
      <c r="N60" s="477"/>
      <c r="O60" s="477"/>
      <c r="P60" s="477"/>
      <c r="Q60" s="477"/>
      <c r="R60" s="477"/>
      <c r="S60" s="477"/>
      <c r="T60" s="544"/>
    </row>
    <row r="61" spans="1:20" ht="15" customHeight="1" x14ac:dyDescent="0.25">
      <c r="A61" s="545"/>
      <c r="B61" s="1376" t="s">
        <v>116</v>
      </c>
      <c r="C61" s="729" t="str">
        <f>IF(AND(ISNUMBER(C58),ISNUMBER(C59),ISNUMBER(C60)), SUM(C58,C59,C60),"")</f>
        <v/>
      </c>
      <c r="D61" s="1358" t="str">
        <f>IF(AND(ISNUMBER(D58),ISNUMBER(D59),ISNUMBER(D60)), SUM(D58,D59,D60),"")</f>
        <v/>
      </c>
      <c r="E61" s="1358" t="str">
        <f>IF(AND(ISNUMBER(E58),ISNUMBER(E59),ISNUMBER(E60)), SUM(E58,E59,E60),"")</f>
        <v/>
      </c>
      <c r="F61" s="1358" t="str">
        <f>IF(AND(ISNUMBER(F58),ISNUMBER(F59),ISNUMBER(F60)), SUM(F58,F59,F60),"")</f>
        <v/>
      </c>
      <c r="G61" s="1358" t="str">
        <f t="shared" ref="G61:J61" si="16">IF(AND(ISNUMBER(G58),ISNUMBER(G59), ISNUMBER(G60)), SUM(G58,G59,G60),"")</f>
        <v/>
      </c>
      <c r="H61" s="1358" t="str">
        <f t="shared" si="16"/>
        <v/>
      </c>
      <c r="I61" s="1358" t="str">
        <f>IF(AND(ISNUMBER(I58),ISNUMBER(I59), ISNUMBER(I60)), SUM(I58,I59,I60),"")</f>
        <v/>
      </c>
      <c r="J61" s="1358" t="str">
        <f t="shared" si="16"/>
        <v/>
      </c>
      <c r="K61" s="1358" t="str">
        <f>IF(AND(ISNUMBER(K58),ISNUMBER(K59), ISNUMBER(K60)), SUM(K58,K59,K60),"")</f>
        <v/>
      </c>
      <c r="L61" s="1358" t="str">
        <f>IF(AND(ISNUMBER(L58),ISNUMBER(L59), ISNUMBER(L60)), SUM(L58,L59,L60),"")</f>
        <v/>
      </c>
      <c r="M61" s="1377" t="str">
        <f>IF(AND(ISNUMBER(M58),ISNUMBER(M59), ISNUMBER(M60)), SUM(M58,M59,M60),"")</f>
        <v/>
      </c>
      <c r="N61" s="477"/>
      <c r="O61" s="477"/>
      <c r="P61" s="477"/>
      <c r="Q61" s="477"/>
      <c r="R61" s="477"/>
      <c r="T61" s="544"/>
    </row>
    <row r="62" spans="1:20" ht="15" customHeight="1" x14ac:dyDescent="0.25">
      <c r="A62" s="545"/>
      <c r="B62" s="727" t="s">
        <v>969</v>
      </c>
      <c r="C62" s="818" t="str">
        <f>IF(AND(ISNUMBER(E31),ISNUMBER(C61)),IF(E31=C61, "Pass","Fail"), "")</f>
        <v/>
      </c>
      <c r="D62" s="819" t="str">
        <f>IF(AND(ISNUMBER(E30),ISNUMBER(D61)),IF(E30=D61, "Pass", "Fail"), "")</f>
        <v/>
      </c>
      <c r="E62" s="819" t="str">
        <f>IF(AND(ISNUMBER(E20),ISNUMBER(E26),ISNUMBER(E61)), IF(SUM(E20,E26)=E61, "Pass", "Fail"), "")</f>
        <v/>
      </c>
      <c r="F62" s="819" t="str">
        <f>IF(AND(ISNUMBER(E21),ISNUMBER(E27),ISNUMBER(F61)), IF(SUM(E21,E27)=F61, "Pass", "Fail"), "")</f>
        <v/>
      </c>
      <c r="G62" s="819" t="str">
        <f>IF(AND(ISNUMBER(E22), ISNUMBER(E28), ISNUMBER(G61)), IF(E22+E28=G61, "Pass", "Fail"), "")</f>
        <v/>
      </c>
      <c r="H62" s="819" t="str">
        <f>IF(AND(ISNUMBER(E23),ISNUMBER(E29),ISNUMBER(H61)), IF(SUM(E23,E29)=H61, "Pass", "Fail"), "")</f>
        <v/>
      </c>
      <c r="I62" s="819" t="str">
        <f>IF(AND(ISNUMBER(F31),ISNUMBER(I61)), IF(F31=I61, "Pass", "Fail"), "")</f>
        <v/>
      </c>
      <c r="J62" s="732"/>
      <c r="K62" s="732"/>
      <c r="L62" s="732"/>
      <c r="M62" s="733"/>
      <c r="N62" s="477"/>
      <c r="O62" s="477"/>
      <c r="P62" s="477"/>
      <c r="Q62" s="477"/>
      <c r="R62" s="477"/>
      <c r="S62" s="477"/>
      <c r="T62" s="544"/>
    </row>
    <row r="63" spans="1:20" ht="15" customHeight="1" x14ac:dyDescent="0.25">
      <c r="A63" s="545"/>
      <c r="B63" s="373" t="s">
        <v>970</v>
      </c>
      <c r="C63" s="321"/>
      <c r="D63" s="319"/>
      <c r="E63" s="319"/>
      <c r="F63" s="319"/>
      <c r="G63" s="319"/>
      <c r="H63" s="319"/>
      <c r="I63" s="319"/>
      <c r="J63" s="319"/>
      <c r="K63" s="319"/>
      <c r="L63" s="319"/>
      <c r="M63" s="795" t="str">
        <f>IF(AND(ISNUMBER(K61),ISNUMBER(L61),ISNUMBER(E44)),IF(K61+L61=E44, "Pass", "Fail"), "")</f>
        <v/>
      </c>
      <c r="N63" s="477"/>
      <c r="O63" s="477"/>
      <c r="P63" s="477"/>
      <c r="Q63" s="477"/>
      <c r="R63" s="477"/>
      <c r="S63" s="477"/>
      <c r="T63" s="544"/>
    </row>
    <row r="64" spans="1:20" ht="15" customHeight="1" x14ac:dyDescent="0.25">
      <c r="A64" s="545"/>
      <c r="B64" s="374" t="s">
        <v>584</v>
      </c>
      <c r="C64" s="367"/>
      <c r="D64" s="335"/>
      <c r="E64" s="335"/>
      <c r="F64" s="335"/>
      <c r="G64" s="335"/>
      <c r="H64" s="335"/>
      <c r="I64" s="335"/>
      <c r="J64" s="820" t="str">
        <f>IF(AND(ISNUMBER(J61), ISNUMBER(C7)), IF(C7=J61, "Pass", "Fail"),"")</f>
        <v/>
      </c>
      <c r="K64" s="335"/>
      <c r="L64" s="335"/>
      <c r="M64" s="324"/>
      <c r="N64" s="477"/>
      <c r="O64" s="477"/>
      <c r="P64" s="477"/>
      <c r="Q64" s="477"/>
      <c r="R64" s="477"/>
      <c r="S64" s="477"/>
      <c r="T64" s="544"/>
    </row>
    <row r="65" spans="1:20" ht="15" customHeight="1" x14ac:dyDescent="0.25">
      <c r="A65" s="1036"/>
      <c r="B65" s="1244"/>
      <c r="C65" s="1244"/>
      <c r="D65" s="1244"/>
      <c r="E65" s="1244"/>
      <c r="F65" s="1244"/>
      <c r="G65" s="1244"/>
      <c r="H65" s="1244"/>
      <c r="I65" s="1244"/>
      <c r="J65" s="1244"/>
      <c r="K65" s="1244"/>
      <c r="L65" s="1244"/>
      <c r="M65" s="1244"/>
      <c r="N65" s="1244"/>
      <c r="O65" s="1244"/>
      <c r="P65" s="1244"/>
      <c r="Q65" s="1244"/>
      <c r="R65" s="1244"/>
      <c r="S65" s="1244"/>
      <c r="T65" s="609"/>
    </row>
    <row r="66" spans="1:20" ht="15" hidden="1" customHeight="1" x14ac:dyDescent="0.25"/>
    <row r="67" spans="1:20" ht="15" hidden="1" customHeight="1" x14ac:dyDescent="0.25"/>
    <row r="68" spans="1:20" ht="15" hidden="1" customHeight="1" x14ac:dyDescent="0.25"/>
    <row r="69" spans="1:20" ht="15" hidden="1" customHeight="1" x14ac:dyDescent="0.25"/>
    <row r="70" spans="1:20" ht="15" hidden="1" customHeight="1" x14ac:dyDescent="0.25"/>
  </sheetData>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76" priority="11" stopIfTrue="1" operator="lessThan">
      <formula>0</formula>
    </cfRule>
  </conditionalFormatting>
  <conditionalFormatting sqref="A1:T1048576">
    <cfRule type="cellIs" dxfId="75" priority="15" stopIfTrue="1" operator="equal">
      <formula>"Pass"</formula>
    </cfRule>
    <cfRule type="cellIs" dxfId="74" priority="16" stopIfTrue="1" operator="equal">
      <formula>"Warning"</formula>
    </cfRule>
    <cfRule type="cellIs" dxfId="73" priority="18" stopIfTrue="1" operator="equal">
      <formula>"Please explain"</formula>
    </cfRule>
    <cfRule type="cellIs" dxfId="72"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zoomScaleSheetLayoutView="75" workbookViewId="0">
      <pane ySplit="1" topLeftCell="A2" activePane="bottomLeft" state="frozen"/>
      <selection pane="bottomLeft"/>
    </sheetView>
  </sheetViews>
  <sheetFormatPr defaultColWidth="0" defaultRowHeight="14.25" zeroHeight="1" x14ac:dyDescent="0.25"/>
  <cols>
    <col min="1" max="1" width="1.7109375" style="1533" customWidth="1"/>
    <col min="2" max="2" width="95.7109375" style="1487" customWidth="1"/>
    <col min="3" max="6" width="18.7109375" style="193" customWidth="1"/>
    <col min="7" max="7" width="18.7109375" style="1487" customWidth="1"/>
    <col min="8" max="8" width="18.7109375" style="193" customWidth="1"/>
    <col min="9" max="14" width="18.7109375" style="193" hidden="1" customWidth="1"/>
    <col min="15" max="30" width="18.7109375" style="193" customWidth="1"/>
    <col min="31" max="31" width="1.7109375" style="193" customWidth="1"/>
    <col min="32" max="16384" width="16.85546875" hidden="1"/>
  </cols>
  <sheetData>
    <row r="1" spans="1:31" ht="30.75" x14ac:dyDescent="0.25">
      <c r="A1" s="1748" t="s">
        <v>1003</v>
      </c>
      <c r="B1" s="1315"/>
      <c r="C1" s="1062" t="str">
        <f>CONCATENATE("Reporting unit: ", 'General Info'!$C$7, " ", 'General Info'!$C$5)</f>
        <v xml:space="preserve">Reporting unit: 1 </v>
      </c>
      <c r="D1" s="1315"/>
      <c r="E1" s="1315"/>
      <c r="F1" s="1315"/>
      <c r="G1" s="1315"/>
      <c r="H1" s="1315"/>
      <c r="I1" s="1207"/>
      <c r="J1" s="1207"/>
      <c r="K1" s="1207"/>
      <c r="L1" s="1207"/>
      <c r="M1" s="1207"/>
      <c r="N1" s="1207"/>
      <c r="O1" s="1315"/>
      <c r="P1" s="1315"/>
      <c r="Q1" s="1315"/>
      <c r="R1" s="1315"/>
      <c r="S1" s="1315"/>
      <c r="T1" s="1315"/>
      <c r="U1" s="1315"/>
      <c r="V1" s="1315"/>
      <c r="W1" s="1315"/>
      <c r="X1" s="1315"/>
      <c r="Y1" s="1315"/>
      <c r="Z1" s="1315"/>
      <c r="AA1" s="1315"/>
      <c r="AB1" s="1315"/>
      <c r="AC1" s="1315"/>
      <c r="AD1" s="1315"/>
      <c r="AE1" s="1749"/>
    </row>
    <row r="2" spans="1:31" x14ac:dyDescent="0.25">
      <c r="C2" s="1487"/>
      <c r="D2" s="1487"/>
      <c r="E2" s="1487"/>
      <c r="F2" s="1487"/>
      <c r="H2" s="1487"/>
      <c r="I2" s="1487"/>
      <c r="J2" s="1487"/>
      <c r="K2" s="1487"/>
      <c r="L2" s="1487"/>
      <c r="M2" s="1487"/>
      <c r="N2" s="1487"/>
      <c r="O2" s="1487"/>
      <c r="P2" s="1487"/>
      <c r="Q2" s="1487"/>
      <c r="R2" s="1487"/>
      <c r="S2" s="1487"/>
      <c r="T2" s="1487"/>
      <c r="U2" s="1487"/>
      <c r="V2" s="1487"/>
      <c r="W2" s="1487"/>
      <c r="X2" s="1487"/>
      <c r="Y2" s="1487"/>
      <c r="Z2" s="1487"/>
      <c r="AA2" s="1487"/>
      <c r="AB2" s="1487"/>
      <c r="AC2" s="1487"/>
      <c r="AD2" s="1487"/>
      <c r="AE2" s="1739"/>
    </row>
    <row r="3" spans="1:31" ht="30" customHeight="1" x14ac:dyDescent="0.25">
      <c r="A3" s="1349"/>
      <c r="B3" s="1108" t="s">
        <v>1675</v>
      </c>
      <c r="C3" s="1204"/>
      <c r="D3" s="1204"/>
      <c r="E3" s="1204"/>
      <c r="F3" s="1204"/>
      <c r="G3" s="1204"/>
      <c r="I3" s="1487"/>
      <c r="J3" s="1487"/>
      <c r="K3" s="1487"/>
      <c r="L3" s="1487"/>
      <c r="M3" s="1487"/>
      <c r="N3" s="1487"/>
      <c r="O3" s="2112" t="s">
        <v>1674</v>
      </c>
      <c r="P3" s="2113"/>
      <c r="Q3" s="2113"/>
      <c r="R3" s="2113"/>
      <c r="Z3" s="1487"/>
      <c r="AA3" s="1487"/>
      <c r="AB3" s="1487"/>
      <c r="AC3" s="1487"/>
      <c r="AD3" s="1487"/>
      <c r="AE3" s="438"/>
    </row>
    <row r="4" spans="1:31" ht="30" customHeight="1" x14ac:dyDescent="0.25">
      <c r="A4" s="1349"/>
      <c r="B4" s="2103" t="s">
        <v>1098</v>
      </c>
      <c r="C4" s="2099" t="s">
        <v>1671</v>
      </c>
      <c r="D4" s="2100" t="s">
        <v>683</v>
      </c>
      <c r="E4" s="2101" t="s">
        <v>684</v>
      </c>
      <c r="F4" s="2105" t="s">
        <v>1673</v>
      </c>
      <c r="G4" s="2237" t="s">
        <v>1672</v>
      </c>
      <c r="I4" s="1487"/>
      <c r="J4" s="1487"/>
      <c r="K4" s="1487"/>
      <c r="L4" s="1487"/>
      <c r="M4" s="1487"/>
      <c r="N4" s="1487"/>
      <c r="O4" s="2114" t="s">
        <v>1671</v>
      </c>
      <c r="P4" s="2115" t="s">
        <v>683</v>
      </c>
      <c r="Q4" s="2116" t="s">
        <v>684</v>
      </c>
      <c r="R4" s="2117"/>
      <c r="Z4" s="1487"/>
      <c r="AA4" s="1487"/>
      <c r="AB4" s="1487"/>
      <c r="AC4" s="1487"/>
      <c r="AD4" s="1487"/>
      <c r="AE4" s="438"/>
    </row>
    <row r="5" spans="1:31" ht="15" customHeight="1" x14ac:dyDescent="0.25">
      <c r="A5" s="1349"/>
      <c r="B5" s="1754" t="s">
        <v>129</v>
      </c>
      <c r="C5" s="2014" t="str">
        <f>IF('General Info'!$C$19="Yes", "Yes", "No")</f>
        <v>No</v>
      </c>
      <c r="D5" s="1750" t="str">
        <f>IF('General Info'!$C$24="Yes", "Yes", "No")</f>
        <v>No</v>
      </c>
      <c r="E5" s="1887" t="str">
        <f>IF(AND('General Info'!$C$28="Yes", OR('General Info'!$C$19="Yes", 'General Info'!$C$24="Yes")), "Yes", "No")</f>
        <v>No</v>
      </c>
      <c r="F5" s="2106"/>
      <c r="G5" s="2109"/>
      <c r="I5" s="1487"/>
      <c r="J5" s="1487"/>
      <c r="K5" s="1487"/>
      <c r="L5" s="1487"/>
      <c r="M5" s="1487"/>
      <c r="N5" s="1487"/>
      <c r="O5" s="2118" t="str">
        <f>IF(AND(C5="Yes", 'Supervisory information'!$C$41="Yes"), "Yes", "No")</f>
        <v>No</v>
      </c>
      <c r="P5" s="2119" t="str">
        <f>IF(AND(D5="Yes", 'Supervisory information'!$C$41="Yes"), "Yes", "No")</f>
        <v>No</v>
      </c>
      <c r="Q5" s="2120" t="str">
        <f>IF(AND(E5="Yes", 'Supervisory information'!$C$41="Yes"), "Yes", "No")</f>
        <v>No</v>
      </c>
      <c r="R5" s="2121"/>
      <c r="Z5" s="1487"/>
      <c r="AA5" s="1487"/>
      <c r="AB5" s="1487"/>
      <c r="AC5" s="1487"/>
      <c r="AD5" s="1487"/>
      <c r="AE5" s="438"/>
    </row>
    <row r="6" spans="1:31" ht="15" customHeight="1" x14ac:dyDescent="0.25">
      <c r="A6" s="1349"/>
      <c r="B6" s="1754" t="s">
        <v>1052</v>
      </c>
      <c r="C6" s="279"/>
      <c r="D6" s="1751" t="str">
        <f>IF(OR('General Info'!$C$25="Yes", 'General Info'!$C$26="Yes"), "Yes", "No")</f>
        <v>No</v>
      </c>
      <c r="E6" s="1297"/>
      <c r="F6" s="2107" t="str">
        <f>IF('General Info'!C11="Yes", "Yes", "No")</f>
        <v>No</v>
      </c>
      <c r="G6" s="2110" t="str">
        <f>IF('General Info'!D12="Yes", "Yes", "No")</f>
        <v>No</v>
      </c>
      <c r="I6" s="1487"/>
      <c r="J6" s="1487"/>
      <c r="K6" s="1487"/>
      <c r="L6" s="1487"/>
      <c r="M6" s="1487"/>
      <c r="N6" s="1487"/>
      <c r="O6" s="2122"/>
      <c r="P6" s="2123" t="str">
        <f>IF(AND(D6="Yes", 'Supervisory information'!$C$41="Yes"), "Yes", "No")</f>
        <v>No</v>
      </c>
      <c r="Q6" s="2124"/>
      <c r="R6" s="2124"/>
      <c r="Z6" s="1487"/>
      <c r="AA6" s="1487"/>
      <c r="AB6" s="1487"/>
      <c r="AC6" s="1487"/>
      <c r="AD6" s="1487"/>
      <c r="AE6" s="438"/>
    </row>
    <row r="7" spans="1:31" ht="15" customHeight="1" x14ac:dyDescent="0.25">
      <c r="A7" s="1349"/>
      <c r="B7" s="2013" t="s">
        <v>1053</v>
      </c>
      <c r="C7" s="2015" t="str">
        <f>IF(OR('General Info'!$C$20="Yes", 'General Info'!$C$21="Yes", 'General Info'!$C$22="Yes"), "Yes", "No")</f>
        <v>No</v>
      </c>
      <c r="D7" s="1752" t="str">
        <f>IF('General Info'!$C$27="Yes", "Yes", "No")</f>
        <v>No</v>
      </c>
      <c r="E7" s="22"/>
      <c r="F7" s="2108"/>
      <c r="G7" s="2111"/>
      <c r="I7" s="1487"/>
      <c r="J7" s="1487"/>
      <c r="K7" s="1487"/>
      <c r="L7" s="1487"/>
      <c r="M7" s="1487"/>
      <c r="N7" s="1487"/>
      <c r="O7" s="2125" t="str">
        <f>IF(AND(C7="Yes", 'Supervisory information'!$C$41="Yes"), "Yes", "No")</f>
        <v>No</v>
      </c>
      <c r="P7" s="2126" t="str">
        <f>IF(AND(D7="Yes", 'Supervisory information'!$C$41="Yes"), "Yes", "No")</f>
        <v>No</v>
      </c>
      <c r="Q7" s="2127"/>
      <c r="R7" s="2127"/>
      <c r="Z7" s="1487"/>
      <c r="AA7" s="1487"/>
      <c r="AB7" s="1487"/>
      <c r="AC7" s="1487"/>
      <c r="AD7" s="1487"/>
      <c r="AE7" s="438"/>
    </row>
    <row r="8" spans="1:31" ht="15" customHeight="1" x14ac:dyDescent="0.25">
      <c r="A8" s="1349"/>
      <c r="B8" s="2103" t="s">
        <v>1099</v>
      </c>
      <c r="C8" s="2877" t="s">
        <v>1103</v>
      </c>
      <c r="D8" s="2877"/>
      <c r="E8" s="2881" t="s">
        <v>1105</v>
      </c>
      <c r="F8" s="2882"/>
      <c r="G8" s="2882"/>
      <c r="I8" s="1487"/>
      <c r="J8" s="1487"/>
      <c r="K8" s="1487"/>
      <c r="L8" s="1487"/>
      <c r="M8" s="1487"/>
      <c r="N8" s="1487"/>
      <c r="O8" s="2878" t="s">
        <v>1103</v>
      </c>
      <c r="P8" s="2878"/>
      <c r="Q8" s="2879" t="s">
        <v>1676</v>
      </c>
      <c r="R8" s="2880"/>
      <c r="Z8" s="1487"/>
      <c r="AA8" s="1487"/>
      <c r="AB8" s="1487"/>
      <c r="AC8" s="1487"/>
      <c r="AD8" s="1487"/>
      <c r="AE8" s="438"/>
    </row>
    <row r="9" spans="1:31" ht="15" customHeight="1" x14ac:dyDescent="0.25">
      <c r="A9" s="1349"/>
      <c r="B9" s="2104"/>
      <c r="C9" s="1753" t="s">
        <v>1101</v>
      </c>
      <c r="D9" s="1750" t="str">
        <f>IF('General Info'!C38="Yes", "Yes", "No")</f>
        <v>No</v>
      </c>
      <c r="E9" s="2885" t="s">
        <v>1057</v>
      </c>
      <c r="F9" s="2886"/>
      <c r="G9" s="1750" t="str">
        <f>IF(AND('General Info'!D40="Yes", 'General Info'!D41="No", 'General Info'!D42="No"), "Yes", "No")</f>
        <v>No</v>
      </c>
      <c r="I9" s="1487"/>
      <c r="J9" s="1487"/>
      <c r="K9" s="1487"/>
      <c r="L9" s="1487"/>
      <c r="M9" s="1487"/>
      <c r="N9" s="1487"/>
      <c r="O9" s="2128" t="s">
        <v>1101</v>
      </c>
      <c r="P9" s="2119" t="str">
        <f>IF(AND(D9="Yes", 'Supervisory information'!$C$43="Yes"), "Yes", "No")</f>
        <v>No</v>
      </c>
      <c r="Q9" s="2129" t="s">
        <v>1057</v>
      </c>
      <c r="R9" s="2120" t="str">
        <f>IF(AND(G9="Yes", 'Supervisory information'!$C$43="Yes"), "Yes", "No")</f>
        <v>No</v>
      </c>
      <c r="Z9" s="1487"/>
      <c r="AA9" s="1487"/>
      <c r="AB9" s="1487"/>
      <c r="AC9" s="1487"/>
      <c r="AD9" s="1487"/>
      <c r="AE9" s="438"/>
    </row>
    <row r="10" spans="1:31" ht="15" customHeight="1" x14ac:dyDescent="0.25">
      <c r="A10" s="1349"/>
      <c r="B10" s="1754"/>
      <c r="C10" s="1754" t="s">
        <v>1102</v>
      </c>
      <c r="D10" s="1751" t="str">
        <f>IF('General Info'!C39="Yes", "Yes", "No")</f>
        <v>No</v>
      </c>
      <c r="E10" s="2887" t="s">
        <v>1058</v>
      </c>
      <c r="F10" s="2888"/>
      <c r="G10" s="1751" t="str">
        <f>IF(AND('General Info'!D40="No", 'General Info'!D41="Yes", 'General Info'!D42="No"), "Yes", "No")</f>
        <v>No</v>
      </c>
      <c r="I10" s="1487"/>
      <c r="J10" s="1487"/>
      <c r="K10" s="1487"/>
      <c r="L10" s="1487"/>
      <c r="M10" s="1487"/>
      <c r="N10" s="1487"/>
      <c r="O10" s="2130" t="s">
        <v>1102</v>
      </c>
      <c r="P10" s="2123" t="str">
        <f>IF(AND(D10="Yes", 'Supervisory information'!$C$43="Yes"), "Yes", "No")</f>
        <v>No</v>
      </c>
      <c r="Q10" s="2131" t="s">
        <v>1058</v>
      </c>
      <c r="R10" s="2132" t="str">
        <f>IF(AND(G10="Yes", 'Supervisory information'!$C$43="Yes"), "Yes", "No")</f>
        <v>No</v>
      </c>
      <c r="Z10" s="1487"/>
      <c r="AA10" s="1487"/>
      <c r="AB10" s="1487"/>
      <c r="AC10" s="1487"/>
      <c r="AD10" s="1487"/>
      <c r="AE10" s="438"/>
    </row>
    <row r="11" spans="1:31" ht="15" customHeight="1" x14ac:dyDescent="0.25">
      <c r="A11" s="1349"/>
      <c r="B11" s="92"/>
      <c r="C11" s="279"/>
      <c r="D11" s="1297"/>
      <c r="E11" s="2887" t="s">
        <v>1104</v>
      </c>
      <c r="F11" s="2888"/>
      <c r="G11" s="1751" t="str">
        <f>IF('General Info'!D42="Yes", "Yes", "No")</f>
        <v>No</v>
      </c>
      <c r="I11" s="1487"/>
      <c r="J11" s="1487"/>
      <c r="K11" s="1487"/>
      <c r="L11" s="1487"/>
      <c r="M11" s="1487"/>
      <c r="N11" s="1487"/>
      <c r="O11" s="2122"/>
      <c r="P11" s="2124"/>
      <c r="Q11" s="2131" t="s">
        <v>1104</v>
      </c>
      <c r="R11" s="2132" t="str">
        <f>IF(AND(G11="Yes", 'Supervisory information'!$C$43="Yes"), "Yes", "No")</f>
        <v>No</v>
      </c>
      <c r="Z11" s="1487"/>
      <c r="AA11" s="1487"/>
      <c r="AB11" s="1487"/>
      <c r="AC11" s="1487"/>
      <c r="AD11" s="1487"/>
      <c r="AE11" s="438"/>
    </row>
    <row r="12" spans="1:31" ht="15" customHeight="1" x14ac:dyDescent="0.25">
      <c r="A12" s="1349"/>
      <c r="B12" s="92"/>
      <c r="C12" s="279"/>
      <c r="D12" s="1297"/>
      <c r="E12" s="2887" t="s">
        <v>1059</v>
      </c>
      <c r="F12" s="2888"/>
      <c r="G12" s="1751" t="str">
        <f>IF(AND('General Info'!D40="Yes", 'General Info'!D41="No", 'General Info'!D42="Yes"), "Yes", "No")</f>
        <v>No</v>
      </c>
      <c r="I12" s="1487"/>
      <c r="J12" s="1487"/>
      <c r="K12" s="1487"/>
      <c r="L12" s="1487"/>
      <c r="M12" s="1487"/>
      <c r="N12" s="1487"/>
      <c r="O12" s="2122"/>
      <c r="P12" s="2124"/>
      <c r="Q12" s="2131" t="s">
        <v>1059</v>
      </c>
      <c r="R12" s="2132" t="str">
        <f>IF(AND(G12="Yes", 'Supervisory information'!$C$43="Yes"), "Yes", "No")</f>
        <v>No</v>
      </c>
      <c r="Z12" s="1487"/>
      <c r="AA12" s="1487"/>
      <c r="AB12" s="1487"/>
      <c r="AC12" s="1487"/>
      <c r="AD12" s="1487"/>
      <c r="AE12" s="438"/>
    </row>
    <row r="13" spans="1:31" ht="15" customHeight="1" x14ac:dyDescent="0.25">
      <c r="A13" s="1349"/>
      <c r="B13" s="1298"/>
      <c r="C13" s="38"/>
      <c r="D13" s="22"/>
      <c r="E13" s="2889" t="s">
        <v>1100</v>
      </c>
      <c r="F13" s="2890"/>
      <c r="G13" s="1752" t="str">
        <f>IF(AND('General Info'!D40="No", 'General Info'!D41="Yes", 'General Info'!D42="Yes"), "Yes", "No")</f>
        <v>No</v>
      </c>
      <c r="I13" s="1487"/>
      <c r="J13" s="1487"/>
      <c r="K13" s="1487"/>
      <c r="L13" s="1487"/>
      <c r="M13" s="1487"/>
      <c r="N13" s="1487"/>
      <c r="O13" s="2133"/>
      <c r="P13" s="2127"/>
      <c r="Q13" s="2134" t="s">
        <v>1100</v>
      </c>
      <c r="R13" s="2135" t="str">
        <f>IF(AND(G13="Yes", 'Supervisory information'!$C$43="Yes"), "Yes", "No")</f>
        <v>No</v>
      </c>
      <c r="Z13" s="1487"/>
      <c r="AA13" s="1487"/>
      <c r="AB13" s="1487"/>
      <c r="AC13" s="1487"/>
      <c r="AD13" s="1487"/>
      <c r="AE13" s="438"/>
    </row>
    <row r="14" spans="1:31" ht="15" hidden="1" customHeight="1" x14ac:dyDescent="0.25">
      <c r="A14" s="1349"/>
      <c r="B14" s="193"/>
      <c r="G14" s="193"/>
      <c r="I14" s="1487"/>
      <c r="J14" s="1487"/>
      <c r="K14" s="1487"/>
      <c r="L14" s="1487"/>
      <c r="M14" s="1487"/>
      <c r="N14" s="1487"/>
      <c r="Z14" s="1487"/>
      <c r="AA14" s="1487"/>
      <c r="AB14" s="1487"/>
      <c r="AC14" s="1487"/>
      <c r="AD14" s="1487"/>
      <c r="AE14" s="438"/>
    </row>
    <row r="15" spans="1:31" ht="15" hidden="1" customHeight="1" x14ac:dyDescent="0.25">
      <c r="A15" s="1349"/>
      <c r="B15" s="193"/>
      <c r="G15" s="193"/>
      <c r="I15" s="1487"/>
      <c r="J15" s="1487"/>
      <c r="K15" s="1487"/>
      <c r="L15" s="1487"/>
      <c r="M15" s="1487"/>
      <c r="N15" s="1487"/>
      <c r="Z15" s="1487"/>
      <c r="AA15" s="1487"/>
      <c r="AB15" s="1487"/>
      <c r="AC15" s="1487"/>
      <c r="AD15" s="1487"/>
      <c r="AE15" s="438"/>
    </row>
    <row r="16" spans="1:31" ht="15" customHeight="1" x14ac:dyDescent="0.25">
      <c r="A16" s="1349"/>
      <c r="B16" s="193"/>
      <c r="G16" s="193"/>
      <c r="I16" s="1487"/>
      <c r="J16" s="1487"/>
      <c r="K16" s="1487"/>
      <c r="L16" s="1487"/>
      <c r="M16" s="1487"/>
      <c r="N16" s="1487"/>
      <c r="Z16" s="1487"/>
      <c r="AA16" s="1487"/>
      <c r="AB16" s="1487"/>
      <c r="AC16" s="1487"/>
      <c r="AD16" s="1487"/>
      <c r="AE16" s="438"/>
    </row>
    <row r="17" spans="1:31" ht="45" customHeight="1" x14ac:dyDescent="0.25">
      <c r="A17" s="1352" t="s">
        <v>2167</v>
      </c>
      <c r="B17" s="1063"/>
      <c r="C17" s="1207"/>
      <c r="D17" s="1207"/>
      <c r="E17" s="1207"/>
      <c r="F17" s="1207"/>
      <c r="G17" s="1207"/>
      <c r="H17" s="1207"/>
      <c r="I17" s="325"/>
      <c r="J17" s="325"/>
      <c r="K17" s="325"/>
      <c r="L17" s="325"/>
      <c r="M17" s="325"/>
      <c r="N17" s="325"/>
      <c r="O17" s="1207"/>
      <c r="P17" s="1207"/>
      <c r="Q17" s="1207"/>
      <c r="R17" s="1207"/>
      <c r="S17" s="1207"/>
      <c r="T17" s="1207"/>
      <c r="U17" s="1207"/>
      <c r="V17" s="1207"/>
      <c r="W17" s="1207"/>
      <c r="X17" s="1207"/>
      <c r="Y17" s="1207"/>
      <c r="Z17" s="1207"/>
      <c r="AA17" s="2253"/>
      <c r="AB17" s="2253"/>
      <c r="AC17" s="2253"/>
      <c r="AD17" s="2253"/>
      <c r="AE17" s="2254"/>
    </row>
    <row r="18" spans="1:31" ht="90" customHeight="1" x14ac:dyDescent="0.25">
      <c r="B18" s="2230"/>
      <c r="C18" s="2883" t="s">
        <v>1665</v>
      </c>
      <c r="D18" s="2883"/>
      <c r="E18" s="2883"/>
      <c r="F18" s="2883"/>
      <c r="G18" s="2883"/>
      <c r="H18" s="2884"/>
      <c r="I18" s="1487"/>
      <c r="J18" s="1487"/>
      <c r="K18" s="1487"/>
      <c r="L18" s="1487"/>
      <c r="M18" s="1487"/>
      <c r="N18" s="1487"/>
      <c r="O18" s="2725" t="s">
        <v>1666</v>
      </c>
      <c r="P18" s="2726"/>
      <c r="Q18" s="2726"/>
      <c r="R18" s="2726"/>
      <c r="S18" s="2726"/>
      <c r="T18" s="2726"/>
      <c r="U18" s="2724" t="s">
        <v>1667</v>
      </c>
      <c r="V18" s="2724"/>
      <c r="W18" s="2724"/>
      <c r="X18" s="2724"/>
      <c r="Y18" s="2724"/>
      <c r="Z18" s="2724"/>
      <c r="AA18" s="2838" t="s">
        <v>1972</v>
      </c>
      <c r="AB18" s="2775"/>
      <c r="AC18" s="2724" t="s">
        <v>1973</v>
      </c>
      <c r="AD18" s="2724"/>
      <c r="AE18" s="2255"/>
    </row>
    <row r="19" spans="1:31" ht="30" customHeight="1" x14ac:dyDescent="0.25">
      <c r="B19" s="2242"/>
      <c r="C19" s="2757" t="s">
        <v>682</v>
      </c>
      <c r="D19" s="2722"/>
      <c r="E19" s="2721" t="s">
        <v>683</v>
      </c>
      <c r="F19" s="2722"/>
      <c r="G19" s="2721" t="s">
        <v>684</v>
      </c>
      <c r="H19" s="2722"/>
      <c r="I19" s="1487"/>
      <c r="J19" s="1487"/>
      <c r="K19" s="1487"/>
      <c r="L19" s="1487"/>
      <c r="M19" s="1487"/>
      <c r="N19" s="1487"/>
      <c r="O19" s="2721" t="s">
        <v>682</v>
      </c>
      <c r="P19" s="2722"/>
      <c r="Q19" s="2721" t="s">
        <v>683</v>
      </c>
      <c r="R19" s="2722"/>
      <c r="S19" s="2721" t="s">
        <v>684</v>
      </c>
      <c r="T19" s="2722"/>
      <c r="U19" s="2721" t="s">
        <v>682</v>
      </c>
      <c r="V19" s="2722"/>
      <c r="W19" s="2721" t="s">
        <v>683</v>
      </c>
      <c r="X19" s="2722"/>
      <c r="Y19" s="2721" t="s">
        <v>684</v>
      </c>
      <c r="Z19" s="2757"/>
      <c r="AA19" s="2721" t="s">
        <v>1982</v>
      </c>
      <c r="AB19" s="2722"/>
      <c r="AC19" s="2721" t="s">
        <v>1982</v>
      </c>
      <c r="AD19" s="2722"/>
      <c r="AE19" s="2255"/>
    </row>
    <row r="20" spans="1:31" ht="30" customHeight="1" x14ac:dyDescent="0.25">
      <c r="B20" s="1836"/>
      <c r="C20" s="2232" t="s">
        <v>685</v>
      </c>
      <c r="D20" s="2235" t="s">
        <v>41</v>
      </c>
      <c r="E20" s="2235" t="s">
        <v>685</v>
      </c>
      <c r="F20" s="2235" t="s">
        <v>41</v>
      </c>
      <c r="G20" s="2235" t="s">
        <v>685</v>
      </c>
      <c r="H20" s="2235" t="s">
        <v>41</v>
      </c>
      <c r="I20" s="1487"/>
      <c r="J20" s="1487"/>
      <c r="K20" s="1487"/>
      <c r="L20" s="1487"/>
      <c r="M20" s="1487"/>
      <c r="N20" s="1487"/>
      <c r="O20" s="2235" t="s">
        <v>685</v>
      </c>
      <c r="P20" s="2235" t="s">
        <v>41</v>
      </c>
      <c r="Q20" s="2235" t="s">
        <v>685</v>
      </c>
      <c r="R20" s="2235" t="s">
        <v>41</v>
      </c>
      <c r="S20" s="2235" t="s">
        <v>685</v>
      </c>
      <c r="T20" s="2235" t="s">
        <v>41</v>
      </c>
      <c r="U20" s="2235" t="s">
        <v>685</v>
      </c>
      <c r="V20" s="2235" t="s">
        <v>41</v>
      </c>
      <c r="W20" s="2235" t="s">
        <v>685</v>
      </c>
      <c r="X20" s="2231" t="s">
        <v>41</v>
      </c>
      <c r="Y20" s="2235" t="s">
        <v>685</v>
      </c>
      <c r="Z20" s="2231" t="s">
        <v>41</v>
      </c>
      <c r="AA20" s="2239" t="s">
        <v>685</v>
      </c>
      <c r="AB20" s="2235" t="s">
        <v>41</v>
      </c>
      <c r="AC20" s="2235" t="s">
        <v>685</v>
      </c>
      <c r="AD20" s="2231" t="s">
        <v>41</v>
      </c>
      <c r="AE20" s="2255"/>
    </row>
    <row r="21" spans="1:31" ht="15" customHeight="1" x14ac:dyDescent="0.25">
      <c r="B21" s="835" t="s">
        <v>894</v>
      </c>
      <c r="C21" s="910">
        <f>IF($C$5="Yes", IF(AND(ISNUMBER(C22), ISNUMBER(C25), ISNUMBER(C28)), C22+C25+C28, ""), 0)</f>
        <v>0</v>
      </c>
      <c r="D21" s="910">
        <f>IF($C$5="Yes", IF(AND(ISNUMBER(D22), ISNUMBER(D25), ISNUMBER(D28)), D22+D25+D28, ""), 0)</f>
        <v>0</v>
      </c>
      <c r="E21" s="910">
        <f>IF($D$5="Yes", IF(AND(ISNUMBER(E22), ISNUMBER(E25), ISNUMBER(E28)), E22+E25+E28, ""), 0)</f>
        <v>0</v>
      </c>
      <c r="F21" s="910">
        <f>IF($D$5="Yes", IF(AND(ISNUMBER(F22), ISNUMBER(F25), ISNUMBER(F28)), F22+F25+F28, ""), 0)</f>
        <v>0</v>
      </c>
      <c r="G21" s="910">
        <f>IF($E$5="Yes", IF(AND(ISNUMBER(G22), ISNUMBER(G25), ISNUMBER(G28)), G22+G25+G28, ""), 0)</f>
        <v>0</v>
      </c>
      <c r="H21" s="910">
        <f>IF($E$5="Yes", IF(AND(ISNUMBER(H22), ISNUMBER(H25), ISNUMBER(H28)), H22+H25+H28, ""), 0)</f>
        <v>0</v>
      </c>
      <c r="I21" s="1487"/>
      <c r="J21" s="1487"/>
      <c r="K21" s="1487"/>
      <c r="L21" s="1487"/>
      <c r="M21" s="1487"/>
      <c r="N21" s="1487"/>
      <c r="O21" s="910">
        <f>IF($C$5="Yes", IF(AND(ISNUMBER(O22), ISNUMBER(O25), ISNUMBER(O28)), O22+O25+O28, ""), 0)</f>
        <v>0</v>
      </c>
      <c r="P21" s="910">
        <f>IF($C$5="Yes", IF(AND(ISNUMBER(P22), ISNUMBER(P25), ISNUMBER(P28)), P22+P25+P28, ""), 0)</f>
        <v>0</v>
      </c>
      <c r="Q21" s="910">
        <f>IF($D$5="Yes", IF(AND(ISNUMBER(Q22), ISNUMBER(Q25), ISNUMBER(Q28)), Q22+Q25+Q28, ""), 0)</f>
        <v>0</v>
      </c>
      <c r="R21" s="910">
        <f>IF($D$5="Yes", IF(AND(ISNUMBER(R22), ISNUMBER(R25), ISNUMBER(R28)), R22+R25+R28, ""), 0)</f>
        <v>0</v>
      </c>
      <c r="S21" s="910">
        <f>IF($E$5="Yes", IF(AND(ISNUMBER(S22), ISNUMBER(S25), ISNUMBER(S28)), S22+S25+S28, ""), 0)</f>
        <v>0</v>
      </c>
      <c r="T21" s="910">
        <f>IF($E$5="Yes", IF(AND(ISNUMBER(T22), ISNUMBER(T25), ISNUMBER(T28)), T22+T25+T28, ""), 0)</f>
        <v>0</v>
      </c>
      <c r="U21" s="910">
        <f>IF($C$5="Yes", IF(AND(ISNUMBER(U22), ISNUMBER(U25), ISNUMBER(U28)), U22+U25+U28, ""), 0)</f>
        <v>0</v>
      </c>
      <c r="V21" s="910">
        <f>IF($C$5="Yes", IF(AND(ISNUMBER(V22), ISNUMBER(V25), ISNUMBER(V28)), V22+V25+V28, ""), 0)</f>
        <v>0</v>
      </c>
      <c r="W21" s="910">
        <f>IF($D$5="Yes", IF(AND(ISNUMBER(W22), ISNUMBER(W25), ISNUMBER(W28)), W22+W25+W28, ""), 0)</f>
        <v>0</v>
      </c>
      <c r="X21" s="910">
        <f>IF($D$5="Yes", IF(AND(ISNUMBER(X22), ISNUMBER(X25), ISNUMBER(X28)), X22+X25+X28, ""), 0)</f>
        <v>0</v>
      </c>
      <c r="Y21" s="846">
        <f>IF($E$5="Yes", IF(AND(ISNUMBER(Y22), ISNUMBER(Y25), ISNUMBER(Y28)), Y22+Y25+Y28, ""), 0)</f>
        <v>0</v>
      </c>
      <c r="Z21" s="915">
        <f>IF($E$5="Yes", IF(AND(ISNUMBER(Z22), ISNUMBER(Z25), ISNUMBER(Z28)), Z22+Z25+Z28, ""), 0)</f>
        <v>0</v>
      </c>
      <c r="AA21" s="2251">
        <f>IF($D$5="Yes", IF(AND(ISNUMBER(AA22), ISNUMBER(AA25), ISNUMBER(AA28)), AA22+AA25+AA28, ""), 0)</f>
        <v>0</v>
      </c>
      <c r="AB21" s="910">
        <f>IF($D$5="Yes", IF(AND(ISNUMBER(AB22), ISNUMBER(AB25), ISNUMBER(AB28)), AB22+AB25+AB28, ""), 0)</f>
        <v>0</v>
      </c>
      <c r="AC21" s="910">
        <f>IF($D$5="Yes", IF(AND(ISNUMBER(AC22), ISNUMBER(AC25), ISNUMBER(AC28)), AC22+AC25+AC28, ""), 0)</f>
        <v>0</v>
      </c>
      <c r="AD21" s="693">
        <f>IF($D$5="Yes", IF(AND(ISNUMBER(AD22), ISNUMBER(AD25), ISNUMBER(AD28)), AD22+AD25+AD28, ""), 0)</f>
        <v>0</v>
      </c>
      <c r="AE21" s="2255"/>
    </row>
    <row r="22" spans="1:31" ht="15" customHeight="1" x14ac:dyDescent="0.25">
      <c r="B22" s="858" t="s">
        <v>895</v>
      </c>
      <c r="C22" s="910">
        <f>IF(AND(OR(G6="No", ISNUMBER(C23)), OR(F6="No", ISNUMBER(C24))), IF(G6="Yes", C23, 0)+IF(F6="Yes", C24, 0), "")</f>
        <v>0</v>
      </c>
      <c r="D22" s="910">
        <f>IF(AND(OR(G6="No", ISNUMBER(D23)), OR(F6="No", ISNUMBER(D24))), IF(G6="Yes", D23, 0)+IF(F6="Yes", D24, 0), "")</f>
        <v>0</v>
      </c>
      <c r="E22" s="910">
        <f>IF(AND(OR(G6="No", ISNUMBER(E23)), OR(F6="No", ISNUMBER(E24))), IF(G6="Yes", E23, 0)+IF(F6="Yes", E24, 0), "")</f>
        <v>0</v>
      </c>
      <c r="F22" s="910">
        <f>IF(AND(OR(G6="No", ISNUMBER(F23)), OR(F6="No", ISNUMBER(F24))), IF(G6="Yes", F23, 0)+IF(F6="Yes", F24, 0), "")</f>
        <v>0</v>
      </c>
      <c r="G22" s="910">
        <f>IF(AND(OR(G6="No", ISNUMBER(G23)), OR(F6="No", ISNUMBER(G24))), IF(G6="Yes", G23, 0)+IF(F6="Yes", G24, 0), "")</f>
        <v>0</v>
      </c>
      <c r="H22" s="910">
        <f>IF(AND(OR(G6="No", ISNUMBER(H23)), OR(F6="No", ISNUMBER(H24))), IF(G6="Yes", H23, 0)+IF(F6="Yes", H24, 0), "")</f>
        <v>0</v>
      </c>
      <c r="I22" s="2074"/>
      <c r="J22" s="2074"/>
      <c r="K22" s="2074"/>
      <c r="L22" s="2074"/>
      <c r="M22" s="2074"/>
      <c r="N22" s="2075"/>
      <c r="O22" s="910">
        <f>IF(AND(OR(G6="No", ISNUMBER(O23)), OR(F6="No", ISNUMBER(O24))), IF(G6="Yes", O23, 0)+IF(F6="Yes", O24, 0), "")</f>
        <v>0</v>
      </c>
      <c r="P22" s="910">
        <f>IF(AND(OR(G6="No", ISNUMBER(P23)), OR(F6="No", ISNUMBER(P24))), IF(G6="Yes", P23, 0)+IF(F6="Yes", P24, 0), "")</f>
        <v>0</v>
      </c>
      <c r="Q22" s="910">
        <f>IF(AND(OR(G6="No", ISNUMBER(Q23)), OR(F6="No", ISNUMBER(Q24))), IF(G6="Yes", Q23, 0)+IF(F6="Yes", Q24, 0), "")</f>
        <v>0</v>
      </c>
      <c r="R22" s="910">
        <f>IF(AND(OR(G6="No", ISNUMBER(R23)), OR(F6="No", ISNUMBER(R24))), IF(G6="Yes", R23, 0)+IF(F6="Yes", R24, 0), "")</f>
        <v>0</v>
      </c>
      <c r="S22" s="910">
        <f>IF(AND(OR(G6="No", ISNUMBER(S23)), OR(F6="No", ISNUMBER(S24))), IF(G6="Yes", S23, 0)+IF(F6="Yes", S24, 0), "")</f>
        <v>0</v>
      </c>
      <c r="T22" s="910">
        <f>IF(AND(OR(G6="No", ISNUMBER(T23)), OR(F6="No", ISNUMBER(T24))), IF(G6="Yes", T23, 0)+IF(F6="Yes", T24, 0), "")</f>
        <v>0</v>
      </c>
      <c r="U22" s="910">
        <f>IF(AND(OR(G6="No", ISNUMBER(U23)), OR(F6="No", ISNUMBER(U24))), IF(G6="Yes", U23, 0)+IF(F6="Yes", U24, 0), "")</f>
        <v>0</v>
      </c>
      <c r="V22" s="910">
        <f>IF(AND(OR(G6="No", ISNUMBER(V23)), OR(F6="No", ISNUMBER(V24))), IF(G6="Yes", V23, 0)+IF(F6="Yes", V24, 0), "")</f>
        <v>0</v>
      </c>
      <c r="W22" s="910">
        <f>IF(AND(OR(G6="No", ISNUMBER(W23)), OR(F6="No", ISNUMBER(W24))), IF(G6="Yes", W23, 0)+IF(F6="Yes", W24, 0), "")</f>
        <v>0</v>
      </c>
      <c r="X22" s="910">
        <f>IF(AND(OR(G6="No", ISNUMBER(X23)), OR(F6="No", ISNUMBER(X24))), IF(G6="Yes", X23, 0)+IF(F6="Yes", X24, 0), "")</f>
        <v>0</v>
      </c>
      <c r="Y22" s="910">
        <f>IF(AND(OR(G6="No", ISNUMBER(Y23)), OR(F6="No", ISNUMBER(Y24))), IF(G6="Yes", Y23, 0)+IF(F6="Yes", Y24, 0), "")</f>
        <v>0</v>
      </c>
      <c r="Z22" s="693">
        <f>IF(AND(OR(G6="No", ISNUMBER(Z23)), OR(F6="No", ISNUMBER(Z24))), IF(G6="Yes", Z23, 0)+IF(F6="Yes", Z24, 0), "")</f>
        <v>0</v>
      </c>
      <c r="AA22" s="2251">
        <f>IF(AND(OR(G6="No", ISNUMBER(AA23)), OR(F6="No", ISNUMBER(AA24))), IF(G6="Yes", AA23, 0)+IF(F6="Yes", AA24, 0), "")</f>
        <v>0</v>
      </c>
      <c r="AB22" s="910">
        <f>IF(AND(OR(G6="No", ISNUMBER(AB23)), OR(F6="No", ISNUMBER(AB24))), IF(G6="Yes", AB23, 0)+IF(F6="Yes", AB24, 0), "")</f>
        <v>0</v>
      </c>
      <c r="AC22" s="910">
        <f>IF(AND(OR(G6="No", ISNUMBER(AC23)), OR(F6="No", ISNUMBER(AC24))), IF(G6="Yes", AC23, 0)+IF(F6="Yes", AC24, 0), "")</f>
        <v>0</v>
      </c>
      <c r="AD22" s="693">
        <f>IF(AND(OR(G6="No", ISNUMBER(AD23)), OR(F6="No", ISNUMBER(AD24))), IF(G6="Yes", AD23, 0)+IF(F6="Yes", AD24, 0), "")</f>
        <v>0</v>
      </c>
      <c r="AE22" s="2255"/>
    </row>
    <row r="23" spans="1:31" ht="15" customHeight="1" x14ac:dyDescent="0.25">
      <c r="B23" s="859" t="s">
        <v>896</v>
      </c>
      <c r="C23" s="35"/>
      <c r="D23" s="25"/>
      <c r="E23" s="25"/>
      <c r="F23" s="25"/>
      <c r="G23" s="25"/>
      <c r="H23" s="25"/>
      <c r="I23" s="1487"/>
      <c r="J23" s="1487"/>
      <c r="K23" s="1487"/>
      <c r="L23" s="1487"/>
      <c r="M23" s="1487"/>
      <c r="N23" s="1487"/>
      <c r="O23" s="25"/>
      <c r="P23" s="25"/>
      <c r="Q23" s="25"/>
      <c r="R23" s="25"/>
      <c r="S23" s="25"/>
      <c r="T23" s="25"/>
      <c r="U23" s="25"/>
      <c r="V23" s="25"/>
      <c r="W23" s="25"/>
      <c r="X23" s="36"/>
      <c r="Y23" s="25"/>
      <c r="Z23" s="36"/>
      <c r="AA23" s="1466"/>
      <c r="AB23" s="25"/>
      <c r="AC23" s="25"/>
      <c r="AD23" s="36"/>
      <c r="AE23" s="2255"/>
    </row>
    <row r="24" spans="1:31" ht="15" customHeight="1" x14ac:dyDescent="0.25">
      <c r="B24" s="859" t="s">
        <v>897</v>
      </c>
      <c r="C24" s="35"/>
      <c r="D24" s="25"/>
      <c r="E24" s="25"/>
      <c r="F24" s="25"/>
      <c r="G24" s="25"/>
      <c r="H24" s="25"/>
      <c r="I24" s="1487"/>
      <c r="J24" s="1487"/>
      <c r="K24" s="1487"/>
      <c r="L24" s="1487"/>
      <c r="M24" s="1487"/>
      <c r="N24" s="1487"/>
      <c r="O24" s="25"/>
      <c r="P24" s="25"/>
      <c r="Q24" s="25"/>
      <c r="R24" s="25"/>
      <c r="S24" s="25"/>
      <c r="T24" s="25"/>
      <c r="U24" s="25"/>
      <c r="V24" s="25"/>
      <c r="W24" s="25"/>
      <c r="X24" s="36"/>
      <c r="Y24" s="25"/>
      <c r="Z24" s="36"/>
      <c r="AA24" s="1466"/>
      <c r="AB24" s="25"/>
      <c r="AC24" s="25"/>
      <c r="AD24" s="36"/>
      <c r="AE24" s="2255"/>
    </row>
    <row r="25" spans="1:31" ht="15" customHeight="1" x14ac:dyDescent="0.25">
      <c r="B25" s="858" t="s">
        <v>898</v>
      </c>
      <c r="C25" s="910">
        <f>IF(AND(OR(G6="No", ISNUMBER(C26)), OR(F6="No", ISNUMBER(C27))), IF(G6="Yes", C26, 0)+IF(F6="Yes", C27, 0), "")</f>
        <v>0</v>
      </c>
      <c r="D25" s="910">
        <f>IF(AND(OR(G6="No", ISNUMBER(D26)), OR(F6="No", ISNUMBER(D27))), IF(G6="Yes", D26, 0)+IF(F6="Yes", D27, 0), "")</f>
        <v>0</v>
      </c>
      <c r="E25" s="910">
        <f>IF(AND(OR(G6="No", ISNUMBER(E26)), OR(F6="No", ISNUMBER(E27))), IF(G6="Yes", E26, 0)+IF(F6="Yes", E27, 0), "")</f>
        <v>0</v>
      </c>
      <c r="F25" s="910">
        <f>IF(AND(OR(G6="No", ISNUMBER(F26)), OR(F6="No", ISNUMBER(F27))), IF(G6="Yes", F26, 0)+IF(F6="Yes", F27, 0), "")</f>
        <v>0</v>
      </c>
      <c r="G25" s="910">
        <f>IF(AND(OR(G6="No", ISNUMBER(G26)), OR(F6="No", ISNUMBER(G27))), IF(G6="Yes", G26, 0)+IF(F6="Yes", G27, 0), "")</f>
        <v>0</v>
      </c>
      <c r="H25" s="910">
        <f>IF(AND(OR(G6="No", ISNUMBER(H26)), OR(F6="No", ISNUMBER(H27))), IF(G6="Yes", H26, 0)+IF(F6="Yes", H27, 0), "")</f>
        <v>0</v>
      </c>
      <c r="I25" s="2074"/>
      <c r="J25" s="2074"/>
      <c r="K25" s="2074"/>
      <c r="L25" s="2074"/>
      <c r="M25" s="2074"/>
      <c r="N25" s="2075"/>
      <c r="O25" s="910">
        <f>IF(AND(OR(G6="No", ISNUMBER(O26)), OR(F6="No", ISNUMBER(O27))), IF(G6="Yes", O26, 0)+IF(F6="Yes", O27, 0), "")</f>
        <v>0</v>
      </c>
      <c r="P25" s="910">
        <f>IF(AND(OR(G6="No", ISNUMBER(P26)), OR(F6="No", ISNUMBER(P27))), IF(G6="Yes", P26, 0)+IF(F6="Yes", P27, 0), "")</f>
        <v>0</v>
      </c>
      <c r="Q25" s="910">
        <f>IF(AND(OR(G6="No", ISNUMBER(Q26)), OR(F6="No", ISNUMBER(Q27))), IF(G6="Yes", Q26, 0)+IF(F6="Yes", Q27, 0), "")</f>
        <v>0</v>
      </c>
      <c r="R25" s="910">
        <f>IF(AND(OR(G6="No", ISNUMBER(R26)), OR(F6="No", ISNUMBER(R27))), IF(G6="Yes", R26, 0)+IF(F6="Yes", R27, 0), "")</f>
        <v>0</v>
      </c>
      <c r="S25" s="910">
        <f>IF(AND(OR(G6="No", ISNUMBER(S26)), OR(F6="No", ISNUMBER(S27))), IF(G6="Yes", S26, 0)+IF(F6="Yes", S27, 0), "")</f>
        <v>0</v>
      </c>
      <c r="T25" s="910">
        <f>IF(AND(OR(G6="No", ISNUMBER(T26)), OR(F6="No", ISNUMBER(T27))), IF(G6="Yes", T26, 0)+IF(F6="Yes", T27, 0), "")</f>
        <v>0</v>
      </c>
      <c r="U25" s="910">
        <f>IF(AND(OR(G6="No", ISNUMBER(U26)), OR(F6="No", ISNUMBER(U27))), IF(G6="Yes", U26, 0)+IF(F6="Yes", U27, 0), "")</f>
        <v>0</v>
      </c>
      <c r="V25" s="910">
        <f>IF(AND(OR(G6="No", ISNUMBER(V26)), OR(F6="No", ISNUMBER(V27))), IF(G6="Yes", V26, 0)+IF(F6="Yes", V27, 0), "")</f>
        <v>0</v>
      </c>
      <c r="W25" s="910">
        <f>IF(AND(OR(G6="No", ISNUMBER(W26)), OR(F6="No", ISNUMBER(W27))), IF(G6="Yes", W26, 0)+IF(F6="Yes", W27, 0), "")</f>
        <v>0</v>
      </c>
      <c r="X25" s="910">
        <f>IF(AND(OR(G6="No", ISNUMBER(X26)), OR(F6="No", ISNUMBER(X27))), IF(G6="Yes", X26, 0)+IF(F6="Yes", X27, 0), "")</f>
        <v>0</v>
      </c>
      <c r="Y25" s="910">
        <f>IF(AND(OR(G6="No", ISNUMBER(Y26)), OR(F6="No", ISNUMBER(Y27))), IF(G6="Yes", Y26, 0)+IF(F6="Yes", Y27, 0), "")</f>
        <v>0</v>
      </c>
      <c r="Z25" s="693">
        <f>IF(AND(OR(G6="No", ISNUMBER(Z26)), OR(F6="No", ISNUMBER(Z27))), IF(G6="Yes", Z26, 0)+IF(F6="Yes", Z27, 0), "")</f>
        <v>0</v>
      </c>
      <c r="AA25" s="2251">
        <f>IF(AND(OR(G6="No", ISNUMBER(AA26)), OR(F6="No", ISNUMBER(AA27))), IF(G6="Yes", AA26, 0)+IF(F6="Yes", AA27, 0), "")</f>
        <v>0</v>
      </c>
      <c r="AB25" s="910">
        <f>IF(AND(OR(G6="No", ISNUMBER(AB26)), OR(F6="No", ISNUMBER(AB27))), IF(G6="Yes", AB26, 0)+IF(F6="Yes", AB27, 0), "")</f>
        <v>0</v>
      </c>
      <c r="AC25" s="910">
        <f>IF(AND(OR(G6="No", ISNUMBER(AC26)), OR(F6="No", ISNUMBER(AC27))), IF(G6="Yes", AC26, 0)+IF(F6="Yes", AC27, 0), "")</f>
        <v>0</v>
      </c>
      <c r="AD25" s="693">
        <f>IF(AND(OR(G6="No", ISNUMBER(AD26)), OR(F6="No", ISNUMBER(AD27))), IF(G6="Yes", AD26, 0)+IF(F6="Yes", AD27, 0), "")</f>
        <v>0</v>
      </c>
      <c r="AE25" s="2255"/>
    </row>
    <row r="26" spans="1:31" ht="15" customHeight="1" x14ac:dyDescent="0.25">
      <c r="B26" s="859" t="s">
        <v>896</v>
      </c>
      <c r="C26" s="35"/>
      <c r="D26" s="25"/>
      <c r="E26" s="25"/>
      <c r="F26" s="25"/>
      <c r="G26" s="25"/>
      <c r="H26" s="25"/>
      <c r="I26" s="1487"/>
      <c r="J26" s="1487"/>
      <c r="K26" s="1487"/>
      <c r="L26" s="1487"/>
      <c r="M26" s="1487"/>
      <c r="N26" s="1487"/>
      <c r="O26" s="25"/>
      <c r="P26" s="25"/>
      <c r="Q26" s="25"/>
      <c r="R26" s="25"/>
      <c r="S26" s="25"/>
      <c r="T26" s="25"/>
      <c r="U26" s="25"/>
      <c r="V26" s="25"/>
      <c r="W26" s="25"/>
      <c r="X26" s="36"/>
      <c r="Y26" s="25"/>
      <c r="Z26" s="36"/>
      <c r="AA26" s="1466"/>
      <c r="AB26" s="25"/>
      <c r="AC26" s="25"/>
      <c r="AD26" s="36"/>
      <c r="AE26" s="2255"/>
    </row>
    <row r="27" spans="1:31" ht="15" customHeight="1" x14ac:dyDescent="0.25">
      <c r="B27" s="859" t="s">
        <v>897</v>
      </c>
      <c r="C27" s="35"/>
      <c r="D27" s="25"/>
      <c r="E27" s="25"/>
      <c r="F27" s="25"/>
      <c r="G27" s="25"/>
      <c r="H27" s="25"/>
      <c r="I27" s="1487"/>
      <c r="J27" s="1487"/>
      <c r="K27" s="1487"/>
      <c r="L27" s="1487"/>
      <c r="M27" s="1487"/>
      <c r="N27" s="1487"/>
      <c r="O27" s="25"/>
      <c r="P27" s="25"/>
      <c r="Q27" s="25"/>
      <c r="R27" s="25"/>
      <c r="S27" s="25"/>
      <c r="T27" s="25"/>
      <c r="U27" s="25"/>
      <c r="V27" s="25"/>
      <c r="W27" s="25"/>
      <c r="X27" s="36"/>
      <c r="Y27" s="25"/>
      <c r="Z27" s="36"/>
      <c r="AA27" s="1466"/>
      <c r="AB27" s="25"/>
      <c r="AC27" s="25"/>
      <c r="AD27" s="36"/>
      <c r="AE27" s="2255"/>
    </row>
    <row r="28" spans="1:31" ht="15" customHeight="1" x14ac:dyDescent="0.25">
      <c r="B28" s="858" t="s">
        <v>899</v>
      </c>
      <c r="C28" s="910">
        <f>IF(AND(OR(G6="No", ISNUMBER(C29)), OR(F6="No", ISNUMBER(C30))), IF(G6="Yes", C29, 0)+IF(F6="Yes", C30, 0), "")</f>
        <v>0</v>
      </c>
      <c r="D28" s="910">
        <f>IF(AND(OR(G6="No", ISNUMBER(D29)), OR(F6="No", ISNUMBER(D30))), IF(G6="Yes", D29, 0)+IF(F6="Yes", D30, 0), "")</f>
        <v>0</v>
      </c>
      <c r="E28" s="910">
        <f>IF(AND(OR(G6="No", ISNUMBER(E29)), OR(F6="No", ISNUMBER(E30))), IF(G6="Yes", E29, 0)+IF(F6="Yes", E30, 0), "")</f>
        <v>0</v>
      </c>
      <c r="F28" s="910">
        <f>IF(AND(OR(G6="No", ISNUMBER(F29)), OR(F6="No", ISNUMBER(F30))), IF(G6="Yes", F29, 0)+IF(F6="Yes", F30, 0), "")</f>
        <v>0</v>
      </c>
      <c r="G28" s="910">
        <f>IF(AND(OR(G6="No", ISNUMBER(G29)), OR(F6="No", ISNUMBER(G30))), IF(G6="Yes", G29, 0)+IF(F6="Yes", G30, 0), "")</f>
        <v>0</v>
      </c>
      <c r="H28" s="910">
        <f>IF(AND(OR(G6="No", ISNUMBER(H29)), OR(F6="No", ISNUMBER(H30))), IF(G6="Yes", H29, 0)+IF(F6="Yes", H30, 0), "")</f>
        <v>0</v>
      </c>
      <c r="I28" s="2074"/>
      <c r="J28" s="2074"/>
      <c r="K28" s="2074"/>
      <c r="L28" s="2074"/>
      <c r="M28" s="2074"/>
      <c r="N28" s="2075"/>
      <c r="O28" s="910">
        <f>IF(AND(OR(G6="No", ISNUMBER(O29)), OR(F6="No", ISNUMBER(O30))), IF(G6="Yes", O29, 0)+IF(F6="Yes", O30, 0), "")</f>
        <v>0</v>
      </c>
      <c r="P28" s="910">
        <f>IF(AND(OR(G6="No", ISNUMBER(P29)), OR(F6="No", ISNUMBER(P30))), IF(G6="Yes", P29, 0)+IF(F6="Yes", P30, 0), "")</f>
        <v>0</v>
      </c>
      <c r="Q28" s="910">
        <f>IF(AND(OR(G6="No", ISNUMBER(Q29)), OR(F6="No", ISNUMBER(Q30))), IF(G6="Yes", Q29, 0)+IF(F6="Yes", Q30, 0), "")</f>
        <v>0</v>
      </c>
      <c r="R28" s="910">
        <f>IF(AND(OR(G6="No", ISNUMBER(R29)), OR(F6="No", ISNUMBER(R30))), IF(G6="Yes", R29, 0)+IF(F6="Yes", R30, 0), "")</f>
        <v>0</v>
      </c>
      <c r="S28" s="910">
        <f>IF(AND(OR(G6="No", ISNUMBER(S29)), OR(F6="No", ISNUMBER(S30))), IF(G6="Yes", S29, 0)+IF(F6="Yes", S30, 0), "")</f>
        <v>0</v>
      </c>
      <c r="T28" s="910">
        <f>IF(AND(OR(G6="No", ISNUMBER(T29)), OR(F6="No", ISNUMBER(T30))), IF(G6="Yes", T29, 0)+IF(F6="Yes", T30, 0), "")</f>
        <v>0</v>
      </c>
      <c r="U28" s="910">
        <f>IF(AND(OR(G6="No", ISNUMBER(U29)), OR(F6="No", ISNUMBER(U30))), IF(G6="Yes", U29, 0)+IF(F6="Yes", U30, 0), "")</f>
        <v>0</v>
      </c>
      <c r="V28" s="910">
        <f>IF(AND(OR(G6="No", ISNUMBER(V29)), OR(F6="No", ISNUMBER(V30))), IF(G6="Yes", V29, 0)+IF(F6="Yes", V30, 0), "")</f>
        <v>0</v>
      </c>
      <c r="W28" s="910">
        <f>IF(AND(OR(G6="No", ISNUMBER(W29)), OR(F6="No", ISNUMBER(W30))), IF(G6="Yes", W29, 0)+IF(F6="Yes", W30, 0), "")</f>
        <v>0</v>
      </c>
      <c r="X28" s="910">
        <f>IF(AND(OR(G6="No", ISNUMBER(X29)), OR(F6="No", ISNUMBER(X30))), IF(G6="Yes", X29, 0)+IF(F6="Yes", X30, 0), "")</f>
        <v>0</v>
      </c>
      <c r="Y28" s="910">
        <f>IF(AND(OR(G6="No", ISNUMBER(Y29)), OR(F6="No", ISNUMBER(Y30))), IF(G6="Yes", Y29, 0)+IF(F6="Yes", Y30, 0), "")</f>
        <v>0</v>
      </c>
      <c r="Z28" s="693">
        <f>IF(AND(OR(G6="No", ISNUMBER(Z29)), OR(F6="No", ISNUMBER(Z30))), IF(G6="Yes", Z29, 0)+IF(F6="Yes", Z30, 0), "")</f>
        <v>0</v>
      </c>
      <c r="AA28" s="2251">
        <f>IF(AND(OR(G6="No", ISNUMBER(AA29)), OR(F6="No", ISNUMBER(AA30))), IF(G6="Yes", AA29, 0)+IF(F6="Yes", AA30, 0), "")</f>
        <v>0</v>
      </c>
      <c r="AB28" s="910">
        <f>IF(AND(OR(G6="No", ISNUMBER(AB29)), OR(F6="No", ISNUMBER(AB30))), IF(G6="Yes", AB29, 0)+IF(F6="Yes", AB30, 0), "")</f>
        <v>0</v>
      </c>
      <c r="AC28" s="910">
        <f>IF(AND(OR(G6="No", ISNUMBER(AC29)), OR(F6="No", ISNUMBER(AC30))), IF(G6="Yes", AC29, 0)+IF(F6="Yes", AC30, 0), "")</f>
        <v>0</v>
      </c>
      <c r="AD28" s="693">
        <f>IF(AND(OR(G6="No", ISNUMBER(AD29)), OR(F6="No", ISNUMBER(AD30))), IF(G6="Yes", AD29, 0)+IF(F6="Yes", AD30, 0), "")</f>
        <v>0</v>
      </c>
      <c r="AE28" s="2255"/>
    </row>
    <row r="29" spans="1:31" ht="15" customHeight="1" x14ac:dyDescent="0.25">
      <c r="B29" s="859" t="s">
        <v>896</v>
      </c>
      <c r="C29" s="35"/>
      <c r="D29" s="25"/>
      <c r="E29" s="25"/>
      <c r="F29" s="25"/>
      <c r="G29" s="25"/>
      <c r="H29" s="25"/>
      <c r="I29" s="1487"/>
      <c r="J29" s="1487"/>
      <c r="K29" s="1487"/>
      <c r="L29" s="1487"/>
      <c r="M29" s="1487"/>
      <c r="N29" s="1487"/>
      <c r="O29" s="25"/>
      <c r="P29" s="25"/>
      <c r="Q29" s="25"/>
      <c r="R29" s="25"/>
      <c r="S29" s="25"/>
      <c r="T29" s="25"/>
      <c r="U29" s="25"/>
      <c r="V29" s="25"/>
      <c r="W29" s="25"/>
      <c r="X29" s="36"/>
      <c r="Y29" s="25"/>
      <c r="Z29" s="36"/>
      <c r="AA29" s="1466"/>
      <c r="AB29" s="25"/>
      <c r="AC29" s="25"/>
      <c r="AD29" s="36"/>
      <c r="AE29" s="2255"/>
    </row>
    <row r="30" spans="1:31" ht="15" customHeight="1" x14ac:dyDescent="0.25">
      <c r="B30" s="615" t="s">
        <v>897</v>
      </c>
      <c r="C30" s="35"/>
      <c r="D30" s="25"/>
      <c r="E30" s="25"/>
      <c r="F30" s="25"/>
      <c r="G30" s="25"/>
      <c r="H30" s="25"/>
      <c r="I30" s="1487"/>
      <c r="J30" s="1487"/>
      <c r="K30" s="1487"/>
      <c r="L30" s="1487"/>
      <c r="M30" s="1487"/>
      <c r="N30" s="1487"/>
      <c r="O30" s="25"/>
      <c r="P30" s="25"/>
      <c r="Q30" s="25"/>
      <c r="R30" s="25"/>
      <c r="S30" s="25"/>
      <c r="T30" s="25"/>
      <c r="U30" s="25"/>
      <c r="V30" s="25"/>
      <c r="W30" s="25"/>
      <c r="X30" s="36"/>
      <c r="Y30" s="25"/>
      <c r="Z30" s="36"/>
      <c r="AA30" s="1466"/>
      <c r="AB30" s="25"/>
      <c r="AC30" s="25"/>
      <c r="AD30" s="36"/>
      <c r="AE30" s="2255"/>
    </row>
    <row r="31" spans="1:31" ht="15" customHeight="1" x14ac:dyDescent="0.25">
      <c r="B31" s="857" t="s">
        <v>963</v>
      </c>
      <c r="C31" s="874"/>
      <c r="D31" s="1755"/>
      <c r="E31" s="580">
        <f>IF($D$6="Yes", IF(AND(ISNUMBER(E32), ISNUMBER(E35), ISNUMBER(E38)), E32+E35+E38, ""), 0)</f>
        <v>0</v>
      </c>
      <c r="F31" s="580">
        <f>IF($D$6="Yes", IF(AND(ISNUMBER(F32), ISNUMBER(F35), ISNUMBER(F38)), F32+F35+F38, ""), 0)</f>
        <v>0</v>
      </c>
      <c r="G31" s="874"/>
      <c r="H31" s="1755"/>
      <c r="I31" s="1487"/>
      <c r="J31" s="1487"/>
      <c r="K31" s="1487"/>
      <c r="L31" s="1487"/>
      <c r="M31" s="1487"/>
      <c r="N31" s="1487"/>
      <c r="O31" s="874"/>
      <c r="P31" s="1755"/>
      <c r="Q31" s="580">
        <f>IF($D$6="Yes", IF(AND(ISNUMBER(Q32), ISNUMBER(Q35), ISNUMBER(Q38)), Q32+Q35+Q38, ""), 0)</f>
        <v>0</v>
      </c>
      <c r="R31" s="580">
        <f>IF($D$6="Yes", IF(AND(ISNUMBER(R32), ISNUMBER(R35), ISNUMBER(R38)), R32+R35+R38, ""), 0)</f>
        <v>0</v>
      </c>
      <c r="S31" s="874"/>
      <c r="T31" s="1755"/>
      <c r="U31" s="874"/>
      <c r="V31" s="1755"/>
      <c r="W31" s="580">
        <f>IF($D$6="Yes", IF(AND(ISNUMBER(W32), ISNUMBER(W35), ISNUMBER(W38)), W32+W35+W38, ""), 0)</f>
        <v>0</v>
      </c>
      <c r="X31" s="580">
        <f>IF($D$6="Yes", IF(AND(ISNUMBER(X32), ISNUMBER(X35), ISNUMBER(X38)), X32+X35+X38, ""), 0)</f>
        <v>0</v>
      </c>
      <c r="Y31" s="16"/>
      <c r="Z31" s="1297"/>
      <c r="AA31" s="2251">
        <f>IF($D$6="Yes", IF(AND(ISNUMBER(AA32), ISNUMBER(AA35), ISNUMBER(AA38)), AA32+AA35+AA38, ""), 0)</f>
        <v>0</v>
      </c>
      <c r="AB31" s="580">
        <f>IF($D$6="Yes", IF(AND(ISNUMBER(AB32), ISNUMBER(AB35), ISNUMBER(AB38)), AB32+AB35+AB38, ""), 0)</f>
        <v>0</v>
      </c>
      <c r="AC31" s="580">
        <f>IF($D$6="Yes", IF(AND(ISNUMBER(AC32), ISNUMBER(AC35), ISNUMBER(AC38)), AC32+AC35+AC38, ""), 0)</f>
        <v>0</v>
      </c>
      <c r="AD31" s="209">
        <f>IF($D$6="Yes", IF(AND(ISNUMBER(AD32), ISNUMBER(AD35), ISNUMBER(AD38)), AD32+AD35+AD38, ""), 0)</f>
        <v>0</v>
      </c>
      <c r="AE31" s="2255"/>
    </row>
    <row r="32" spans="1:31" ht="15" customHeight="1" x14ac:dyDescent="0.25">
      <c r="B32" s="858" t="s">
        <v>895</v>
      </c>
      <c r="C32" s="874"/>
      <c r="D32" s="1755"/>
      <c r="E32" s="910">
        <f>IF(AND(OR(G6="No", ISNUMBER(E33)), OR(F6="No", ISNUMBER(E34))), IF(G6="Yes", E33, 0)+IF(F6="Yes", E34, 0), "")</f>
        <v>0</v>
      </c>
      <c r="F32" s="910">
        <f>IF(AND(OR(G6="No", ISNUMBER(F33)), OR(F6="No", ISNUMBER(F34))), IF(G6="Yes", F33, 0)+IF(F6="Yes", F34, 0), "")</f>
        <v>0</v>
      </c>
      <c r="G32" s="874"/>
      <c r="H32" s="1755"/>
      <c r="I32" s="1487"/>
      <c r="J32" s="1487"/>
      <c r="K32" s="1487"/>
      <c r="L32" s="1487"/>
      <c r="M32" s="1487"/>
      <c r="N32" s="1487"/>
      <c r="O32" s="874"/>
      <c r="P32" s="1755"/>
      <c r="Q32" s="910">
        <f>IF(AND(OR(G6="No", ISNUMBER(Q33)), OR(F6="No", ISNUMBER(Q34))), IF(G6="Yes", Q33, 0)+IF(F6="Yes", Q34, 0), "")</f>
        <v>0</v>
      </c>
      <c r="R32" s="910">
        <f>IF(AND(OR(G6="No", ISNUMBER(R33)), OR(F6="No", ISNUMBER(R34))), IF(G6="Yes", R33, 0)+IF(F6="Yes", R34, 0), "")</f>
        <v>0</v>
      </c>
      <c r="S32" s="874"/>
      <c r="T32" s="1755"/>
      <c r="U32" s="874"/>
      <c r="V32" s="1755"/>
      <c r="W32" s="910">
        <f>IF(AND(OR(G6="No", ISNUMBER(W33)), OR(F6="No", ISNUMBER(W34))), IF(G6="Yes", W33, 0)+IF(F6="Yes", W34, 0), "")</f>
        <v>0</v>
      </c>
      <c r="X32" s="910">
        <f>IF(AND(OR(G6="No", ISNUMBER(X33)), OR(F6="No", ISNUMBER(X34))), IF(G6="Yes", X33, 0)+IF(F6="Yes", X34, 0), "")</f>
        <v>0</v>
      </c>
      <c r="Y32" s="1755"/>
      <c r="Z32" s="13"/>
      <c r="AA32" s="2251">
        <f>IF(AND(OR(G6="No", ISNUMBER(AA33)), OR(F6="No", ISNUMBER(AA34))), IF(G6="Yes", AA33, 0)+IF(F6="Yes", AA34, 0), "")</f>
        <v>0</v>
      </c>
      <c r="AB32" s="910">
        <f>IF(AND(OR(G6="No", ISNUMBER(AB33)), OR(F6="No", ISNUMBER(AB34))), IF(G6="Yes", AB33, 0)+IF(F6="Yes", AB34, 0), "")</f>
        <v>0</v>
      </c>
      <c r="AC32" s="910">
        <f>IF(AND(OR(G6="No", ISNUMBER(AC33)), OR(F6="No", ISNUMBER(AC34))), IF(G6="Yes", AC33, 0)+IF(F6="Yes", AC34, 0), "")</f>
        <v>0</v>
      </c>
      <c r="AD32" s="693">
        <f>IF(AND(OR(G6="No", ISNUMBER(AD33)), OR(F6="No", ISNUMBER(AD34))), IF(G6="Yes", AD33, 0)+IF(F6="Yes", AD34, 0), "")</f>
        <v>0</v>
      </c>
      <c r="AE32" s="2255"/>
    </row>
    <row r="33" spans="2:31" ht="15" customHeight="1" x14ac:dyDescent="0.25">
      <c r="B33" s="859" t="s">
        <v>896</v>
      </c>
      <c r="C33" s="683"/>
      <c r="D33" s="2240"/>
      <c r="E33" s="25"/>
      <c r="F33" s="25"/>
      <c r="G33" s="683"/>
      <c r="H33" s="2240"/>
      <c r="I33" s="1487"/>
      <c r="J33" s="1487"/>
      <c r="K33" s="1487"/>
      <c r="L33" s="1487"/>
      <c r="M33" s="1487"/>
      <c r="N33" s="1487"/>
      <c r="O33" s="2240"/>
      <c r="P33" s="2240"/>
      <c r="Q33" s="25"/>
      <c r="R33" s="25"/>
      <c r="S33" s="683"/>
      <c r="T33" s="2240"/>
      <c r="U33" s="2240"/>
      <c r="V33" s="2240"/>
      <c r="W33" s="25"/>
      <c r="X33" s="36"/>
      <c r="Y33" s="2240"/>
      <c r="Z33" s="2241"/>
      <c r="AA33" s="1466"/>
      <c r="AB33" s="25"/>
      <c r="AC33" s="25"/>
      <c r="AD33" s="36"/>
      <c r="AE33" s="2255"/>
    </row>
    <row r="34" spans="2:31" ht="15" customHeight="1" x14ac:dyDescent="0.25">
      <c r="B34" s="859" t="s">
        <v>897</v>
      </c>
      <c r="C34" s="683"/>
      <c r="D34" s="2240"/>
      <c r="E34" s="25"/>
      <c r="F34" s="25"/>
      <c r="G34" s="683"/>
      <c r="H34" s="2240"/>
      <c r="I34" s="1487"/>
      <c r="J34" s="1487"/>
      <c r="K34" s="1487"/>
      <c r="L34" s="1487"/>
      <c r="M34" s="1487"/>
      <c r="N34" s="1487"/>
      <c r="O34" s="2240"/>
      <c r="P34" s="2240"/>
      <c r="Q34" s="25"/>
      <c r="R34" s="25"/>
      <c r="S34" s="683"/>
      <c r="T34" s="2240"/>
      <c r="U34" s="2240"/>
      <c r="V34" s="2240"/>
      <c r="W34" s="25"/>
      <c r="X34" s="36"/>
      <c r="Y34" s="2240"/>
      <c r="Z34" s="2241"/>
      <c r="AA34" s="1466"/>
      <c r="AB34" s="25"/>
      <c r="AC34" s="25"/>
      <c r="AD34" s="36"/>
      <c r="AE34" s="2255"/>
    </row>
    <row r="35" spans="2:31" ht="15" customHeight="1" x14ac:dyDescent="0.25">
      <c r="B35" s="858" t="s">
        <v>898</v>
      </c>
      <c r="C35" s="874"/>
      <c r="D35" s="1755"/>
      <c r="E35" s="910">
        <f>IF(AND(OR(G6="No", ISNUMBER(E36)), OR(F6="No", ISNUMBER(E37))), IF(G6="Yes", E36, 0)+IF(F6="Yes", E37, 0), "")</f>
        <v>0</v>
      </c>
      <c r="F35" s="910">
        <f>IF(AND(OR(G6="No", ISNUMBER(F36)), OR(F6="No", ISNUMBER(F37))), IF(G6="Yes", F36, 0)+IF(F6="Yes", F37, 0), "")</f>
        <v>0</v>
      </c>
      <c r="G35" s="874"/>
      <c r="H35" s="1755"/>
      <c r="I35" s="1487"/>
      <c r="J35" s="1487"/>
      <c r="K35" s="1487"/>
      <c r="L35" s="1487"/>
      <c r="M35" s="1487"/>
      <c r="N35" s="1487"/>
      <c r="O35" s="874"/>
      <c r="P35" s="1755"/>
      <c r="Q35" s="910">
        <f>IF(AND(OR(G6="No", ISNUMBER(Q36)), OR(F6="No", ISNUMBER(Q37))), IF(G6="Yes", Q36, 0)+IF(F6="Yes", Q37, 0), "")</f>
        <v>0</v>
      </c>
      <c r="R35" s="910">
        <f>IF(AND(OR(G6="No", ISNUMBER(R36)), OR(F6="No", ISNUMBER(R37))), IF(G6="Yes", R36, 0)+IF(F6="Yes", R37, 0), "")</f>
        <v>0</v>
      </c>
      <c r="S35" s="874"/>
      <c r="T35" s="1755"/>
      <c r="U35" s="874"/>
      <c r="V35" s="1755"/>
      <c r="W35" s="910">
        <f>IF(AND(OR(G6="No", ISNUMBER(W36)), OR(F6="No", ISNUMBER(W37))), IF(G6="Yes", W36, 0)+IF(F6="Yes", W37, 0), "")</f>
        <v>0</v>
      </c>
      <c r="X35" s="910">
        <f>IF(AND(OR(G6="No", ISNUMBER(X36)), OR(F6="No", ISNUMBER(X37))), IF(G6="Yes", X36, 0)+IF(F6="Yes", X37, 0), "")</f>
        <v>0</v>
      </c>
      <c r="Y35" s="1755"/>
      <c r="Z35" s="13"/>
      <c r="AA35" s="2251">
        <f>IF(AND(OR(G6="No", ISNUMBER(AA36)), OR(F6="No", ISNUMBER(AA37))), IF(G6="Yes", AA36, 0)+IF(F6="Yes", AA37, 0), "")</f>
        <v>0</v>
      </c>
      <c r="AB35" s="910">
        <f>IF(AND(OR(G6="No", ISNUMBER(AB36)), OR(F6="No", ISNUMBER(AB37))), IF(G6="Yes", AB36, 0)+IF(F6="Yes", AB37, 0), "")</f>
        <v>0</v>
      </c>
      <c r="AC35" s="910">
        <f>IF(AND(OR(G6="No", ISNUMBER(AC36)), OR(F6="No", ISNUMBER(AC37))), IF(G6="Yes", AC36, 0)+IF(F6="Yes", AC37, 0), "")</f>
        <v>0</v>
      </c>
      <c r="AD35" s="693">
        <f>IF(AND(OR(G6="No", ISNUMBER(AD36)), OR(F6="No", ISNUMBER(AD37))), IF(G6="Yes", AD36, 0)+IF(F6="Yes", AD37, 0), "")</f>
        <v>0</v>
      </c>
      <c r="AE35" s="2255"/>
    </row>
    <row r="36" spans="2:31" ht="15" customHeight="1" x14ac:dyDescent="0.25">
      <c r="B36" s="859" t="s">
        <v>896</v>
      </c>
      <c r="C36" s="683"/>
      <c r="D36" s="2240"/>
      <c r="E36" s="25"/>
      <c r="F36" s="25"/>
      <c r="G36" s="683"/>
      <c r="H36" s="2240"/>
      <c r="I36" s="1487"/>
      <c r="J36" s="1487"/>
      <c r="K36" s="1487"/>
      <c r="L36" s="1487"/>
      <c r="M36" s="1487"/>
      <c r="N36" s="1487"/>
      <c r="O36" s="2240"/>
      <c r="P36" s="2240"/>
      <c r="Q36" s="25"/>
      <c r="R36" s="25"/>
      <c r="S36" s="683"/>
      <c r="T36" s="2240"/>
      <c r="U36" s="2240"/>
      <c r="V36" s="2240"/>
      <c r="W36" s="25"/>
      <c r="X36" s="36"/>
      <c r="Y36" s="2240"/>
      <c r="Z36" s="2241"/>
      <c r="AA36" s="1466"/>
      <c r="AB36" s="25"/>
      <c r="AC36" s="25"/>
      <c r="AD36" s="36"/>
      <c r="AE36" s="2255"/>
    </row>
    <row r="37" spans="2:31" ht="15" customHeight="1" x14ac:dyDescent="0.25">
      <c r="B37" s="859" t="s">
        <v>897</v>
      </c>
      <c r="C37" s="683"/>
      <c r="D37" s="2240"/>
      <c r="E37" s="25"/>
      <c r="F37" s="25"/>
      <c r="G37" s="683"/>
      <c r="H37" s="2240"/>
      <c r="I37" s="1487"/>
      <c r="J37" s="1487"/>
      <c r="K37" s="1487"/>
      <c r="L37" s="1487"/>
      <c r="M37" s="1487"/>
      <c r="N37" s="1487"/>
      <c r="O37" s="2240"/>
      <c r="P37" s="2240"/>
      <c r="Q37" s="25"/>
      <c r="R37" s="25"/>
      <c r="S37" s="683"/>
      <c r="T37" s="2240"/>
      <c r="U37" s="2240"/>
      <c r="V37" s="2240"/>
      <c r="W37" s="25"/>
      <c r="X37" s="36"/>
      <c r="Y37" s="2240"/>
      <c r="Z37" s="2241"/>
      <c r="AA37" s="1466"/>
      <c r="AB37" s="25"/>
      <c r="AC37" s="25"/>
      <c r="AD37" s="36"/>
      <c r="AE37" s="2255"/>
    </row>
    <row r="38" spans="2:31" ht="15" customHeight="1" x14ac:dyDescent="0.25">
      <c r="B38" s="858" t="s">
        <v>899</v>
      </c>
      <c r="C38" s="874"/>
      <c r="D38" s="1755"/>
      <c r="E38" s="910">
        <f>IF(AND(OR(G6="No", ISNUMBER(E39)), OR(F6="No", ISNUMBER(E40))), IF(G6="Yes", E39, 0)+IF(F6="Yes", E40, 0), "")</f>
        <v>0</v>
      </c>
      <c r="F38" s="910">
        <f>IF(AND(OR(G6="No", ISNUMBER(F39)), OR(F6="No", ISNUMBER(F40))), IF(G6="Yes", F39, 0)+IF(F6="Yes", F40, 0), "")</f>
        <v>0</v>
      </c>
      <c r="G38" s="874"/>
      <c r="H38" s="1755"/>
      <c r="I38" s="1487"/>
      <c r="J38" s="1487"/>
      <c r="K38" s="1487"/>
      <c r="L38" s="1487"/>
      <c r="M38" s="1487"/>
      <c r="N38" s="1487"/>
      <c r="O38" s="874"/>
      <c r="P38" s="1755"/>
      <c r="Q38" s="910">
        <f>IF(AND(OR(G6="No", ISNUMBER(Q39)), OR(F6="No", ISNUMBER(Q40))), IF(G6="Yes", Q39, 0)+IF(F6="Yes", Q40, 0), "")</f>
        <v>0</v>
      </c>
      <c r="R38" s="910">
        <f>IF(AND(OR(G6="No", ISNUMBER(R39)), OR(F6="No", ISNUMBER(R40))), IF(G6="Yes", R39, 0)+IF(F6="Yes", R40, 0), "")</f>
        <v>0</v>
      </c>
      <c r="S38" s="874"/>
      <c r="T38" s="1755"/>
      <c r="U38" s="874"/>
      <c r="V38" s="1755"/>
      <c r="W38" s="910">
        <f>IF(AND(OR(G6="No", ISNUMBER(W39)), OR(F6="No", ISNUMBER(W40))), IF(G6="Yes", W39, 0)+IF(F6="Yes", W40, 0), "")</f>
        <v>0</v>
      </c>
      <c r="X38" s="910">
        <f>IF(AND(OR(G6="No", ISNUMBER(X39)), OR(F6="No", ISNUMBER(X40))), IF(G6="Yes", X39, 0)+IF(F6="Yes", X40, 0), "")</f>
        <v>0</v>
      </c>
      <c r="Y38" s="1755"/>
      <c r="Z38" s="13"/>
      <c r="AA38" s="2251">
        <f>IF(AND(OR(G6="No", ISNUMBER(AA39)), OR(F6="No", ISNUMBER(AA40))), IF(G6="Yes", AA39, 0)+IF(F6="Yes", AA40, 0), "")</f>
        <v>0</v>
      </c>
      <c r="AB38" s="910">
        <f>IF(AND(OR(G6="No", ISNUMBER(AB39)), OR(F6="No", ISNUMBER(AB40))), IF(G6="Yes", AB39, 0)+IF(F6="Yes", AB40, 0), "")</f>
        <v>0</v>
      </c>
      <c r="AC38" s="910">
        <f>IF(AND(OR(G6="No", ISNUMBER(AC39)), OR(F6="No", ISNUMBER(AC40))), IF(G6="Yes", AC39, 0)+IF(F6="Yes", AC40, 0), "")</f>
        <v>0</v>
      </c>
      <c r="AD38" s="693">
        <f>IF(AND(OR(G6="No", ISNUMBER(AD39)), OR(F6="No", ISNUMBER(AD40))), IF(G6="Yes", AD39, 0)+IF(F6="Yes", AD40, 0), "")</f>
        <v>0</v>
      </c>
      <c r="AE38" s="2255"/>
    </row>
    <row r="39" spans="2:31" ht="15" customHeight="1" x14ac:dyDescent="0.25">
      <c r="B39" s="859" t="s">
        <v>896</v>
      </c>
      <c r="C39" s="683"/>
      <c r="D39" s="2240"/>
      <c r="E39" s="25"/>
      <c r="F39" s="25"/>
      <c r="G39" s="683"/>
      <c r="H39" s="2240"/>
      <c r="I39" s="1487"/>
      <c r="J39" s="1487"/>
      <c r="K39" s="1487"/>
      <c r="L39" s="1487"/>
      <c r="M39" s="1487"/>
      <c r="N39" s="1487"/>
      <c r="O39" s="2240"/>
      <c r="P39" s="2240"/>
      <c r="Q39" s="25"/>
      <c r="R39" s="25"/>
      <c r="S39" s="683"/>
      <c r="T39" s="2240"/>
      <c r="U39" s="2240"/>
      <c r="V39" s="2240"/>
      <c r="W39" s="25"/>
      <c r="X39" s="36"/>
      <c r="Y39" s="2240"/>
      <c r="Z39" s="2241"/>
      <c r="AA39" s="1466"/>
      <c r="AB39" s="25"/>
      <c r="AC39" s="25"/>
      <c r="AD39" s="36"/>
      <c r="AE39" s="2255"/>
    </row>
    <row r="40" spans="2:31" ht="15" customHeight="1" x14ac:dyDescent="0.25">
      <c r="B40" s="859" t="s">
        <v>897</v>
      </c>
      <c r="C40" s="684"/>
      <c r="D40" s="2240"/>
      <c r="E40" s="25"/>
      <c r="F40" s="25"/>
      <c r="G40" s="2240"/>
      <c r="H40" s="2240"/>
      <c r="I40" s="1487"/>
      <c r="J40" s="1487"/>
      <c r="K40" s="1487"/>
      <c r="L40" s="1487"/>
      <c r="M40" s="1487"/>
      <c r="N40" s="1487"/>
      <c r="O40" s="2240"/>
      <c r="P40" s="2240"/>
      <c r="Q40" s="25"/>
      <c r="R40" s="25"/>
      <c r="S40" s="2240"/>
      <c r="T40" s="2240"/>
      <c r="U40" s="2240"/>
      <c r="V40" s="2240"/>
      <c r="W40" s="25"/>
      <c r="X40" s="36"/>
      <c r="Y40" s="2240"/>
      <c r="Z40" s="2241"/>
      <c r="AA40" s="1466"/>
      <c r="AB40" s="25"/>
      <c r="AC40" s="25"/>
      <c r="AD40" s="36"/>
      <c r="AE40" s="2255"/>
    </row>
    <row r="41" spans="2:31" ht="15" customHeight="1" x14ac:dyDescent="0.25">
      <c r="B41" s="857" t="s">
        <v>841</v>
      </c>
      <c r="C41" s="910">
        <f>IF($C$7="Yes", IF(AND(ISNUMBER(C42), ISNUMBER(C45), ISNUMBER(C48)), C42+C45+C48, ""), 0)</f>
        <v>0</v>
      </c>
      <c r="D41" s="910">
        <f>IF($C$7="Yes", IF(AND(ISNUMBER(D42), ISNUMBER(D45), ISNUMBER(D48)), D42+D45+D48, ""), 0)</f>
        <v>0</v>
      </c>
      <c r="E41" s="910">
        <f>IF($D$7="Yes", IF(AND(ISNUMBER(E42), ISNUMBER(E45), ISNUMBER(E48)), E42+E45+E48, ""), 0)</f>
        <v>0</v>
      </c>
      <c r="F41" s="910">
        <f>IF($D$7="Yes", IF(AND(ISNUMBER(F42), ISNUMBER(F45), ISNUMBER(F48)), F42+F45+F48, ""), 0)</f>
        <v>0</v>
      </c>
      <c r="G41" s="874"/>
      <c r="H41" s="1755"/>
      <c r="I41" s="1487"/>
      <c r="J41" s="1487"/>
      <c r="K41" s="1487"/>
      <c r="L41" s="1487"/>
      <c r="M41" s="1487"/>
      <c r="N41" s="1487"/>
      <c r="O41" s="910">
        <f>IF($C$7="Yes", IF(AND(ISNUMBER(O42), ISNUMBER(O45), ISNUMBER(O48)), O42+O45+O48, ""), 0)</f>
        <v>0</v>
      </c>
      <c r="P41" s="910">
        <f>IF($C$7="Yes", IF(AND(ISNUMBER(P42), ISNUMBER(P45), ISNUMBER(P48)), P42+P45+P48, ""), 0)</f>
        <v>0</v>
      </c>
      <c r="Q41" s="910">
        <f>IF($D$7="Yes", IF(AND(ISNUMBER(Q42), ISNUMBER(Q45), ISNUMBER(Q48)), Q42+Q45+Q48, ""), 0)</f>
        <v>0</v>
      </c>
      <c r="R41" s="910">
        <f>IF($D$7="Yes", IF(AND(ISNUMBER(R42), ISNUMBER(R45), ISNUMBER(R48)), R42+R45+R48, ""), 0)</f>
        <v>0</v>
      </c>
      <c r="S41" s="874"/>
      <c r="T41" s="1755"/>
      <c r="U41" s="910">
        <f>IF($C$7="Yes", IF(AND(ISNUMBER(U42), ISNUMBER(U45), ISNUMBER(U48)), U42+U45+U48, ""), 0)</f>
        <v>0</v>
      </c>
      <c r="V41" s="910">
        <f>IF($C$7="Yes", IF(AND(ISNUMBER(V42), ISNUMBER(V45), ISNUMBER(V48)), V42+V45+V48, ""), 0)</f>
        <v>0</v>
      </c>
      <c r="W41" s="910">
        <f>IF($D$7="Yes", IF(AND(ISNUMBER(W42), ISNUMBER(W45), ISNUMBER(W48)), W42+W45+W48, ""), 0)</f>
        <v>0</v>
      </c>
      <c r="X41" s="910">
        <f>IF($D$7="Yes", IF(AND(ISNUMBER(X42), ISNUMBER(X45), ISNUMBER(X48)), X42+X45+X48, ""), 0)</f>
        <v>0</v>
      </c>
      <c r="Y41" s="1755"/>
      <c r="Z41" s="13"/>
      <c r="AA41" s="2251">
        <f>IF($D$7="Yes", IF(AND(ISNUMBER(AA42), ISNUMBER(AA45), ISNUMBER(AA48)), AA42+AA45+AA48, ""), 0)</f>
        <v>0</v>
      </c>
      <c r="AB41" s="910">
        <f>IF($D$7="Yes", IF(AND(ISNUMBER(AB42), ISNUMBER(AB45), ISNUMBER(AB48)), AB42+AB45+AB48, ""), 0)</f>
        <v>0</v>
      </c>
      <c r="AC41" s="910">
        <f>IF($D$7="Yes", IF(AND(ISNUMBER(AC42), ISNUMBER(AC45), ISNUMBER(AC48)), AC42+AC45+AC48, ""), 0)</f>
        <v>0</v>
      </c>
      <c r="AD41" s="693">
        <f>IF($D$7="Yes", IF(AND(ISNUMBER(AD42), ISNUMBER(AD45), ISNUMBER(AD48)), AD42+AD45+AD48, ""), 0)</f>
        <v>0</v>
      </c>
      <c r="AE41" s="2255"/>
    </row>
    <row r="42" spans="2:31" ht="15" customHeight="1" x14ac:dyDescent="0.25">
      <c r="B42" s="858" t="s">
        <v>895</v>
      </c>
      <c r="C42" s="910">
        <f>IF(AND(OR(G6="No", ISNUMBER(C43)), OR(F6="No", ISNUMBER(C44))), IF(G6="Yes", C43, 0)+IF(F6="Yes", C44, 0), "")</f>
        <v>0</v>
      </c>
      <c r="D42" s="910">
        <f>IF(AND(OR(G6="No", ISNUMBER(D43)), OR(F6="No", ISNUMBER(D44))), IF(G6="Yes", D43, 0)+IF(F6="Yes", D44, 0), "")</f>
        <v>0</v>
      </c>
      <c r="E42" s="910">
        <f>IF(AND(OR(G6="No", ISNUMBER(E43)), OR(F6="No", ISNUMBER(E44))), IF(G6="Yes", E43, 0)+IF(F6="Yes", E44, 0), "")</f>
        <v>0</v>
      </c>
      <c r="F42" s="910">
        <f>IF(AND(OR(G6="No", ISNUMBER(F43)), OR(F6="No", ISNUMBER(F44))), IF(G6="Yes", F43, 0)+IF(F6="Yes", F44, 0), "")</f>
        <v>0</v>
      </c>
      <c r="G42" s="874"/>
      <c r="H42" s="1755"/>
      <c r="I42" s="1487"/>
      <c r="J42" s="1487"/>
      <c r="K42" s="1487"/>
      <c r="L42" s="1487"/>
      <c r="M42" s="1487"/>
      <c r="N42" s="1487"/>
      <c r="O42" s="910">
        <f>IF(AND(OR(G6="No", ISNUMBER(O43)), OR(F6="No", ISNUMBER(O44))), IF(G6="Yes", O43, 0)+IF(F6="Yes", O44, 0), "")</f>
        <v>0</v>
      </c>
      <c r="P42" s="910">
        <f>IF(AND(OR(G6="No", ISNUMBER(P43)), OR(F6="No", ISNUMBER(P44))), IF(G6="Yes", P43, 0)+IF(F6="Yes", P44, 0), "")</f>
        <v>0</v>
      </c>
      <c r="Q42" s="910">
        <f>IF(AND(OR(G6="No", ISNUMBER(Q43)), OR(F6="No", ISNUMBER(Q44))), IF(G6="Yes", Q43, 0)+IF(F6="Yes", Q44, 0), "")</f>
        <v>0</v>
      </c>
      <c r="R42" s="910">
        <f>IF(AND(OR(G6="No", ISNUMBER(R43)), OR(F6="No", ISNUMBER(R44))), IF(G6="Yes", R43, 0)+IF(F6="Yes", R44, 0), "")</f>
        <v>0</v>
      </c>
      <c r="S42" s="874"/>
      <c r="T42" s="1755"/>
      <c r="U42" s="910">
        <f>IF(AND(OR(G6="No", ISNUMBER(U43)), OR(F6="No", ISNUMBER(U44))), IF(G6="Yes", U43, 0)+IF(F6="Yes", U44, 0), "")</f>
        <v>0</v>
      </c>
      <c r="V42" s="910">
        <f>IF(AND(OR(G6="No", ISNUMBER(V43)), OR(F6="No", ISNUMBER(V44))), IF(G6="Yes", V43, 0)+IF(F6="Yes", V44, 0), "")</f>
        <v>0</v>
      </c>
      <c r="W42" s="910">
        <f>IF(AND(OR(G6="No", ISNUMBER(W43)), OR(F6="No", ISNUMBER(W44))), IF(G6="Yes", W43, 0)+IF(F6="Yes", W44, 0), "")</f>
        <v>0</v>
      </c>
      <c r="X42" s="910">
        <f>IF(AND(OR(G6="No", ISNUMBER(X43)), OR(F6="No", ISNUMBER(X44))), IF(G6="Yes", X43, 0)+IF(F6="Yes", X44, 0), "")</f>
        <v>0</v>
      </c>
      <c r="Y42" s="1755"/>
      <c r="Z42" s="13"/>
      <c r="AA42" s="2251">
        <f>IF(AND(OR(G6="No", ISNUMBER(AA43)), OR(F6="No", ISNUMBER(AA44))), IF(G6="Yes", AA43, 0)+IF(F6="Yes", AA44, 0), "")</f>
        <v>0</v>
      </c>
      <c r="AB42" s="910">
        <f>IF(AND(OR(G6="No", ISNUMBER(AB43)), OR(F6="No", ISNUMBER(AB44))), IF(G6="Yes", AB43, 0)+IF(F6="Yes", AB44, 0), "")</f>
        <v>0</v>
      </c>
      <c r="AC42" s="910">
        <f>IF(AND(OR(G6="No", ISNUMBER(AC43)), OR(F6="No", ISNUMBER(AC44))), IF(G6="Yes", AC43, 0)+IF(F6="Yes", AC44, 0), "")</f>
        <v>0</v>
      </c>
      <c r="AD42" s="693">
        <f>IF(AND(OR(G6="No", ISNUMBER(AD43)), OR(F6="No", ISNUMBER(AD44))), IF(G6="Yes", AD43, 0)+IF(F6="Yes", AD44, 0), "")</f>
        <v>0</v>
      </c>
      <c r="AE42" s="2255"/>
    </row>
    <row r="43" spans="2:31" ht="15" customHeight="1" x14ac:dyDescent="0.25">
      <c r="B43" s="859" t="s">
        <v>896</v>
      </c>
      <c r="C43" s="35"/>
      <c r="D43" s="25"/>
      <c r="E43" s="25"/>
      <c r="F43" s="25"/>
      <c r="G43" s="683"/>
      <c r="H43" s="2240"/>
      <c r="I43" s="1487"/>
      <c r="J43" s="1487"/>
      <c r="K43" s="1487"/>
      <c r="L43" s="1487"/>
      <c r="M43" s="1487"/>
      <c r="N43" s="1487"/>
      <c r="O43" s="25"/>
      <c r="P43" s="25"/>
      <c r="Q43" s="25"/>
      <c r="R43" s="25"/>
      <c r="S43" s="683"/>
      <c r="T43" s="2240"/>
      <c r="U43" s="25"/>
      <c r="V43" s="25"/>
      <c r="W43" s="25"/>
      <c r="X43" s="36"/>
      <c r="Y43" s="2240"/>
      <c r="Z43" s="2241"/>
      <c r="AA43" s="1466"/>
      <c r="AB43" s="25"/>
      <c r="AC43" s="25"/>
      <c r="AD43" s="36"/>
      <c r="AE43" s="2255"/>
    </row>
    <row r="44" spans="2:31" ht="15" customHeight="1" x14ac:dyDescent="0.25">
      <c r="B44" s="859" t="s">
        <v>897</v>
      </c>
      <c r="C44" s="35"/>
      <c r="D44" s="25"/>
      <c r="E44" s="25"/>
      <c r="F44" s="25"/>
      <c r="G44" s="683"/>
      <c r="H44" s="2240"/>
      <c r="I44" s="1487"/>
      <c r="J44" s="1487"/>
      <c r="K44" s="1487"/>
      <c r="L44" s="1487"/>
      <c r="M44" s="1487"/>
      <c r="N44" s="1487"/>
      <c r="O44" s="25"/>
      <c r="P44" s="25"/>
      <c r="Q44" s="25"/>
      <c r="R44" s="25"/>
      <c r="S44" s="683"/>
      <c r="T44" s="2240"/>
      <c r="U44" s="25"/>
      <c r="V44" s="25"/>
      <c r="W44" s="25"/>
      <c r="X44" s="36"/>
      <c r="Y44" s="2240"/>
      <c r="Z44" s="2241"/>
      <c r="AA44" s="1466"/>
      <c r="AB44" s="25"/>
      <c r="AC44" s="25"/>
      <c r="AD44" s="36"/>
      <c r="AE44" s="2255"/>
    </row>
    <row r="45" spans="2:31" ht="15" customHeight="1" x14ac:dyDescent="0.25">
      <c r="B45" s="858" t="s">
        <v>898</v>
      </c>
      <c r="C45" s="910">
        <f>IF(AND(OR(G6="No", ISNUMBER(C46)), OR(F6="No", ISNUMBER(C47))), IF(G6="Yes", C46, 0)+IF(F6="Yes", C47, 0), "")</f>
        <v>0</v>
      </c>
      <c r="D45" s="910">
        <f>IF(AND(OR(G6="No", ISNUMBER(D46)), OR(F6="No", ISNUMBER(D47))), IF(G6="Yes", D46, 0)+IF(F6="Yes", D47, 0), "")</f>
        <v>0</v>
      </c>
      <c r="E45" s="910">
        <f>IF(AND(OR(G6="No", ISNUMBER(E46)), OR(F6="No", ISNUMBER(E47))), IF(G6="Yes", E46, 0)+IF(F6="Yes", E47, 0), "")</f>
        <v>0</v>
      </c>
      <c r="F45" s="910">
        <f>IF(AND(OR(G6="No", ISNUMBER(F46)), OR(F6="No", ISNUMBER(F47))), IF(G6="Yes", F46, 0)+IF(F6="Yes", F47, 0), "")</f>
        <v>0</v>
      </c>
      <c r="G45" s="874"/>
      <c r="H45" s="1755"/>
      <c r="I45" s="1487"/>
      <c r="J45" s="1487"/>
      <c r="K45" s="1487"/>
      <c r="L45" s="1487"/>
      <c r="M45" s="1487"/>
      <c r="N45" s="1487"/>
      <c r="O45" s="910">
        <f>IF(AND(OR(G6="No", ISNUMBER(O46)), OR(F6="No", ISNUMBER(O47))), IF(G6="Yes", O46, 0)+IF(F6="Yes", O47, 0), "")</f>
        <v>0</v>
      </c>
      <c r="P45" s="910">
        <f>IF(AND(OR(G6="No", ISNUMBER(P46)), OR(F6="No", ISNUMBER(P47))), IF(G6="Yes", P46, 0)+IF(F6="Yes", P47, 0), "")</f>
        <v>0</v>
      </c>
      <c r="Q45" s="910">
        <f>IF(AND(OR(G6="No", ISNUMBER(Q46)), OR(F6="No", ISNUMBER(Q47))), IF(G6="Yes", Q46, 0)+IF(F6="Yes", Q47, 0), "")</f>
        <v>0</v>
      </c>
      <c r="R45" s="910">
        <f>IF(AND(OR(G6="No", ISNUMBER(R46)), OR(F6="No", ISNUMBER(R47))), IF(G6="Yes", R46, 0)+IF(F6="Yes", R47, 0), "")</f>
        <v>0</v>
      </c>
      <c r="S45" s="874"/>
      <c r="T45" s="1755"/>
      <c r="U45" s="910">
        <f>IF(AND(OR(G6="No", ISNUMBER(U46)), OR(F6="No", ISNUMBER(U47))), IF(G6="Yes", U46, 0)+IF(F6="Yes", U47, 0), "")</f>
        <v>0</v>
      </c>
      <c r="V45" s="910">
        <f>IF(AND(OR(G6="No", ISNUMBER(V46)), OR(F6="No", ISNUMBER(V47))), IF(G6="Yes", V46, 0)+IF(F6="Yes", V47, 0), "")</f>
        <v>0</v>
      </c>
      <c r="W45" s="910">
        <f>IF(AND(OR(G6="No", ISNUMBER(W46)), OR(F6="No", ISNUMBER(W47))), IF(G6="Yes", W46, 0)+IF(F6="Yes", W47, 0), "")</f>
        <v>0</v>
      </c>
      <c r="X45" s="910">
        <f>IF(AND(OR(G6="No", ISNUMBER(X46)), OR(F6="No", ISNUMBER(X47))), IF(G6="Yes", X46, 0)+IF(F6="Yes", X47, 0), "")</f>
        <v>0</v>
      </c>
      <c r="Y45" s="1755"/>
      <c r="Z45" s="13"/>
      <c r="AA45" s="2251">
        <f>IF(AND(OR(G6="No", ISNUMBER(AA46)), OR(F6="No", ISNUMBER(AA47))), IF(G6="Yes", AA46, 0)+IF(F6="Yes", AA47, 0), "")</f>
        <v>0</v>
      </c>
      <c r="AB45" s="910">
        <f>IF(AND(OR(G6="No", ISNUMBER(AB46)), OR(F6="No", ISNUMBER(AB47))), IF(G6="Yes", AB46, 0)+IF(F6="Yes", AB47, 0), "")</f>
        <v>0</v>
      </c>
      <c r="AC45" s="910">
        <f>IF(AND(OR(G6="No", ISNUMBER(AC46)), OR(F6="No", ISNUMBER(AC47))), IF(G6="Yes", AC46, 0)+IF(F6="Yes", AC47, 0), "")</f>
        <v>0</v>
      </c>
      <c r="AD45" s="693">
        <f>IF(AND(OR(G6="No", ISNUMBER(AD46)), OR(F6="No", ISNUMBER(AD47))), IF(G6="Yes", AD46, 0)+IF(F6="Yes", AD47, 0), "")</f>
        <v>0</v>
      </c>
      <c r="AE45" s="2255"/>
    </row>
    <row r="46" spans="2:31" ht="15" customHeight="1" x14ac:dyDescent="0.25">
      <c r="B46" s="859" t="s">
        <v>896</v>
      </c>
      <c r="C46" s="35"/>
      <c r="D46" s="25"/>
      <c r="E46" s="25"/>
      <c r="F46" s="25"/>
      <c r="G46" s="683"/>
      <c r="H46" s="2240"/>
      <c r="I46" s="1487"/>
      <c r="J46" s="1487"/>
      <c r="K46" s="1487"/>
      <c r="L46" s="1487"/>
      <c r="M46" s="1487"/>
      <c r="N46" s="1487"/>
      <c r="O46" s="25"/>
      <c r="P46" s="25"/>
      <c r="Q46" s="25"/>
      <c r="R46" s="25"/>
      <c r="S46" s="683"/>
      <c r="T46" s="2240"/>
      <c r="U46" s="25"/>
      <c r="V46" s="25"/>
      <c r="W46" s="25"/>
      <c r="X46" s="36"/>
      <c r="Y46" s="2240"/>
      <c r="Z46" s="2241"/>
      <c r="AA46" s="1466"/>
      <c r="AB46" s="25"/>
      <c r="AC46" s="25"/>
      <c r="AD46" s="36"/>
      <c r="AE46" s="2255"/>
    </row>
    <row r="47" spans="2:31" ht="15" customHeight="1" x14ac:dyDescent="0.25">
      <c r="B47" s="859" t="s">
        <v>897</v>
      </c>
      <c r="C47" s="35"/>
      <c r="D47" s="25"/>
      <c r="E47" s="25"/>
      <c r="F47" s="25"/>
      <c r="G47" s="683"/>
      <c r="H47" s="2240"/>
      <c r="I47" s="1487"/>
      <c r="J47" s="1487"/>
      <c r="K47" s="1487"/>
      <c r="L47" s="1487"/>
      <c r="M47" s="1487"/>
      <c r="N47" s="1487"/>
      <c r="O47" s="25"/>
      <c r="P47" s="25"/>
      <c r="Q47" s="25"/>
      <c r="R47" s="25"/>
      <c r="S47" s="683"/>
      <c r="T47" s="2240"/>
      <c r="U47" s="25"/>
      <c r="V47" s="25"/>
      <c r="W47" s="25"/>
      <c r="X47" s="36"/>
      <c r="Y47" s="2240"/>
      <c r="Z47" s="2241"/>
      <c r="AA47" s="1466"/>
      <c r="AB47" s="25"/>
      <c r="AC47" s="25"/>
      <c r="AD47" s="36"/>
      <c r="AE47" s="2255"/>
    </row>
    <row r="48" spans="2:31" ht="15" customHeight="1" x14ac:dyDescent="0.25">
      <c r="B48" s="858" t="s">
        <v>899</v>
      </c>
      <c r="C48" s="910">
        <f>IF(AND(OR(G6="No", ISNUMBER(C49)), OR(F6="No", ISNUMBER(C50))), IF(G6="Yes", C49, 0)+IF(F6="Yes", C50, 0), "")</f>
        <v>0</v>
      </c>
      <c r="D48" s="910">
        <f>IF(AND(OR(G6="No", ISNUMBER(D49)), OR(F6="No", ISNUMBER(D50))), IF(G6="Yes", D49, 0)+IF(F6="Yes", D50, 0), "")</f>
        <v>0</v>
      </c>
      <c r="E48" s="910">
        <f>IF(AND(OR(G6="No", ISNUMBER(E49)), OR(F6="No", ISNUMBER(E50))), IF(G6="Yes", E49, 0)+IF(F6="Yes", E50, 0), "")</f>
        <v>0</v>
      </c>
      <c r="F48" s="910">
        <f>IF(AND(OR(G6="No", ISNUMBER(F49)), OR(F6="No", ISNUMBER(F50))), IF(G6="Yes", F49, 0)+IF(F6="Yes", F50, 0), "")</f>
        <v>0</v>
      </c>
      <c r="G48" s="874"/>
      <c r="H48" s="1755"/>
      <c r="I48" s="1487"/>
      <c r="J48" s="1487"/>
      <c r="K48" s="1487"/>
      <c r="L48" s="1487"/>
      <c r="M48" s="1487"/>
      <c r="N48" s="1487"/>
      <c r="O48" s="910">
        <f>IF(AND(OR(G6="No", ISNUMBER(O49)), OR(F6="No", ISNUMBER(O50))), IF(G6="Yes", O49, 0)+IF(F6="Yes", O50, 0), "")</f>
        <v>0</v>
      </c>
      <c r="P48" s="910">
        <f>IF(AND(OR(G6="No", ISNUMBER(P49)), OR(F6="No", ISNUMBER(P50))), IF(G6="Yes", P49, 0)+IF(F6="Yes", P50, 0), "")</f>
        <v>0</v>
      </c>
      <c r="Q48" s="910">
        <f>IF(AND(OR(G6="No", ISNUMBER(Q49)), OR(F6="No", ISNUMBER(Q50))), IF(G6="Yes", Q49, 0)+IF(F6="Yes", Q50, 0), "")</f>
        <v>0</v>
      </c>
      <c r="R48" s="910">
        <f>IF(AND(OR(G6="No", ISNUMBER(R49)), OR(F6="No", ISNUMBER(R50))), IF(G6="Yes", R49, 0)+IF(F6="Yes", R50, 0), "")</f>
        <v>0</v>
      </c>
      <c r="S48" s="874"/>
      <c r="T48" s="1755"/>
      <c r="U48" s="910">
        <f>IF(AND(OR(G6="No", ISNUMBER(U49)), OR(F6="No", ISNUMBER(U50))), IF(G6="Yes", U49, 0)+IF(F6="Yes", U50, 0), "")</f>
        <v>0</v>
      </c>
      <c r="V48" s="910">
        <f>IF(AND(OR(G6="No", ISNUMBER(V49)), OR(F6="No", ISNUMBER(V50))), IF(G6="Yes", V49, 0)+IF(F6="Yes", V50, 0), "")</f>
        <v>0</v>
      </c>
      <c r="W48" s="910">
        <f>IF(AND(OR(G6="No", ISNUMBER(W49)), OR(F6="No", ISNUMBER(W50))), IF(G6="Yes", W49, 0)+IF(F6="Yes", W50, 0), "")</f>
        <v>0</v>
      </c>
      <c r="X48" s="910">
        <f>IF(AND(OR(G6="No", ISNUMBER(X49)), OR(F6="No", ISNUMBER(X50))), IF(G6="Yes", X49, 0)+IF(F6="Yes", X50, 0), "")</f>
        <v>0</v>
      </c>
      <c r="Y48" s="1755"/>
      <c r="Z48" s="13"/>
      <c r="AA48" s="2251">
        <f>IF(AND(OR(G6="No", ISNUMBER(AA49)), OR(F6="No", ISNUMBER(AA50))), IF(G6="Yes", AA49, 0)+IF(F6="Yes", AA50, 0), "")</f>
        <v>0</v>
      </c>
      <c r="AB48" s="910">
        <f>IF(AND(OR(G6="No", ISNUMBER(AB49)), OR(F6="No", ISNUMBER(AB50))), IF(G6="Yes", AB49, 0)+IF(F6="Yes", AB50, 0), "")</f>
        <v>0</v>
      </c>
      <c r="AC48" s="910">
        <f>IF(AND(OR(G6="No", ISNUMBER(AC49)), OR(F6="No", ISNUMBER(AC50))), IF(G6="Yes", AC49, 0)+IF(F6="Yes", AC50, 0), "")</f>
        <v>0</v>
      </c>
      <c r="AD48" s="693">
        <f>IF(AND(OR(G6="No", ISNUMBER(AD49)), OR(F6="No", ISNUMBER(AD50))), IF(G6="Yes", AD49, 0)+IF(F6="Yes", AD50, 0), "")</f>
        <v>0</v>
      </c>
      <c r="AE48" s="2255"/>
    </row>
    <row r="49" spans="1:31" ht="15" customHeight="1" x14ac:dyDescent="0.25">
      <c r="B49" s="859" t="s">
        <v>896</v>
      </c>
      <c r="C49" s="35"/>
      <c r="D49" s="25"/>
      <c r="E49" s="25"/>
      <c r="F49" s="25"/>
      <c r="G49" s="683"/>
      <c r="H49" s="2240"/>
      <c r="I49" s="1487"/>
      <c r="J49" s="1487"/>
      <c r="K49" s="1487"/>
      <c r="L49" s="1487"/>
      <c r="M49" s="1487"/>
      <c r="N49" s="1487"/>
      <c r="O49" s="25"/>
      <c r="P49" s="25"/>
      <c r="Q49" s="25"/>
      <c r="R49" s="25"/>
      <c r="S49" s="683"/>
      <c r="T49" s="2240"/>
      <c r="U49" s="25"/>
      <c r="V49" s="25"/>
      <c r="W49" s="25"/>
      <c r="X49" s="36"/>
      <c r="Y49" s="2240"/>
      <c r="Z49" s="2241"/>
      <c r="AA49" s="1466"/>
      <c r="AB49" s="25"/>
      <c r="AC49" s="25"/>
      <c r="AD49" s="36"/>
      <c r="AE49" s="2255"/>
    </row>
    <row r="50" spans="1:31" ht="15" customHeight="1" x14ac:dyDescent="0.25">
      <c r="B50" s="1059" t="s">
        <v>897</v>
      </c>
      <c r="C50" s="671"/>
      <c r="D50" s="31"/>
      <c r="E50" s="31"/>
      <c r="F50" s="31"/>
      <c r="G50" s="684"/>
      <c r="H50" s="2240"/>
      <c r="I50" s="1487"/>
      <c r="J50" s="1487"/>
      <c r="K50" s="1487"/>
      <c r="L50" s="1487"/>
      <c r="M50" s="1487"/>
      <c r="N50" s="1487"/>
      <c r="O50" s="31"/>
      <c r="P50" s="31"/>
      <c r="Q50" s="31"/>
      <c r="R50" s="31"/>
      <c r="S50" s="684"/>
      <c r="T50" s="2240"/>
      <c r="U50" s="31"/>
      <c r="V50" s="31"/>
      <c r="W50" s="31"/>
      <c r="X50" s="62"/>
      <c r="Y50" s="19"/>
      <c r="Z50" s="103"/>
      <c r="AA50" s="1468"/>
      <c r="AB50" s="31"/>
      <c r="AC50" s="31"/>
      <c r="AD50" s="62"/>
      <c r="AE50" s="2255"/>
    </row>
    <row r="51" spans="1:31" ht="15" customHeight="1" x14ac:dyDescent="0.25">
      <c r="B51" s="1065" t="s">
        <v>625</v>
      </c>
      <c r="C51" s="1612">
        <f>IF(AND(ISNUMBER(C21), ISNUMBER(C41)), C21+C41, "")</f>
        <v>0</v>
      </c>
      <c r="D51" s="1038">
        <f>IF(AND(ISNUMBER(D21), ISNUMBER(D41)), D21+D41, "")</f>
        <v>0</v>
      </c>
      <c r="E51" s="1038">
        <f>IF(AND(ISNUMBER(E21), ISNUMBER(E31), ISNUMBER(E41)), E21+E31+E41, "")</f>
        <v>0</v>
      </c>
      <c r="F51" s="1038">
        <f t="shared" ref="F51" si="0">IF(AND(ISNUMBER(F21), ISNUMBER(F31), ISNUMBER(F41)), F21+F31+F41, "")</f>
        <v>0</v>
      </c>
      <c r="G51" s="1038">
        <f>IF(ISNUMBER(G21), G21, "")</f>
        <v>0</v>
      </c>
      <c r="H51" s="1038">
        <f>IF(ISNUMBER(H21), H21, "")</f>
        <v>0</v>
      </c>
      <c r="I51" s="1487"/>
      <c r="J51" s="1487"/>
      <c r="K51" s="1487"/>
      <c r="L51" s="1487"/>
      <c r="M51" s="1487"/>
      <c r="N51" s="1487"/>
      <c r="O51" s="1038">
        <f>IF(AND(ISNUMBER(O21), ISNUMBER(O41)), O21+O41, "")</f>
        <v>0</v>
      </c>
      <c r="P51" s="1038">
        <f>IF(AND(ISNUMBER(P21), ISNUMBER(P41)), P21+P41, "")</f>
        <v>0</v>
      </c>
      <c r="Q51" s="1038">
        <f>IF(AND(ISNUMBER(Q21), ISNUMBER(Q31), ISNUMBER(Q41)), Q21+Q31+Q41, "")</f>
        <v>0</v>
      </c>
      <c r="R51" s="1038">
        <f t="shared" ref="R51" si="1">IF(AND(ISNUMBER(R21), ISNUMBER(R31), ISNUMBER(R41)), R21+R31+R41, "")</f>
        <v>0</v>
      </c>
      <c r="S51" s="1038">
        <f>IF(ISNUMBER(S21), S21, "")</f>
        <v>0</v>
      </c>
      <c r="T51" s="1038">
        <f>IF(ISNUMBER(T21), T21, "")</f>
        <v>0</v>
      </c>
      <c r="U51" s="1038">
        <f>IF(AND(ISNUMBER(U21), ISNUMBER(U41)), U21+U41, "")</f>
        <v>0</v>
      </c>
      <c r="V51" s="1038">
        <f>IF(AND(ISNUMBER(V21), ISNUMBER(V41)), V21+V41, "")</f>
        <v>0</v>
      </c>
      <c r="W51" s="1038">
        <f>IF(AND(ISNUMBER(W21), ISNUMBER(W31), ISNUMBER(W41)), W21+W31+W41, "")</f>
        <v>0</v>
      </c>
      <c r="X51" s="1613">
        <f t="shared" ref="X51" si="2">IF(AND(ISNUMBER(X21), ISNUMBER(X31), ISNUMBER(X41)), X21+X31+X41, "")</f>
        <v>0</v>
      </c>
      <c r="Y51" s="1038">
        <f>IF(ISNUMBER(Y21), Y21, "")</f>
        <v>0</v>
      </c>
      <c r="Z51" s="1613">
        <f>IF(ISNUMBER(Z21), Z21, "")</f>
        <v>0</v>
      </c>
      <c r="AA51" s="2252">
        <f>IF(AND(ISNUMBER(AA21), ISNUMBER(AA31), ISNUMBER(AA41)), AA21+AA31+AA41, "")</f>
        <v>0</v>
      </c>
      <c r="AB51" s="1038">
        <f t="shared" ref="AB51" si="3">IF(AND(ISNUMBER(AB21), ISNUMBER(AB31), ISNUMBER(AB41)), AB21+AB31+AB41, "")</f>
        <v>0</v>
      </c>
      <c r="AC51" s="1038">
        <f>IF(AND(ISNUMBER(AC21), ISNUMBER(AC31), ISNUMBER(AC41)), AC21+AC31+AC41, "")</f>
        <v>0</v>
      </c>
      <c r="AD51" s="1613">
        <f t="shared" ref="AD51" si="4">IF(AND(ISNUMBER(AD21), ISNUMBER(AD31), ISNUMBER(AD41)), AD21+AD31+AD41, "")</f>
        <v>0</v>
      </c>
      <c r="AE51" s="2255"/>
    </row>
    <row r="52" spans="1:31" ht="30" customHeight="1" x14ac:dyDescent="0.25">
      <c r="B52" s="1616" t="s">
        <v>1194</v>
      </c>
      <c r="C52" s="745"/>
      <c r="D52" s="1339"/>
      <c r="E52" s="1339"/>
      <c r="F52" s="1339"/>
      <c r="G52" s="1339"/>
      <c r="H52" s="1339"/>
      <c r="I52" s="2076"/>
      <c r="J52" s="2077"/>
      <c r="K52" s="2077"/>
      <c r="L52" s="2077"/>
      <c r="M52" s="2077"/>
      <c r="N52" s="2078"/>
      <c r="O52" s="1339"/>
      <c r="P52" s="1339"/>
      <c r="Q52" s="1339"/>
      <c r="R52" s="1339"/>
      <c r="S52" s="1339"/>
      <c r="T52" s="1339"/>
      <c r="U52" s="1614"/>
      <c r="V52" s="1614"/>
      <c r="W52" s="1614"/>
      <c r="X52" s="1614"/>
      <c r="Y52" s="1614"/>
      <c r="Z52" s="1888"/>
      <c r="AA52" s="1445"/>
      <c r="AB52" s="1339"/>
      <c r="AC52" s="1614"/>
      <c r="AD52" s="1888"/>
      <c r="AE52" s="2255"/>
    </row>
    <row r="53" spans="1:31" ht="45" customHeight="1" x14ac:dyDescent="0.25">
      <c r="B53" s="1617" t="s">
        <v>1432</v>
      </c>
      <c r="C53" s="1615"/>
      <c r="D53" s="461"/>
      <c r="E53" s="461"/>
      <c r="F53" s="461"/>
      <c r="G53" s="461"/>
      <c r="H53" s="461"/>
      <c r="I53" s="2076"/>
      <c r="J53" s="2077"/>
      <c r="K53" s="2077"/>
      <c r="L53" s="2077"/>
      <c r="M53" s="2077"/>
      <c r="N53" s="2078"/>
      <c r="O53" s="318"/>
      <c r="P53" s="318"/>
      <c r="Q53" s="318"/>
      <c r="R53" s="318"/>
      <c r="S53" s="318"/>
      <c r="T53" s="318"/>
      <c r="U53" s="461"/>
      <c r="V53" s="461"/>
      <c r="W53" s="461"/>
      <c r="X53" s="461"/>
      <c r="Y53" s="461"/>
      <c r="Z53" s="460"/>
      <c r="AA53" s="2204"/>
      <c r="AB53" s="318"/>
      <c r="AC53" s="461"/>
      <c r="AD53" s="460"/>
      <c r="AE53" s="2255"/>
    </row>
    <row r="54" spans="1:31" ht="15" customHeight="1" x14ac:dyDescent="0.25">
      <c r="B54" s="1617" t="s">
        <v>1195</v>
      </c>
      <c r="C54" s="910" t="str">
        <f>IF(AND(ISNUMBER(C55), ISNUMBER(C56)), C55+C56, "")</f>
        <v/>
      </c>
      <c r="D54" s="580" t="str">
        <f t="shared" ref="D54:Z54" si="5">IF(AND(ISNUMBER(D55), ISNUMBER(D56)), D55+D56, "")</f>
        <v/>
      </c>
      <c r="E54" s="580" t="str">
        <f t="shared" si="5"/>
        <v/>
      </c>
      <c r="F54" s="580" t="str">
        <f t="shared" si="5"/>
        <v/>
      </c>
      <c r="G54" s="580" t="str">
        <f t="shared" si="5"/>
        <v/>
      </c>
      <c r="H54" s="580" t="str">
        <f t="shared" si="5"/>
        <v/>
      </c>
      <c r="I54" s="2079"/>
      <c r="J54" s="2080"/>
      <c r="K54" s="2080"/>
      <c r="L54" s="2080"/>
      <c r="M54" s="2080"/>
      <c r="N54" s="2081"/>
      <c r="O54" s="580" t="str">
        <f t="shared" si="5"/>
        <v/>
      </c>
      <c r="P54" s="580" t="str">
        <f t="shared" si="5"/>
        <v/>
      </c>
      <c r="Q54" s="580" t="str">
        <f t="shared" si="5"/>
        <v/>
      </c>
      <c r="R54" s="580" t="str">
        <f t="shared" si="5"/>
        <v/>
      </c>
      <c r="S54" s="580" t="str">
        <f t="shared" si="5"/>
        <v/>
      </c>
      <c r="T54" s="580" t="str">
        <f t="shared" si="5"/>
        <v/>
      </c>
      <c r="U54" s="580" t="str">
        <f t="shared" si="5"/>
        <v/>
      </c>
      <c r="V54" s="580" t="str">
        <f t="shared" si="5"/>
        <v/>
      </c>
      <c r="W54" s="580" t="str">
        <f t="shared" si="5"/>
        <v/>
      </c>
      <c r="X54" s="580" t="str">
        <f t="shared" si="5"/>
        <v/>
      </c>
      <c r="Y54" s="580" t="str">
        <f t="shared" si="5"/>
        <v/>
      </c>
      <c r="Z54" s="209" t="str">
        <f t="shared" si="5"/>
        <v/>
      </c>
      <c r="AA54" s="2251" t="str">
        <f t="shared" ref="AA54:AD54" si="6">IF(AND(ISNUMBER(AA55), ISNUMBER(AA56)), AA55+AA56, "")</f>
        <v/>
      </c>
      <c r="AB54" s="580" t="str">
        <f t="shared" si="6"/>
        <v/>
      </c>
      <c r="AC54" s="580" t="str">
        <f t="shared" si="6"/>
        <v/>
      </c>
      <c r="AD54" s="209" t="str">
        <f t="shared" si="6"/>
        <v/>
      </c>
      <c r="AE54" s="2255"/>
    </row>
    <row r="55" spans="1:31" ht="15" customHeight="1" x14ac:dyDescent="0.25">
      <c r="B55" s="1618" t="s">
        <v>1196</v>
      </c>
      <c r="C55" s="481"/>
      <c r="D55" s="318"/>
      <c r="E55" s="318"/>
      <c r="F55" s="318"/>
      <c r="G55" s="318"/>
      <c r="H55" s="318"/>
      <c r="I55" s="2076"/>
      <c r="J55" s="2077"/>
      <c r="K55" s="2077"/>
      <c r="L55" s="2077"/>
      <c r="M55" s="2077"/>
      <c r="N55" s="2078"/>
      <c r="O55" s="318"/>
      <c r="P55" s="318"/>
      <c r="Q55" s="318"/>
      <c r="R55" s="318"/>
      <c r="S55" s="318"/>
      <c r="T55" s="318"/>
      <c r="U55" s="318"/>
      <c r="V55" s="318"/>
      <c r="W55" s="318"/>
      <c r="X55" s="318"/>
      <c r="Y55" s="318"/>
      <c r="Z55" s="208"/>
      <c r="AA55" s="2204"/>
      <c r="AB55" s="318"/>
      <c r="AC55" s="318"/>
      <c r="AD55" s="208"/>
      <c r="AE55" s="2255"/>
    </row>
    <row r="56" spans="1:31" ht="15" customHeight="1" x14ac:dyDescent="0.25">
      <c r="B56" s="1619" t="s">
        <v>1197</v>
      </c>
      <c r="C56" s="746"/>
      <c r="D56" s="1274"/>
      <c r="E56" s="1274"/>
      <c r="F56" s="1274"/>
      <c r="G56" s="1274"/>
      <c r="H56" s="1274"/>
      <c r="I56" s="2076"/>
      <c r="J56" s="2077"/>
      <c r="K56" s="2077"/>
      <c r="L56" s="2077"/>
      <c r="M56" s="2077"/>
      <c r="N56" s="2078"/>
      <c r="O56" s="1274"/>
      <c r="P56" s="1274"/>
      <c r="Q56" s="1274"/>
      <c r="R56" s="1274"/>
      <c r="S56" s="1274"/>
      <c r="T56" s="1274"/>
      <c r="U56" s="1274"/>
      <c r="V56" s="1274"/>
      <c r="W56" s="1274"/>
      <c r="X56" s="1274"/>
      <c r="Y56" s="1274"/>
      <c r="Z56" s="298"/>
      <c r="AA56" s="2228"/>
      <c r="AB56" s="1274"/>
      <c r="AC56" s="1274"/>
      <c r="AD56" s="298"/>
      <c r="AE56" s="2255"/>
    </row>
    <row r="57" spans="1:31" ht="15" customHeight="1" x14ac:dyDescent="0.25">
      <c r="A57" s="430"/>
      <c r="B57" s="1450"/>
      <c r="C57" s="1450"/>
      <c r="D57" s="1450"/>
      <c r="E57" s="1450"/>
      <c r="F57" s="1450"/>
      <c r="G57" s="1450"/>
      <c r="H57" s="1450"/>
      <c r="I57" s="1758"/>
      <c r="J57" s="1758"/>
      <c r="K57" s="1758"/>
      <c r="L57" s="1758"/>
      <c r="M57" s="1758"/>
      <c r="N57" s="1758"/>
      <c r="O57" s="1450"/>
      <c r="P57" s="1450"/>
      <c r="Q57" s="1450"/>
      <c r="R57" s="1450"/>
      <c r="S57" s="1450"/>
      <c r="T57" s="1450"/>
      <c r="U57" s="1450"/>
      <c r="V57" s="1450"/>
      <c r="W57" s="1450"/>
      <c r="X57" s="1450"/>
      <c r="Y57" s="1450"/>
      <c r="Z57" s="1450"/>
      <c r="AA57" s="2257"/>
      <c r="AB57" s="2257"/>
      <c r="AC57" s="2257"/>
      <c r="AD57" s="2257"/>
      <c r="AE57" s="2256"/>
    </row>
    <row r="58" spans="1:31" ht="15" customHeight="1" x14ac:dyDescent="0.25">
      <c r="A58" s="430"/>
      <c r="B58" s="1756"/>
      <c r="C58" s="1756"/>
      <c r="D58" s="1756"/>
      <c r="E58" s="1756"/>
      <c r="F58" s="1756"/>
      <c r="G58" s="2810" t="s">
        <v>410</v>
      </c>
      <c r="H58" s="2866"/>
      <c r="I58" s="2866"/>
      <c r="J58" s="2866"/>
      <c r="K58" s="2866"/>
      <c r="L58" s="2866"/>
      <c r="M58" s="2866"/>
      <c r="N58" s="2866"/>
      <c r="O58" s="2866"/>
      <c r="P58" s="2866"/>
      <c r="Q58" s="2866"/>
      <c r="R58" s="1450"/>
      <c r="S58" s="1450"/>
      <c r="T58" s="1450"/>
      <c r="U58" s="1450"/>
      <c r="V58" s="1450"/>
      <c r="W58" s="1450"/>
      <c r="X58" s="1450"/>
      <c r="Y58" s="1450"/>
      <c r="Z58" s="1450"/>
      <c r="AA58" s="2257"/>
      <c r="AB58" s="2257"/>
      <c r="AC58" s="2257"/>
      <c r="AD58" s="2257"/>
      <c r="AE58" s="2256"/>
    </row>
    <row r="59" spans="1:31" ht="15" customHeight="1" x14ac:dyDescent="0.25">
      <c r="B59" s="2874" t="s">
        <v>1394</v>
      </c>
      <c r="C59" s="2874"/>
      <c r="D59" s="2874"/>
      <c r="E59" s="1949"/>
      <c r="F59" s="1954"/>
      <c r="G59" s="1890"/>
      <c r="H59" s="1954"/>
      <c r="I59" s="1954"/>
      <c r="J59" s="1954"/>
      <c r="K59" s="1954"/>
      <c r="L59" s="1954"/>
      <c r="M59" s="1954"/>
      <c r="N59" s="1954"/>
      <c r="O59" s="1954"/>
      <c r="P59" s="1954"/>
      <c r="Q59" s="1954"/>
      <c r="R59" s="1450"/>
      <c r="S59" s="1450"/>
      <c r="T59" s="1450"/>
      <c r="U59" s="1450"/>
      <c r="V59" s="1450"/>
      <c r="W59" s="1450"/>
      <c r="X59" s="1450"/>
      <c r="Y59" s="1450"/>
      <c r="Z59" s="1450"/>
      <c r="AA59" s="2257"/>
      <c r="AB59" s="2257"/>
      <c r="AC59" s="2257"/>
      <c r="AD59" s="2257"/>
      <c r="AE59" s="2256"/>
    </row>
    <row r="60" spans="1:31" ht="15" customHeight="1" x14ac:dyDescent="0.25">
      <c r="B60" s="2873" t="s">
        <v>1395</v>
      </c>
      <c r="C60" s="2873"/>
      <c r="D60" s="2873"/>
      <c r="E60" s="1950"/>
      <c r="F60" s="1966"/>
      <c r="G60" s="1766"/>
      <c r="H60" s="1966"/>
      <c r="I60" s="1966"/>
      <c r="J60" s="1966"/>
      <c r="K60" s="1966"/>
      <c r="L60" s="1966"/>
      <c r="M60" s="1966"/>
      <c r="N60" s="1966"/>
      <c r="O60" s="1966"/>
      <c r="P60" s="1966"/>
      <c r="Q60" s="1966"/>
      <c r="R60" s="1450"/>
      <c r="S60" s="1450"/>
      <c r="T60" s="1450"/>
      <c r="U60" s="1450"/>
      <c r="V60" s="1450"/>
      <c r="W60" s="1450"/>
      <c r="X60" s="1450"/>
      <c r="Y60" s="1450"/>
      <c r="Z60" s="1450"/>
      <c r="AA60" s="2257"/>
      <c r="AB60" s="2257"/>
      <c r="AC60" s="2257"/>
      <c r="AD60" s="2257"/>
      <c r="AE60" s="2256"/>
    </row>
    <row r="61" spans="1:31" ht="15" customHeight="1" x14ac:dyDescent="0.25">
      <c r="B61" s="2873" t="s">
        <v>1396</v>
      </c>
      <c r="C61" s="2873"/>
      <c r="D61" s="2873"/>
      <c r="E61" s="1951"/>
      <c r="F61" s="1966"/>
      <c r="G61" s="1766"/>
      <c r="H61" s="1966"/>
      <c r="I61" s="1966"/>
      <c r="J61" s="1966"/>
      <c r="K61" s="1966"/>
      <c r="L61" s="1966"/>
      <c r="M61" s="1966"/>
      <c r="N61" s="1966"/>
      <c r="O61" s="1966"/>
      <c r="P61" s="1966"/>
      <c r="Q61" s="1966"/>
      <c r="R61" s="1450"/>
      <c r="S61" s="1450"/>
      <c r="T61" s="1450"/>
      <c r="U61" s="1450"/>
      <c r="V61" s="1450"/>
      <c r="W61" s="1450"/>
      <c r="X61" s="1450"/>
      <c r="Y61" s="1450"/>
      <c r="Z61" s="1450"/>
      <c r="AA61" s="2257"/>
      <c r="AB61" s="2257"/>
      <c r="AC61" s="2257"/>
      <c r="AD61" s="2257"/>
      <c r="AE61" s="2256"/>
    </row>
    <row r="62" spans="1:31" ht="45" customHeight="1" x14ac:dyDescent="0.25">
      <c r="B62" s="2873" t="s">
        <v>1433</v>
      </c>
      <c r="C62" s="2873"/>
      <c r="D62" s="2873"/>
      <c r="E62" s="2865"/>
      <c r="F62" s="2865"/>
      <c r="G62" s="2867"/>
      <c r="H62" s="2868"/>
      <c r="I62" s="2868"/>
      <c r="J62" s="2868"/>
      <c r="K62" s="2868"/>
      <c r="L62" s="2868"/>
      <c r="M62" s="2868"/>
      <c r="N62" s="2868"/>
      <c r="O62" s="2868"/>
      <c r="P62" s="2868"/>
      <c r="Q62" s="2868"/>
      <c r="R62" s="1450"/>
      <c r="S62" s="1450"/>
      <c r="T62" s="1450"/>
      <c r="U62" s="1450"/>
      <c r="V62" s="1450"/>
      <c r="W62" s="1450"/>
      <c r="X62" s="1450"/>
      <c r="Y62" s="1450"/>
      <c r="Z62" s="1450"/>
      <c r="AA62" s="2257"/>
      <c r="AB62" s="2257"/>
      <c r="AC62" s="2257"/>
      <c r="AD62" s="2257"/>
      <c r="AE62" s="2256"/>
    </row>
    <row r="63" spans="1:31" ht="45" customHeight="1" x14ac:dyDescent="0.25">
      <c r="A63" s="430"/>
      <c r="B63" s="2857"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857"/>
      <c r="D63" s="2857"/>
      <c r="E63" s="2864"/>
      <c r="F63" s="2864"/>
      <c r="G63" s="2869"/>
      <c r="H63" s="2870"/>
      <c r="I63" s="2870"/>
      <c r="J63" s="2870"/>
      <c r="K63" s="2870"/>
      <c r="L63" s="2870"/>
      <c r="M63" s="2870"/>
      <c r="N63" s="2870"/>
      <c r="O63" s="2870"/>
      <c r="P63" s="2870"/>
      <c r="Q63" s="2870"/>
      <c r="R63" s="1450"/>
      <c r="S63" s="1450"/>
      <c r="T63" s="1450"/>
      <c r="U63" s="1450"/>
      <c r="V63" s="1450"/>
      <c r="W63" s="1450"/>
      <c r="X63" s="1450"/>
      <c r="Y63" s="1450"/>
      <c r="Z63" s="1450"/>
      <c r="AA63" s="2257"/>
      <c r="AB63" s="2257"/>
      <c r="AC63" s="2257"/>
      <c r="AD63" s="2257"/>
      <c r="AE63" s="2256"/>
    </row>
    <row r="64" spans="1:31" ht="15" hidden="1" customHeight="1" x14ac:dyDescent="0.25">
      <c r="A64" s="430"/>
      <c r="B64" s="1450"/>
      <c r="C64" s="1450"/>
      <c r="D64" s="1450"/>
      <c r="E64" s="1450"/>
      <c r="F64" s="1450"/>
      <c r="G64" s="1450"/>
      <c r="H64" s="1450"/>
      <c r="I64" s="1450"/>
      <c r="J64" s="1450"/>
      <c r="K64" s="1450"/>
      <c r="L64" s="1450"/>
      <c r="M64" s="1450"/>
      <c r="N64" s="1450"/>
      <c r="O64" s="1450"/>
      <c r="P64" s="1450"/>
      <c r="Q64" s="1450"/>
      <c r="R64" s="1450"/>
      <c r="S64" s="1450"/>
      <c r="T64" s="1450"/>
      <c r="U64" s="1450"/>
      <c r="V64" s="1450"/>
      <c r="W64" s="1450"/>
      <c r="X64" s="1450"/>
      <c r="Y64" s="1450"/>
      <c r="Z64" s="1450"/>
      <c r="AA64" s="2257"/>
      <c r="AB64" s="2257"/>
      <c r="AC64" s="2257"/>
      <c r="AD64" s="2257"/>
      <c r="AE64" s="2256"/>
    </row>
    <row r="65" spans="1:31" ht="15" hidden="1" customHeight="1" x14ac:dyDescent="0.25">
      <c r="A65" s="430"/>
      <c r="B65" s="1450"/>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2257"/>
      <c r="AB65" s="2257"/>
      <c r="AC65" s="2257"/>
      <c r="AD65" s="2257"/>
      <c r="AE65" s="2256"/>
    </row>
    <row r="66" spans="1:31" ht="15" hidden="1" customHeight="1" x14ac:dyDescent="0.25">
      <c r="A66" s="430"/>
      <c r="B66" s="1450"/>
      <c r="C66" s="1450"/>
      <c r="D66" s="1450"/>
      <c r="E66" s="1450"/>
      <c r="F66" s="1450"/>
      <c r="G66" s="1450"/>
      <c r="H66" s="1450"/>
      <c r="I66" s="1450"/>
      <c r="J66" s="1450"/>
      <c r="K66" s="1450"/>
      <c r="L66" s="1450"/>
      <c r="M66" s="1450"/>
      <c r="N66" s="1450"/>
      <c r="O66" s="1450"/>
      <c r="P66" s="1450"/>
      <c r="Q66" s="1450"/>
      <c r="R66" s="1450"/>
      <c r="S66" s="1450"/>
      <c r="T66" s="1450"/>
      <c r="U66" s="1450"/>
      <c r="V66" s="1450"/>
      <c r="W66" s="1450"/>
      <c r="X66" s="1450"/>
      <c r="Y66" s="1450"/>
      <c r="Z66" s="1450"/>
      <c r="AA66" s="2257"/>
      <c r="AB66" s="2257"/>
      <c r="AC66" s="2257"/>
      <c r="AD66" s="2257"/>
      <c r="AE66" s="2256"/>
    </row>
    <row r="67" spans="1:31" ht="15" hidden="1" customHeight="1" x14ac:dyDescent="0.25">
      <c r="A67" s="430"/>
      <c r="B67" s="1450"/>
      <c r="C67" s="1450"/>
      <c r="D67" s="1450"/>
      <c r="E67" s="1450"/>
      <c r="F67" s="1450"/>
      <c r="G67" s="1450"/>
      <c r="H67" s="1450"/>
      <c r="I67" s="1450"/>
      <c r="J67" s="1450"/>
      <c r="K67" s="1450"/>
      <c r="L67" s="1450"/>
      <c r="M67" s="1450"/>
      <c r="N67" s="1450"/>
      <c r="O67" s="1450"/>
      <c r="P67" s="1450"/>
      <c r="Q67" s="1450"/>
      <c r="R67" s="1450"/>
      <c r="S67" s="1450"/>
      <c r="T67" s="1450"/>
      <c r="U67" s="1450"/>
      <c r="V67" s="1450"/>
      <c r="W67" s="1450"/>
      <c r="X67" s="1450"/>
      <c r="Y67" s="1450"/>
      <c r="Z67" s="1450"/>
      <c r="AA67" s="2257"/>
      <c r="AB67" s="2257"/>
      <c r="AC67" s="2257"/>
      <c r="AD67" s="2257"/>
      <c r="AE67" s="2256"/>
    </row>
    <row r="68" spans="1:31" ht="15" hidden="1" customHeight="1" x14ac:dyDescent="0.25">
      <c r="A68" s="430"/>
      <c r="B68" s="1450"/>
      <c r="C68" s="1450"/>
      <c r="D68" s="1450"/>
      <c r="E68" s="1450"/>
      <c r="F68" s="1450"/>
      <c r="G68" s="1450"/>
      <c r="H68" s="1450"/>
      <c r="I68" s="1450"/>
      <c r="J68" s="1450"/>
      <c r="K68" s="1450"/>
      <c r="L68" s="1450"/>
      <c r="M68" s="1450"/>
      <c r="N68" s="1450"/>
      <c r="O68" s="1450"/>
      <c r="P68" s="1450"/>
      <c r="Q68" s="1450"/>
      <c r="R68" s="1450"/>
      <c r="S68" s="1450"/>
      <c r="T68" s="1450"/>
      <c r="U68" s="1450"/>
      <c r="V68" s="1450"/>
      <c r="W68" s="1450"/>
      <c r="X68" s="1450"/>
      <c r="Y68" s="1450"/>
      <c r="Z68" s="1450"/>
      <c r="AA68" s="2257"/>
      <c r="AB68" s="2257"/>
      <c r="AC68" s="2257"/>
      <c r="AD68" s="2257"/>
      <c r="AE68" s="2256"/>
    </row>
    <row r="69" spans="1:31" ht="15" customHeight="1" x14ac:dyDescent="0.25">
      <c r="A69" s="1757"/>
      <c r="B69" s="1758"/>
      <c r="C69" s="1758"/>
      <c r="D69" s="1758"/>
      <c r="E69" s="1758"/>
      <c r="F69" s="1758"/>
      <c r="G69" s="1758"/>
      <c r="H69" s="1758"/>
      <c r="I69" s="1758"/>
      <c r="J69" s="1758"/>
      <c r="K69" s="1758"/>
      <c r="L69" s="1758"/>
      <c r="M69" s="1758"/>
      <c r="N69" s="1758"/>
      <c r="O69" s="1758"/>
      <c r="P69" s="1758"/>
      <c r="Q69" s="1758"/>
      <c r="R69" s="1758"/>
      <c r="S69" s="1758"/>
      <c r="T69" s="1758"/>
      <c r="U69" s="1758"/>
      <c r="V69" s="1758"/>
      <c r="W69" s="1758"/>
      <c r="X69" s="1758"/>
      <c r="Y69" s="1758"/>
      <c r="Z69" s="1758"/>
      <c r="AA69" s="2258"/>
      <c r="AB69" s="2258"/>
      <c r="AC69" s="2258"/>
      <c r="AD69" s="2258"/>
      <c r="AE69" s="2259"/>
    </row>
    <row r="70" spans="1:31" ht="45" customHeight="1" x14ac:dyDescent="0.25">
      <c r="A70" s="1349" t="s">
        <v>2168</v>
      </c>
      <c r="B70" s="494"/>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441"/>
    </row>
    <row r="71" spans="1:31" ht="75" customHeight="1" x14ac:dyDescent="0.25">
      <c r="A71" s="1463"/>
      <c r="B71" s="2872" t="s">
        <v>1040</v>
      </c>
      <c r="C71" s="2872"/>
      <c r="D71" s="2872"/>
      <c r="E71" s="2236"/>
      <c r="F71" s="2236"/>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441"/>
    </row>
    <row r="72" spans="1:31" ht="45" customHeight="1" x14ac:dyDescent="0.25">
      <c r="A72" s="1349" t="s">
        <v>2169</v>
      </c>
      <c r="B72" s="494"/>
      <c r="C72" s="1736"/>
      <c r="D72" s="1736"/>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441"/>
    </row>
    <row r="73" spans="1:31" ht="15" customHeight="1" x14ac:dyDescent="0.25">
      <c r="A73" s="430"/>
      <c r="B73" s="739" t="s">
        <v>643</v>
      </c>
      <c r="C73" s="2858"/>
      <c r="D73" s="2859"/>
      <c r="E73" s="1871" t="s">
        <v>1044</v>
      </c>
      <c r="F73" s="1759"/>
      <c r="G73" s="821"/>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1740"/>
    </row>
    <row r="74" spans="1:31" ht="15" customHeight="1" x14ac:dyDescent="0.25">
      <c r="A74" s="430"/>
      <c r="B74" s="2238" t="s">
        <v>1043</v>
      </c>
      <c r="C74" s="2860" t="str">
        <f>IF(OR(ISBLANK(C73), ISBLANK('Supervisory information'!D15)), IF(AND(ISBLANK(C73), G73="Yes"), "Fill in cell above", ""), IF(C73*'Supervisory information'!D15&lt;=100000000000, "Yes", "No"))</f>
        <v/>
      </c>
      <c r="D74" s="2861"/>
      <c r="E74" s="285" t="s">
        <v>1045</v>
      </c>
      <c r="F74" s="1760"/>
      <c r="G74" s="1438" t="str">
        <f>IF(OR(ISBLANK(G73), ISBLANK(C74), C74=""), IF(C74="No", "No", IF(ISNUMBER(C73), "Fill in cell above", IF(C73="", "No", ""))), IF(AND(C74="Yes", G73="Yes"), "Yes", "No"))</f>
        <v>No</v>
      </c>
      <c r="H74" s="1450"/>
      <c r="I74" s="1450"/>
      <c r="J74" s="1450"/>
      <c r="K74" s="1450"/>
      <c r="L74" s="1450"/>
      <c r="M74" s="1450"/>
      <c r="N74" s="1450"/>
      <c r="O74" s="1450"/>
      <c r="P74" s="1450"/>
      <c r="Q74" s="1450"/>
      <c r="R74" s="1450"/>
      <c r="S74" s="1450"/>
      <c r="T74" s="1450"/>
      <c r="U74" s="1450"/>
      <c r="V74" s="1450"/>
      <c r="W74" s="1450"/>
      <c r="X74" s="1450"/>
      <c r="Y74" s="1450"/>
      <c r="Z74" s="1450"/>
      <c r="AA74" s="1450"/>
      <c r="AB74" s="1450"/>
      <c r="AC74" s="1450"/>
      <c r="AD74" s="1450"/>
      <c r="AE74" s="1362"/>
    </row>
    <row r="75" spans="1:31" ht="45" customHeight="1" x14ac:dyDescent="0.25">
      <c r="A75" s="1349" t="s">
        <v>2170</v>
      </c>
      <c r="B75" s="494"/>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441"/>
    </row>
    <row r="76" spans="1:31" ht="120" customHeight="1" x14ac:dyDescent="0.25">
      <c r="A76" s="397"/>
      <c r="B76" s="1762"/>
      <c r="C76" s="2234" t="s">
        <v>1046</v>
      </c>
      <c r="D76" s="2233" t="s">
        <v>991</v>
      </c>
      <c r="E76" s="1273" t="str">
        <f>"Check: Col C will be ignored if flags on General Info rows " &amp; ROW('General Info'!$C$38) &amp; " and " &amp; ROW('General Info'!$C$39) &amp; " are set to 'No', respectively"</f>
        <v>Check: Col C will be ignored if flags on General Info rows 38 and 39 are set to 'No', respectively</v>
      </c>
      <c r="F76" s="1273" t="str">
        <f>"Check: Col C will be ignored if flags on General Info rows " &amp; ROW('General Info'!$C$38) &amp; " and " &amp; ROW('General Info'!$C$39) &amp; " are set to 'No', respectively"</f>
        <v>Check: Col C will be ignored if flags on General Info rows 38 and 39 are set to 'No', respectively</v>
      </c>
      <c r="G76" s="1273" t="str">
        <f>"Check: Col C Total not calculated due to missing flags in General Info rows " &amp; ROW('General Info'!$C$38) &amp; " and " &amp; ROW('General Info'!$C$39)</f>
        <v>Check: Col C Total not calculated due to missing flags in General Info rows 38 and 39</v>
      </c>
      <c r="H76" s="1273" t="str">
        <f>"Check: Col D Total not calculated due to missing flags in General Info rows " &amp; ROW('General Info'!$C$38) &amp; " and " &amp; ROW('General Info'!$C$39)</f>
        <v>Check: Col D Total not calculated due to missing flags in General Info rows 38 and 39</v>
      </c>
      <c r="I76" s="1450"/>
      <c r="J76" s="1450"/>
      <c r="K76" s="1450"/>
      <c r="L76" s="1450"/>
      <c r="M76" s="1450"/>
      <c r="N76" s="1450"/>
      <c r="O76" s="325"/>
      <c r="P76" s="1450"/>
      <c r="Q76" s="1450"/>
      <c r="R76" s="1450"/>
      <c r="S76" s="1450"/>
      <c r="T76" s="1450"/>
      <c r="U76" s="1450"/>
      <c r="V76" s="1450"/>
      <c r="W76" s="1450"/>
      <c r="X76" s="1450"/>
      <c r="Y76" s="1450"/>
      <c r="Z76" s="1450"/>
      <c r="AA76" s="1450"/>
      <c r="AB76" s="1450"/>
      <c r="AC76" s="1450"/>
      <c r="AD76" s="1450"/>
      <c r="AE76" s="1362"/>
    </row>
    <row r="77" spans="1:31" ht="15" customHeight="1" x14ac:dyDescent="0.25">
      <c r="A77" s="430"/>
      <c r="B77" s="739" t="s">
        <v>644</v>
      </c>
      <c r="C77" s="738"/>
      <c r="D77" s="1889"/>
      <c r="E77" s="1763" t="str">
        <f>IF('General Info'!$C38="No", IF(C77="", "", IF(C77=0, "Pass", "Fail")), IF('General Info'!$C38="Yes", IF(AND(ISNUMBER(C77), C77&gt;=0), "Pass", "Fail"), ""))</f>
        <v/>
      </c>
      <c r="F77" s="1763" t="str">
        <f>IF('General Info'!$C38="No", IF(D77="", "", IF(D77=0, "", "Fail")), IF('General Info'!$C38="Yes", IF(AND(ISNUMBER(D77), D77&gt;=0), "Pass", ""), ""))</f>
        <v/>
      </c>
      <c r="G77" s="1890"/>
      <c r="H77" s="1890"/>
      <c r="I77" s="1764"/>
      <c r="J77" s="1764"/>
      <c r="K77" s="1764"/>
      <c r="L77" s="1764"/>
      <c r="M77" s="1764"/>
      <c r="N77" s="1764"/>
      <c r="O77" s="325"/>
      <c r="P77" s="575"/>
      <c r="Q77" s="575"/>
      <c r="R77" s="575"/>
      <c r="S77" s="575"/>
      <c r="T77" s="575"/>
      <c r="U77" s="575"/>
      <c r="V77" s="575"/>
      <c r="W77" s="575"/>
      <c r="X77" s="575"/>
      <c r="Y77" s="575"/>
      <c r="Z77" s="575"/>
      <c r="AA77" s="575"/>
      <c r="AB77" s="575"/>
      <c r="AC77" s="575"/>
      <c r="AD77" s="575"/>
      <c r="AE77" s="1740"/>
    </row>
    <row r="78" spans="1:31" ht="15" customHeight="1" x14ac:dyDescent="0.25">
      <c r="A78" s="430"/>
      <c r="B78" s="233" t="s">
        <v>78</v>
      </c>
      <c r="C78" s="692"/>
      <c r="D78" s="999"/>
      <c r="E78" s="1765" t="str">
        <f>IF('General Info'!$C39="No", IF(C78="", "", IF(C78=0, "Pass", "Fail")), IF('General Info'!$C39="Yes", IF(AND(ISNUMBER(C78),C78&gt;=0), "Pass", "Fail"), ""))</f>
        <v/>
      </c>
      <c r="F78" s="1765" t="str">
        <f>IF('General Info'!$C39="No", IF(D78="", "", IF(D78=0, "", "Fail")), IF('General Info'!$C39="Yes", IF(AND(ISNUMBER(D78), D78&gt;=0), "Pass", ""), ""))</f>
        <v/>
      </c>
      <c r="G78" s="1766"/>
      <c r="H78" s="1766"/>
      <c r="I78" s="1767"/>
      <c r="J78" s="1767"/>
      <c r="K78" s="1767"/>
      <c r="L78" s="1767"/>
      <c r="M78" s="1767"/>
      <c r="N78" s="1767"/>
      <c r="O78" s="325"/>
      <c r="P78" s="575"/>
      <c r="Q78" s="575"/>
      <c r="R78" s="575"/>
      <c r="S78" s="575"/>
      <c r="T78" s="575"/>
      <c r="U78" s="575"/>
      <c r="V78" s="575"/>
      <c r="W78" s="575"/>
      <c r="X78" s="575"/>
      <c r="Y78" s="575"/>
      <c r="Z78" s="575"/>
      <c r="AA78" s="575"/>
      <c r="AB78" s="575"/>
      <c r="AC78" s="575"/>
      <c r="AD78" s="575"/>
      <c r="AE78" s="1740"/>
    </row>
    <row r="79" spans="1:31" ht="15" customHeight="1" x14ac:dyDescent="0.25">
      <c r="A79" s="430"/>
      <c r="B79" s="940" t="s">
        <v>116</v>
      </c>
      <c r="C79" s="971" t="str">
        <f>IF(AND('General Info'!C38="Yes",'General Info'!C39="Yes"),IF(AND(ISNUMBER(C77),ISNUMBER(C78)),C77+C78,""),IF(AND('General Info'!C38="Yes",'General Info'!C39="No"),IF(ISNUMBER(C77),C77,""),IF(AND('General Info'!C39="Yes",'General Info'!C38="No"),IF(ISNUMBER(C78),C78,""),"")))</f>
        <v/>
      </c>
      <c r="D79" s="926" t="str">
        <f>IF(AND('General Info'!C38="Yes",'General Info'!C39="Yes"),IF(AND(ISNUMBER(D77),ISNUMBER(D78)),D77+D78,""),IF(AND('General Info'!C38="Yes",'General Info'!C39="No"),IF(ISNUMBER(D77),D77,""),IF(AND('General Info'!C39="Yes",'General Info'!C38="No"),IF(ISNUMBER(D78),D78,""),"")))</f>
        <v/>
      </c>
      <c r="E79" s="1768"/>
      <c r="F79" s="1768"/>
      <c r="G79" s="1769" t="str">
        <f>IF(AND(OR(ISBLANK('General Info'!C38),ISBLANK('General Info'!C39)),OR(C77&lt;&gt;"",C78&lt;&gt;"")),"Fail","")</f>
        <v/>
      </c>
      <c r="H79" s="1770" t="str">
        <f>IF(AND(OR(ISBLANK('General Info'!C38),ISBLANK('General Info'!C39)),OR(D77&lt;&gt;"",D78&lt;&gt;"")),"Fail","")</f>
        <v/>
      </c>
      <c r="I79" s="1771"/>
      <c r="J79" s="1771"/>
      <c r="K79" s="1771"/>
      <c r="L79" s="1771"/>
      <c r="M79" s="1771"/>
      <c r="N79" s="1771"/>
      <c r="O79" s="325"/>
      <c r="P79" s="1450"/>
      <c r="Q79" s="1450"/>
      <c r="R79" s="1450"/>
      <c r="S79" s="1450"/>
      <c r="T79" s="1450"/>
      <c r="U79" s="1450"/>
      <c r="V79" s="1450"/>
      <c r="W79" s="1450"/>
      <c r="X79" s="1450"/>
      <c r="Y79" s="1450"/>
      <c r="Z79" s="1450"/>
      <c r="AA79" s="1450"/>
      <c r="AB79" s="1450"/>
      <c r="AC79" s="1450"/>
      <c r="AD79" s="1450"/>
      <c r="AE79" s="1362"/>
    </row>
    <row r="80" spans="1:31" ht="45" customHeight="1" x14ac:dyDescent="0.25">
      <c r="A80" s="1349" t="s">
        <v>2171</v>
      </c>
      <c r="B80" s="494"/>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441"/>
    </row>
    <row r="81" spans="1:31" ht="30" customHeight="1" x14ac:dyDescent="0.25">
      <c r="A81" s="1772" t="s">
        <v>2172</v>
      </c>
      <c r="B81" s="1773"/>
      <c r="C81" s="1774"/>
      <c r="D81" s="1774"/>
      <c r="E81" s="1774"/>
      <c r="F81" s="1774"/>
      <c r="G81" s="1774"/>
      <c r="H81" s="1774"/>
      <c r="I81" s="1774"/>
      <c r="J81" s="1774"/>
      <c r="K81" s="1774"/>
      <c r="L81" s="1774"/>
      <c r="M81" s="1774"/>
      <c r="N81" s="1774"/>
      <c r="O81" s="1774"/>
      <c r="P81" s="1774"/>
      <c r="Q81" s="1774"/>
      <c r="R81" s="1774"/>
      <c r="S81" s="1774"/>
      <c r="T81" s="1774"/>
      <c r="U81" s="1774"/>
      <c r="V81" s="1774"/>
      <c r="W81" s="1774"/>
      <c r="X81" s="1774"/>
      <c r="Y81" s="1774"/>
      <c r="Z81" s="1774"/>
      <c r="AA81" s="1774"/>
      <c r="AB81" s="1774"/>
      <c r="AC81" s="1774"/>
      <c r="AD81" s="1774"/>
      <c r="AE81" s="2249"/>
    </row>
    <row r="82" spans="1:31" ht="45" customHeight="1" x14ac:dyDescent="0.25">
      <c r="A82" s="397"/>
      <c r="B82" s="1762"/>
      <c r="C82" s="2234" t="s">
        <v>1046</v>
      </c>
      <c r="D82" s="2233" t="s">
        <v>991</v>
      </c>
      <c r="E82" s="1273" t="s">
        <v>1482</v>
      </c>
      <c r="F82" s="1450"/>
      <c r="G82" s="1450"/>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362"/>
    </row>
    <row r="83" spans="1:31" ht="15" customHeight="1" x14ac:dyDescent="0.25">
      <c r="A83" s="430"/>
      <c r="B83" s="1067" t="s">
        <v>964</v>
      </c>
      <c r="C83" s="1068"/>
      <c r="D83" s="1775"/>
      <c r="E83" s="1214" t="str">
        <f>IF($G$9="Yes", IF(ISNUMBER(C83), "Pass", "Fail"), IF(ISNUMBER(C83), "Fail", "Pass"))</f>
        <v>Pass</v>
      </c>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1740"/>
    </row>
    <row r="84" spans="1:31" ht="45" customHeight="1" x14ac:dyDescent="0.25">
      <c r="A84" s="1349" t="s">
        <v>2173</v>
      </c>
      <c r="B84" s="177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746"/>
    </row>
    <row r="85" spans="1:31" ht="90" customHeight="1" x14ac:dyDescent="0.25">
      <c r="A85" s="397"/>
      <c r="B85" s="1762"/>
      <c r="C85" s="2234" t="s">
        <v>1046</v>
      </c>
      <c r="D85" s="2233" t="s">
        <v>991</v>
      </c>
      <c r="E85" s="1273" t="s">
        <v>1482</v>
      </c>
      <c r="F85" s="1273" t="s">
        <v>1055</v>
      </c>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362"/>
    </row>
    <row r="86" spans="1:31" ht="15" customHeight="1" x14ac:dyDescent="0.25">
      <c r="A86" s="430"/>
      <c r="B86" s="739" t="s">
        <v>964</v>
      </c>
      <c r="C86" s="738"/>
      <c r="D86" s="1889"/>
      <c r="E86" s="771" t="str">
        <f>IF($G$10="Yes", IF(ISNUMBER(C86), "Pass", "Fail"), IF(ISNUMBER(C86), "Fail", "Pass"))</f>
        <v>Pass</v>
      </c>
      <c r="F86" s="1890"/>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1740"/>
    </row>
    <row r="87" spans="1:31" ht="15" customHeight="1" x14ac:dyDescent="0.25">
      <c r="A87" s="430"/>
      <c r="B87" s="233" t="s">
        <v>965</v>
      </c>
      <c r="C87" s="695"/>
      <c r="D87" s="999"/>
      <c r="E87" s="701" t="str">
        <f>IF($G$10="Yes", IF(ISNUMBER(C87), "Pass", "Fail"), IF(ISNUMBER(C87), "Fail", "Pass"))</f>
        <v>Pass</v>
      </c>
      <c r="F87" s="1777" t="str">
        <f>IF(OR(C86&gt;0, C87&gt;0), IF(AND(C86&gt;0, C87&gt;0, C86&lt;&gt;C87), "Pass", "Fail"), "")</f>
        <v/>
      </c>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1740"/>
    </row>
    <row r="88" spans="1:31" ht="15" customHeight="1" x14ac:dyDescent="0.25">
      <c r="A88" s="430"/>
      <c r="B88" s="2238" t="s">
        <v>966</v>
      </c>
      <c r="C88" s="696" t="str">
        <f>IF(AND(ISNUMBER(C86), ISNUMBER(C87)), 0.25*C86+0.75*C87, "")</f>
        <v/>
      </c>
      <c r="D88" s="1041" t="str">
        <f>IF(AND(ISNUMBER(D86), ISNUMBER(D87)), 0.25*D86+0.75*D87, "")</f>
        <v/>
      </c>
      <c r="E88" s="1952"/>
      <c r="F88" s="1952"/>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1740"/>
    </row>
    <row r="89" spans="1:31" ht="45" customHeight="1" x14ac:dyDescent="0.25">
      <c r="A89" s="1349" t="s">
        <v>2174</v>
      </c>
      <c r="B89" s="1776"/>
      <c r="C89" s="1696"/>
      <c r="D89" s="1696"/>
      <c r="E89" s="1696"/>
      <c r="F89" s="1696"/>
      <c r="G89" s="1696"/>
      <c r="H89" s="1696"/>
      <c r="I89" s="1696"/>
      <c r="J89" s="1696"/>
      <c r="K89" s="1696"/>
      <c r="L89" s="1696"/>
      <c r="M89" s="1696"/>
      <c r="N89" s="1696"/>
      <c r="O89" s="1696"/>
      <c r="P89" s="1696"/>
      <c r="Q89" s="1696"/>
      <c r="R89" s="1696"/>
      <c r="S89" s="1696"/>
      <c r="T89" s="1696"/>
      <c r="U89" s="1696"/>
      <c r="V89" s="1696"/>
      <c r="W89" s="1696"/>
      <c r="X89" s="1696"/>
      <c r="Y89" s="1696"/>
      <c r="Z89" s="1696"/>
      <c r="AA89" s="1696"/>
      <c r="AB89" s="1696"/>
      <c r="AC89" s="1696"/>
      <c r="AD89" s="1696"/>
      <c r="AE89" s="1746"/>
    </row>
    <row r="90" spans="1:31" ht="45" customHeight="1" x14ac:dyDescent="0.25">
      <c r="A90" s="1349" t="s">
        <v>2175</v>
      </c>
      <c r="B90" s="1776"/>
      <c r="C90" s="1696"/>
      <c r="D90" s="1696"/>
      <c r="E90" s="1696"/>
      <c r="F90" s="1696"/>
      <c r="G90" s="1696"/>
      <c r="H90" s="1696"/>
      <c r="I90" s="1696"/>
      <c r="J90" s="1696"/>
      <c r="K90" s="1696"/>
      <c r="L90" s="1696"/>
      <c r="M90" s="1696"/>
      <c r="N90" s="1696"/>
      <c r="O90" s="1696"/>
      <c r="P90" s="1696"/>
      <c r="Q90" s="1696"/>
      <c r="R90" s="1696"/>
      <c r="S90" s="1696"/>
      <c r="T90" s="1696"/>
      <c r="U90" s="1696"/>
      <c r="V90" s="1696"/>
      <c r="W90" s="1696"/>
      <c r="X90" s="1696"/>
      <c r="Y90" s="1696"/>
      <c r="Z90" s="1696"/>
      <c r="AA90" s="1696"/>
      <c r="AB90" s="1696"/>
      <c r="AC90" s="1696"/>
      <c r="AD90" s="1696"/>
      <c r="AE90" s="1746"/>
    </row>
    <row r="91" spans="1:31" ht="15" customHeight="1" x14ac:dyDescent="0.25">
      <c r="A91" s="397"/>
      <c r="B91" s="1778"/>
      <c r="C91" s="2871" t="s">
        <v>1046</v>
      </c>
      <c r="D91" s="2871"/>
      <c r="E91" s="2871"/>
      <c r="F91" s="2871"/>
      <c r="G91" s="2862" t="s">
        <v>1482</v>
      </c>
      <c r="H91" s="1696"/>
      <c r="I91" s="1450"/>
      <c r="J91" s="1450"/>
      <c r="K91" s="1450"/>
      <c r="L91" s="1450"/>
      <c r="M91" s="1450"/>
      <c r="N91" s="1450"/>
      <c r="O91" s="1450"/>
      <c r="P91" s="1450"/>
      <c r="Q91" s="1450"/>
      <c r="R91" s="1450"/>
      <c r="S91" s="1450"/>
      <c r="T91" s="1450"/>
      <c r="U91" s="1450"/>
      <c r="V91" s="1450"/>
      <c r="W91" s="1450"/>
      <c r="X91" s="1450"/>
      <c r="Y91" s="1450"/>
      <c r="Z91" s="1450"/>
      <c r="AA91" s="1450"/>
      <c r="AB91" s="1450"/>
      <c r="AC91" s="1450"/>
      <c r="AD91" s="1450"/>
      <c r="AE91" s="1362"/>
    </row>
    <row r="92" spans="1:31" ht="30" customHeight="1" x14ac:dyDescent="0.25">
      <c r="A92" s="397"/>
      <c r="B92" s="1837"/>
      <c r="C92" s="744" t="s">
        <v>614</v>
      </c>
      <c r="D92" s="975" t="s">
        <v>615</v>
      </c>
      <c r="E92" s="975" t="s">
        <v>116</v>
      </c>
      <c r="F92" s="2233" t="s">
        <v>992</v>
      </c>
      <c r="G92" s="2863"/>
      <c r="H92" s="1696"/>
      <c r="I92" s="1450"/>
      <c r="J92" s="1450"/>
      <c r="K92" s="1450"/>
      <c r="L92" s="1450"/>
      <c r="M92" s="1450"/>
      <c r="N92" s="1450"/>
      <c r="O92" s="1450"/>
      <c r="P92" s="1450"/>
      <c r="Q92" s="1450"/>
      <c r="R92" s="1450"/>
      <c r="S92" s="1450"/>
      <c r="T92" s="1450"/>
      <c r="U92" s="1450"/>
      <c r="V92" s="1450"/>
      <c r="W92" s="1450"/>
      <c r="X92" s="1450"/>
      <c r="Y92" s="1450"/>
      <c r="Z92" s="1450"/>
      <c r="AA92" s="1450"/>
      <c r="AB92" s="1450"/>
      <c r="AC92" s="1450"/>
      <c r="AD92" s="1450"/>
      <c r="AE92" s="1362"/>
    </row>
    <row r="93" spans="1:31" ht="15" customHeight="1" x14ac:dyDescent="0.25">
      <c r="A93" s="430"/>
      <c r="B93" s="739" t="s">
        <v>645</v>
      </c>
      <c r="C93" s="745"/>
      <c r="D93" s="1891"/>
      <c r="E93" s="963" t="str">
        <f>IF(AND(ISNUMBER(C93), ISNUMBER(D93)), C93+D93, "")</f>
        <v/>
      </c>
      <c r="F93" s="1779"/>
      <c r="G93" s="771" t="str">
        <f t="shared" ref="G93:G98" si="7">IF($G$11="Yes", IF(ISNUMBER(E93), "Pass", "Fail"), IF(ISNUMBER(E93), "Fail", "Pass"))</f>
        <v>Pass</v>
      </c>
      <c r="H93" s="1450"/>
      <c r="I93" s="1450"/>
      <c r="J93" s="1450"/>
      <c r="K93" s="1450"/>
      <c r="L93" s="1450"/>
      <c r="M93" s="1450"/>
      <c r="N93" s="1450"/>
      <c r="O93" s="1450"/>
      <c r="P93" s="1450"/>
      <c r="Q93" s="1450"/>
      <c r="R93" s="1450"/>
      <c r="S93" s="1450"/>
      <c r="T93" s="1450"/>
      <c r="U93" s="1450"/>
      <c r="V93" s="1450"/>
      <c r="W93" s="1450"/>
      <c r="X93" s="1450"/>
      <c r="Y93" s="1450"/>
      <c r="Z93" s="1450"/>
      <c r="AA93" s="1450"/>
      <c r="AB93" s="1450"/>
      <c r="AC93" s="1450"/>
      <c r="AD93" s="1450"/>
      <c r="AE93" s="1362"/>
    </row>
    <row r="94" spans="1:31" ht="15" customHeight="1" x14ac:dyDescent="0.25">
      <c r="A94" s="430"/>
      <c r="B94" s="323" t="s">
        <v>646</v>
      </c>
      <c r="C94" s="481"/>
      <c r="D94" s="208"/>
      <c r="E94" s="32" t="str">
        <f>IF(AND(ISNUMBER(C94), ISNUMBER(D94)), C94+D94, "")</f>
        <v/>
      </c>
      <c r="F94" s="1780"/>
      <c r="G94" s="701" t="str">
        <f t="shared" si="7"/>
        <v>Pass</v>
      </c>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362"/>
    </row>
    <row r="95" spans="1:31" ht="15" customHeight="1" x14ac:dyDescent="0.25">
      <c r="A95" s="430"/>
      <c r="B95" s="1781" t="s">
        <v>647</v>
      </c>
      <c r="C95" s="481"/>
      <c r="D95" s="2241"/>
      <c r="E95" s="32" t="str">
        <f>IF(ISNUMBER(C95), C95, "")</f>
        <v/>
      </c>
      <c r="F95" s="1780"/>
      <c r="G95" s="701" t="str">
        <f t="shared" si="7"/>
        <v>Pass</v>
      </c>
      <c r="H95" s="1450"/>
      <c r="I95" s="1450"/>
      <c r="J95" s="1450"/>
      <c r="K95" s="1450"/>
      <c r="L95" s="1450"/>
      <c r="M95" s="1450"/>
      <c r="N95" s="1450"/>
      <c r="O95" s="1450"/>
      <c r="P95" s="1450"/>
      <c r="Q95" s="1450"/>
      <c r="R95" s="1450"/>
      <c r="S95" s="1450"/>
      <c r="T95" s="1450"/>
      <c r="U95" s="1450"/>
      <c r="V95" s="1450"/>
      <c r="W95" s="1450"/>
      <c r="X95" s="1450"/>
      <c r="Y95" s="1450"/>
      <c r="Z95" s="1450"/>
      <c r="AA95" s="1450"/>
      <c r="AB95" s="1450"/>
      <c r="AC95" s="1450"/>
      <c r="AD95" s="1450"/>
      <c r="AE95" s="1362"/>
    </row>
    <row r="96" spans="1:31" ht="15" customHeight="1" x14ac:dyDescent="0.25">
      <c r="A96" s="430"/>
      <c r="B96" s="233" t="s">
        <v>648</v>
      </c>
      <c r="C96" s="481"/>
      <c r="D96" s="208"/>
      <c r="E96" s="32" t="str">
        <f>IF(AND(ISNUMBER(C96), ISNUMBER(D96)), C96+D96, "")</f>
        <v/>
      </c>
      <c r="F96" s="1780"/>
      <c r="G96" s="701" t="str">
        <f t="shared" si="7"/>
        <v>Pass</v>
      </c>
      <c r="H96" s="1450"/>
      <c r="I96" s="1450"/>
      <c r="J96" s="1450"/>
      <c r="K96" s="1450"/>
      <c r="L96" s="1450"/>
      <c r="M96" s="1450"/>
      <c r="N96" s="1450"/>
      <c r="O96" s="1450"/>
      <c r="P96" s="1450"/>
      <c r="Q96" s="1450"/>
      <c r="R96" s="1450"/>
      <c r="S96" s="1450"/>
      <c r="T96" s="1450"/>
      <c r="U96" s="1450"/>
      <c r="V96" s="1450"/>
      <c r="W96" s="1450"/>
      <c r="X96" s="1450"/>
      <c r="Y96" s="1450"/>
      <c r="Z96" s="1450"/>
      <c r="AA96" s="1450"/>
      <c r="AB96" s="1450"/>
      <c r="AC96" s="1450"/>
      <c r="AD96" s="1450"/>
      <c r="AE96" s="1362"/>
    </row>
    <row r="97" spans="1:31" ht="15" customHeight="1" x14ac:dyDescent="0.25">
      <c r="A97" s="430"/>
      <c r="B97" s="233" t="s">
        <v>520</v>
      </c>
      <c r="C97" s="481"/>
      <c r="D97" s="208"/>
      <c r="E97" s="32" t="str">
        <f>IF(AND(ISNUMBER(C97), ISNUMBER(D97)), C97+D97, "")</f>
        <v/>
      </c>
      <c r="F97" s="1780"/>
      <c r="G97" s="701" t="str">
        <f t="shared" si="7"/>
        <v>Pass</v>
      </c>
      <c r="H97" s="1450"/>
      <c r="I97" s="1450"/>
      <c r="J97" s="1450"/>
      <c r="K97" s="1450"/>
      <c r="L97" s="1450"/>
      <c r="M97" s="1450"/>
      <c r="N97" s="1450"/>
      <c r="O97" s="1450"/>
      <c r="P97" s="1450"/>
      <c r="Q97" s="1450"/>
      <c r="R97" s="1450"/>
      <c r="S97" s="1450"/>
      <c r="T97" s="1450"/>
      <c r="U97" s="1450"/>
      <c r="V97" s="1450"/>
      <c r="W97" s="1450"/>
      <c r="X97" s="1450"/>
      <c r="Y97" s="1450"/>
      <c r="Z97" s="1450"/>
      <c r="AA97" s="1450"/>
      <c r="AB97" s="1450"/>
      <c r="AC97" s="1450"/>
      <c r="AD97" s="1450"/>
      <c r="AE97" s="1362"/>
    </row>
    <row r="98" spans="1:31" ht="15" customHeight="1" x14ac:dyDescent="0.25">
      <c r="A98" s="430"/>
      <c r="B98" s="2238" t="s">
        <v>613</v>
      </c>
      <c r="C98" s="746"/>
      <c r="D98" s="298"/>
      <c r="E98" s="151" t="str">
        <f>IF(AND(ISNUMBER(C98), ISNUMBER(D98)), C98+D98, "")</f>
        <v/>
      </c>
      <c r="F98" s="1782"/>
      <c r="G98" s="554" t="str">
        <f t="shared" si="7"/>
        <v>Pass</v>
      </c>
      <c r="H98" s="1450"/>
      <c r="I98" s="1450"/>
      <c r="J98" s="1450"/>
      <c r="K98" s="1450"/>
      <c r="L98" s="1450"/>
      <c r="M98" s="1450"/>
      <c r="N98" s="1450"/>
      <c r="O98" s="1450"/>
      <c r="P98" s="1450"/>
      <c r="Q98" s="1450"/>
      <c r="R98" s="1450"/>
      <c r="S98" s="1450"/>
      <c r="T98" s="1450"/>
      <c r="U98" s="1450"/>
      <c r="V98" s="1450"/>
      <c r="W98" s="1450"/>
      <c r="X98" s="1450"/>
      <c r="Y98" s="1450"/>
      <c r="Z98" s="1450"/>
      <c r="AA98" s="1450"/>
      <c r="AB98" s="1450"/>
      <c r="AC98" s="1450"/>
      <c r="AD98" s="1450"/>
      <c r="AE98" s="1362"/>
    </row>
    <row r="99" spans="1:31" ht="15" customHeight="1" x14ac:dyDescent="0.25">
      <c r="A99" s="430"/>
      <c r="B99" s="740" t="s">
        <v>116</v>
      </c>
      <c r="C99" s="747" t="str">
        <f>IF(COUNT(C93:C98)=ROWS(C93:C98), SUM(C93:C98), "")</f>
        <v/>
      </c>
      <c r="D99" s="475" t="str">
        <f>IF(AND(ISNUMBER(D93), ISNUMBER(D94), COUNT(D96:D98)=ROWS(D96:D98)), SUM(D93:D94,D96:D98), "")</f>
        <v/>
      </c>
      <c r="E99" s="475" t="str">
        <f>IF(AND(ISNUMBER(C99), ISNUMBER(D99)), C99+D99, "")</f>
        <v/>
      </c>
      <c r="F99" s="747" t="str">
        <f>IF(COUNT(F93:F98)=ROWS(F93:F98), SUM(F93:F98), "")</f>
        <v/>
      </c>
      <c r="G99" s="1953"/>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362"/>
    </row>
    <row r="100" spans="1:31" ht="45" customHeight="1" x14ac:dyDescent="0.25">
      <c r="A100" s="1349" t="s">
        <v>2176</v>
      </c>
      <c r="B100" s="1776"/>
      <c r="C100" s="1696"/>
      <c r="D100" s="1696"/>
      <c r="E100" s="1696"/>
      <c r="F100" s="1696"/>
      <c r="G100" s="1696"/>
      <c r="H100" s="1696"/>
      <c r="I100" s="1696"/>
      <c r="J100" s="1696"/>
      <c r="K100" s="1696"/>
      <c r="L100" s="1696"/>
      <c r="M100" s="1696"/>
      <c r="N100" s="1696"/>
      <c r="O100" s="1696"/>
      <c r="P100" s="1696"/>
      <c r="Q100" s="1696"/>
      <c r="R100" s="1696"/>
      <c r="S100" s="1696"/>
      <c r="T100" s="1696"/>
      <c r="U100" s="1696"/>
      <c r="V100" s="1696"/>
      <c r="W100" s="1696"/>
      <c r="X100" s="1696"/>
      <c r="Y100" s="1696"/>
      <c r="Z100" s="1696"/>
      <c r="AA100" s="1696"/>
      <c r="AB100" s="1696"/>
      <c r="AC100" s="1696"/>
      <c r="AD100" s="1696"/>
      <c r="AE100" s="1746"/>
    </row>
    <row r="101" spans="1:31" ht="45" customHeight="1" x14ac:dyDescent="0.25">
      <c r="A101" s="397"/>
      <c r="B101" s="1762"/>
      <c r="C101" s="2234" t="s">
        <v>1046</v>
      </c>
      <c r="D101" s="2233" t="s">
        <v>991</v>
      </c>
      <c r="E101" s="1273" t="s">
        <v>1482</v>
      </c>
      <c r="F101" s="1696"/>
      <c r="G101" s="1450"/>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362"/>
    </row>
    <row r="102" spans="1:31" ht="15" customHeight="1" x14ac:dyDescent="0.25">
      <c r="A102" s="430"/>
      <c r="B102" s="1067" t="s">
        <v>964</v>
      </c>
      <c r="C102" s="1068"/>
      <c r="D102" s="1775"/>
      <c r="E102" s="1214" t="str">
        <f>IF($G$12="Yes", IF(ISNUMBER(C102), "Pass", "Fail"), IF(ISNUMBER(C102), "Fail", "Pass"))</f>
        <v>Pass</v>
      </c>
      <c r="F102" s="1450"/>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1740"/>
    </row>
    <row r="103" spans="1:31" ht="45" customHeight="1" x14ac:dyDescent="0.25">
      <c r="A103" s="1349" t="s">
        <v>2177</v>
      </c>
      <c r="B103" s="1776"/>
      <c r="C103" s="1696"/>
      <c r="D103" s="1696"/>
      <c r="E103" s="1696"/>
      <c r="F103" s="1696"/>
      <c r="G103" s="1696"/>
      <c r="H103" s="1696"/>
      <c r="I103" s="1696"/>
      <c r="J103" s="1696"/>
      <c r="K103" s="1696"/>
      <c r="L103" s="1696"/>
      <c r="M103" s="1696"/>
      <c r="N103" s="1696"/>
      <c r="O103" s="1696"/>
      <c r="P103" s="1696"/>
      <c r="Q103" s="1696"/>
      <c r="R103" s="1696"/>
      <c r="S103" s="1696"/>
      <c r="T103" s="1696"/>
      <c r="U103" s="1696"/>
      <c r="V103" s="1696"/>
      <c r="W103" s="1696"/>
      <c r="X103" s="1696"/>
      <c r="Y103" s="1696"/>
      <c r="Z103" s="1696"/>
      <c r="AA103" s="1696"/>
      <c r="AB103" s="1696"/>
      <c r="AC103" s="1696"/>
      <c r="AD103" s="1696"/>
      <c r="AE103" s="1746"/>
    </row>
    <row r="104" spans="1:31" ht="100.5" customHeight="1" x14ac:dyDescent="0.25">
      <c r="A104" s="397"/>
      <c r="B104" s="1762"/>
      <c r="C104" s="2234" t="s">
        <v>1046</v>
      </c>
      <c r="D104" s="2233" t="s">
        <v>991</v>
      </c>
      <c r="E104" s="1273" t="s">
        <v>1482</v>
      </c>
      <c r="F104" s="1273" t="s">
        <v>1087</v>
      </c>
      <c r="G104" s="1450"/>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362"/>
    </row>
    <row r="105" spans="1:31" ht="15" customHeight="1" x14ac:dyDescent="0.25">
      <c r="A105" s="430"/>
      <c r="B105" s="739" t="s">
        <v>964</v>
      </c>
      <c r="C105" s="738"/>
      <c r="D105" s="1889"/>
      <c r="E105" s="731" t="str">
        <f>IF($G$13="Yes", IF(ISNUMBER(C105), "Pass", "Fail"), IF(ISNUMBER(C105), "Fail", "Pass"))</f>
        <v>Pass</v>
      </c>
      <c r="F105" s="1954"/>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1740"/>
    </row>
    <row r="106" spans="1:31" ht="15" customHeight="1" x14ac:dyDescent="0.25">
      <c r="A106" s="430"/>
      <c r="B106" s="233" t="s">
        <v>965</v>
      </c>
      <c r="C106" s="695"/>
      <c r="D106" s="999"/>
      <c r="E106" s="553" t="str">
        <f>IF($G$13="Yes", IF(ISNUMBER(C106), "Pass", "Fail"), IF(ISNUMBER(C106), "Fail", "Pass"))</f>
        <v>Pass</v>
      </c>
      <c r="F106" s="1955" t="str">
        <f>IF(OR(C105&gt;0, C106&gt;0), IF(AND(C105&gt;0, C106&gt;0, C105&lt;&gt;C106), "Pass", "Fail"), "")</f>
        <v/>
      </c>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1740"/>
    </row>
    <row r="107" spans="1:31" ht="15" customHeight="1" x14ac:dyDescent="0.25">
      <c r="A107" s="430"/>
      <c r="B107" s="2238" t="s">
        <v>966</v>
      </c>
      <c r="C107" s="696" t="str">
        <f>IF(AND(ISNUMBER(C105), ISNUMBER(C106)), 0.25*C105+0.75*C106, "")</f>
        <v/>
      </c>
      <c r="D107" s="1041" t="str">
        <f>IF(AND(ISNUMBER(D105), ISNUMBER(D106)), 0.25*D105+0.75*D106, "")</f>
        <v/>
      </c>
      <c r="E107" s="1768"/>
      <c r="F107" s="1761"/>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1740"/>
    </row>
    <row r="108" spans="1:31" ht="45" customHeight="1" x14ac:dyDescent="0.25">
      <c r="A108" s="1349" t="s">
        <v>2178</v>
      </c>
      <c r="B108" s="1776"/>
      <c r="C108" s="1696"/>
      <c r="D108" s="1696"/>
      <c r="E108" s="1696"/>
      <c r="F108" s="1696"/>
      <c r="G108" s="1696"/>
      <c r="H108" s="1696"/>
      <c r="I108" s="1696"/>
      <c r="J108" s="1696"/>
      <c r="K108" s="1696"/>
      <c r="L108" s="1696"/>
      <c r="M108" s="1696"/>
      <c r="N108" s="1696"/>
      <c r="O108" s="1696"/>
      <c r="P108" s="1696"/>
      <c r="Q108" s="1696"/>
      <c r="R108" s="1696"/>
      <c r="S108" s="1696"/>
      <c r="T108" s="1696"/>
      <c r="U108" s="1696"/>
      <c r="V108" s="1696"/>
      <c r="W108" s="1696"/>
      <c r="X108" s="1696"/>
      <c r="Y108" s="1696"/>
      <c r="Z108" s="1696"/>
      <c r="AA108" s="1696"/>
      <c r="AB108" s="1696"/>
      <c r="AC108" s="1696"/>
      <c r="AD108" s="1696"/>
      <c r="AE108" s="1746"/>
    </row>
    <row r="109" spans="1:31" ht="105" customHeight="1" x14ac:dyDescent="0.25">
      <c r="A109" s="397"/>
      <c r="B109" s="1762"/>
      <c r="C109" s="2234" t="s">
        <v>1046</v>
      </c>
      <c r="D109" s="2233" t="s">
        <v>991</v>
      </c>
      <c r="E109" s="1450"/>
      <c r="F109" s="1450"/>
      <c r="G109" s="1450"/>
      <c r="H109" s="1450"/>
      <c r="I109" s="1450"/>
      <c r="J109" s="1450"/>
      <c r="K109" s="1450"/>
      <c r="L109" s="1450"/>
      <c r="M109" s="1450"/>
      <c r="N109" s="1450"/>
      <c r="O109" s="1450"/>
      <c r="P109" s="1450"/>
      <c r="Q109" s="1450"/>
      <c r="R109" s="1450"/>
      <c r="S109" s="1450"/>
      <c r="T109" s="1450"/>
      <c r="U109" s="1450"/>
      <c r="V109" s="1450"/>
      <c r="W109" s="1450"/>
      <c r="X109" s="1450"/>
      <c r="Y109" s="1450"/>
      <c r="Z109" s="1450"/>
      <c r="AA109" s="1450"/>
      <c r="AB109" s="1450"/>
      <c r="AC109" s="1450"/>
      <c r="AD109" s="1450"/>
      <c r="AE109" s="1362"/>
    </row>
    <row r="110" spans="1:31" ht="15" customHeight="1" x14ac:dyDescent="0.25">
      <c r="A110" s="430"/>
      <c r="B110" s="739" t="s">
        <v>964</v>
      </c>
      <c r="C110" s="738"/>
      <c r="D110" s="1889"/>
      <c r="E110" s="1450"/>
      <c r="F110" s="1450"/>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1740"/>
    </row>
    <row r="111" spans="1:31" ht="15" customHeight="1" x14ac:dyDescent="0.25">
      <c r="A111" s="430"/>
      <c r="B111" s="234" t="s">
        <v>965</v>
      </c>
      <c r="C111" s="691"/>
      <c r="D111" s="1783"/>
      <c r="E111" s="1450"/>
      <c r="F111" s="1450"/>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1740"/>
    </row>
    <row r="112" spans="1:31" ht="45" customHeight="1" x14ac:dyDescent="0.25">
      <c r="A112" s="1349" t="s">
        <v>2179</v>
      </c>
      <c r="B112" s="1776"/>
      <c r="C112" s="1696"/>
      <c r="D112" s="1696"/>
      <c r="E112" s="1696"/>
      <c r="F112" s="1696"/>
      <c r="G112" s="1696"/>
      <c r="H112" s="1696"/>
      <c r="I112" s="1696"/>
      <c r="J112" s="1696"/>
      <c r="K112" s="1696"/>
      <c r="L112" s="1696"/>
      <c r="M112" s="1696"/>
      <c r="N112" s="1696"/>
      <c r="O112" s="1696"/>
      <c r="P112" s="1696"/>
      <c r="Q112" s="1696"/>
      <c r="R112" s="1696"/>
      <c r="S112" s="1696"/>
      <c r="T112" s="1696"/>
      <c r="U112" s="1696"/>
      <c r="V112" s="1696"/>
      <c r="W112" s="1696"/>
      <c r="X112" s="1696"/>
      <c r="Y112" s="1696"/>
      <c r="Z112" s="1696"/>
      <c r="AA112" s="1696"/>
      <c r="AB112" s="1696"/>
      <c r="AC112" s="1696"/>
      <c r="AD112" s="1696"/>
      <c r="AE112" s="1746"/>
    </row>
    <row r="113" spans="1:31" ht="45" customHeight="1" x14ac:dyDescent="0.25">
      <c r="A113" s="476"/>
      <c r="B113" s="1784"/>
      <c r="C113" s="748" t="s">
        <v>59</v>
      </c>
      <c r="D113" s="2233" t="s">
        <v>1047</v>
      </c>
      <c r="E113" s="1696"/>
      <c r="F113" s="1696"/>
      <c r="G113" s="1450"/>
      <c r="H113" s="1450"/>
      <c r="I113" s="1450"/>
      <c r="J113" s="1450"/>
      <c r="K113" s="1450"/>
      <c r="L113" s="1450"/>
      <c r="M113" s="1450"/>
      <c r="N113" s="1450"/>
      <c r="O113" s="1450"/>
      <c r="P113" s="1450"/>
      <c r="Q113" s="1450"/>
      <c r="R113" s="1450"/>
      <c r="S113" s="1450"/>
      <c r="T113" s="1450"/>
      <c r="U113" s="1450"/>
      <c r="V113" s="1450"/>
      <c r="W113" s="1450"/>
      <c r="X113" s="1450"/>
      <c r="Y113" s="1450"/>
      <c r="Z113" s="1450"/>
      <c r="AA113" s="1450"/>
      <c r="AB113" s="1450"/>
      <c r="AC113" s="1450"/>
      <c r="AD113" s="1450"/>
      <c r="AE113" s="1362"/>
    </row>
    <row r="114" spans="1:31" ht="15" customHeight="1" x14ac:dyDescent="0.25">
      <c r="A114" s="476"/>
      <c r="B114" s="741" t="s">
        <v>891</v>
      </c>
      <c r="C114" s="909">
        <f>IF(AND(ISNUMBER(C41), ISNUMBER(E41)), C41+E41, "")</f>
        <v>0</v>
      </c>
      <c r="D114" s="915">
        <f>IF(AND(ISNUMBER(D41), ISNUMBER(F41)), 0.08*(D41+F41), "")</f>
        <v>0</v>
      </c>
      <c r="E114" s="1696"/>
      <c r="F114" s="1696"/>
      <c r="G114" s="1450"/>
      <c r="H114" s="1450"/>
      <c r="I114" s="1450"/>
      <c r="J114" s="1450"/>
      <c r="K114" s="1450"/>
      <c r="L114" s="1450"/>
      <c r="M114" s="1450"/>
      <c r="N114" s="1450"/>
      <c r="O114" s="1450"/>
      <c r="P114" s="1450"/>
      <c r="Q114" s="1450"/>
      <c r="R114" s="1450"/>
      <c r="S114" s="1450"/>
      <c r="T114" s="1450"/>
      <c r="U114" s="1450"/>
      <c r="V114" s="1450"/>
      <c r="W114" s="1450"/>
      <c r="X114" s="1450"/>
      <c r="Y114" s="1450"/>
      <c r="Z114" s="1450"/>
      <c r="AA114" s="1450"/>
      <c r="AB114" s="1450"/>
      <c r="AC114" s="1450"/>
      <c r="AD114" s="1450"/>
      <c r="AE114" s="1362"/>
    </row>
    <row r="115" spans="1:31" ht="15" customHeight="1" x14ac:dyDescent="0.25">
      <c r="A115" s="476"/>
      <c r="B115" s="741" t="s">
        <v>892</v>
      </c>
      <c r="C115" s="910">
        <f>IF(AND(ISNUMBER(C21), ISNUMBER(E21), ISNUMBER(G21)), C21+E21+G21, "")</f>
        <v>0</v>
      </c>
      <c r="D115" s="209">
        <f>IF(AND(ISNUMBER(D21), ISNUMBER(F21), ISNUMBER(H21)), 0.08*(D21+F21+H21), "")</f>
        <v>0</v>
      </c>
      <c r="E115" s="1696"/>
      <c r="F115" s="1696"/>
      <c r="G115" s="1450"/>
      <c r="H115" s="1450"/>
      <c r="I115" s="1450"/>
      <c r="J115" s="1450"/>
      <c r="K115" s="1450"/>
      <c r="L115" s="1450"/>
      <c r="M115" s="1450"/>
      <c r="N115" s="1450"/>
      <c r="O115" s="1450"/>
      <c r="P115" s="1450"/>
      <c r="Q115" s="1450"/>
      <c r="R115" s="1450"/>
      <c r="S115" s="1450"/>
      <c r="T115" s="1450"/>
      <c r="U115" s="1450"/>
      <c r="V115" s="1450"/>
      <c r="W115" s="1450"/>
      <c r="X115" s="1450"/>
      <c r="Y115" s="1450"/>
      <c r="Z115" s="1450"/>
      <c r="AA115" s="1450"/>
      <c r="AB115" s="1450"/>
      <c r="AC115" s="1450"/>
      <c r="AD115" s="1450"/>
      <c r="AE115" s="1362"/>
    </row>
    <row r="116" spans="1:31" ht="15" customHeight="1" x14ac:dyDescent="0.25">
      <c r="A116" s="476"/>
      <c r="B116" s="742" t="s">
        <v>893</v>
      </c>
      <c r="C116" s="910">
        <f>IF(ISNUMBER(E31), E31, "")</f>
        <v>0</v>
      </c>
      <c r="D116" s="209">
        <f>IF(ISNUMBER(F31), 0.08*F31, "")</f>
        <v>0</v>
      </c>
      <c r="E116" s="1696"/>
      <c r="F116" s="1696"/>
      <c r="G116" s="1450"/>
      <c r="H116" s="1450"/>
      <c r="I116" s="1450"/>
      <c r="J116" s="1450"/>
      <c r="K116" s="1450"/>
      <c r="L116" s="1450"/>
      <c r="M116" s="1450"/>
      <c r="N116" s="1450"/>
      <c r="O116" s="1450"/>
      <c r="P116" s="1450"/>
      <c r="Q116" s="1450"/>
      <c r="R116" s="1450"/>
      <c r="S116" s="1450"/>
      <c r="T116" s="1450"/>
      <c r="U116" s="1450"/>
      <c r="V116" s="1450"/>
      <c r="W116" s="1450"/>
      <c r="X116" s="1450"/>
      <c r="Y116" s="1450"/>
      <c r="Z116" s="1450"/>
      <c r="AA116" s="1450"/>
      <c r="AB116" s="1450"/>
      <c r="AC116" s="1450"/>
      <c r="AD116" s="1450"/>
      <c r="AE116" s="1362"/>
    </row>
    <row r="117" spans="1:31" ht="15" customHeight="1" x14ac:dyDescent="0.25">
      <c r="A117" s="476"/>
      <c r="B117" s="974" t="s">
        <v>990</v>
      </c>
      <c r="C117" s="910">
        <f>IF(AND(ISNUMBER(O51), ISNUMBER(Q51), ISNUMBER(S51)), O51+Q51+S51, "")</f>
        <v>0</v>
      </c>
      <c r="D117" s="209">
        <f>IF(AND(ISNUMBER(P51), ISNUMBER(R51), ISNUMBER(T51)), 0.08*(P51+R51+T51), "")</f>
        <v>0</v>
      </c>
      <c r="E117" s="1696"/>
      <c r="F117" s="1696"/>
      <c r="G117" s="1450"/>
      <c r="H117" s="1450"/>
      <c r="I117" s="1450"/>
      <c r="J117" s="1450"/>
      <c r="K117" s="1450"/>
      <c r="L117" s="1450"/>
      <c r="M117" s="1450"/>
      <c r="N117" s="1450"/>
      <c r="O117" s="1450"/>
      <c r="P117" s="1450"/>
      <c r="Q117" s="1450"/>
      <c r="R117" s="1450"/>
      <c r="S117" s="1450"/>
      <c r="T117" s="1450"/>
      <c r="U117" s="1450"/>
      <c r="V117" s="1450"/>
      <c r="W117" s="1450"/>
      <c r="X117" s="1450"/>
      <c r="Y117" s="1450"/>
      <c r="Z117" s="1450"/>
      <c r="AA117" s="1450"/>
      <c r="AB117" s="1450"/>
      <c r="AC117" s="1450"/>
      <c r="AD117" s="1450"/>
      <c r="AE117" s="1362"/>
    </row>
    <row r="118" spans="1:31" ht="15" customHeight="1" x14ac:dyDescent="0.25">
      <c r="A118" s="476"/>
      <c r="B118" s="749" t="s">
        <v>975</v>
      </c>
      <c r="C118" s="1032">
        <f>IF(AND(ISNUMBER(U51), ISNUMBER(W51), ISNUMBER(Y51)), U51+W51+Y51, "")</f>
        <v>0</v>
      </c>
      <c r="D118" s="232">
        <f>IF(AND(ISNUMBER(V51), ISNUMBER(X51), ISNUMBER(Z51)), 0.08*(V51+X51+Z51), "")</f>
        <v>0</v>
      </c>
      <c r="E118" s="1696"/>
      <c r="F118" s="1696"/>
      <c r="G118" s="1450"/>
      <c r="H118" s="1450"/>
      <c r="I118" s="1450"/>
      <c r="J118" s="1450"/>
      <c r="K118" s="1450"/>
      <c r="L118" s="1450"/>
      <c r="M118" s="1450"/>
      <c r="N118" s="1450"/>
      <c r="O118" s="1450"/>
      <c r="P118" s="1450"/>
      <c r="Q118" s="1450"/>
      <c r="R118" s="1450"/>
      <c r="S118" s="1450"/>
      <c r="T118" s="1450"/>
      <c r="U118" s="1450"/>
      <c r="V118" s="1450"/>
      <c r="W118" s="1450"/>
      <c r="X118" s="1450"/>
      <c r="Y118" s="1450"/>
      <c r="Z118" s="1450"/>
      <c r="AA118" s="1450"/>
      <c r="AB118" s="1450"/>
      <c r="AC118" s="1450"/>
      <c r="AD118" s="1450"/>
      <c r="AE118" s="1362"/>
    </row>
    <row r="119" spans="1:31" ht="45" customHeight="1" x14ac:dyDescent="0.25">
      <c r="A119" s="1349" t="s">
        <v>2180</v>
      </c>
      <c r="B119" s="1776"/>
      <c r="C119" s="1696"/>
      <c r="D119" s="1696"/>
      <c r="E119" s="1696"/>
      <c r="F119" s="1696"/>
      <c r="G119" s="1450"/>
      <c r="H119" s="1696"/>
      <c r="I119" s="1696"/>
      <c r="J119" s="1696"/>
      <c r="K119" s="1696"/>
      <c r="L119" s="1696"/>
      <c r="M119" s="1696"/>
      <c r="N119" s="1696"/>
      <c r="O119" s="1696"/>
      <c r="P119" s="1696"/>
      <c r="Q119" s="1696"/>
      <c r="R119" s="1696"/>
      <c r="S119" s="1696"/>
      <c r="T119" s="1696"/>
      <c r="U119" s="1696"/>
      <c r="V119" s="1696"/>
      <c r="W119" s="1696"/>
      <c r="X119" s="1696"/>
      <c r="Y119" s="1696"/>
      <c r="Z119" s="1696"/>
      <c r="AA119" s="1696"/>
      <c r="AB119" s="1696"/>
      <c r="AC119" s="1696"/>
      <c r="AD119" s="1696"/>
      <c r="AE119" s="1746"/>
    </row>
    <row r="120" spans="1:31" ht="15" customHeight="1" x14ac:dyDescent="0.25">
      <c r="A120" s="397"/>
      <c r="B120" s="2875"/>
      <c r="C120" s="2758" t="s">
        <v>1046</v>
      </c>
      <c r="D120" s="2758"/>
      <c r="E120" s="1696"/>
      <c r="F120" s="1696"/>
      <c r="G120" s="1450"/>
      <c r="H120" s="1450"/>
      <c r="I120" s="1450"/>
      <c r="J120" s="1450"/>
      <c r="K120" s="1450"/>
      <c r="L120" s="1450"/>
      <c r="M120" s="1450"/>
      <c r="N120" s="1450"/>
      <c r="O120" s="1450"/>
      <c r="P120" s="1450"/>
      <c r="Q120" s="1450"/>
      <c r="R120" s="1450"/>
      <c r="S120" s="1450"/>
      <c r="T120" s="1450"/>
      <c r="U120" s="1450"/>
      <c r="V120" s="1450"/>
      <c r="W120" s="1450"/>
      <c r="X120" s="1450"/>
      <c r="Y120" s="1450"/>
      <c r="Z120" s="1450"/>
      <c r="AA120" s="1450"/>
      <c r="AB120" s="1450"/>
      <c r="AC120" s="1450"/>
      <c r="AD120" s="1450"/>
      <c r="AE120" s="1362"/>
    </row>
    <row r="121" spans="1:31" ht="30" customHeight="1" x14ac:dyDescent="0.25">
      <c r="A121" s="397"/>
      <c r="B121" s="2876"/>
      <c r="C121" s="1069" t="s">
        <v>702</v>
      </c>
      <c r="D121" s="972" t="s">
        <v>880</v>
      </c>
      <c r="E121" s="1696"/>
      <c r="F121" s="1696"/>
      <c r="G121" s="1450"/>
      <c r="H121" s="1450"/>
      <c r="I121" s="1450"/>
      <c r="J121" s="1450"/>
      <c r="K121" s="1450"/>
      <c r="L121" s="1450"/>
      <c r="M121" s="1450"/>
      <c r="N121" s="1450"/>
      <c r="O121" s="1450"/>
      <c r="P121" s="1450"/>
      <c r="Q121" s="1450"/>
      <c r="R121" s="1450"/>
      <c r="S121" s="1450"/>
      <c r="T121" s="1450"/>
      <c r="U121" s="1450"/>
      <c r="V121" s="1450"/>
      <c r="W121" s="1450"/>
      <c r="X121" s="1450"/>
      <c r="Y121" s="1450"/>
      <c r="Z121" s="1450"/>
      <c r="AA121" s="1450"/>
      <c r="AB121" s="1450"/>
      <c r="AC121" s="1450"/>
      <c r="AD121" s="1450"/>
      <c r="AE121" s="1362"/>
    </row>
    <row r="122" spans="1:31" ht="15" customHeight="1" x14ac:dyDescent="0.25">
      <c r="A122" s="476"/>
      <c r="B122" s="1070" t="s">
        <v>116</v>
      </c>
      <c r="C122" s="97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1071">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696"/>
      <c r="F122" s="1696"/>
      <c r="G122" s="1450"/>
      <c r="H122" s="1450"/>
      <c r="I122" s="1450"/>
      <c r="J122" s="1450"/>
      <c r="K122" s="1450"/>
      <c r="L122" s="1450"/>
      <c r="M122" s="1450"/>
      <c r="N122" s="1450"/>
      <c r="O122" s="1450"/>
      <c r="P122" s="1450"/>
      <c r="Q122" s="1450"/>
      <c r="R122" s="1450"/>
      <c r="S122" s="1450"/>
      <c r="T122" s="1450"/>
      <c r="U122" s="1450"/>
      <c r="V122" s="1450"/>
      <c r="W122" s="1450"/>
      <c r="X122" s="1450"/>
      <c r="Y122" s="1450"/>
      <c r="Z122" s="1450"/>
      <c r="AA122" s="1450"/>
      <c r="AB122" s="1450"/>
      <c r="AC122" s="1450"/>
      <c r="AD122" s="1450"/>
      <c r="AE122" s="1362"/>
    </row>
    <row r="123" spans="1:31" ht="45" customHeight="1" x14ac:dyDescent="0.25">
      <c r="A123" s="1349" t="s">
        <v>2181</v>
      </c>
      <c r="B123" s="494"/>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441"/>
    </row>
    <row r="124" spans="1:31" ht="15" customHeight="1" x14ac:dyDescent="0.25">
      <c r="A124" s="392"/>
      <c r="B124" s="1886" t="s">
        <v>408</v>
      </c>
      <c r="C124" s="2839" t="s">
        <v>409</v>
      </c>
      <c r="D124" s="2840"/>
      <c r="E124" s="2840"/>
      <c r="F124" s="2850"/>
      <c r="G124" s="2839" t="s">
        <v>410</v>
      </c>
      <c r="H124" s="2840"/>
      <c r="I124" s="2840"/>
      <c r="J124" s="2840"/>
      <c r="K124" s="2840"/>
      <c r="L124" s="2840"/>
      <c r="M124" s="2840"/>
      <c r="N124" s="2840"/>
      <c r="O124" s="2840"/>
      <c r="P124" s="2840"/>
      <c r="Q124" s="2840"/>
      <c r="R124" s="477"/>
      <c r="S124" s="477"/>
      <c r="T124" s="307"/>
      <c r="U124" s="477"/>
      <c r="V124" s="477"/>
      <c r="W124" s="477"/>
      <c r="X124" s="477"/>
      <c r="Y124" s="477"/>
      <c r="Z124" s="477"/>
      <c r="AA124" s="477"/>
      <c r="AB124" s="477"/>
      <c r="AC124" s="477"/>
      <c r="AD124" s="477"/>
      <c r="AE124" s="544"/>
    </row>
    <row r="125" spans="1:31" ht="30" customHeight="1" x14ac:dyDescent="0.25">
      <c r="A125" s="392"/>
      <c r="B125" s="1892" t="s">
        <v>1445</v>
      </c>
      <c r="C125" s="2851"/>
      <c r="D125" s="2852"/>
      <c r="E125" s="2852"/>
      <c r="F125" s="2853"/>
      <c r="G125" s="2841"/>
      <c r="H125" s="2842"/>
      <c r="I125" s="2842"/>
      <c r="J125" s="2842"/>
      <c r="K125" s="2842"/>
      <c r="L125" s="2842"/>
      <c r="M125" s="2842"/>
      <c r="N125" s="2842"/>
      <c r="O125" s="2842"/>
      <c r="P125" s="2842"/>
      <c r="Q125" s="2842"/>
      <c r="R125" s="477"/>
      <c r="S125" s="477"/>
      <c r="T125" s="307"/>
      <c r="U125" s="477"/>
      <c r="V125" s="477"/>
      <c r="W125" s="477"/>
      <c r="X125" s="477"/>
      <c r="Y125" s="477"/>
      <c r="Z125" s="477"/>
      <c r="AA125" s="477"/>
      <c r="AB125" s="477"/>
      <c r="AC125" s="477"/>
      <c r="AD125" s="477"/>
      <c r="AE125" s="544"/>
    </row>
    <row r="126" spans="1:31" ht="30" customHeight="1" x14ac:dyDescent="0.25">
      <c r="A126" s="392"/>
      <c r="B126" s="1893" t="s">
        <v>1446</v>
      </c>
      <c r="C126" s="2854"/>
      <c r="D126" s="2855"/>
      <c r="E126" s="2855"/>
      <c r="F126" s="2856"/>
      <c r="G126" s="2846"/>
      <c r="H126" s="2847"/>
      <c r="I126" s="2847"/>
      <c r="J126" s="2847"/>
      <c r="K126" s="2847"/>
      <c r="L126" s="2847"/>
      <c r="M126" s="2847"/>
      <c r="N126" s="2847"/>
      <c r="O126" s="2847"/>
      <c r="P126" s="2847"/>
      <c r="Q126" s="2847"/>
      <c r="R126" s="477"/>
      <c r="S126" s="477"/>
      <c r="T126" s="307"/>
      <c r="U126" s="477"/>
      <c r="V126" s="477"/>
      <c r="W126" s="477"/>
      <c r="X126" s="477"/>
      <c r="Y126" s="477"/>
      <c r="Z126" s="477"/>
      <c r="AA126" s="477"/>
      <c r="AB126" s="477"/>
      <c r="AC126" s="477"/>
      <c r="AD126" s="477"/>
      <c r="AE126" s="544"/>
    </row>
    <row r="127" spans="1:31" ht="30" customHeight="1" x14ac:dyDescent="0.25">
      <c r="A127" s="392"/>
      <c r="B127" s="1893" t="s">
        <v>1447</v>
      </c>
      <c r="C127" s="2854"/>
      <c r="D127" s="2855"/>
      <c r="E127" s="2855"/>
      <c r="F127" s="2856"/>
      <c r="G127" s="2846"/>
      <c r="H127" s="2847"/>
      <c r="I127" s="2847"/>
      <c r="J127" s="2847"/>
      <c r="K127" s="2847"/>
      <c r="L127" s="2847"/>
      <c r="M127" s="2847"/>
      <c r="N127" s="2847"/>
      <c r="O127" s="2847"/>
      <c r="P127" s="2847"/>
      <c r="Q127" s="2847"/>
      <c r="R127" s="477"/>
      <c r="S127" s="477"/>
      <c r="T127" s="307"/>
      <c r="U127" s="477"/>
      <c r="V127" s="477"/>
      <c r="W127" s="477"/>
      <c r="X127" s="477"/>
      <c r="Y127" s="477"/>
      <c r="Z127" s="477"/>
      <c r="AA127" s="477"/>
      <c r="AB127" s="477"/>
      <c r="AC127" s="477"/>
      <c r="AD127" s="477"/>
      <c r="AE127" s="544"/>
    </row>
    <row r="128" spans="1:31" ht="30" customHeight="1" x14ac:dyDescent="0.25">
      <c r="A128" s="392"/>
      <c r="B128" s="1894" t="s">
        <v>1448</v>
      </c>
      <c r="C128" s="2843"/>
      <c r="D128" s="2844"/>
      <c r="E128" s="2844"/>
      <c r="F128" s="2845"/>
      <c r="G128" s="2848"/>
      <c r="H128" s="2849"/>
      <c r="I128" s="2849"/>
      <c r="J128" s="2849"/>
      <c r="K128" s="2849"/>
      <c r="L128" s="2849"/>
      <c r="M128" s="2849"/>
      <c r="N128" s="2849"/>
      <c r="O128" s="2849"/>
      <c r="P128" s="2849"/>
      <c r="Q128" s="2849"/>
      <c r="R128" s="477"/>
      <c r="S128" s="477"/>
      <c r="T128" s="307"/>
      <c r="U128" s="477"/>
      <c r="V128" s="477"/>
      <c r="W128" s="477"/>
      <c r="X128" s="477"/>
      <c r="Y128" s="477"/>
      <c r="Z128" s="477"/>
      <c r="AA128" s="477"/>
      <c r="AB128" s="477"/>
      <c r="AC128" s="477"/>
      <c r="AD128" s="477"/>
      <c r="AE128" s="544"/>
    </row>
    <row r="129" spans="1:31" ht="15" customHeight="1" x14ac:dyDescent="0.25">
      <c r="A129" s="1242"/>
      <c r="B129" s="434"/>
      <c r="C129" s="1838"/>
      <c r="D129" s="1838"/>
      <c r="E129" s="1838"/>
      <c r="F129" s="1838"/>
      <c r="G129" s="434"/>
      <c r="H129" s="1838"/>
      <c r="I129" s="1838"/>
      <c r="J129" s="1838"/>
      <c r="K129" s="1838"/>
      <c r="L129" s="1838"/>
      <c r="M129" s="1838"/>
      <c r="N129" s="1838"/>
      <c r="O129" s="1838"/>
      <c r="P129" s="1838"/>
      <c r="Q129" s="1838"/>
      <c r="R129" s="1838"/>
      <c r="S129" s="1838"/>
      <c r="T129" s="1838"/>
      <c r="U129" s="1838"/>
      <c r="V129" s="1838"/>
      <c r="W129" s="1838"/>
      <c r="X129" s="1838"/>
      <c r="Y129" s="1838"/>
      <c r="Z129" s="1838"/>
      <c r="AA129" s="1838"/>
      <c r="AB129" s="1838"/>
      <c r="AC129" s="1838"/>
      <c r="AD129" s="1838"/>
      <c r="AE129" s="2250"/>
    </row>
  </sheetData>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56">
    <cfRule type="cellIs" dxfId="71" priority="4" stopIfTrue="1" operator="lessThan">
      <formula>0</formula>
    </cfRule>
  </conditionalFormatting>
  <conditionalFormatting sqref="C74 G74 G93:G98 E102 E77:H79 E83 E86:F88 E105:F107">
    <cfRule type="cellIs" dxfId="70" priority="131" stopIfTrue="1" operator="equal">
      <formula>"Pass"</formula>
    </cfRule>
    <cfRule type="cellIs" dxfId="69" priority="132" stopIfTrue="1" operator="equal">
      <formula>"Warning"</formula>
    </cfRule>
    <cfRule type="cellIs" dxfId="68" priority="133" stopIfTrue="1" operator="equal">
      <formula>"Fail"</formula>
    </cfRule>
    <cfRule type="cellIs" dxfId="67" priority="146" stopIfTrue="1" operator="equal">
      <formula>"Please explain"</formula>
    </cfRule>
    <cfRule type="cellIs" dxfId="66" priority="147" stopIfTrue="1" operator="equal">
      <formula>"Fill in cell above"</formula>
    </cfRule>
    <cfRule type="cellIs" dxfId="65" priority="148" stopIfTrue="1" operator="equal">
      <formula>"Yes"</formula>
    </cfRule>
    <cfRule type="cellIs" dxfId="64" priority="412" stopIfTrue="1" operator="equal">
      <formula>"No"</formula>
    </cfRule>
  </conditionalFormatting>
  <conditionalFormatting sqref="AA21:AB56">
    <cfRule type="cellIs" dxfId="63" priority="2" stopIfTrue="1" operator="lessThan">
      <formula>0</formula>
    </cfRule>
  </conditionalFormatting>
  <conditionalFormatting sqref="AC21:AD56">
    <cfRule type="cellIs" dxfId="62"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Parameters!$D$644:$D$646</xm:f>
          </x14:formula1>
          <xm:sqref>E62</xm:sqref>
        </x14:dataValidation>
        <x14:dataValidation type="list" allowBlank="1" showInputMessage="1" showErrorMessage="1" xr:uid="{00000000-0002-0000-0D00-000002000000}">
          <x14:formula1>
            <xm:f>Parameters!$D$628:$D$631</xm:f>
          </x14:formula1>
          <xm:sqref>C125</xm:sqref>
        </x14:dataValidation>
        <x14:dataValidation type="list" allowBlank="1" showInputMessage="1" showErrorMessage="1" xr:uid="{00000000-0002-0000-0D00-000003000000}">
          <x14:formula1>
            <xm:f>Parameters!$D$632:$D$634</xm:f>
          </x14:formula1>
          <xm:sqref>C126</xm:sqref>
        </x14:dataValidation>
        <x14:dataValidation type="list" allowBlank="1" showInputMessage="1" showErrorMessage="1" xr:uid="{00000000-0002-0000-0D00-000004000000}">
          <x14:formula1>
            <xm:f>Parameters!$D$635:$D$637</xm:f>
          </x14:formula1>
          <xm:sqref>C127</xm:sqref>
        </x14:dataValidation>
        <x14:dataValidation type="list" allowBlank="1" showInputMessage="1" showErrorMessage="1" xr:uid="{00000000-0002-0000-0D00-000005000000}">
          <x14:formula1>
            <xm:f>Parameters!$D$638:$D$643</xm:f>
          </x14:formula1>
          <xm:sqref>C128</xm:sqref>
        </x14:dataValidation>
        <x14:dataValidation type="list" allowBlank="1" showInputMessage="1" showErrorMessage="1" xr:uid="{00000000-0002-0000-0D00-000006000000}">
          <x14:formula1>
            <xm:f>Parameters!$D$647:$D$653</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373"/>
  <sheetViews>
    <sheetView zoomScale="75" zoomScaleNormal="75" zoomScaleSheetLayoutView="50" workbookViewId="0">
      <pane xSplit="6" ySplit="1" topLeftCell="G2" activePane="bottomRight" state="frozen"/>
      <selection pane="topRight"/>
      <selection pane="bottomLeft"/>
      <selection pane="bottomRight"/>
    </sheetView>
  </sheetViews>
  <sheetFormatPr defaultColWidth="0" defaultRowHeight="0" customHeight="1" zeroHeight="1" x14ac:dyDescent="0.25"/>
  <cols>
    <col min="1" max="1" width="1.7109375" style="314" customWidth="1"/>
    <col min="2" max="2" width="10.7109375" style="315" customWidth="1"/>
    <col min="3" max="3" width="10.7109375" style="138" customWidth="1"/>
    <col min="4" max="5" width="22.7109375" style="241" customWidth="1"/>
    <col min="6" max="6" width="22.7109375" style="271" customWidth="1"/>
    <col min="7" max="7" width="22.7109375" style="241" customWidth="1"/>
    <col min="8" max="8" width="28.7109375" style="307" customWidth="1"/>
    <col min="9" max="9" width="28.7109375" style="241" customWidth="1"/>
    <col min="10" max="10" width="42.7109375" style="241" customWidth="1"/>
    <col min="11" max="11" width="22.7109375" style="241" customWidth="1"/>
    <col min="12" max="12" width="28.7109375" style="307" customWidth="1"/>
    <col min="13" max="13" width="28.7109375" style="241" customWidth="1"/>
    <col min="14" max="14" width="42.7109375" style="477" customWidth="1"/>
    <col min="15" max="15" width="22.7109375" style="241" customWidth="1"/>
    <col min="16" max="16" width="28.7109375" style="307" customWidth="1"/>
    <col min="17" max="17" width="28.7109375" style="241" customWidth="1"/>
    <col min="18" max="18" width="42.7109375" style="477" customWidth="1"/>
    <col min="19" max="19" width="22.7109375" style="241" customWidth="1"/>
    <col min="20" max="20" width="28.7109375" style="307" customWidth="1"/>
    <col min="21" max="21" width="28.7109375" style="241" customWidth="1"/>
    <col min="22" max="22" width="42.7109375" style="477" customWidth="1"/>
    <col min="23" max="23" width="1.7109375" style="477" customWidth="1"/>
    <col min="24" max="16384" width="16.85546875" hidden="1"/>
  </cols>
  <sheetData>
    <row r="1" spans="1:23" ht="30" customHeight="1" x14ac:dyDescent="0.55000000000000004">
      <c r="A1" s="1098" t="s">
        <v>494</v>
      </c>
      <c r="B1" s="1099"/>
      <c r="C1" s="1077"/>
      <c r="D1" s="1077"/>
      <c r="E1" s="1062" t="str">
        <f>CONCATENATE("Reporting unit: ", 'General Info'!$C$7, " ", 'General Info'!$C$5)</f>
        <v xml:space="preserve">Reporting unit: 1 </v>
      </c>
      <c r="F1" s="1400"/>
      <c r="G1" s="1062"/>
      <c r="H1" s="1401"/>
      <c r="I1" s="1077"/>
      <c r="J1" s="1077"/>
      <c r="K1" s="1062"/>
      <c r="L1" s="1401"/>
      <c r="M1" s="1077"/>
      <c r="N1" s="1077"/>
      <c r="O1" s="1062"/>
      <c r="P1" s="1401"/>
      <c r="Q1" s="1077"/>
      <c r="R1" s="1077"/>
      <c r="S1" s="1062"/>
      <c r="T1" s="1401"/>
      <c r="U1" s="1077"/>
      <c r="V1" s="1077"/>
      <c r="W1" s="785"/>
    </row>
    <row r="2" spans="1:23" ht="45" customHeight="1" x14ac:dyDescent="0.35">
      <c r="A2" s="2371" t="s">
        <v>2182</v>
      </c>
      <c r="B2" s="223"/>
      <c r="C2" s="206"/>
      <c r="D2" s="206"/>
      <c r="E2" s="206"/>
      <c r="F2" s="224"/>
      <c r="G2" s="206"/>
      <c r="H2" s="306"/>
      <c r="I2" s="206"/>
      <c r="J2" s="206"/>
      <c r="K2" s="206"/>
      <c r="L2" s="306"/>
      <c r="M2" s="206"/>
      <c r="N2" s="206"/>
      <c r="O2" s="206"/>
      <c r="P2" s="306"/>
      <c r="Q2" s="206"/>
      <c r="R2" s="206"/>
      <c r="S2" s="206"/>
      <c r="T2" s="306"/>
      <c r="U2" s="206"/>
      <c r="V2" s="206"/>
      <c r="W2" s="979"/>
    </row>
    <row r="3" spans="1:23" ht="45" customHeight="1" x14ac:dyDescent="0.35">
      <c r="A3" s="2371" t="s">
        <v>2183</v>
      </c>
      <c r="B3" s="223"/>
      <c r="C3" s="206"/>
      <c r="D3" s="206"/>
      <c r="E3" s="206"/>
      <c r="F3" s="224"/>
      <c r="G3" s="206"/>
      <c r="H3" s="306"/>
      <c r="I3" s="206"/>
      <c r="J3" s="206"/>
      <c r="K3" s="206"/>
      <c r="L3" s="306"/>
      <c r="M3" s="206"/>
      <c r="N3" s="206"/>
      <c r="O3" s="206"/>
      <c r="P3" s="306"/>
      <c r="Q3" s="206"/>
      <c r="R3" s="206"/>
      <c r="S3" s="206"/>
      <c r="T3" s="306"/>
      <c r="U3" s="206"/>
      <c r="V3" s="206"/>
      <c r="W3" s="979"/>
    </row>
    <row r="4" spans="1:23" ht="15" customHeight="1" x14ac:dyDescent="0.25">
      <c r="A4" s="471"/>
      <c r="B4" s="1271"/>
      <c r="C4" s="1062"/>
      <c r="D4" s="1062"/>
      <c r="E4" s="1062"/>
      <c r="F4" s="980"/>
      <c r="G4" s="1405" t="s">
        <v>1046</v>
      </c>
      <c r="H4" s="2142" t="s">
        <v>1668</v>
      </c>
      <c r="I4" s="2893" t="s">
        <v>13</v>
      </c>
      <c r="J4" s="2894"/>
      <c r="K4" s="206"/>
      <c r="L4" s="306"/>
      <c r="M4" s="206"/>
      <c r="N4" s="206"/>
      <c r="O4" s="206"/>
      <c r="P4" s="306"/>
      <c r="Q4" s="206"/>
      <c r="R4" s="206"/>
      <c r="S4" s="206"/>
      <c r="T4" s="306"/>
      <c r="U4" s="206"/>
      <c r="V4" s="206"/>
      <c r="W4" s="544"/>
    </row>
    <row r="5" spans="1:23" ht="15" customHeight="1" x14ac:dyDescent="0.25">
      <c r="A5" s="471"/>
      <c r="B5" s="197" t="s">
        <v>2184</v>
      </c>
      <c r="C5" s="272"/>
      <c r="D5" s="273"/>
      <c r="E5" s="273"/>
      <c r="F5" s="274"/>
      <c r="G5" s="339" t="str">
        <f>IF(ISNUMBER(G56), G56, "")</f>
        <v/>
      </c>
      <c r="H5" s="2155"/>
      <c r="I5" s="2156"/>
      <c r="J5" s="2158"/>
      <c r="K5" s="206"/>
      <c r="L5" s="306"/>
      <c r="M5" s="206"/>
      <c r="N5" s="206"/>
      <c r="O5" s="206"/>
      <c r="P5" s="306"/>
      <c r="Q5" s="206"/>
      <c r="R5" s="206"/>
      <c r="S5" s="206"/>
      <c r="T5" s="306"/>
      <c r="U5" s="206"/>
      <c r="V5" s="206"/>
      <c r="W5" s="544"/>
    </row>
    <row r="6" spans="1:23" ht="15" customHeight="1" x14ac:dyDescent="0.25">
      <c r="A6" s="471"/>
      <c r="B6" s="198" t="s">
        <v>2185</v>
      </c>
      <c r="C6" s="309"/>
      <c r="D6" s="245"/>
      <c r="E6" s="245"/>
      <c r="F6" s="246"/>
      <c r="G6" s="261"/>
      <c r="H6" s="2162" t="s">
        <v>2087</v>
      </c>
      <c r="I6" s="2157"/>
      <c r="J6" s="2159"/>
      <c r="K6" s="206"/>
      <c r="L6" s="306"/>
      <c r="M6" s="206"/>
      <c r="N6" s="206"/>
      <c r="O6" s="206"/>
      <c r="P6" s="306"/>
      <c r="Q6" s="206"/>
      <c r="R6" s="206"/>
      <c r="S6" s="206"/>
      <c r="T6" s="306"/>
      <c r="U6" s="206"/>
      <c r="V6" s="206"/>
      <c r="W6" s="544"/>
    </row>
    <row r="7" spans="1:23" ht="15" customHeight="1" x14ac:dyDescent="0.25">
      <c r="A7" s="471"/>
      <c r="B7" s="2153" t="s">
        <v>1679</v>
      </c>
      <c r="C7" s="510"/>
      <c r="D7" s="477"/>
      <c r="E7" s="477"/>
      <c r="F7" s="477"/>
      <c r="G7" s="2160" t="str">
        <f>IF('General Info'!$D$48&lt;&gt;Parameters!$D$609, IF(ISNUMBER(G$127), G$127, ""), IF(AND(ISNUMBER(G$29), ISNUMBER(G$36), ISNUMBER(G$43), ISNUMBER(G$40)), 1.3*G$29+3.5*G$36+1.9*G$43+1.2*G$40, ""))</f>
        <v/>
      </c>
      <c r="H7" s="2162" t="s">
        <v>42</v>
      </c>
      <c r="I7" s="996"/>
      <c r="J7" s="2144"/>
      <c r="K7" s="206"/>
      <c r="L7" s="306"/>
      <c r="M7" s="206"/>
      <c r="N7" s="206"/>
      <c r="O7" s="206"/>
      <c r="P7" s="306"/>
      <c r="Q7" s="206"/>
      <c r="R7" s="206"/>
      <c r="S7" s="206"/>
      <c r="T7" s="306"/>
      <c r="U7" s="206"/>
      <c r="V7" s="206"/>
      <c r="W7" s="544"/>
    </row>
    <row r="8" spans="1:23" ht="15" customHeight="1" x14ac:dyDescent="0.25">
      <c r="A8" s="471"/>
      <c r="B8" s="2153" t="s">
        <v>1680</v>
      </c>
      <c r="C8" s="510"/>
      <c r="D8" s="477"/>
      <c r="E8" s="477"/>
      <c r="F8" s="477"/>
      <c r="G8" s="2160" t="str">
        <f>IF('General Info'!$D$48&lt;&gt;Parameters!$D$609, IF(ISNUMBER(K$127), K$127, ""), IF(AND(ISNUMBER(G$29), ISNUMBER(G$36), ISNUMBER(G$43), ISNUMBER(G$40)), 1.3*G$29+3.5*G$36+1.9*G$43+1.2*G$40, ""))</f>
        <v/>
      </c>
      <c r="H8" s="2162" t="s">
        <v>42</v>
      </c>
      <c r="I8" s="996"/>
      <c r="J8" s="2144"/>
      <c r="K8" s="206"/>
      <c r="L8" s="306"/>
      <c r="M8" s="206"/>
      <c r="N8" s="206"/>
      <c r="O8" s="206"/>
      <c r="P8" s="306"/>
      <c r="Q8" s="206"/>
      <c r="R8" s="206"/>
      <c r="S8" s="206"/>
      <c r="T8" s="306"/>
      <c r="U8" s="206"/>
      <c r="V8" s="206"/>
      <c r="W8" s="544"/>
    </row>
    <row r="9" spans="1:23" ht="15" customHeight="1" x14ac:dyDescent="0.25">
      <c r="A9" s="471"/>
      <c r="B9" s="2153" t="s">
        <v>1681</v>
      </c>
      <c r="C9" s="510"/>
      <c r="D9" s="477"/>
      <c r="E9" s="477"/>
      <c r="F9" s="477"/>
      <c r="G9" s="2160" t="str">
        <f>IF('General Info'!$D$48&lt;&gt;Parameters!$D$609, IF(ISNUMBER(O$127), O$127, ""), IF(AND(ISNUMBER(G$29), ISNUMBER(G$36), ISNUMBER(G$43), ISNUMBER(G$40)), 1.3*G$29+3.5*G$36+1.9*G$43+1.2*G$40, ""))</f>
        <v/>
      </c>
      <c r="H9" s="2162" t="s">
        <v>42</v>
      </c>
      <c r="I9" s="996"/>
      <c r="J9" s="2144"/>
      <c r="K9" s="206"/>
      <c r="L9" s="306"/>
      <c r="M9" s="206"/>
      <c r="N9" s="206"/>
      <c r="O9" s="206"/>
      <c r="P9" s="306"/>
      <c r="Q9" s="206"/>
      <c r="R9" s="206"/>
      <c r="S9" s="206"/>
      <c r="T9" s="306"/>
      <c r="U9" s="206"/>
      <c r="V9" s="206"/>
      <c r="W9" s="544"/>
    </row>
    <row r="10" spans="1:23" ht="15" customHeight="1" x14ac:dyDescent="0.25">
      <c r="A10" s="471"/>
      <c r="B10" s="2153" t="s">
        <v>1682</v>
      </c>
      <c r="C10" s="510"/>
      <c r="D10" s="477"/>
      <c r="E10" s="477"/>
      <c r="F10" s="477"/>
      <c r="G10" s="2160" t="str">
        <f>IF('General Info'!$D$48&lt;&gt;Parameters!$D$609, IF(ISNUMBER(S$127), S$127, ""), IF(AND(ISNUMBER(G$29), ISNUMBER(G$36), ISNUMBER(G$43), ISNUMBER(G$40)), 1.3*G$29+3.5*G$36+1.9*G$43+1.2*G$40, ""))</f>
        <v/>
      </c>
      <c r="H10" s="2162" t="s">
        <v>42</v>
      </c>
      <c r="I10" s="2139"/>
      <c r="J10" s="2140"/>
      <c r="K10" s="206"/>
      <c r="L10" s="306"/>
      <c r="M10" s="206"/>
      <c r="N10" s="206"/>
      <c r="O10" s="206"/>
      <c r="P10" s="306"/>
      <c r="Q10" s="206"/>
      <c r="R10" s="206"/>
      <c r="S10" s="206"/>
      <c r="T10" s="306"/>
      <c r="U10" s="206"/>
      <c r="V10" s="206"/>
      <c r="W10" s="544"/>
    </row>
    <row r="11" spans="1:23" ht="15" customHeight="1" x14ac:dyDescent="0.25">
      <c r="A11" s="471"/>
      <c r="B11" s="338" t="s">
        <v>1450</v>
      </c>
      <c r="C11" s="310"/>
      <c r="D11" s="311"/>
      <c r="E11" s="311"/>
      <c r="F11" s="310"/>
      <c r="G11" s="340"/>
      <c r="H11" s="2154"/>
      <c r="I11" s="2891" t="str">
        <f>IF(AND(OR('General Info'!D48="No", 'General Info'!D48=Parameters!D609), 'General Info'!D49="No"), "", IF(G11&lt;&gt;"",""," Cell left blank: please check if appropriate"))</f>
        <v xml:space="preserve"> Cell left blank: please check if appropriate</v>
      </c>
      <c r="J11" s="2892"/>
      <c r="K11" s="206"/>
      <c r="L11" s="306"/>
      <c r="M11" s="206"/>
      <c r="N11" s="206"/>
      <c r="O11" s="206"/>
      <c r="P11" s="306"/>
      <c r="Q11" s="206"/>
      <c r="R11" s="206"/>
      <c r="S11" s="206"/>
      <c r="T11" s="306"/>
      <c r="U11" s="206"/>
      <c r="V11" s="206"/>
      <c r="W11" s="544"/>
    </row>
    <row r="12" spans="1:23" ht="45" customHeight="1" x14ac:dyDescent="0.35">
      <c r="A12" s="2371" t="s">
        <v>2186</v>
      </c>
      <c r="B12" s="223"/>
      <c r="C12" s="206"/>
      <c r="D12" s="206"/>
      <c r="E12" s="206"/>
      <c r="F12" s="224"/>
      <c r="G12" s="193"/>
      <c r="H12" s="306"/>
      <c r="I12" s="206"/>
      <c r="J12" s="206"/>
      <c r="K12" s="206"/>
      <c r="L12" s="306"/>
      <c r="M12" s="206"/>
      <c r="N12" s="206"/>
      <c r="O12" s="206"/>
      <c r="P12" s="306"/>
      <c r="Q12" s="206"/>
      <c r="R12" s="206"/>
      <c r="S12" s="206"/>
      <c r="T12" s="306"/>
      <c r="U12" s="206"/>
      <c r="V12" s="206"/>
      <c r="W12" s="979"/>
    </row>
    <row r="13" spans="1:23" ht="15" customHeight="1" x14ac:dyDescent="0.25">
      <c r="A13" s="1533"/>
      <c r="B13" s="1271"/>
      <c r="C13" s="2143"/>
      <c r="D13" s="1272" t="s">
        <v>302</v>
      </c>
      <c r="E13" s="1406"/>
      <c r="F13" s="1272" t="s">
        <v>302</v>
      </c>
      <c r="G13" s="2165" t="s">
        <v>1017</v>
      </c>
      <c r="H13" s="2166"/>
      <c r="I13" s="2166"/>
      <c r="J13" s="2166"/>
      <c r="K13" s="206"/>
      <c r="L13" s="306"/>
      <c r="M13" s="206"/>
      <c r="N13" s="206"/>
      <c r="O13" s="206"/>
      <c r="P13" s="306"/>
      <c r="Q13" s="206"/>
      <c r="R13" s="206"/>
      <c r="S13" s="206"/>
      <c r="T13" s="306"/>
      <c r="U13" s="206"/>
      <c r="V13" s="206"/>
      <c r="W13" s="439"/>
    </row>
    <row r="14" spans="1:23" ht="15" customHeight="1" x14ac:dyDescent="0.25">
      <c r="A14" s="1533"/>
      <c r="B14" s="822" t="s">
        <v>442</v>
      </c>
      <c r="C14" s="982"/>
      <c r="D14" s="983">
        <f>COUNT('TB IMA Backtesting-P&amp;L'!H6:KB6)</f>
        <v>0</v>
      </c>
      <c r="E14" s="2148"/>
      <c r="F14" s="2145"/>
      <c r="G14" s="2163" t="s">
        <v>1683</v>
      </c>
      <c r="H14" s="2164" t="s">
        <v>524</v>
      </c>
      <c r="I14" s="2164" t="s">
        <v>702</v>
      </c>
      <c r="J14" s="2167"/>
      <c r="K14" s="206"/>
      <c r="L14" s="306"/>
      <c r="M14" s="206"/>
      <c r="N14" s="206"/>
      <c r="O14" s="206"/>
      <c r="P14" s="306"/>
      <c r="Q14" s="206"/>
      <c r="R14" s="206"/>
      <c r="S14" s="206"/>
      <c r="T14" s="306"/>
      <c r="U14" s="206"/>
      <c r="V14" s="206"/>
      <c r="W14" s="439"/>
    </row>
    <row r="15" spans="1:23" ht="15" customHeight="1" x14ac:dyDescent="0.25">
      <c r="A15" s="1533"/>
      <c r="B15" s="222" t="s">
        <v>1678</v>
      </c>
      <c r="C15" s="346"/>
      <c r="D15" s="456">
        <f>100-COUNTBLANK(C170:C269)</f>
        <v>0</v>
      </c>
      <c r="E15" s="2149"/>
      <c r="F15" s="2146"/>
      <c r="G15" s="2161" t="s">
        <v>618</v>
      </c>
      <c r="H15" s="1123" t="str">
        <f>IF(ISBLANK('General Info'!C48), "", 'General Info'!C48)</f>
        <v/>
      </c>
      <c r="I15" s="1124" t="str">
        <f>IF(ISBLANK('General Info'!D48), "", 'General Info'!D48)</f>
        <v/>
      </c>
      <c r="J15" s="587"/>
      <c r="K15" s="206"/>
      <c r="L15" s="306"/>
      <c r="M15" s="206"/>
      <c r="N15" s="206"/>
      <c r="O15" s="206"/>
      <c r="P15" s="306"/>
      <c r="Q15" s="206"/>
      <c r="R15" s="206"/>
      <c r="S15" s="206"/>
      <c r="T15" s="306"/>
      <c r="U15" s="206"/>
      <c r="V15" s="206"/>
      <c r="W15" s="439"/>
    </row>
    <row r="16" spans="1:23" ht="15" customHeight="1" x14ac:dyDescent="0.25">
      <c r="A16" s="1533"/>
      <c r="B16" s="222" t="str">
        <f>'TB IMA Backtesting-P&amp;L'!A8</f>
        <v>A. Risk measures</v>
      </c>
      <c r="C16" s="346"/>
      <c r="D16" s="552"/>
      <c r="E16" s="2141" t="str">
        <f>'TB IMA Backtesting-P&amp;L'!A422</f>
        <v>B. P&amp;L</v>
      </c>
      <c r="F16" s="552"/>
      <c r="G16" s="2152" t="s">
        <v>976</v>
      </c>
      <c r="H16" s="1121" t="str">
        <f>IF(ISBLANK('General Info'!C49), "", 'General Info'!C49)</f>
        <v/>
      </c>
      <c r="I16" s="1122" t="str">
        <f>IF(ISBLANK('General Info'!D49), "", 'General Info'!D49)</f>
        <v/>
      </c>
      <c r="J16" s="587"/>
      <c r="K16" s="206"/>
      <c r="L16" s="306"/>
      <c r="M16" s="206"/>
      <c r="N16" s="206"/>
      <c r="O16" s="206"/>
      <c r="P16" s="306"/>
      <c r="Q16" s="206"/>
      <c r="R16" s="206"/>
      <c r="S16" s="206"/>
      <c r="T16" s="306"/>
      <c r="U16" s="206"/>
      <c r="V16" s="206"/>
      <c r="W16" s="439"/>
    </row>
    <row r="17" spans="1:23" ht="15" customHeight="1" x14ac:dyDescent="0.25">
      <c r="A17" s="1533"/>
      <c r="B17" s="240" t="str">
        <f>'TB IMA Backtesting-P&amp;L'!A9</f>
        <v>A.1 1-day 99% VaR</v>
      </c>
      <c r="C17" s="346"/>
      <c r="D17" s="210" t="str">
        <f>IF(COUNT('TB IMA Backtesting-P&amp;L'!H11:H110)&gt;=1,"Yes","No")</f>
        <v>No</v>
      </c>
      <c r="E17" s="2150" t="str">
        <f>'TB IMA Backtesting-P&amp;L'!A423</f>
        <v>B.1 Actual P&amp;L</v>
      </c>
      <c r="F17" s="210" t="str">
        <f>IF(COUNT('TB IMA Backtesting-P&amp;L'!H425:H524)&gt;=1,"Yes","No")</f>
        <v>No</v>
      </c>
      <c r="G17" s="2895" t="s">
        <v>632</v>
      </c>
      <c r="H17" s="2898"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899"/>
      <c r="J17" s="2899"/>
      <c r="K17" s="206"/>
      <c r="L17" s="306"/>
      <c r="M17" s="206"/>
      <c r="N17" s="206"/>
      <c r="O17" s="206"/>
      <c r="P17" s="306"/>
      <c r="Q17" s="206"/>
      <c r="R17" s="206"/>
      <c r="S17" s="206"/>
      <c r="T17" s="306"/>
      <c r="U17" s="206"/>
      <c r="V17" s="206"/>
      <c r="W17" s="439"/>
    </row>
    <row r="18" spans="1:23" ht="15" customHeight="1" x14ac:dyDescent="0.25">
      <c r="A18" s="1533"/>
      <c r="B18" s="240" t="str">
        <f>'TB IMA Backtesting-P&amp;L'!A112</f>
        <v>A.2 1-day 97.5% VaR</v>
      </c>
      <c r="C18" s="346"/>
      <c r="D18" s="210" t="str">
        <f>IF(COUNT('TB IMA Backtesting-P&amp;L'!H114:H213)&gt;=1,"Yes","No")</f>
        <v>No</v>
      </c>
      <c r="E18" s="2150" t="str">
        <f>'TB IMA Backtesting-P&amp;L'!A526</f>
        <v>B.2 Hypothetical P&amp;L</v>
      </c>
      <c r="F18" s="210" t="str">
        <f>IF(COUNT('TB IMA Backtesting-P&amp;L'!H528:H627)&gt;=1,"Yes","No")</f>
        <v>No</v>
      </c>
      <c r="G18" s="2896"/>
      <c r="H18" s="2898"/>
      <c r="I18" s="2899"/>
      <c r="J18" s="2899"/>
      <c r="K18" s="206"/>
      <c r="L18" s="306"/>
      <c r="M18" s="206"/>
      <c r="N18" s="206"/>
      <c r="O18" s="206"/>
      <c r="P18" s="306"/>
      <c r="Q18" s="206"/>
      <c r="R18" s="206"/>
      <c r="S18" s="206"/>
      <c r="T18" s="306"/>
      <c r="U18" s="206"/>
      <c r="V18" s="206"/>
      <c r="W18" s="439"/>
    </row>
    <row r="19" spans="1:23" ht="15" customHeight="1" x14ac:dyDescent="0.25">
      <c r="A19" s="1533"/>
      <c r="B19" s="240" t="str">
        <f>'TB IMA Backtesting-P&amp;L'!A215</f>
        <v>A.3 1-day 97.5% ES</v>
      </c>
      <c r="C19" s="346"/>
      <c r="D19" s="210" t="str">
        <f>IF(COUNT('TB IMA Backtesting-P&amp;L'!H217:H316)&gt;=1,"Yes","No")</f>
        <v>No</v>
      </c>
      <c r="E19" s="2150" t="str">
        <f>'TB IMA Backtesting-P&amp;L'!A629</f>
        <v>B.3 Risk-theoretical P&amp;L</v>
      </c>
      <c r="F19" s="210" t="str">
        <f>IF(COUNT('TB IMA Backtesting-P&amp;L'!H631:H730)&gt;=1,"Yes","No")</f>
        <v>No</v>
      </c>
      <c r="G19" s="2896"/>
      <c r="H19" s="2900"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901"/>
      <c r="J19" s="2901"/>
      <c r="K19" s="206"/>
      <c r="L19" s="306"/>
      <c r="M19" s="206"/>
      <c r="N19" s="206"/>
      <c r="O19" s="206"/>
      <c r="P19" s="306"/>
      <c r="Q19" s="206"/>
      <c r="R19" s="206"/>
      <c r="S19" s="206"/>
      <c r="T19" s="306"/>
      <c r="U19" s="206"/>
      <c r="V19" s="206"/>
      <c r="W19" s="439"/>
    </row>
    <row r="20" spans="1:23" ht="15" customHeight="1" x14ac:dyDescent="0.25">
      <c r="A20" s="1533"/>
      <c r="B20" s="359" t="str">
        <f>'TB IMA Backtesting-P&amp;L'!A318</f>
        <v>A.4 P values</v>
      </c>
      <c r="C20" s="352"/>
      <c r="D20" s="211" t="str">
        <f>IF(COUNT('TB IMA Backtesting-P&amp;L'!H320:H419)&gt;=1,"Yes","No")</f>
        <v>No</v>
      </c>
      <c r="E20" s="2151"/>
      <c r="F20" s="2147"/>
      <c r="G20" s="2897"/>
      <c r="H20" s="2902"/>
      <c r="I20" s="2903"/>
      <c r="J20" s="2903"/>
      <c r="K20" s="206"/>
      <c r="L20" s="306"/>
      <c r="M20" s="206"/>
      <c r="N20" s="206"/>
      <c r="O20" s="206"/>
      <c r="P20" s="306"/>
      <c r="Q20" s="206"/>
      <c r="R20" s="206"/>
      <c r="S20" s="206"/>
      <c r="T20" s="306"/>
      <c r="U20" s="206"/>
      <c r="V20" s="206"/>
      <c r="W20" s="439"/>
    </row>
    <row r="21" spans="1:23" ht="15" customHeight="1" x14ac:dyDescent="0.25">
      <c r="A21" s="1533"/>
      <c r="B21" s="348"/>
      <c r="C21" s="349"/>
      <c r="D21" s="350"/>
      <c r="E21" s="351"/>
      <c r="F21" s="193"/>
      <c r="G21" s="193"/>
      <c r="H21" s="308"/>
      <c r="I21" s="193"/>
      <c r="J21" s="193"/>
      <c r="K21" s="193"/>
      <c r="L21" s="308"/>
      <c r="M21" s="193"/>
      <c r="N21" s="193"/>
      <c r="O21" s="193"/>
      <c r="P21" s="308"/>
      <c r="Q21" s="193"/>
      <c r="R21" s="193"/>
      <c r="S21" s="193"/>
      <c r="T21" s="308"/>
      <c r="U21" s="193"/>
      <c r="V21" s="193"/>
      <c r="W21" s="1410"/>
    </row>
    <row r="22" spans="1:23" ht="45" customHeight="1" x14ac:dyDescent="0.35">
      <c r="A22" s="978" t="s">
        <v>2187</v>
      </c>
      <c r="B22" s="1402"/>
      <c r="C22" s="1390"/>
      <c r="D22" s="1390"/>
      <c r="E22" s="1390"/>
      <c r="F22" s="1403"/>
      <c r="G22" s="1390"/>
      <c r="H22" s="1404"/>
      <c r="I22" s="1390"/>
      <c r="J22" s="1390"/>
      <c r="K22" s="1390"/>
      <c r="L22" s="1404"/>
      <c r="M22" s="1390"/>
      <c r="N22" s="1390"/>
      <c r="O22" s="1390"/>
      <c r="P22" s="1404"/>
      <c r="Q22" s="1390"/>
      <c r="R22" s="1390"/>
      <c r="S22" s="1390"/>
      <c r="T22" s="1404"/>
      <c r="U22" s="1390"/>
      <c r="V22" s="1390"/>
      <c r="W22" s="994"/>
    </row>
    <row r="23" spans="1:23" ht="60" customHeight="1" x14ac:dyDescent="0.25">
      <c r="A23" s="471"/>
      <c r="B23" s="2946"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946"/>
      <c r="D23" s="2946"/>
      <c r="E23" s="2946"/>
      <c r="F23" s="2946"/>
      <c r="G23" s="2946"/>
      <c r="H23" s="2946"/>
      <c r="I23" s="2946"/>
      <c r="J23" s="2946"/>
      <c r="K23" s="1412"/>
      <c r="L23" s="1412"/>
      <c r="M23" s="1412"/>
      <c r="N23" s="1913"/>
      <c r="O23" s="2090"/>
      <c r="P23" s="2090"/>
      <c r="Q23" s="2090"/>
      <c r="R23" s="2090"/>
      <c r="S23" s="2090"/>
      <c r="T23" s="2090"/>
      <c r="U23" s="2090"/>
      <c r="V23" s="2090"/>
      <c r="W23" s="544"/>
    </row>
    <row r="24" spans="1:23" ht="30" customHeight="1" x14ac:dyDescent="0.25">
      <c r="A24" s="471"/>
      <c r="B24" s="2946" t="s">
        <v>1082</v>
      </c>
      <c r="C24" s="2946"/>
      <c r="D24" s="2946"/>
      <c r="E24" s="2946"/>
      <c r="F24" s="2946"/>
      <c r="G24" s="2946"/>
      <c r="H24" s="2946"/>
      <c r="I24" s="2946"/>
      <c r="J24" s="2946"/>
      <c r="K24" s="1412"/>
      <c r="L24" s="1412"/>
      <c r="M24" s="1412"/>
      <c r="N24" s="1913"/>
      <c r="O24" s="2090"/>
      <c r="P24" s="2090"/>
      <c r="Q24" s="2090"/>
      <c r="R24" s="2090"/>
      <c r="S24" s="2090"/>
      <c r="T24" s="2090"/>
      <c r="U24" s="2090"/>
      <c r="V24" s="2090"/>
      <c r="W24" s="544"/>
    </row>
    <row r="25" spans="1:23" ht="60" customHeight="1" x14ac:dyDescent="0.35">
      <c r="A25" s="2371" t="s">
        <v>2188</v>
      </c>
      <c r="B25" s="223"/>
      <c r="C25" s="206"/>
      <c r="D25" s="206"/>
      <c r="E25" s="206"/>
      <c r="F25" s="224"/>
      <c r="G25" s="206"/>
      <c r="H25" s="306"/>
      <c r="I25" s="206"/>
      <c r="J25" s="206"/>
      <c r="K25" s="206"/>
      <c r="L25" s="306"/>
      <c r="M25" s="206"/>
      <c r="N25" s="206"/>
      <c r="O25" s="206"/>
      <c r="P25" s="306"/>
      <c r="Q25" s="206"/>
      <c r="R25" s="206"/>
      <c r="S25" s="206"/>
      <c r="T25" s="306"/>
      <c r="U25" s="206"/>
      <c r="V25" s="206"/>
      <c r="W25" s="979"/>
    </row>
    <row r="26" spans="1:23" ht="150" customHeight="1" x14ac:dyDescent="0.25">
      <c r="A26" s="2371"/>
      <c r="B26" s="2945" t="s">
        <v>1116</v>
      </c>
      <c r="C26" s="2945"/>
      <c r="D26" s="2945"/>
      <c r="E26" s="2945"/>
      <c r="F26" s="2945"/>
      <c r="G26" s="2945"/>
      <c r="H26" s="2945"/>
      <c r="I26" s="2945"/>
      <c r="J26" s="2945"/>
      <c r="K26" s="206"/>
      <c r="L26" s="306"/>
      <c r="M26" s="206"/>
      <c r="N26" s="206"/>
      <c r="O26" s="206"/>
      <c r="P26" s="306"/>
      <c r="Q26" s="206"/>
      <c r="R26" s="206"/>
      <c r="S26" s="206"/>
      <c r="T26" s="306"/>
      <c r="U26" s="206"/>
      <c r="V26" s="206"/>
      <c r="W26" s="979"/>
    </row>
    <row r="27" spans="1:23" ht="45" customHeight="1" x14ac:dyDescent="0.25">
      <c r="A27" s="397"/>
      <c r="B27" s="1407"/>
      <c r="C27" s="1077"/>
      <c r="D27" s="1393"/>
      <c r="E27" s="1393"/>
      <c r="F27" s="1580" t="s">
        <v>1062</v>
      </c>
      <c r="G27" s="1385" t="s">
        <v>1068</v>
      </c>
      <c r="H27" s="1587"/>
      <c r="I27" s="1785"/>
      <c r="J27" s="206"/>
      <c r="K27" s="206"/>
      <c r="L27" s="306"/>
      <c r="M27" s="206"/>
      <c r="N27" s="206"/>
      <c r="O27" s="206"/>
      <c r="P27" s="306"/>
      <c r="Q27" s="206"/>
      <c r="R27" s="206"/>
      <c r="S27" s="206"/>
      <c r="T27" s="306"/>
      <c r="U27" s="206"/>
      <c r="V27" s="206"/>
      <c r="W27" s="544"/>
    </row>
    <row r="28" spans="1:23" ht="15" customHeight="1" x14ac:dyDescent="0.25">
      <c r="A28" s="397"/>
      <c r="B28" s="1416" t="s">
        <v>2189</v>
      </c>
      <c r="C28" s="702"/>
      <c r="D28" s="986"/>
      <c r="E28" s="986"/>
      <c r="F28" s="984"/>
      <c r="G28" s="984"/>
      <c r="H28" s="2911" t="str">
        <f>IF(G28&lt;&gt;"", IF('General Info'!$C$48="No", "Check flag on 'General Info'!C" &amp; ROW('General Info'!$C$48), ""), IF('General Info'!$C$48="Yes", "Cell left blank: please check", "Can be left blank for banks without SA"))</f>
        <v>Can be left blank for banks without SA</v>
      </c>
      <c r="I28" s="2912"/>
      <c r="J28" s="206"/>
      <c r="K28" s="206"/>
      <c r="L28" s="306"/>
      <c r="M28" s="206"/>
      <c r="N28" s="206"/>
      <c r="O28" s="206"/>
      <c r="P28" s="306"/>
      <c r="Q28" s="206"/>
      <c r="R28" s="206"/>
      <c r="S28" s="206"/>
      <c r="T28" s="306"/>
      <c r="U28" s="206"/>
      <c r="V28" s="206"/>
      <c r="W28" s="544"/>
    </row>
    <row r="29" spans="1:23" ht="15" customHeight="1" x14ac:dyDescent="0.25">
      <c r="A29" s="397"/>
      <c r="B29" s="240" t="s">
        <v>603</v>
      </c>
      <c r="C29" s="237"/>
      <c r="D29" s="242"/>
      <c r="E29" s="242"/>
      <c r="F29" s="32" t="str">
        <f>IF(AND(ISNUMBER(F30), ISNUMBER(F31), ISNUMBER(F35)), (F30+F31+F35), "")</f>
        <v/>
      </c>
      <c r="G29" s="32" t="str">
        <f>IF(AND(ISNUMBER(G30), ISNUMBER(G31), ISNUMBER(G35)), (G30+G31+G35), "")</f>
        <v/>
      </c>
      <c r="H29" s="2909"/>
      <c r="I29" s="2910"/>
      <c r="J29" s="206"/>
      <c r="K29" s="206"/>
      <c r="L29" s="306"/>
      <c r="M29" s="206"/>
      <c r="N29" s="206"/>
      <c r="O29" s="206"/>
      <c r="P29" s="306"/>
      <c r="Q29" s="206"/>
      <c r="R29" s="206"/>
      <c r="S29" s="206"/>
      <c r="T29" s="306"/>
      <c r="U29" s="206"/>
      <c r="V29" s="206"/>
      <c r="W29" s="544"/>
    </row>
    <row r="30" spans="1:23" ht="15" customHeight="1" x14ac:dyDescent="0.25">
      <c r="A30" s="397"/>
      <c r="B30" s="399" t="s">
        <v>471</v>
      </c>
      <c r="C30" s="237"/>
      <c r="D30" s="242"/>
      <c r="E30" s="242"/>
      <c r="F30" s="414"/>
      <c r="G30" s="414"/>
      <c r="H30" s="2907" t="str">
        <f>IF(G30&lt;&gt;"", IF('General Info'!$C$48="No", "Check flag on 'General Info'!C" &amp; ROW('General Info'!$C$48), ""), IF('General Info'!$C$48="Yes", "Cell left blank: please check", "Can be left blank for banks without SA"))</f>
        <v>Can be left blank for banks without SA</v>
      </c>
      <c r="I30" s="2908"/>
      <c r="J30" s="206"/>
      <c r="K30" s="206"/>
      <c r="L30" s="306"/>
      <c r="M30" s="206"/>
      <c r="N30" s="206"/>
      <c r="O30" s="206"/>
      <c r="P30" s="306"/>
      <c r="Q30" s="206"/>
      <c r="R30" s="206"/>
      <c r="S30" s="206"/>
      <c r="T30" s="306"/>
      <c r="U30" s="206"/>
      <c r="V30" s="206"/>
      <c r="W30" s="544"/>
    </row>
    <row r="31" spans="1:23" ht="15" customHeight="1" x14ac:dyDescent="0.25">
      <c r="A31" s="397"/>
      <c r="B31" s="399" t="s">
        <v>604</v>
      </c>
      <c r="C31" s="237"/>
      <c r="D31" s="242"/>
      <c r="E31" s="242"/>
      <c r="F31" s="32" t="str">
        <f>IF(AND(ISNUMBER(F32), ISNUMBER(F33), ISNUMBER(F34)), (F32+F33+F34), "")</f>
        <v/>
      </c>
      <c r="G31" s="32" t="str">
        <f>IF(AND(ISNUMBER(G32), ISNUMBER(G33), ISNUMBER(G34)), (G32+G33+G34), "")</f>
        <v/>
      </c>
      <c r="H31" s="2909"/>
      <c r="I31" s="2910"/>
      <c r="J31" s="206"/>
      <c r="K31" s="206"/>
      <c r="L31" s="306"/>
      <c r="M31" s="206"/>
      <c r="N31" s="206"/>
      <c r="O31" s="206"/>
      <c r="P31" s="306"/>
      <c r="Q31" s="206"/>
      <c r="R31" s="206"/>
      <c r="S31" s="206"/>
      <c r="T31" s="306"/>
      <c r="U31" s="206"/>
      <c r="V31" s="206"/>
      <c r="W31" s="544"/>
    </row>
    <row r="32" spans="1:23" ht="15" customHeight="1" x14ac:dyDescent="0.25">
      <c r="A32" s="397"/>
      <c r="B32" s="398" t="s">
        <v>605</v>
      </c>
      <c r="C32" s="237"/>
      <c r="D32" s="242"/>
      <c r="E32" s="242"/>
      <c r="F32" s="414"/>
      <c r="G32" s="414"/>
      <c r="H32" s="2907" t="str">
        <f>IF(G32&lt;&gt;"", IF('General Info'!$C$48="No", "Check flag on 'General Info'!C" &amp; ROW('General Info'!$C$48), ""), IF('General Info'!$C$48="Yes", "Cell left blank: please check", "Can be left blank for banks without SA"))</f>
        <v>Can be left blank for banks without SA</v>
      </c>
      <c r="I32" s="2908"/>
      <c r="J32" s="206"/>
      <c r="K32" s="206"/>
      <c r="L32" s="306"/>
      <c r="M32" s="206"/>
      <c r="N32" s="206"/>
      <c r="O32" s="206"/>
      <c r="P32" s="306"/>
      <c r="Q32" s="206"/>
      <c r="R32" s="206"/>
      <c r="S32" s="206"/>
      <c r="T32" s="306"/>
      <c r="U32" s="206"/>
      <c r="V32" s="206"/>
      <c r="W32" s="544"/>
    </row>
    <row r="33" spans="1:23" ht="15" customHeight="1" x14ac:dyDescent="0.25">
      <c r="A33" s="397"/>
      <c r="B33" s="398" t="s">
        <v>475</v>
      </c>
      <c r="C33" s="237"/>
      <c r="D33" s="242"/>
      <c r="E33" s="242"/>
      <c r="F33" s="414"/>
      <c r="G33" s="414"/>
      <c r="H33" s="2907" t="str">
        <f>IF(G33&lt;&gt;"", IF('General Info'!$C$48="No", "Check flag on 'General Info'!C" &amp; ROW('General Info'!$C$48), ""), IF('General Info'!$C$48="Yes", "Cell left blank: please check", "Can be left blank for banks without SA"))</f>
        <v>Can be left blank for banks without SA</v>
      </c>
      <c r="I33" s="2908"/>
      <c r="J33" s="206"/>
      <c r="K33" s="206"/>
      <c r="L33" s="306"/>
      <c r="M33" s="206"/>
      <c r="N33" s="206"/>
      <c r="O33" s="206"/>
      <c r="P33" s="306"/>
      <c r="Q33" s="206"/>
      <c r="R33" s="206"/>
      <c r="S33" s="206"/>
      <c r="T33" s="306"/>
      <c r="U33" s="206"/>
      <c r="V33" s="206"/>
      <c r="W33" s="544"/>
    </row>
    <row r="34" spans="1:23" ht="15" customHeight="1" x14ac:dyDescent="0.25">
      <c r="A34" s="397"/>
      <c r="B34" s="398" t="s">
        <v>476</v>
      </c>
      <c r="C34" s="237"/>
      <c r="D34" s="242"/>
      <c r="E34" s="242"/>
      <c r="F34" s="414"/>
      <c r="G34" s="414"/>
      <c r="H34" s="2907" t="str">
        <f>IF(G34&lt;&gt;"", IF('General Info'!$C$48="No", "Check flag on 'General Info'!C" &amp; ROW('General Info'!$C$48), ""), IF('General Info'!$C$48="Yes", "Cell left blank: please check", "Can be left blank for banks without SA"))</f>
        <v>Can be left blank for banks without SA</v>
      </c>
      <c r="I34" s="2908"/>
      <c r="J34" s="206"/>
      <c r="K34" s="206"/>
      <c r="L34" s="306"/>
      <c r="M34" s="206"/>
      <c r="N34" s="206"/>
      <c r="O34" s="206"/>
      <c r="P34" s="306"/>
      <c r="Q34" s="206"/>
      <c r="R34" s="206"/>
      <c r="S34" s="206"/>
      <c r="T34" s="306"/>
      <c r="U34" s="206"/>
      <c r="V34" s="206"/>
      <c r="W34" s="544"/>
    </row>
    <row r="35" spans="1:23" ht="30" customHeight="1" x14ac:dyDescent="0.25">
      <c r="A35" s="397"/>
      <c r="B35" s="2951" t="s">
        <v>1091</v>
      </c>
      <c r="C35" s="2951"/>
      <c r="D35" s="2951"/>
      <c r="E35" s="2951"/>
      <c r="F35" s="414"/>
      <c r="G35" s="414"/>
      <c r="H35" s="2907" t="str">
        <f>IF(G35&lt;&gt;"", IF('General Info'!$C$48="No", "Check flag on 'General Info'!C" &amp; ROW('General Info'!$C$48), ""), IF('General Info'!$C$48="Yes", "Cell left blank: please check", "Can be left blank for banks without SA"))</f>
        <v>Can be left blank for banks without SA</v>
      </c>
      <c r="I35" s="2908"/>
      <c r="J35" s="206"/>
      <c r="K35" s="206"/>
      <c r="L35" s="306"/>
      <c r="M35" s="206"/>
      <c r="N35" s="206"/>
      <c r="O35" s="206"/>
      <c r="P35" s="306"/>
      <c r="Q35" s="206"/>
      <c r="R35" s="206"/>
      <c r="S35" s="206"/>
      <c r="T35" s="306"/>
      <c r="U35" s="206"/>
      <c r="V35" s="206"/>
      <c r="W35" s="544"/>
    </row>
    <row r="36" spans="1:23" ht="15" customHeight="1" x14ac:dyDescent="0.25">
      <c r="A36" s="397"/>
      <c r="B36" s="240" t="s">
        <v>606</v>
      </c>
      <c r="C36" s="237"/>
      <c r="D36" s="242"/>
      <c r="E36" s="242"/>
      <c r="F36" s="32" t="str">
        <f>IF(AND(ISNUMBER(F37), ISNUMBER(F38), ISNUMBER(F39)), (F37+F38+F39), "")</f>
        <v/>
      </c>
      <c r="G36" s="32" t="str">
        <f>IF(AND(ISNUMBER(G37), ISNUMBER(G38), ISNUMBER(G39)), (G37+G38+G39), "")</f>
        <v/>
      </c>
      <c r="H36" s="2909"/>
      <c r="I36" s="2910"/>
      <c r="J36" s="206"/>
      <c r="K36" s="206"/>
      <c r="L36" s="306"/>
      <c r="M36" s="206"/>
      <c r="N36" s="206"/>
      <c r="O36" s="206"/>
      <c r="P36" s="306"/>
      <c r="Q36" s="206"/>
      <c r="R36" s="206"/>
      <c r="S36" s="206"/>
      <c r="T36" s="306"/>
      <c r="U36" s="206"/>
      <c r="V36" s="206"/>
      <c r="W36" s="544"/>
    </row>
    <row r="37" spans="1:23" ht="15" customHeight="1" x14ac:dyDescent="0.25">
      <c r="A37" s="397"/>
      <c r="B37" s="399" t="s">
        <v>607</v>
      </c>
      <c r="C37" s="237"/>
      <c r="D37" s="242"/>
      <c r="E37" s="242"/>
      <c r="F37" s="413"/>
      <c r="G37" s="413"/>
      <c r="H37" s="2907" t="str">
        <f>IF(G37&lt;&gt;"", IF('General Info'!$C$48="No", "Check flag on 'General Info'!C" &amp; ROW('General Info'!$C$48), ""), IF('General Info'!$C$48="Yes", "Cell left blank: please check", "Can be left blank for banks without SA"))</f>
        <v>Can be left blank for banks without SA</v>
      </c>
      <c r="I37" s="2908"/>
      <c r="J37" s="206"/>
      <c r="K37" s="206"/>
      <c r="L37" s="306"/>
      <c r="M37" s="206"/>
      <c r="N37" s="206"/>
      <c r="O37" s="206"/>
      <c r="P37" s="306"/>
      <c r="Q37" s="206"/>
      <c r="R37" s="206"/>
      <c r="S37" s="206"/>
      <c r="T37" s="306"/>
      <c r="U37" s="206"/>
      <c r="V37" s="206"/>
      <c r="W37" s="544"/>
    </row>
    <row r="38" spans="1:23" ht="15" customHeight="1" x14ac:dyDescent="0.25">
      <c r="A38" s="471"/>
      <c r="B38" s="399" t="s">
        <v>608</v>
      </c>
      <c r="C38" s="237"/>
      <c r="D38" s="242"/>
      <c r="E38" s="242"/>
      <c r="F38" s="413"/>
      <c r="G38" s="413"/>
      <c r="H38" s="2907" t="str">
        <f>IF(G38&lt;&gt;"", IF('General Info'!$C$48="No", "Check flag on 'General Info'!C" &amp; ROW('General Info'!$C$48), ""), IF('General Info'!$C$48="Yes", "Cell left blank: please check", "Can be left blank for banks without SA"))</f>
        <v>Can be left blank for banks without SA</v>
      </c>
      <c r="I38" s="2908"/>
      <c r="J38" s="206"/>
      <c r="K38" s="206"/>
      <c r="L38" s="306"/>
      <c r="M38" s="206"/>
      <c r="N38" s="206"/>
      <c r="O38" s="206"/>
      <c r="P38" s="306"/>
      <c r="Q38" s="206"/>
      <c r="R38" s="206"/>
      <c r="S38" s="206"/>
      <c r="T38" s="306"/>
      <c r="U38" s="206"/>
      <c r="V38" s="206"/>
      <c r="W38" s="544"/>
    </row>
    <row r="39" spans="1:23" ht="30" customHeight="1" x14ac:dyDescent="0.25">
      <c r="A39" s="471"/>
      <c r="B39" s="2951" t="s">
        <v>1094</v>
      </c>
      <c r="C39" s="2951"/>
      <c r="D39" s="2951"/>
      <c r="E39" s="2951"/>
      <c r="F39" s="413"/>
      <c r="G39" s="413"/>
      <c r="H39" s="2907" t="str">
        <f>IF(G39&lt;&gt;"", IF('General Info'!$C$48="No", "Check flag on 'General Info'!C" &amp; ROW('General Info'!$C$48), ""), IF('General Info'!$C$48="Yes", "Cell left blank: please check", "Can be left blank for banks without SA"))</f>
        <v>Can be left blank for banks without SA</v>
      </c>
      <c r="I39" s="2908"/>
      <c r="J39" s="206"/>
      <c r="K39" s="206"/>
      <c r="L39" s="306"/>
      <c r="M39" s="206"/>
      <c r="N39" s="206"/>
      <c r="O39" s="206"/>
      <c r="P39" s="306"/>
      <c r="Q39" s="206"/>
      <c r="R39" s="206"/>
      <c r="S39" s="206"/>
      <c r="T39" s="306"/>
      <c r="U39" s="206"/>
      <c r="V39" s="206"/>
      <c r="W39" s="544"/>
    </row>
    <row r="40" spans="1:23" ht="15" customHeight="1" x14ac:dyDescent="0.25">
      <c r="A40" s="471"/>
      <c r="B40" s="240" t="s">
        <v>609</v>
      </c>
      <c r="C40" s="237"/>
      <c r="D40" s="242"/>
      <c r="E40" s="242"/>
      <c r="F40" s="32" t="str">
        <f>IF(AND(ISNUMBER(F41), ISNUMBER(F42)), (F41+F42), "")</f>
        <v/>
      </c>
      <c r="G40" s="32" t="str">
        <f>IF(AND(ISNUMBER(G41), ISNUMBER(G42)), (G41+G42), "")</f>
        <v/>
      </c>
      <c r="H40" s="2909"/>
      <c r="I40" s="2910"/>
      <c r="J40" s="206"/>
      <c r="K40" s="206"/>
      <c r="L40" s="306"/>
      <c r="M40" s="206"/>
      <c r="N40" s="206"/>
      <c r="O40" s="206"/>
      <c r="P40" s="306"/>
      <c r="Q40" s="206"/>
      <c r="R40" s="206"/>
      <c r="S40" s="206"/>
      <c r="T40" s="306"/>
      <c r="U40" s="206"/>
      <c r="V40" s="206"/>
      <c r="W40" s="544"/>
    </row>
    <row r="41" spans="1:23" ht="15" customHeight="1" x14ac:dyDescent="0.25">
      <c r="A41" s="471"/>
      <c r="B41" s="399" t="s">
        <v>610</v>
      </c>
      <c r="C41" s="237"/>
      <c r="D41" s="242"/>
      <c r="E41" s="242"/>
      <c r="F41" s="413"/>
      <c r="G41" s="413"/>
      <c r="H41" s="2907" t="str">
        <f>IF(G41&lt;&gt;"", IF('General Info'!$C$48="No", "Check flag on 'General Info'!C" &amp; ROW('General Info'!$C$48), ""), IF('General Info'!$C$48="Yes", "Cell left blank: please check", "Can be left blank for banks without SA"))</f>
        <v>Can be left blank for banks without SA</v>
      </c>
      <c r="I41" s="2908"/>
      <c r="J41" s="206"/>
      <c r="K41" s="206"/>
      <c r="L41" s="306"/>
      <c r="M41" s="206"/>
      <c r="N41" s="206"/>
      <c r="O41" s="206"/>
      <c r="P41" s="306"/>
      <c r="Q41" s="206"/>
      <c r="R41" s="206"/>
      <c r="S41" s="206"/>
      <c r="T41" s="306"/>
      <c r="U41" s="206"/>
      <c r="V41" s="206"/>
      <c r="W41" s="544"/>
    </row>
    <row r="42" spans="1:23" ht="30" customHeight="1" x14ac:dyDescent="0.25">
      <c r="A42" s="471"/>
      <c r="B42" s="2951" t="s">
        <v>1093</v>
      </c>
      <c r="C42" s="2951"/>
      <c r="D42" s="2951"/>
      <c r="E42" s="2951"/>
      <c r="F42" s="413"/>
      <c r="G42" s="413"/>
      <c r="H42" s="2907" t="str">
        <f>IF(G42&lt;&gt;"", IF('General Info'!$C$48="No", "Check flag on 'General Info'!C" &amp; ROW('General Info'!$C$48), ""), IF('General Info'!$C$48="Yes", "Cell left blank: please check", "Can be left blank for banks without SA"))</f>
        <v>Can be left blank for banks without SA</v>
      </c>
      <c r="I42" s="2908"/>
      <c r="J42" s="206"/>
      <c r="K42" s="206"/>
      <c r="L42" s="306"/>
      <c r="M42" s="206"/>
      <c r="N42" s="206"/>
      <c r="O42" s="206"/>
      <c r="P42" s="306"/>
      <c r="Q42" s="206"/>
      <c r="R42" s="206"/>
      <c r="S42" s="206"/>
      <c r="T42" s="306"/>
      <c r="U42" s="206"/>
      <c r="V42" s="206"/>
      <c r="W42" s="544"/>
    </row>
    <row r="43" spans="1:23" ht="15" customHeight="1" x14ac:dyDescent="0.25">
      <c r="A43" s="471"/>
      <c r="B43" s="240" t="s">
        <v>611</v>
      </c>
      <c r="C43" s="237"/>
      <c r="D43" s="242"/>
      <c r="E43" s="242"/>
      <c r="F43" s="32" t="str">
        <f>IF(AND(ISNUMBER(F44), ISNUMBER(F45)), (F44+F45), "")</f>
        <v/>
      </c>
      <c r="G43" s="32" t="str">
        <f>IF(AND(ISNUMBER(G44), ISNUMBER(G45)), (G44+G45), "")</f>
        <v/>
      </c>
      <c r="H43" s="2909"/>
      <c r="I43" s="2910"/>
      <c r="J43" s="206"/>
      <c r="K43" s="206"/>
      <c r="L43" s="306"/>
      <c r="M43" s="206"/>
      <c r="N43" s="206"/>
      <c r="O43" s="206"/>
      <c r="P43" s="306"/>
      <c r="Q43" s="206"/>
      <c r="R43" s="206"/>
      <c r="S43" s="206"/>
      <c r="T43" s="306"/>
      <c r="U43" s="206"/>
      <c r="V43" s="206"/>
      <c r="W43" s="544"/>
    </row>
    <row r="44" spans="1:23" ht="15" customHeight="1" x14ac:dyDescent="0.25">
      <c r="A44" s="471"/>
      <c r="B44" s="399" t="s">
        <v>612</v>
      </c>
      <c r="C44" s="237"/>
      <c r="D44" s="242"/>
      <c r="E44" s="242"/>
      <c r="F44" s="413"/>
      <c r="G44" s="413"/>
      <c r="H44" s="2907" t="str">
        <f>IF(G44&lt;&gt;"", IF('General Info'!$C$48="No", "Check flag on 'General Info'!C" &amp; ROW('General Info'!$C$48), ""), IF('General Info'!$C$48="Yes", "Cell left blank: please check", "Can be left blank for banks without SA"))</f>
        <v>Can be left blank for banks without SA</v>
      </c>
      <c r="I44" s="2908"/>
      <c r="J44" s="206"/>
      <c r="K44" s="206"/>
      <c r="L44" s="306"/>
      <c r="M44" s="206"/>
      <c r="N44" s="206"/>
      <c r="O44" s="206"/>
      <c r="P44" s="306"/>
      <c r="Q44" s="206"/>
      <c r="R44" s="206"/>
      <c r="S44" s="206"/>
      <c r="T44" s="306"/>
      <c r="U44" s="206"/>
      <c r="V44" s="206"/>
      <c r="W44" s="544"/>
    </row>
    <row r="45" spans="1:23" ht="30" customHeight="1" x14ac:dyDescent="0.25">
      <c r="A45" s="471"/>
      <c r="B45" s="2951" t="s">
        <v>1092</v>
      </c>
      <c r="C45" s="2951"/>
      <c r="D45" s="2951"/>
      <c r="E45" s="2951"/>
      <c r="F45" s="414"/>
      <c r="G45" s="414"/>
      <c r="H45" s="2907" t="str">
        <f>IF(G45&lt;&gt;"", IF('General Info'!$C$48="No", "Check flag on 'General Info'!C" &amp; ROW('General Info'!$C$48), ""), IF('General Info'!$C$48="Yes", "Cell left blank: please check", "Can be left blank for banks without SA"))</f>
        <v>Can be left blank for banks without SA</v>
      </c>
      <c r="I45" s="2908"/>
      <c r="J45" s="206"/>
      <c r="K45" s="206"/>
      <c r="L45" s="306"/>
      <c r="M45" s="206"/>
      <c r="N45" s="206"/>
      <c r="O45" s="206"/>
      <c r="P45" s="306"/>
      <c r="Q45" s="206"/>
      <c r="R45" s="206"/>
      <c r="S45" s="206"/>
      <c r="T45" s="306"/>
      <c r="U45" s="206"/>
      <c r="V45" s="206"/>
      <c r="W45" s="544"/>
    </row>
    <row r="46" spans="1:23" ht="15" customHeight="1" x14ac:dyDescent="0.25">
      <c r="A46" s="471"/>
      <c r="B46" s="360" t="s">
        <v>2190</v>
      </c>
      <c r="C46" s="237"/>
      <c r="D46" s="242"/>
      <c r="E46" s="242"/>
      <c r="F46" s="32">
        <f>IF('General Info'!C49="Yes", IF(AND(ISNUMBER(F47), ISNUMBER(F52), ISNUMBER(F53), ISNUMBER(F54)), SUM(F47, F52:F54), ""), 0)</f>
        <v>0</v>
      </c>
      <c r="G46" s="32">
        <f>IF('General Info'!C49="Yes", IF(AND(ISNUMBER(G47), ISNUMBER(G52), ISNUMBER(G53), ISNUMBER(G54)), SUM(G47, G52:G54), ""), 0)</f>
        <v>0</v>
      </c>
      <c r="H46" s="2909"/>
      <c r="I46" s="2910"/>
      <c r="J46" s="206"/>
      <c r="K46" s="206"/>
      <c r="L46" s="306"/>
      <c r="M46" s="206"/>
      <c r="N46" s="206"/>
      <c r="O46" s="206"/>
      <c r="P46" s="306"/>
      <c r="Q46" s="206"/>
      <c r="R46" s="206"/>
      <c r="S46" s="206"/>
      <c r="T46" s="306"/>
      <c r="U46" s="206"/>
      <c r="V46" s="206"/>
      <c r="W46" s="544"/>
    </row>
    <row r="47" spans="1:23" ht="30" customHeight="1" x14ac:dyDescent="0.25">
      <c r="A47" s="471"/>
      <c r="B47" s="2954" t="s">
        <v>1063</v>
      </c>
      <c r="C47" s="2954"/>
      <c r="D47" s="2954"/>
      <c r="E47" s="2955"/>
      <c r="F47" s="312"/>
      <c r="G47" s="312"/>
      <c r="H47" s="2907" t="str">
        <f>IF(G47&lt;&gt;"", IF('General Info'!$C$49="No", "Check the flag in 'General Info'!C" &amp; ROW('General Info'!$C$49),""), IF('General Info'!$C$49="Yes", "Cell left blank: please check", "Can be left blank for banks using SA only"))</f>
        <v>Can be left blank for banks using SA only</v>
      </c>
      <c r="I47" s="2908"/>
      <c r="J47" s="206"/>
      <c r="K47" s="206"/>
      <c r="L47" s="306"/>
      <c r="M47" s="206"/>
      <c r="N47" s="206"/>
      <c r="O47" s="206"/>
      <c r="P47" s="306"/>
      <c r="Q47" s="206"/>
      <c r="R47" s="206"/>
      <c r="S47" s="206"/>
      <c r="T47" s="306"/>
      <c r="U47" s="206"/>
      <c r="V47" s="206"/>
      <c r="W47" s="544"/>
    </row>
    <row r="48" spans="1:23" ht="15" customHeight="1" x14ac:dyDescent="0.25">
      <c r="A48" s="471"/>
      <c r="B48" s="239" t="s">
        <v>482</v>
      </c>
      <c r="C48" s="237"/>
      <c r="D48" s="242"/>
      <c r="E48" s="242"/>
      <c r="F48" s="312"/>
      <c r="G48" s="312"/>
      <c r="H48" s="2907" t="str">
        <f>IF(G48&lt;&gt;"", IF('General Info'!$C$49="No", "Check the flag in 'General Info'!C" &amp; ROW('General Info'!$C$49),""), IF('General Info'!$C$49="Yes", "Cell left blank: please check", "Can be left blank for banks using SA only"))</f>
        <v>Can be left blank for banks using SA only</v>
      </c>
      <c r="I48" s="2908"/>
      <c r="J48" s="206"/>
      <c r="K48" s="206"/>
      <c r="L48" s="306"/>
      <c r="M48" s="206"/>
      <c r="N48" s="206"/>
      <c r="O48" s="206"/>
      <c r="P48" s="306"/>
      <c r="Q48" s="206"/>
      <c r="R48" s="206"/>
      <c r="S48" s="206"/>
      <c r="T48" s="306"/>
      <c r="U48" s="206"/>
      <c r="V48" s="206"/>
      <c r="W48" s="544"/>
    </row>
    <row r="49" spans="1:23" ht="30" customHeight="1" x14ac:dyDescent="0.25">
      <c r="A49" s="471"/>
      <c r="B49" s="2952" t="s">
        <v>1069</v>
      </c>
      <c r="C49" s="2952"/>
      <c r="D49" s="2952"/>
      <c r="E49" s="2953"/>
      <c r="F49" s="553" t="str">
        <f>IF(AND(ISNUMBER(F47), ISNUMBER(F48)), IF(AND(F47&gt;0, OR(F48=0, F48&gt;F47)), "Fail", "Pass"), "")</f>
        <v/>
      </c>
      <c r="G49" s="553" t="str">
        <f>IF(AND(ISNUMBER(G47), ISNUMBER(G48)), IF(AND(G47&gt;0, OR(G48=0, G48&gt;G47)), "Fail", "Pass"), "")</f>
        <v/>
      </c>
      <c r="H49" s="2909"/>
      <c r="I49" s="2910"/>
      <c r="J49" s="206"/>
      <c r="K49" s="206"/>
      <c r="L49" s="306"/>
      <c r="M49" s="206"/>
      <c r="N49" s="206"/>
      <c r="O49" s="206"/>
      <c r="P49" s="306"/>
      <c r="Q49" s="206"/>
      <c r="R49" s="206"/>
      <c r="S49" s="206"/>
      <c r="T49" s="306"/>
      <c r="U49" s="206"/>
      <c r="V49" s="206"/>
      <c r="W49" s="544"/>
    </row>
    <row r="50" spans="1:23" ht="15" customHeight="1" x14ac:dyDescent="0.25">
      <c r="A50" s="471"/>
      <c r="B50" s="239" t="s">
        <v>483</v>
      </c>
      <c r="C50" s="237"/>
      <c r="D50" s="242"/>
      <c r="E50" s="242"/>
      <c r="F50" s="312"/>
      <c r="G50" s="312"/>
      <c r="H50" s="2907" t="str">
        <f>IF(G50&lt;&gt;"", IF('General Info'!$C$49="No", "Check the flag in 'General Info'!C" &amp; ROW('General Info'!$C$49),""), IF('General Info'!$C$49="Yes", "Cell left blank: please check", "Can be left blank for banks using SA only"))</f>
        <v>Can be left blank for banks using SA only</v>
      </c>
      <c r="I50" s="2908"/>
      <c r="J50" s="206"/>
      <c r="K50" s="206"/>
      <c r="L50" s="306"/>
      <c r="M50" s="206"/>
      <c r="N50" s="206"/>
      <c r="O50" s="206"/>
      <c r="P50" s="306"/>
      <c r="Q50" s="206"/>
      <c r="R50" s="206"/>
      <c r="S50" s="206"/>
      <c r="T50" s="306"/>
      <c r="U50" s="206"/>
      <c r="V50" s="206"/>
      <c r="W50" s="544"/>
    </row>
    <row r="51" spans="1:23" ht="30" customHeight="1" x14ac:dyDescent="0.25">
      <c r="A51" s="471"/>
      <c r="B51" s="2952" t="s">
        <v>484</v>
      </c>
      <c r="C51" s="2952"/>
      <c r="D51" s="2952"/>
      <c r="E51" s="2953"/>
      <c r="F51" s="553" t="str">
        <f>IF(AND(ISNUMBER(F48), ISNUMBER(F50)), IF(OR(AND(F48&gt;0, F50=0), AND(F50&gt;0, F48=0)), "Fail", "Pass"), "")</f>
        <v/>
      </c>
      <c r="G51" s="553" t="str">
        <f>IF(AND(ISNUMBER(G48), ISNUMBER(G50)), IF(OR(AND(G48&gt;0, G50=0), AND(G50&gt;0, G48=0)), "Fail", "Pass"), "")</f>
        <v/>
      </c>
      <c r="H51" s="2909"/>
      <c r="I51" s="2910"/>
      <c r="J51" s="206"/>
      <c r="K51" s="206"/>
      <c r="L51" s="306"/>
      <c r="M51" s="206"/>
      <c r="N51" s="206"/>
      <c r="O51" s="206"/>
      <c r="P51" s="306"/>
      <c r="Q51" s="206"/>
      <c r="R51" s="206"/>
      <c r="S51" s="206"/>
      <c r="T51" s="306"/>
      <c r="U51" s="206"/>
      <c r="V51" s="206"/>
      <c r="W51" s="544"/>
    </row>
    <row r="52" spans="1:23" ht="15" customHeight="1" x14ac:dyDescent="0.25">
      <c r="A52" s="471"/>
      <c r="B52" s="240" t="s">
        <v>1070</v>
      </c>
      <c r="C52" s="237"/>
      <c r="D52" s="242"/>
      <c r="E52" s="242"/>
      <c r="F52" s="312"/>
      <c r="G52" s="312"/>
      <c r="H52" s="2907" t="str">
        <f>IF(G52&lt;&gt;"", IF('General Info'!$C$49="No", "Check the flag in 'General Info'!C" &amp; ROW('General Info'!$C$49),""), IF('General Info'!$C$49="Yes", "Cell left blank: please check", "Can be left blank for banks using SA only"))</f>
        <v>Can be left blank for banks using SA only</v>
      </c>
      <c r="I52" s="2908"/>
      <c r="J52" s="306"/>
      <c r="K52" s="306"/>
      <c r="L52" s="306"/>
      <c r="M52" s="206"/>
      <c r="N52" s="206"/>
      <c r="O52" s="306"/>
      <c r="P52" s="306"/>
      <c r="Q52" s="206"/>
      <c r="R52" s="206"/>
      <c r="S52" s="306"/>
      <c r="T52" s="306"/>
      <c r="U52" s="206"/>
      <c r="V52" s="206"/>
      <c r="W52" s="544"/>
    </row>
    <row r="53" spans="1:23" ht="15" customHeight="1" x14ac:dyDescent="0.25">
      <c r="A53" s="471"/>
      <c r="B53" s="240" t="s">
        <v>585</v>
      </c>
      <c r="C53" s="237"/>
      <c r="D53" s="242"/>
      <c r="E53" s="242"/>
      <c r="F53" s="312"/>
      <c r="G53" s="312"/>
      <c r="H53" s="2907" t="str">
        <f>IF(G53&lt;&gt;"", IF('General Info'!$C$49="No", "Check the flag in 'General Info'!C" &amp; ROW('General Info'!$C$49),""), IF('General Info'!$C$49="Yes", "Cell left blank: please check", "Can be left blank for banks using SA only"))</f>
        <v>Can be left blank for banks using SA only</v>
      </c>
      <c r="I53" s="2908"/>
      <c r="J53" s="306"/>
      <c r="K53" s="306"/>
      <c r="L53" s="306"/>
      <c r="M53" s="206"/>
      <c r="N53" s="206"/>
      <c r="O53" s="306"/>
      <c r="P53" s="306"/>
      <c r="Q53" s="206"/>
      <c r="R53" s="206"/>
      <c r="S53" s="306"/>
      <c r="T53" s="306"/>
      <c r="U53" s="206"/>
      <c r="V53" s="206"/>
      <c r="W53" s="544"/>
    </row>
    <row r="54" spans="1:23" ht="15" customHeight="1" x14ac:dyDescent="0.25">
      <c r="A54" s="471"/>
      <c r="B54" s="240" t="s">
        <v>485</v>
      </c>
      <c r="C54" s="237"/>
      <c r="D54" s="242"/>
      <c r="E54" s="242"/>
      <c r="F54" s="312"/>
      <c r="G54" s="312"/>
      <c r="H54" s="2907" t="str">
        <f>IF(G54&lt;&gt;"", IF('General Info'!$C$49="No", "Check the flag in 'General Info'!C" &amp; ROW('General Info'!$C$49),""), IF('General Info'!$C$49="Yes", "Cell left blank: please check", "Can be left blank for banks using SA only"))</f>
        <v>Can be left blank for banks using SA only</v>
      </c>
      <c r="I54" s="2908"/>
      <c r="J54" s="306"/>
      <c r="K54" s="306"/>
      <c r="L54" s="306"/>
      <c r="M54" s="206"/>
      <c r="N54" s="206"/>
      <c r="O54" s="306"/>
      <c r="P54" s="306"/>
      <c r="Q54" s="206"/>
      <c r="R54" s="206"/>
      <c r="S54" s="306"/>
      <c r="T54" s="306"/>
      <c r="U54" s="206"/>
      <c r="V54" s="206"/>
      <c r="W54" s="544"/>
    </row>
    <row r="55" spans="1:23" ht="15" customHeight="1" x14ac:dyDescent="0.25">
      <c r="A55" s="471"/>
      <c r="B55" s="424" t="s">
        <v>2191</v>
      </c>
      <c r="C55" s="249"/>
      <c r="D55" s="250"/>
      <c r="E55" s="250"/>
      <c r="F55" s="1396"/>
      <c r="G55" s="1396"/>
      <c r="H55" s="2915" t="str">
        <f>IF(G55&lt;&gt;"", IF(AND('General Info'!C48="No", 'General Info'!$C$49="No"), "Check the flags in 'General Info'!C" &amp; ROW('General Info'!$C$48) &amp; " and C" &amp; ROW('General Info'!$C$49), ""), IF(OR('General Info'!C48="Yes", 'General Info'!$C$49="Yes"), "Cell left blank: please check", ""))</f>
        <v/>
      </c>
      <c r="I55" s="2916"/>
      <c r="J55" s="306"/>
      <c r="K55" s="306"/>
      <c r="L55" s="306"/>
      <c r="M55" s="206"/>
      <c r="N55" s="206"/>
      <c r="O55" s="306"/>
      <c r="P55" s="306"/>
      <c r="Q55" s="206"/>
      <c r="R55" s="206"/>
      <c r="S55" s="306"/>
      <c r="T55" s="306"/>
      <c r="U55" s="206"/>
      <c r="V55" s="206"/>
      <c r="W55" s="544"/>
    </row>
    <row r="56" spans="1:23" ht="15" customHeight="1" x14ac:dyDescent="0.25">
      <c r="A56" s="397"/>
      <c r="B56" s="1408" t="s">
        <v>1064</v>
      </c>
      <c r="C56" s="1077"/>
      <c r="D56" s="1393"/>
      <c r="E56" s="1393"/>
      <c r="F56" s="1397" t="str">
        <f>IF(AND(OR(ISNUMBER(F28), 'General Info'!C48="No"), ISNUMBER(F46)), SUM(IF( 'General Info'!C48="No", 0, F28), F46, F55), "")</f>
        <v/>
      </c>
      <c r="G56" s="1397" t="str">
        <f>IF(AND(OR(ISNUMBER(G28), 'General Info'!C48="No"), ISNUMBER(G46)), SUM(IF( 'General Info'!C48="No", 0, G28), G46, G55), "")</f>
        <v/>
      </c>
      <c r="H56" s="2917"/>
      <c r="I56" s="2918"/>
      <c r="J56" s="306"/>
      <c r="K56" s="306"/>
      <c r="L56" s="306"/>
      <c r="M56" s="206"/>
      <c r="N56" s="206"/>
      <c r="O56" s="306"/>
      <c r="P56" s="306"/>
      <c r="Q56" s="206"/>
      <c r="R56" s="206"/>
      <c r="S56" s="306"/>
      <c r="T56" s="306"/>
      <c r="U56" s="206"/>
      <c r="V56" s="206"/>
      <c r="W56" s="544"/>
    </row>
    <row r="57" spans="1:23" ht="105" customHeight="1" x14ac:dyDescent="0.25">
      <c r="A57" s="2608" t="s">
        <v>2192</v>
      </c>
      <c r="B57" s="2609"/>
      <c r="C57" s="2609"/>
      <c r="D57" s="2609"/>
      <c r="E57" s="2609"/>
      <c r="F57" s="2609"/>
      <c r="G57" s="2609"/>
      <c r="H57" s="2609"/>
      <c r="I57" s="2609"/>
      <c r="J57" s="2609"/>
      <c r="K57" s="2609"/>
      <c r="L57" s="2609"/>
      <c r="M57" s="2609"/>
      <c r="N57" s="2609"/>
      <c r="O57" s="2609"/>
      <c r="P57" s="2609"/>
      <c r="Q57" s="2609"/>
      <c r="R57" s="2609"/>
      <c r="S57" s="2609"/>
      <c r="T57" s="2609"/>
      <c r="U57" s="2609"/>
      <c r="V57" s="2609"/>
      <c r="W57" s="2947"/>
    </row>
    <row r="58" spans="1:23" ht="15" customHeight="1" x14ac:dyDescent="0.25">
      <c r="A58" s="2371"/>
      <c r="B58" s="2949"/>
      <c r="C58" s="2949"/>
      <c r="D58" s="2949"/>
      <c r="E58" s="2949"/>
      <c r="F58" s="2949"/>
      <c r="G58" s="2905" t="s">
        <v>1089</v>
      </c>
      <c r="H58" s="2905"/>
      <c r="I58" s="2905"/>
      <c r="J58" s="2905"/>
      <c r="K58" s="2904" t="s">
        <v>1090</v>
      </c>
      <c r="L58" s="2905"/>
      <c r="M58" s="2905"/>
      <c r="N58" s="2906"/>
      <c r="O58" s="2904" t="s">
        <v>1669</v>
      </c>
      <c r="P58" s="2905"/>
      <c r="Q58" s="2905"/>
      <c r="R58" s="2906"/>
      <c r="S58" s="2904" t="s">
        <v>1670</v>
      </c>
      <c r="T58" s="2905"/>
      <c r="U58" s="2905"/>
      <c r="V58" s="2905"/>
      <c r="W58" s="979"/>
    </row>
    <row r="59" spans="1:23" ht="30" customHeight="1" x14ac:dyDescent="0.25">
      <c r="A59" s="471"/>
      <c r="B59" s="2950"/>
      <c r="C59" s="2950"/>
      <c r="D59" s="2950"/>
      <c r="E59" s="2950"/>
      <c r="F59" s="2950"/>
      <c r="G59" s="1582" t="s">
        <v>1046</v>
      </c>
      <c r="H59" s="1385" t="s">
        <v>1085</v>
      </c>
      <c r="I59" s="1384" t="s">
        <v>1086</v>
      </c>
      <c r="J59" s="1411" t="s">
        <v>13</v>
      </c>
      <c r="K59" s="1417" t="s">
        <v>1046</v>
      </c>
      <c r="L59" s="1581" t="s">
        <v>1085</v>
      </c>
      <c r="M59" s="1579" t="s">
        <v>1086</v>
      </c>
      <c r="N59" s="1905" t="s">
        <v>13</v>
      </c>
      <c r="O59" s="2092" t="s">
        <v>1046</v>
      </c>
      <c r="P59" s="2083" t="s">
        <v>1085</v>
      </c>
      <c r="Q59" s="2082" t="s">
        <v>1086</v>
      </c>
      <c r="R59" s="2082" t="s">
        <v>13</v>
      </c>
      <c r="S59" s="2092" t="s">
        <v>1046</v>
      </c>
      <c r="T59" s="2083" t="s">
        <v>1085</v>
      </c>
      <c r="U59" s="2082" t="s">
        <v>1086</v>
      </c>
      <c r="V59" s="2082" t="s">
        <v>13</v>
      </c>
      <c r="W59" s="544"/>
    </row>
    <row r="60" spans="1:23" ht="14.25" x14ac:dyDescent="0.25">
      <c r="A60" s="471"/>
      <c r="B60" s="715" t="s">
        <v>2193</v>
      </c>
      <c r="C60" s="702"/>
      <c r="D60" s="986"/>
      <c r="E60" s="986"/>
      <c r="F60" s="273"/>
      <c r="G60" s="1418">
        <f>IF('General Info'!$D$48="Yes", IF(AND(ISNUMBER(G61), ISNUMBER(G86), ISNUMBER(G80), ISNUMBER(G81)), SUM(G61,G86,0.001*G80,G81), ""), 0)</f>
        <v>0</v>
      </c>
      <c r="H60" s="1929"/>
      <c r="I60" s="1391"/>
      <c r="J60" s="1391"/>
      <c r="K60" s="1418">
        <f>IF('General Info'!$D$48="Yes", IF(AND(ISNUMBER(K61), ISNUMBER(K86), ISNUMBER(K80), ISNUMBER(K81)), SUM(K61,K86,0.001*K80,K81), ""), 0)</f>
        <v>0</v>
      </c>
      <c r="L60" s="1391"/>
      <c r="M60" s="1391"/>
      <c r="N60" s="1391"/>
      <c r="O60" s="1418">
        <f>IF('General Info'!$D$48="Yes", IF(AND(ISNUMBER(O61), ISNUMBER(O86), ISNUMBER(O80), ISNUMBER(O81)), SUM(O61,O86,0.001*O80,O81), ""), 0)</f>
        <v>0</v>
      </c>
      <c r="P60" s="1391"/>
      <c r="Q60" s="1391"/>
      <c r="R60" s="1391"/>
      <c r="S60" s="1418">
        <f>IF('General Info'!$D$48="Yes", IF(AND(ISNUMBER(S61), ISNUMBER(S86), ISNUMBER(S80), ISNUMBER(S81)), SUM(S61,S86,0.001*S80,S81), ""), 0)</f>
        <v>0</v>
      </c>
      <c r="T60" s="1391"/>
      <c r="U60" s="1391"/>
      <c r="V60" s="1391"/>
      <c r="W60" s="544"/>
    </row>
    <row r="61" spans="1:23" ht="14.25" x14ac:dyDescent="0.25">
      <c r="A61" s="471"/>
      <c r="B61" s="240" t="s">
        <v>1065</v>
      </c>
      <c r="C61" s="237"/>
      <c r="D61" s="242"/>
      <c r="E61" s="242"/>
      <c r="F61" s="237"/>
      <c r="G61" s="1564">
        <f>IF('General Info'!$D$48="Yes", IF(AND(ISNUMBER(G62), ISNUMBER(G68), ISNUMBER(G74)), SUM(G62,G68,G74), ""), 0)</f>
        <v>0</v>
      </c>
      <c r="H61" s="345"/>
      <c r="I61" s="345"/>
      <c r="J61" s="345"/>
      <c r="K61" s="1930">
        <f>IF('General Info'!$D$48="Yes", IF(AND(ISNUMBER(K62), ISNUMBER(K68), ISNUMBER(K74)), SUM(K62,K68,K74), ""), 0)</f>
        <v>0</v>
      </c>
      <c r="L61" s="1584"/>
      <c r="M61" s="1584"/>
      <c r="N61" s="1906"/>
      <c r="O61" s="1930">
        <f>IF('General Info'!$D$48="Yes", IF(AND(ISNUMBER(O62), ISNUMBER(O68), ISNUMBER(O74)), SUM(O62,O68,O74), ""), 0)</f>
        <v>0</v>
      </c>
      <c r="P61" s="2084"/>
      <c r="Q61" s="2084"/>
      <c r="R61" s="2084"/>
      <c r="S61" s="1930">
        <f>IF('General Info'!$D$48="Yes", IF(AND(ISNUMBER(S62), ISNUMBER(S68), ISNUMBER(S74)), SUM(S62,S68,S74), ""), 0)</f>
        <v>0</v>
      </c>
      <c r="T61" s="2084"/>
      <c r="U61" s="2084"/>
      <c r="V61" s="2084"/>
      <c r="W61" s="544"/>
    </row>
    <row r="62" spans="1:23" ht="15" customHeight="1" x14ac:dyDescent="0.25">
      <c r="A62" s="471"/>
      <c r="B62" s="243" t="s">
        <v>477</v>
      </c>
      <c r="C62" s="237"/>
      <c r="D62" s="242"/>
      <c r="E62" s="242"/>
      <c r="F62" s="237"/>
      <c r="G62" s="161">
        <f>IF('General Info'!$D$48="Yes", IF(COUNT(G63:G67)=ROWS(G63:G67), SUM(G63:G67), ""), 0)</f>
        <v>0</v>
      </c>
      <c r="H62" s="345"/>
      <c r="I62" s="345"/>
      <c r="J62" s="345"/>
      <c r="K62" s="1421">
        <f>IF('General Info'!$D$48="Yes", IF(COUNT(K63:K67)=ROWS(K63:K67), SUM(K63:K67), ""), 0)</f>
        <v>0</v>
      </c>
      <c r="L62" s="1584"/>
      <c r="M62" s="1584"/>
      <c r="N62" s="1906"/>
      <c r="O62" s="1421">
        <f>IF('General Info'!$D$48="Yes", IF(COUNT(O63:O67)=ROWS(O63:O67), SUM(O63:O67), ""), 0)</f>
        <v>0</v>
      </c>
      <c r="P62" s="2084"/>
      <c r="Q62" s="2084"/>
      <c r="R62" s="2084"/>
      <c r="S62" s="1421">
        <f>IF('General Info'!$D$48="Yes", IF(COUNT(S63:S67)=ROWS(S63:S67), SUM(S63:S67), ""), 0)</f>
        <v>0</v>
      </c>
      <c r="T62" s="2084"/>
      <c r="U62" s="2084"/>
      <c r="V62" s="2084"/>
      <c r="W62" s="544"/>
    </row>
    <row r="63" spans="1:23" ht="15" customHeight="1" x14ac:dyDescent="0.25">
      <c r="A63" s="471"/>
      <c r="B63" s="248" t="s">
        <v>481</v>
      </c>
      <c r="C63" s="237"/>
      <c r="D63" s="242"/>
      <c r="E63" s="242"/>
      <c r="F63" s="237"/>
      <c r="G63" s="1716"/>
      <c r="H63" s="345"/>
      <c r="I63" s="345"/>
      <c r="J63" s="1387" t="str">
        <f>IF(G63&lt;&gt;"", IF(OR('General Info'!$D$48="No", 'General Info'!$D$48=Parameters!$D$609), "Check the flag in 'General Info'!D" &amp; ROW('General Info'!$D$48),""), IF('General Info'!$D$48="Yes", "Please check if appropriate", "Can be left blank for banks without SA"))</f>
        <v>Can be left blank for banks without SA</v>
      </c>
      <c r="K63" s="1422"/>
      <c r="L63" s="1584"/>
      <c r="M63" s="1584"/>
      <c r="N63" s="1387" t="str">
        <f>IF(K63&lt;&gt;"", IF(OR('General Info'!$D$48="No", 'General Info'!$D$48=Parameters!$D$609), "Check the flag in 'General Info'!D" &amp; ROW('General Info'!$D$48),""), IF('General Info'!$D$48="Yes", "Please check if appropriate", "Can be left blank for banks without SA"))</f>
        <v>Can be left blank for banks without SA</v>
      </c>
      <c r="O63" s="1422"/>
      <c r="P63" s="2084"/>
      <c r="Q63" s="2084"/>
      <c r="R63" s="1387" t="str">
        <f>IF(O63&lt;&gt;"", IF(OR('General Info'!$D$48="No", 'General Info'!$D$48=Parameters!$D$609), "Check the flag in 'General Info'!D" &amp; ROW('General Info'!$D$48),""), IF('General Info'!$D$48="Yes", "Please check if appropriate", "Can be left blank for banks without SA"))</f>
        <v>Can be left blank for banks without SA</v>
      </c>
      <c r="S63" s="1422"/>
      <c r="T63" s="2084"/>
      <c r="U63" s="2084"/>
      <c r="V63" s="1387" t="str">
        <f>IF(S63&lt;&gt;"", IF(OR('General Info'!$D$48="No", 'General Info'!$D$48=Parameters!$D$609), "Check the flag in 'General Info'!D" &amp; ROW('General Info'!$D$48),""), IF('General Info'!$D$48="Yes", "Please check if appropriate", "Can be left blank for banks without SA"))</f>
        <v>Can be left blank for banks without SA</v>
      </c>
      <c r="W63" s="544"/>
    </row>
    <row r="64" spans="1:23" ht="15" customHeight="1" x14ac:dyDescent="0.25">
      <c r="A64" s="471"/>
      <c r="B64" s="248" t="s">
        <v>480</v>
      </c>
      <c r="C64" s="237"/>
      <c r="D64" s="242"/>
      <c r="E64" s="242"/>
      <c r="F64" s="237"/>
      <c r="G64" s="1716"/>
      <c r="H64" s="345"/>
      <c r="I64" s="345"/>
      <c r="J64" s="1387" t="str">
        <f>IF(G64&lt;&gt;"", IF(OR('General Info'!$D$48="No", 'General Info'!$D$48=Parameters!$D$609), "Check the flag in 'General Info'!D" &amp; ROW('General Info'!$D$48),""), IF('General Info'!$D$48="Yes", "Please check if appropriate", "Can be left blank for banks without SA"))</f>
        <v>Can be left blank for banks without SA</v>
      </c>
      <c r="K64" s="1422"/>
      <c r="L64" s="1584"/>
      <c r="M64" s="1584"/>
      <c r="N64" s="1387" t="str">
        <f>IF(K64&lt;&gt;"", IF(OR('General Info'!$D$48="No", 'General Info'!$D$48=Parameters!$D$609), "Check the flag in 'General Info'!D" &amp; ROW('General Info'!$D$48),""), IF('General Info'!$D$48="Yes", "Please check if appropriate", "Can be left blank for banks without SA"))</f>
        <v>Can be left blank for banks without SA</v>
      </c>
      <c r="O64" s="1422"/>
      <c r="P64" s="2084"/>
      <c r="Q64" s="2084"/>
      <c r="R64" s="1387" t="str">
        <f>IF(O64&lt;&gt;"", IF(OR('General Info'!$D$48="No", 'General Info'!$D$48=Parameters!$D$609), "Check the flag in 'General Info'!D" &amp; ROW('General Info'!$D$48),""), IF('General Info'!$D$48="Yes", "Please check if appropriate", "Can be left blank for banks without SA"))</f>
        <v>Can be left blank for banks without SA</v>
      </c>
      <c r="S64" s="1422"/>
      <c r="T64" s="2084"/>
      <c r="U64" s="2084"/>
      <c r="V64" s="1387" t="str">
        <f>IF(S64&lt;&gt;"", IF(OR('General Info'!$D$48="No", 'General Info'!$D$48=Parameters!$D$609), "Check the flag in 'General Info'!D" &amp; ROW('General Info'!$D$48),""), IF('General Info'!$D$48="Yes", "Please check if appropriate", "Can be left blank for banks without SA"))</f>
        <v>Can be left blank for banks without SA</v>
      </c>
      <c r="W64" s="544"/>
    </row>
    <row r="65" spans="1:23" ht="15" customHeight="1" x14ac:dyDescent="0.25">
      <c r="A65" s="471"/>
      <c r="B65" s="248" t="s">
        <v>472</v>
      </c>
      <c r="C65" s="237"/>
      <c r="D65" s="242"/>
      <c r="E65" s="242"/>
      <c r="F65" s="237"/>
      <c r="G65" s="1716"/>
      <c r="H65" s="345"/>
      <c r="I65" s="345"/>
      <c r="J65" s="1387" t="str">
        <f>IF(G65&lt;&gt;"", IF(OR('General Info'!$D$48="No", 'General Info'!$D$48=Parameters!$D$609), "Check the flag in 'General Info'!D" &amp; ROW('General Info'!$D$48),""), IF('General Info'!$D$48="Yes", "Please check if appropriate", "Can be left blank for banks without SA"))</f>
        <v>Can be left blank for banks without SA</v>
      </c>
      <c r="K65" s="1422"/>
      <c r="L65" s="1584"/>
      <c r="M65" s="1584"/>
      <c r="N65" s="1387" t="str">
        <f>IF(K65&lt;&gt;"", IF(OR('General Info'!$D$48="No", 'General Info'!$D$48=Parameters!$D$609), "Check the flag in 'General Info'!D" &amp; ROW('General Info'!$D$48),""), IF('General Info'!$D$48="Yes", "Please check if appropriate", "Can be left blank for banks without SA"))</f>
        <v>Can be left blank for banks without SA</v>
      </c>
      <c r="O65" s="1422"/>
      <c r="P65" s="2084"/>
      <c r="Q65" s="2084"/>
      <c r="R65" s="1387" t="str">
        <f>IF(O65&lt;&gt;"", IF(OR('General Info'!$D$48="No", 'General Info'!$D$48=Parameters!$D$609), "Check the flag in 'General Info'!D" &amp; ROW('General Info'!$D$48),""), IF('General Info'!$D$48="Yes", "Please check if appropriate", "Can be left blank for banks without SA"))</f>
        <v>Can be left blank for banks without SA</v>
      </c>
      <c r="S65" s="1422"/>
      <c r="T65" s="2084"/>
      <c r="U65" s="2084"/>
      <c r="V65" s="1387" t="str">
        <f>IF(S65&lt;&gt;"", IF(OR('General Info'!$D$48="No", 'General Info'!$D$48=Parameters!$D$609), "Check the flag in 'General Info'!D" &amp; ROW('General Info'!$D$48),""), IF('General Info'!$D$48="Yes", "Please check if appropriate", "Can be left blank for banks without SA"))</f>
        <v>Can be left blank for banks without SA</v>
      </c>
      <c r="W65" s="544"/>
    </row>
    <row r="66" spans="1:23" ht="15" customHeight="1" x14ac:dyDescent="0.25">
      <c r="A66" s="471"/>
      <c r="B66" s="248" t="s">
        <v>474</v>
      </c>
      <c r="C66" s="237"/>
      <c r="D66" s="242"/>
      <c r="E66" s="242"/>
      <c r="F66" s="237"/>
      <c r="G66" s="1716"/>
      <c r="H66" s="345"/>
      <c r="I66" s="345"/>
      <c r="J66" s="1387" t="str">
        <f>IF(G66&lt;&gt;"", IF(OR('General Info'!$D$48="No", 'General Info'!$D$48=Parameters!$D$609), "Check the flag in 'General Info'!D" &amp; ROW('General Info'!$D$48),""), IF('General Info'!$D$48="Yes", "Please check if appropriate", "Can be left blank for banks without SA"))</f>
        <v>Can be left blank for banks without SA</v>
      </c>
      <c r="K66" s="1422"/>
      <c r="L66" s="1584"/>
      <c r="M66" s="1584"/>
      <c r="N66" s="1387" t="str">
        <f>IF(K66&lt;&gt;"", IF(OR('General Info'!$D$48="No", 'General Info'!$D$48=Parameters!$D$609), "Check the flag in 'General Info'!D" &amp; ROW('General Info'!$D$48),""), IF('General Info'!$D$48="Yes", "Please check if appropriate", "Can be left blank for banks without SA"))</f>
        <v>Can be left blank for banks without SA</v>
      </c>
      <c r="O66" s="1422"/>
      <c r="P66" s="2084"/>
      <c r="Q66" s="2084"/>
      <c r="R66" s="1387" t="str">
        <f>IF(O66&lt;&gt;"", IF(OR('General Info'!$D$48="No", 'General Info'!$D$48=Parameters!$D$609), "Check the flag in 'General Info'!D" &amp; ROW('General Info'!$D$48),""), IF('General Info'!$D$48="Yes", "Please check if appropriate", "Can be left blank for banks without SA"))</f>
        <v>Can be left blank for banks without SA</v>
      </c>
      <c r="S66" s="1422"/>
      <c r="T66" s="2084"/>
      <c r="U66" s="2084"/>
      <c r="V66" s="1387" t="str">
        <f>IF(S66&lt;&gt;"", IF(OR('General Info'!$D$48="No", 'General Info'!$D$48=Parameters!$D$609), "Check the flag in 'General Info'!D" &amp; ROW('General Info'!$D$48),""), IF('General Info'!$D$48="Yes", "Please check if appropriate", "Can be left blank for banks without SA"))</f>
        <v>Can be left blank for banks without SA</v>
      </c>
      <c r="W66" s="544"/>
    </row>
    <row r="67" spans="1:23" ht="15" customHeight="1" x14ac:dyDescent="0.25">
      <c r="A67" s="471"/>
      <c r="B67" s="248" t="s">
        <v>473</v>
      </c>
      <c r="C67" s="237"/>
      <c r="D67" s="242"/>
      <c r="E67" s="242"/>
      <c r="F67" s="237"/>
      <c r="G67" s="1716"/>
      <c r="H67" s="345"/>
      <c r="I67" s="345"/>
      <c r="J67" s="1387" t="str">
        <f>IF(G67&lt;&gt;"", IF(OR('General Info'!$D$48="No", 'General Info'!$D$48=Parameters!$D$609), "Check the flag in 'General Info'!D" &amp; ROW('General Info'!$D$48),""), IF('General Info'!$D$48="Yes", "Please check if appropriate", "Can be left blank for banks without SA"))</f>
        <v>Can be left blank for banks without SA</v>
      </c>
      <c r="K67" s="1422"/>
      <c r="L67" s="1584"/>
      <c r="M67" s="1584"/>
      <c r="N67" s="1387" t="str">
        <f>IF(K67&lt;&gt;"", IF(OR('General Info'!$D$48="No", 'General Info'!$D$48=Parameters!$D$609), "Check the flag in 'General Info'!D" &amp; ROW('General Info'!$D$48),""), IF('General Info'!$D$48="Yes", "Please check if appropriate", "Can be left blank for banks without SA"))</f>
        <v>Can be left blank for banks without SA</v>
      </c>
      <c r="O67" s="1422"/>
      <c r="P67" s="2084"/>
      <c r="Q67" s="2084"/>
      <c r="R67" s="1387" t="str">
        <f>IF(O67&lt;&gt;"", IF(OR('General Info'!$D$48="No", 'General Info'!$D$48=Parameters!$D$609), "Check the flag in 'General Info'!D" &amp; ROW('General Info'!$D$48),""), IF('General Info'!$D$48="Yes", "Please check if appropriate", "Can be left blank for banks without SA"))</f>
        <v>Can be left blank for banks without SA</v>
      </c>
      <c r="S67" s="1422"/>
      <c r="T67" s="2084"/>
      <c r="U67" s="2084"/>
      <c r="V67" s="1387" t="str">
        <f>IF(S67&lt;&gt;"", IF(OR('General Info'!$D$48="No", 'General Info'!$D$48=Parameters!$D$609), "Check the flag in 'General Info'!D" &amp; ROW('General Info'!$D$48),""), IF('General Info'!$D$48="Yes", "Please check if appropriate", "Can be left blank for banks without SA"))</f>
        <v>Can be left blank for banks without SA</v>
      </c>
      <c r="W67" s="544"/>
    </row>
    <row r="68" spans="1:23" ht="15" customHeight="1" x14ac:dyDescent="0.25">
      <c r="A68" s="471"/>
      <c r="B68" s="243" t="s">
        <v>478</v>
      </c>
      <c r="C68" s="237"/>
      <c r="D68" s="242"/>
      <c r="E68" s="242"/>
      <c r="F68" s="237"/>
      <c r="G68" s="161">
        <f>IF('General Info'!$D$48="Yes", IF(COUNT(G69:G73)=ROWS(G69:G73), SUM(G69:G73), ""), 0)</f>
        <v>0</v>
      </c>
      <c r="H68" s="345"/>
      <c r="I68" s="345"/>
      <c r="J68" s="345"/>
      <c r="K68" s="1421">
        <f>IF('General Info'!$D$48="Yes", IF(COUNT(K69:K73)=ROWS(K69:K73), SUM(K69:K73), ""), 0)</f>
        <v>0</v>
      </c>
      <c r="L68" s="1584"/>
      <c r="M68" s="1584"/>
      <c r="N68" s="1906"/>
      <c r="O68" s="1421">
        <f>IF('General Info'!$D$48="Yes", IF(COUNT(O69:O73)=ROWS(O69:O73), SUM(O69:O73), ""), 0)</f>
        <v>0</v>
      </c>
      <c r="P68" s="2084"/>
      <c r="Q68" s="2084"/>
      <c r="R68" s="2084"/>
      <c r="S68" s="1421">
        <f>IF('General Info'!$D$48="Yes", IF(COUNT(S69:S73)=ROWS(S69:S73), SUM(S69:S73), ""), 0)</f>
        <v>0</v>
      </c>
      <c r="T68" s="2084"/>
      <c r="U68" s="2084"/>
      <c r="V68" s="2084"/>
      <c r="W68" s="544"/>
    </row>
    <row r="69" spans="1:23" ht="15" customHeight="1" x14ac:dyDescent="0.25">
      <c r="A69" s="471"/>
      <c r="B69" s="248" t="s">
        <v>481</v>
      </c>
      <c r="C69" s="237"/>
      <c r="D69" s="242"/>
      <c r="E69" s="242"/>
      <c r="F69" s="237"/>
      <c r="G69" s="1716"/>
      <c r="H69" s="345"/>
      <c r="I69" s="345"/>
      <c r="J69" s="1387" t="str">
        <f>IF(G69&lt;&gt;"", IF(OR('General Info'!$D$48="No", 'General Info'!$D$48=Parameters!$D$609), "Check the flag in 'General Info'!D" &amp; ROW('General Info'!$D$48),""), IF('General Info'!$D$48="Yes", "Please check if appropriate", "Can be left blank for banks without SA"))</f>
        <v>Can be left blank for banks without SA</v>
      </c>
      <c r="K69" s="1422"/>
      <c r="L69" s="1584"/>
      <c r="M69" s="1584"/>
      <c r="N69" s="1387" t="str">
        <f>IF(K69&lt;&gt;"", IF(OR('General Info'!$D$48="No", 'General Info'!$D$48=Parameters!$D$609), "Check the flag in 'General Info'!D" &amp; ROW('General Info'!$D$48),""), IF('General Info'!$D$48="Yes", "Please check if appropriate", "Can be left blank for banks without SA"))</f>
        <v>Can be left blank for banks without SA</v>
      </c>
      <c r="O69" s="1422"/>
      <c r="P69" s="2084"/>
      <c r="Q69" s="2084"/>
      <c r="R69" s="1387" t="str">
        <f>IF(O69&lt;&gt;"", IF(OR('General Info'!$D$48="No", 'General Info'!$D$48=Parameters!$D$609), "Check the flag in 'General Info'!D" &amp; ROW('General Info'!$D$48),""), IF('General Info'!$D$48="Yes", "Please check if appropriate", "Can be left blank for banks without SA"))</f>
        <v>Can be left blank for banks without SA</v>
      </c>
      <c r="S69" s="1422"/>
      <c r="T69" s="2084"/>
      <c r="U69" s="2084"/>
      <c r="V69" s="1387" t="str">
        <f>IF(S69&lt;&gt;"", IF(OR('General Info'!$D$48="No", 'General Info'!$D$48=Parameters!$D$609), "Check the flag in 'General Info'!D" &amp; ROW('General Info'!$D$48),""), IF('General Info'!$D$48="Yes", "Please check if appropriate", "Can be left blank for banks without SA"))</f>
        <v>Can be left blank for banks without SA</v>
      </c>
      <c r="W69" s="544"/>
    </row>
    <row r="70" spans="1:23" ht="15" customHeight="1" x14ac:dyDescent="0.25">
      <c r="A70" s="471"/>
      <c r="B70" s="248" t="s">
        <v>480</v>
      </c>
      <c r="C70" s="237"/>
      <c r="D70" s="242"/>
      <c r="E70" s="242"/>
      <c r="F70" s="237"/>
      <c r="G70" s="1716"/>
      <c r="H70" s="345"/>
      <c r="I70" s="345"/>
      <c r="J70" s="1387" t="str">
        <f>IF(G70&lt;&gt;"", IF(OR('General Info'!$D$48="No", 'General Info'!$D$48=Parameters!$D$609), "Check the flag in 'General Info'!D" &amp; ROW('General Info'!$D$48),""), IF('General Info'!$D$48="Yes", "Please check if appropriate", "Can be left blank for banks without SA"))</f>
        <v>Can be left blank for banks without SA</v>
      </c>
      <c r="K70" s="1422"/>
      <c r="L70" s="1584"/>
      <c r="M70" s="1584"/>
      <c r="N70" s="1387" t="str">
        <f>IF(K70&lt;&gt;"", IF(OR('General Info'!$D$48="No", 'General Info'!$D$48=Parameters!$D$609), "Check the flag in 'General Info'!D" &amp; ROW('General Info'!$D$48),""), IF('General Info'!$D$48="Yes", "Please check if appropriate", "Can be left blank for banks without SA"))</f>
        <v>Can be left blank for banks without SA</v>
      </c>
      <c r="O70" s="1422"/>
      <c r="P70" s="2084"/>
      <c r="Q70" s="2084"/>
      <c r="R70" s="1387" t="str">
        <f>IF(O70&lt;&gt;"", IF(OR('General Info'!$D$48="No", 'General Info'!$D$48=Parameters!$D$609), "Check the flag in 'General Info'!D" &amp; ROW('General Info'!$D$48),""), IF('General Info'!$D$48="Yes", "Please check if appropriate", "Can be left blank for banks without SA"))</f>
        <v>Can be left blank for banks without SA</v>
      </c>
      <c r="S70" s="1422"/>
      <c r="T70" s="2084"/>
      <c r="U70" s="2084"/>
      <c r="V70" s="1387" t="str">
        <f>IF(S70&lt;&gt;"", IF(OR('General Info'!$D$48="No", 'General Info'!$D$48=Parameters!$D$609), "Check the flag in 'General Info'!D" &amp; ROW('General Info'!$D$48),""), IF('General Info'!$D$48="Yes", "Please check if appropriate", "Can be left blank for banks without SA"))</f>
        <v>Can be left blank for banks without SA</v>
      </c>
      <c r="W70" s="544"/>
    </row>
    <row r="71" spans="1:23" ht="15" customHeight="1" x14ac:dyDescent="0.25">
      <c r="A71" s="471"/>
      <c r="B71" s="248" t="s">
        <v>472</v>
      </c>
      <c r="C71" s="237"/>
      <c r="D71" s="242"/>
      <c r="E71" s="242"/>
      <c r="F71" s="237"/>
      <c r="G71" s="1716"/>
      <c r="H71" s="345"/>
      <c r="I71" s="345"/>
      <c r="J71" s="1387" t="str">
        <f>IF(G71&lt;&gt;"", IF(OR('General Info'!$D$48="No", 'General Info'!$D$48=Parameters!$D$609), "Check the flag in 'General Info'!D" &amp; ROW('General Info'!$D$48),""), IF('General Info'!$D$48="Yes", "Please check if appropriate", "Can be left blank for banks without SA"))</f>
        <v>Can be left blank for banks without SA</v>
      </c>
      <c r="K71" s="1422"/>
      <c r="L71" s="1584"/>
      <c r="M71" s="1584"/>
      <c r="N71" s="1387" t="str">
        <f>IF(K71&lt;&gt;"", IF(OR('General Info'!$D$48="No", 'General Info'!$D$48=Parameters!$D$609), "Check the flag in 'General Info'!D" &amp; ROW('General Info'!$D$48),""), IF('General Info'!$D$48="Yes", "Please check if appropriate", "Can be left blank for banks without SA"))</f>
        <v>Can be left blank for banks without SA</v>
      </c>
      <c r="O71" s="1422"/>
      <c r="P71" s="2084"/>
      <c r="Q71" s="2084"/>
      <c r="R71" s="1387" t="str">
        <f>IF(O71&lt;&gt;"", IF(OR('General Info'!$D$48="No", 'General Info'!$D$48=Parameters!$D$609), "Check the flag in 'General Info'!D" &amp; ROW('General Info'!$D$48),""), IF('General Info'!$D$48="Yes", "Please check if appropriate", "Can be left blank for banks without SA"))</f>
        <v>Can be left blank for banks without SA</v>
      </c>
      <c r="S71" s="1422"/>
      <c r="T71" s="2084"/>
      <c r="U71" s="2084"/>
      <c r="V71" s="1387" t="str">
        <f>IF(S71&lt;&gt;"", IF(OR('General Info'!$D$48="No", 'General Info'!$D$48=Parameters!$D$609), "Check the flag in 'General Info'!D" &amp; ROW('General Info'!$D$48),""), IF('General Info'!$D$48="Yes", "Please check if appropriate", "Can be left blank for banks without SA"))</f>
        <v>Can be left blank for banks without SA</v>
      </c>
      <c r="W71" s="544"/>
    </row>
    <row r="72" spans="1:23" ht="15" customHeight="1" x14ac:dyDescent="0.25">
      <c r="A72" s="471"/>
      <c r="B72" s="248" t="s">
        <v>474</v>
      </c>
      <c r="C72" s="237"/>
      <c r="D72" s="242"/>
      <c r="E72" s="242"/>
      <c r="F72" s="237"/>
      <c r="G72" s="1716"/>
      <c r="H72" s="345"/>
      <c r="I72" s="345"/>
      <c r="J72" s="1387" t="str">
        <f>IF(G72&lt;&gt;"", IF(OR('General Info'!$D$48="No", 'General Info'!$D$48=Parameters!$D$609), "Check the flag in 'General Info'!D" &amp; ROW('General Info'!$D$48),""), IF('General Info'!$D$48="Yes", "Please check if appropriate", "Can be left blank for banks without SA"))</f>
        <v>Can be left blank for banks without SA</v>
      </c>
      <c r="K72" s="1422"/>
      <c r="L72" s="1584"/>
      <c r="M72" s="1584"/>
      <c r="N72" s="1387" t="str">
        <f>IF(K72&lt;&gt;"", IF(OR('General Info'!$D$48="No", 'General Info'!$D$48=Parameters!$D$609), "Check the flag in 'General Info'!D" &amp; ROW('General Info'!$D$48),""), IF('General Info'!$D$48="Yes", "Please check if appropriate", "Can be left blank for banks without SA"))</f>
        <v>Can be left blank for banks without SA</v>
      </c>
      <c r="O72" s="1422"/>
      <c r="P72" s="2084"/>
      <c r="Q72" s="2084"/>
      <c r="R72" s="1387" t="str">
        <f>IF(O72&lt;&gt;"", IF(OR('General Info'!$D$48="No", 'General Info'!$D$48=Parameters!$D$609), "Check the flag in 'General Info'!D" &amp; ROW('General Info'!$D$48),""), IF('General Info'!$D$48="Yes", "Please check if appropriate", "Can be left blank for banks without SA"))</f>
        <v>Can be left blank for banks without SA</v>
      </c>
      <c r="S72" s="1422"/>
      <c r="T72" s="2084"/>
      <c r="U72" s="2084"/>
      <c r="V72" s="1387" t="str">
        <f>IF(S72&lt;&gt;"", IF(OR('General Info'!$D$48="No", 'General Info'!$D$48=Parameters!$D$609), "Check the flag in 'General Info'!D" &amp; ROW('General Info'!$D$48),""), IF('General Info'!$D$48="Yes", "Please check if appropriate", "Can be left blank for banks without SA"))</f>
        <v>Can be left blank for banks without SA</v>
      </c>
      <c r="W72" s="544"/>
    </row>
    <row r="73" spans="1:23" ht="15" customHeight="1" x14ac:dyDescent="0.25">
      <c r="A73" s="471"/>
      <c r="B73" s="248" t="s">
        <v>473</v>
      </c>
      <c r="C73" s="237"/>
      <c r="D73" s="242"/>
      <c r="E73" s="242"/>
      <c r="F73" s="237"/>
      <c r="G73" s="1716"/>
      <c r="H73" s="345"/>
      <c r="I73" s="345"/>
      <c r="J73" s="1387" t="str">
        <f>IF(G73&lt;&gt;"", IF(OR('General Info'!$D$48="No", 'General Info'!$D$48=Parameters!$D$609), "Check the flag in 'General Info'!D" &amp; ROW('General Info'!$D$48),""), IF('General Info'!$D$48="Yes", "Please check if appropriate", "Can be left blank for banks without SA"))</f>
        <v>Can be left blank for banks without SA</v>
      </c>
      <c r="K73" s="1422"/>
      <c r="L73" s="1584"/>
      <c r="M73" s="1584"/>
      <c r="N73" s="1387" t="str">
        <f>IF(K73&lt;&gt;"", IF(OR('General Info'!$D$48="No", 'General Info'!$D$48=Parameters!$D$609), "Check the flag in 'General Info'!D" &amp; ROW('General Info'!$D$48),""), IF('General Info'!$D$48="Yes", "Please check if appropriate", "Can be left blank for banks without SA"))</f>
        <v>Can be left blank for banks without SA</v>
      </c>
      <c r="O73" s="1422"/>
      <c r="P73" s="2084"/>
      <c r="Q73" s="2084"/>
      <c r="R73" s="1387" t="str">
        <f>IF(O73&lt;&gt;"", IF(OR('General Info'!$D$48="No", 'General Info'!$D$48=Parameters!$D$609), "Check the flag in 'General Info'!D" &amp; ROW('General Info'!$D$48),""), IF('General Info'!$D$48="Yes", "Please check if appropriate", "Can be left blank for banks without SA"))</f>
        <v>Can be left blank for banks without SA</v>
      </c>
      <c r="S73" s="1422"/>
      <c r="T73" s="2084"/>
      <c r="U73" s="2084"/>
      <c r="V73" s="1387" t="str">
        <f>IF(S73&lt;&gt;"", IF(OR('General Info'!$D$48="No", 'General Info'!$D$48=Parameters!$D$609), "Check the flag in 'General Info'!D" &amp; ROW('General Info'!$D$48),""), IF('General Info'!$D$48="Yes", "Please check if appropriate", "Can be left blank for banks without SA"))</f>
        <v>Can be left blank for banks without SA</v>
      </c>
      <c r="W73" s="544"/>
    </row>
    <row r="74" spans="1:23" ht="15" customHeight="1" x14ac:dyDescent="0.25">
      <c r="A74" s="471"/>
      <c r="B74" s="243" t="s">
        <v>479</v>
      </c>
      <c r="C74" s="237"/>
      <c r="D74" s="242"/>
      <c r="E74" s="242"/>
      <c r="F74" s="237"/>
      <c r="G74" s="161">
        <f>IF('General Info'!$D$48="Yes", IF(COUNT(G75:G79)=ROWS(G75:G79), SUM(G75:G79), ""), 0)</f>
        <v>0</v>
      </c>
      <c r="H74" s="345"/>
      <c r="I74" s="345"/>
      <c r="J74" s="345"/>
      <c r="K74" s="1421">
        <f>IF('General Info'!$D$48="Yes", IF(COUNT(K75:K79)=ROWS(K75:K79), SUM(K75:K79), ""), 0)</f>
        <v>0</v>
      </c>
      <c r="L74" s="1584"/>
      <c r="M74" s="1584"/>
      <c r="N74" s="1906"/>
      <c r="O74" s="1421">
        <f>IF('General Info'!$D$48="Yes", IF(COUNT(O75:O79)=ROWS(O75:O79), SUM(O75:O79), ""), 0)</f>
        <v>0</v>
      </c>
      <c r="P74" s="2084"/>
      <c r="Q74" s="2084"/>
      <c r="R74" s="2084"/>
      <c r="S74" s="1421">
        <f>IF('General Info'!$D$48="Yes", IF(COUNT(S75:S79)=ROWS(S75:S79), SUM(S75:S79), ""), 0)</f>
        <v>0</v>
      </c>
      <c r="T74" s="2084"/>
      <c r="U74" s="2084"/>
      <c r="V74" s="2084"/>
      <c r="W74" s="544"/>
    </row>
    <row r="75" spans="1:23" ht="15" customHeight="1" x14ac:dyDescent="0.25">
      <c r="A75" s="471"/>
      <c r="B75" s="248" t="s">
        <v>481</v>
      </c>
      <c r="C75" s="237"/>
      <c r="D75" s="242"/>
      <c r="E75" s="242"/>
      <c r="F75" s="237"/>
      <c r="G75" s="1716"/>
      <c r="H75" s="345"/>
      <c r="I75" s="345"/>
      <c r="J75" s="1387" t="str">
        <f>IF(G75&lt;&gt;"", IF(OR('General Info'!$D$48="No", 'General Info'!$D$48=Parameters!$D$609), "Check the flag in 'General Info'!D" &amp; ROW('General Info'!$D$48),""), IF('General Info'!$D$48="Yes", "Please check if appropriate", "Can be left blank for banks without SA"))</f>
        <v>Can be left blank for banks without SA</v>
      </c>
      <c r="K75" s="1422"/>
      <c r="L75" s="1584"/>
      <c r="M75" s="1584"/>
      <c r="N75" s="1387" t="str">
        <f>IF(K75&lt;&gt;"", IF(OR('General Info'!$D$48="No", 'General Info'!$D$48=Parameters!$D$609), "Check the flag in 'General Info'!D" &amp; ROW('General Info'!$D$48),""), IF('General Info'!$D$48="Yes", "Please check if appropriate", "Can be left blank for banks without SA"))</f>
        <v>Can be left blank for banks without SA</v>
      </c>
      <c r="O75" s="1422"/>
      <c r="P75" s="2084"/>
      <c r="Q75" s="2084"/>
      <c r="R75" s="1387" t="str">
        <f>IF(O75&lt;&gt;"", IF(OR('General Info'!$D$48="No", 'General Info'!$D$48=Parameters!$D$609), "Check the flag in 'General Info'!D" &amp; ROW('General Info'!$D$48),""), IF('General Info'!$D$48="Yes", "Please check if appropriate", "Can be left blank for banks without SA"))</f>
        <v>Can be left blank for banks without SA</v>
      </c>
      <c r="S75" s="1422"/>
      <c r="T75" s="2084"/>
      <c r="U75" s="2084"/>
      <c r="V75" s="1387" t="str">
        <f>IF(S75&lt;&gt;"", IF(OR('General Info'!$D$48="No", 'General Info'!$D$48=Parameters!$D$609), "Check the flag in 'General Info'!D" &amp; ROW('General Info'!$D$48),""), IF('General Info'!$D$48="Yes", "Please check if appropriate", "Can be left blank for banks without SA"))</f>
        <v>Can be left blank for banks without SA</v>
      </c>
      <c r="W75" s="544"/>
    </row>
    <row r="76" spans="1:23" ht="15" customHeight="1" x14ac:dyDescent="0.25">
      <c r="A76" s="471"/>
      <c r="B76" s="248" t="s">
        <v>480</v>
      </c>
      <c r="C76" s="237"/>
      <c r="D76" s="242"/>
      <c r="E76" s="242"/>
      <c r="F76" s="237"/>
      <c r="G76" s="1716"/>
      <c r="H76" s="345"/>
      <c r="I76" s="345"/>
      <c r="J76" s="1387" t="str">
        <f>IF(G76&lt;&gt;"", IF(OR('General Info'!$D$48="No", 'General Info'!$D$48=Parameters!$D$609), "Check the flag in 'General Info'!D" &amp; ROW('General Info'!$D$48),""), IF('General Info'!$D$48="Yes", "Please check if appropriate", "Can be left blank for banks without SA"))</f>
        <v>Can be left blank for banks without SA</v>
      </c>
      <c r="K76" s="1422"/>
      <c r="L76" s="1584"/>
      <c r="M76" s="1584"/>
      <c r="N76" s="1387" t="str">
        <f>IF(K76&lt;&gt;"", IF(OR('General Info'!$D$48="No", 'General Info'!$D$48=Parameters!$D$609), "Check the flag in 'General Info'!D" &amp; ROW('General Info'!$D$48),""), IF('General Info'!$D$48="Yes", "Please check if appropriate", "Can be left blank for banks without SA"))</f>
        <v>Can be left blank for banks without SA</v>
      </c>
      <c r="O76" s="1422"/>
      <c r="P76" s="2084"/>
      <c r="Q76" s="2084"/>
      <c r="R76" s="1387" t="str">
        <f>IF(O76&lt;&gt;"", IF(OR('General Info'!$D$48="No", 'General Info'!$D$48=Parameters!$D$609), "Check the flag in 'General Info'!D" &amp; ROW('General Info'!$D$48),""), IF('General Info'!$D$48="Yes", "Please check if appropriate", "Can be left blank for banks without SA"))</f>
        <v>Can be left blank for banks without SA</v>
      </c>
      <c r="S76" s="1422"/>
      <c r="T76" s="2084"/>
      <c r="U76" s="2084"/>
      <c r="V76" s="1387" t="str">
        <f>IF(S76&lt;&gt;"", IF(OR('General Info'!$D$48="No", 'General Info'!$D$48=Parameters!$D$609), "Check the flag in 'General Info'!D" &amp; ROW('General Info'!$D$48),""), IF('General Info'!$D$48="Yes", "Please check if appropriate", "Can be left blank for banks without SA"))</f>
        <v>Can be left blank for banks without SA</v>
      </c>
      <c r="W76" s="544"/>
    </row>
    <row r="77" spans="1:23" ht="15" customHeight="1" x14ac:dyDescent="0.25">
      <c r="A77" s="471"/>
      <c r="B77" s="248" t="s">
        <v>472</v>
      </c>
      <c r="C77" s="237"/>
      <c r="D77" s="242"/>
      <c r="E77" s="242"/>
      <c r="F77" s="237"/>
      <c r="G77" s="1716"/>
      <c r="H77" s="345"/>
      <c r="I77" s="345"/>
      <c r="J77" s="1387" t="str">
        <f>IF(G77&lt;&gt;"", IF(OR('General Info'!$D$48="No", 'General Info'!$D$48=Parameters!$D$609), "Check the flag in 'General Info'!D" &amp; ROW('General Info'!$D$48),""), IF('General Info'!$D$48="Yes", "Please check if appropriate", "Can be left blank for banks without SA"))</f>
        <v>Can be left blank for banks without SA</v>
      </c>
      <c r="K77" s="1422"/>
      <c r="L77" s="1584"/>
      <c r="M77" s="1584"/>
      <c r="N77" s="1387" t="str">
        <f>IF(K77&lt;&gt;"", IF(OR('General Info'!$D$48="No", 'General Info'!$D$48=Parameters!$D$609), "Check the flag in 'General Info'!D" &amp; ROW('General Info'!$D$48),""), IF('General Info'!$D$48="Yes", "Please check if appropriate", "Can be left blank for banks without SA"))</f>
        <v>Can be left blank for banks without SA</v>
      </c>
      <c r="O77" s="1422"/>
      <c r="P77" s="2084"/>
      <c r="Q77" s="2084"/>
      <c r="R77" s="1387" t="str">
        <f>IF(O77&lt;&gt;"", IF(OR('General Info'!$D$48="No", 'General Info'!$D$48=Parameters!$D$609), "Check the flag in 'General Info'!D" &amp; ROW('General Info'!$D$48),""), IF('General Info'!$D$48="Yes", "Please check if appropriate", "Can be left blank for banks without SA"))</f>
        <v>Can be left blank for banks without SA</v>
      </c>
      <c r="S77" s="1422"/>
      <c r="T77" s="2084"/>
      <c r="U77" s="2084"/>
      <c r="V77" s="1387" t="str">
        <f>IF(S77&lt;&gt;"", IF(OR('General Info'!$D$48="No", 'General Info'!$D$48=Parameters!$D$609), "Check the flag in 'General Info'!D" &amp; ROW('General Info'!$D$48),""), IF('General Info'!$D$48="Yes", "Please check if appropriate", "Can be left blank for banks without SA"))</f>
        <v>Can be left blank for banks without SA</v>
      </c>
      <c r="W77" s="544"/>
    </row>
    <row r="78" spans="1:23" ht="15" customHeight="1" x14ac:dyDescent="0.25">
      <c r="A78" s="471"/>
      <c r="B78" s="248" t="s">
        <v>474</v>
      </c>
      <c r="C78" s="237"/>
      <c r="D78" s="242"/>
      <c r="E78" s="242"/>
      <c r="F78" s="237"/>
      <c r="G78" s="1716"/>
      <c r="H78" s="345"/>
      <c r="I78" s="345"/>
      <c r="J78" s="1387" t="str">
        <f>IF(G78&lt;&gt;"", IF(OR('General Info'!$D$48="No", 'General Info'!$D$48=Parameters!$D$609), "Check the flag in 'General Info'!D" &amp; ROW('General Info'!$D$48),""), IF('General Info'!$D$48="Yes", "Please check if appropriate", "Can be left blank for banks without SA"))</f>
        <v>Can be left blank for banks without SA</v>
      </c>
      <c r="K78" s="1422"/>
      <c r="L78" s="1584"/>
      <c r="M78" s="1584"/>
      <c r="N78" s="1387" t="str">
        <f>IF(K78&lt;&gt;"", IF(OR('General Info'!$D$48="No", 'General Info'!$D$48=Parameters!$D$609), "Check the flag in 'General Info'!D" &amp; ROW('General Info'!$D$48),""), IF('General Info'!$D$48="Yes", "Please check if appropriate", "Can be left blank for banks without SA"))</f>
        <v>Can be left blank for banks without SA</v>
      </c>
      <c r="O78" s="1422"/>
      <c r="P78" s="2084"/>
      <c r="Q78" s="2084"/>
      <c r="R78" s="1387" t="str">
        <f>IF(O78&lt;&gt;"", IF(OR('General Info'!$D$48="No", 'General Info'!$D$48=Parameters!$D$609), "Check the flag in 'General Info'!D" &amp; ROW('General Info'!$D$48),""), IF('General Info'!$D$48="Yes", "Please check if appropriate", "Can be left blank for banks without SA"))</f>
        <v>Can be left blank for banks without SA</v>
      </c>
      <c r="S78" s="1422"/>
      <c r="T78" s="2084"/>
      <c r="U78" s="2084"/>
      <c r="V78" s="1387" t="str">
        <f>IF(S78&lt;&gt;"", IF(OR('General Info'!$D$48="No", 'General Info'!$D$48=Parameters!$D$609), "Check the flag in 'General Info'!D" &amp; ROW('General Info'!$D$48),""), IF('General Info'!$D$48="Yes", "Please check if appropriate", "Can be left blank for banks without SA"))</f>
        <v>Can be left blank for banks without SA</v>
      </c>
      <c r="W78" s="544"/>
    </row>
    <row r="79" spans="1:23" ht="15" customHeight="1" x14ac:dyDescent="0.25">
      <c r="A79" s="471"/>
      <c r="B79" s="248" t="s">
        <v>473</v>
      </c>
      <c r="C79" s="237"/>
      <c r="D79" s="242"/>
      <c r="E79" s="242"/>
      <c r="F79" s="237"/>
      <c r="G79" s="1716"/>
      <c r="H79" s="345"/>
      <c r="I79" s="345"/>
      <c r="J79" s="1387" t="str">
        <f>IF(G79&lt;&gt;"", IF(OR('General Info'!$D$48="No", 'General Info'!$D$48=Parameters!$D$609), "Check the flag in 'General Info'!D" &amp; ROW('General Info'!$D$48),""), IF('General Info'!$D$48="Yes", "Please check if appropriate", "Can be left blank for banks without SA"))</f>
        <v>Can be left blank for banks without SA</v>
      </c>
      <c r="K79" s="1422"/>
      <c r="L79" s="1584"/>
      <c r="M79" s="1584"/>
      <c r="N79" s="1387" t="str">
        <f>IF(K79&lt;&gt;"", IF(OR('General Info'!$D$48="No", 'General Info'!$D$48=Parameters!$D$609), "Check the flag in 'General Info'!D" &amp; ROW('General Info'!$D$48),""), IF('General Info'!$D$48="Yes", "Please check if appropriate", "Can be left blank for banks without SA"))</f>
        <v>Can be left blank for banks without SA</v>
      </c>
      <c r="O79" s="1422"/>
      <c r="P79" s="2084"/>
      <c r="Q79" s="2084"/>
      <c r="R79" s="1387" t="str">
        <f>IF(O79&lt;&gt;"", IF(OR('General Info'!$D$48="No", 'General Info'!$D$48=Parameters!$D$609), "Check the flag in 'General Info'!D" &amp; ROW('General Info'!$D$48),""), IF('General Info'!$D$48="Yes", "Please check if appropriate", "Can be left blank for banks without SA"))</f>
        <v>Can be left blank for banks without SA</v>
      </c>
      <c r="S79" s="1422"/>
      <c r="T79" s="2084"/>
      <c r="U79" s="2084"/>
      <c r="V79" s="1387" t="str">
        <f>IF(S79&lt;&gt;"", IF(OR('General Info'!$D$48="No", 'General Info'!$D$48=Parameters!$D$609), "Check the flag in 'General Info'!D" &amp; ROW('General Info'!$D$48),""), IF('General Info'!$D$48="Yes", "Please check if appropriate", "Can be left blank for banks without SA"))</f>
        <v>Can be left blank for banks without SA</v>
      </c>
      <c r="W79" s="544"/>
    </row>
    <row r="80" spans="1:23" ht="15" customHeight="1" x14ac:dyDescent="0.25">
      <c r="A80" s="471"/>
      <c r="B80" s="240" t="s">
        <v>551</v>
      </c>
      <c r="C80" s="237"/>
      <c r="D80" s="242"/>
      <c r="E80" s="242"/>
      <c r="F80" s="237"/>
      <c r="G80" s="1716"/>
      <c r="H80" s="345"/>
      <c r="I80" s="345"/>
      <c r="J80" s="1387" t="str">
        <f>IF(G80&lt;&gt;"", IF(OR('General Info'!$D$48="No", 'General Info'!$D$48=Parameters!$D$609), "Check the flag in 'General Info'!D" &amp; ROW('General Info'!$D$48),""), IF('General Info'!$D$48="Yes", "Please check if appropriate", "Can be left blank for banks without SA"))</f>
        <v>Can be left blank for banks without SA</v>
      </c>
      <c r="K80" s="1422"/>
      <c r="L80" s="1584"/>
      <c r="M80" s="1584"/>
      <c r="N80" s="1387" t="str">
        <f>IF(K80&lt;&gt;"", IF(OR('General Info'!$D$48="No", 'General Info'!$D$48=Parameters!$D$609), "Check the flag in 'General Info'!D" &amp; ROW('General Info'!$D$48),""), IF('General Info'!$D$48="Yes", "Please check if appropriate", "Can be left blank for banks without SA"))</f>
        <v>Can be left blank for banks without SA</v>
      </c>
      <c r="O80" s="1422"/>
      <c r="P80" s="2084"/>
      <c r="Q80" s="2084"/>
      <c r="R80" s="1387" t="str">
        <f>IF(O80&lt;&gt;"", IF(OR('General Info'!$D$48="No", 'General Info'!$D$48=Parameters!$D$609), "Check the flag in 'General Info'!D" &amp; ROW('General Info'!$D$48),""), IF('General Info'!$D$48="Yes", "Please check if appropriate", "Can be left blank for banks without SA"))</f>
        <v>Can be left blank for banks without SA</v>
      </c>
      <c r="S80" s="1422"/>
      <c r="T80" s="2084"/>
      <c r="U80" s="2084"/>
      <c r="V80" s="1387" t="str">
        <f>IF(S80&lt;&gt;"", IF(OR('General Info'!$D$48="No", 'General Info'!$D$48=Parameters!$D$609), "Check the flag in 'General Info'!D" &amp; ROW('General Info'!$D$48),""), IF('General Info'!$D$48="Yes", "Please check if appropriate", "Can be left blank for banks without SA"))</f>
        <v>Can be left blank for banks without SA</v>
      </c>
      <c r="W80" s="544"/>
    </row>
    <row r="81" spans="1:23" ht="15" customHeight="1" x14ac:dyDescent="0.25">
      <c r="A81" s="471"/>
      <c r="B81" s="240" t="s">
        <v>586</v>
      </c>
      <c r="C81" s="237"/>
      <c r="D81" s="242"/>
      <c r="E81" s="242"/>
      <c r="F81" s="237"/>
      <c r="G81" s="161">
        <f>IF('General Info'!$D$48="Yes", IF(AND(ISNUMBER(G82), ISNUMBER(G83), ISNUMBER(G84), ISNUMBER(G85)), SUM((SUM(G82:G84) * 0.001), (G85 * 0.01)), ""), 0)</f>
        <v>0</v>
      </c>
      <c r="H81" s="345"/>
      <c r="I81" s="345"/>
      <c r="J81" s="345"/>
      <c r="K81" s="1421">
        <f>IF('General Info'!$D$48="Yes", IF(AND(ISNUMBER(K82), ISNUMBER(K83), ISNUMBER(K84), ISNUMBER(K85)), SUM((SUM(K82:K84) * 0.001), (K85 * 0.01)), ""), 0)</f>
        <v>0</v>
      </c>
      <c r="L81" s="1584"/>
      <c r="M81" s="1584"/>
      <c r="N81" s="1906"/>
      <c r="O81" s="1421">
        <f>IF('General Info'!$D$48="Yes", IF(AND(ISNUMBER(O82), ISNUMBER(O83), ISNUMBER(O84), ISNUMBER(O85)), SUM((SUM(O82:O84) * 0.001), (O85 * 0.01)), ""), 0)</f>
        <v>0</v>
      </c>
      <c r="P81" s="2084"/>
      <c r="Q81" s="2084"/>
      <c r="R81" s="2084"/>
      <c r="S81" s="1421">
        <f>IF('General Info'!$D$48="Yes", IF(AND(ISNUMBER(S82), ISNUMBER(S83), ISNUMBER(S84), ISNUMBER(S85)), SUM((SUM(S82:S84) * 0.001), (S85 * 0.01)), ""), 0)</f>
        <v>0</v>
      </c>
      <c r="T81" s="2084"/>
      <c r="U81" s="2084"/>
      <c r="V81" s="2084"/>
      <c r="W81" s="544"/>
    </row>
    <row r="82" spans="1:23" ht="15" customHeight="1" x14ac:dyDescent="0.25">
      <c r="A82" s="471"/>
      <c r="B82" s="243" t="s">
        <v>490</v>
      </c>
      <c r="C82" s="237"/>
      <c r="D82" s="242"/>
      <c r="E82" s="242"/>
      <c r="F82" s="237"/>
      <c r="G82" s="1716"/>
      <c r="H82" s="345"/>
      <c r="I82" s="345"/>
      <c r="J82" s="1387" t="str">
        <f>IF(G82&lt;&gt;"", IF(OR('General Info'!$D$48="No", 'General Info'!$D$48=Parameters!$D$609), "Check the flag in 'General Info'!D" &amp; ROW('General Info'!$D$48),""), IF('General Info'!$D$48="Yes", "Please check if appropriate", "Can be left blank for banks without SA"))</f>
        <v>Can be left blank for banks without SA</v>
      </c>
      <c r="K82" s="1422"/>
      <c r="L82" s="1584"/>
      <c r="M82" s="1584"/>
      <c r="N82" s="1387" t="str">
        <f>IF(K82&lt;&gt;"", IF(OR('General Info'!$D$48="No", 'General Info'!$D$48=Parameters!$D$609), "Check the flag in 'General Info'!D" &amp; ROW('General Info'!$D$48),""), IF('General Info'!$D$48="Yes", "Please check if appropriate", "Can be left blank for banks without SA"))</f>
        <v>Can be left blank for banks without SA</v>
      </c>
      <c r="O82" s="1422"/>
      <c r="P82" s="2084"/>
      <c r="Q82" s="2084"/>
      <c r="R82" s="1387" t="str">
        <f>IF(O82&lt;&gt;"", IF(OR('General Info'!$D$48="No", 'General Info'!$D$48=Parameters!$D$609), "Check the flag in 'General Info'!D" &amp; ROW('General Info'!$D$48),""), IF('General Info'!$D$48="Yes", "Please check if appropriate", "Can be left blank for banks without SA"))</f>
        <v>Can be left blank for banks without SA</v>
      </c>
      <c r="S82" s="1422"/>
      <c r="T82" s="2084"/>
      <c r="U82" s="2084"/>
      <c r="V82" s="1387" t="str">
        <f>IF(S82&lt;&gt;"", IF(OR('General Info'!$D$48="No", 'General Info'!$D$48=Parameters!$D$609), "Check the flag in 'General Info'!D" &amp; ROW('General Info'!$D$48),""), IF('General Info'!$D$48="Yes", "Please check if appropriate", "Can be left blank for banks without SA"))</f>
        <v>Can be left blank for banks without SA</v>
      </c>
      <c r="W82" s="544"/>
    </row>
    <row r="83" spans="1:23" ht="15" customHeight="1" x14ac:dyDescent="0.25">
      <c r="A83" s="471"/>
      <c r="B83" s="243" t="s">
        <v>491</v>
      </c>
      <c r="C83" s="237"/>
      <c r="D83" s="242"/>
      <c r="E83" s="242"/>
      <c r="F83" s="237"/>
      <c r="G83" s="1716"/>
      <c r="H83" s="345"/>
      <c r="I83" s="345"/>
      <c r="J83" s="1387" t="str">
        <f>IF(G83&lt;&gt;"", IF(OR('General Info'!$D$48="No", 'General Info'!$D$48=Parameters!$D$609), "Check the flag in 'General Info'!D" &amp; ROW('General Info'!$D$48),""), IF('General Info'!$D$48="Yes", "Please check if appropriate", "Can be left blank for banks without SA"))</f>
        <v>Can be left blank for banks without SA</v>
      </c>
      <c r="K83" s="1422"/>
      <c r="L83" s="1584"/>
      <c r="M83" s="1584"/>
      <c r="N83" s="1387" t="str">
        <f>IF(K83&lt;&gt;"", IF(OR('General Info'!$D$48="No", 'General Info'!$D$48=Parameters!$D$609), "Check the flag in 'General Info'!D" &amp; ROW('General Info'!$D$48),""), IF('General Info'!$D$48="Yes", "Please check if appropriate", "Can be left blank for banks without SA"))</f>
        <v>Can be left blank for banks without SA</v>
      </c>
      <c r="O83" s="1422"/>
      <c r="P83" s="2084"/>
      <c r="Q83" s="2084"/>
      <c r="R83" s="1387" t="str">
        <f>IF(O83&lt;&gt;"", IF(OR('General Info'!$D$48="No", 'General Info'!$D$48=Parameters!$D$609), "Check the flag in 'General Info'!D" &amp; ROW('General Info'!$D$48),""), IF('General Info'!$D$48="Yes", "Please check if appropriate", "Can be left blank for banks without SA"))</f>
        <v>Can be left blank for banks without SA</v>
      </c>
      <c r="S83" s="1422"/>
      <c r="T83" s="2084"/>
      <c r="U83" s="2084"/>
      <c r="V83" s="1387" t="str">
        <f>IF(S83&lt;&gt;"", IF(OR('General Info'!$D$48="No", 'General Info'!$D$48=Parameters!$D$609), "Check the flag in 'General Info'!D" &amp; ROW('General Info'!$D$48),""), IF('General Info'!$D$48="Yes", "Please check if appropriate", "Can be left blank for banks without SA"))</f>
        <v>Can be left blank for banks without SA</v>
      </c>
      <c r="W83" s="544"/>
    </row>
    <row r="84" spans="1:23" ht="15" customHeight="1" x14ac:dyDescent="0.25">
      <c r="A84" s="471"/>
      <c r="B84" s="243" t="s">
        <v>492</v>
      </c>
      <c r="C84" s="237"/>
      <c r="D84" s="242"/>
      <c r="E84" s="242"/>
      <c r="F84" s="237"/>
      <c r="G84" s="1716"/>
      <c r="H84" s="345"/>
      <c r="I84" s="345"/>
      <c r="J84" s="1387" t="str">
        <f>IF(G84&lt;&gt;"", IF(OR('General Info'!$D$48="No", 'General Info'!$D$48=Parameters!$D$609), "Check the flag in 'General Info'!D" &amp; ROW('General Info'!$D$48),""), IF('General Info'!$D$48="Yes", "Please check if appropriate", "Can be left blank for banks without SA"))</f>
        <v>Can be left blank for banks without SA</v>
      </c>
      <c r="K84" s="1422"/>
      <c r="L84" s="1584"/>
      <c r="M84" s="1584"/>
      <c r="N84" s="1387" t="str">
        <f>IF(K84&lt;&gt;"", IF(OR('General Info'!$D$48="No", 'General Info'!$D$48=Parameters!$D$609), "Check the flag in 'General Info'!D" &amp; ROW('General Info'!$D$48),""), IF('General Info'!$D$48="Yes", "Please check if appropriate", "Can be left blank for banks without SA"))</f>
        <v>Can be left blank for banks without SA</v>
      </c>
      <c r="O84" s="1422"/>
      <c r="P84" s="2084"/>
      <c r="Q84" s="2084"/>
      <c r="R84" s="1387" t="str">
        <f>IF(O84&lt;&gt;"", IF(OR('General Info'!$D$48="No", 'General Info'!$D$48=Parameters!$D$609), "Check the flag in 'General Info'!D" &amp; ROW('General Info'!$D$48),""), IF('General Info'!$D$48="Yes", "Please check if appropriate", "Can be left blank for banks without SA"))</f>
        <v>Can be left blank for banks without SA</v>
      </c>
      <c r="S84" s="1422"/>
      <c r="T84" s="2084"/>
      <c r="U84" s="2084"/>
      <c r="V84" s="1387" t="str">
        <f>IF(S84&lt;&gt;"", IF(OR('General Info'!$D$48="No", 'General Info'!$D$48=Parameters!$D$609), "Check the flag in 'General Info'!D" &amp; ROW('General Info'!$D$48),""), IF('General Info'!$D$48="Yes", "Please check if appropriate", "Can be left blank for banks without SA"))</f>
        <v>Can be left blank for banks without SA</v>
      </c>
      <c r="W84" s="544"/>
    </row>
    <row r="85" spans="1:23" ht="15" customHeight="1" x14ac:dyDescent="0.25">
      <c r="A85" s="471"/>
      <c r="B85" s="243" t="s">
        <v>493</v>
      </c>
      <c r="C85" s="237"/>
      <c r="D85" s="242"/>
      <c r="E85" s="242"/>
      <c r="F85" s="237"/>
      <c r="G85" s="1716"/>
      <c r="H85" s="345"/>
      <c r="I85" s="345"/>
      <c r="J85" s="1387" t="str">
        <f>IF(G85&lt;&gt;"", IF(OR('General Info'!$D$48="No", 'General Info'!$D$48=Parameters!$D$609), "Check the flag in 'General Info'!D" &amp; ROW('General Info'!$D$48),""), IF('General Info'!$D$48="Yes", "Please check if appropriate", "Can be left blank for banks without SA"))</f>
        <v>Can be left blank for banks without SA</v>
      </c>
      <c r="K85" s="1422"/>
      <c r="L85" s="1584"/>
      <c r="M85" s="1584"/>
      <c r="N85" s="1387" t="str">
        <f>IF(K85&lt;&gt;"", IF(OR('General Info'!$D$48="No", 'General Info'!$D$48=Parameters!$D$609), "Check the flag in 'General Info'!D" &amp; ROW('General Info'!$D$48),""), IF('General Info'!$D$48="Yes", "Please check if appropriate", "Can be left blank for banks without SA"))</f>
        <v>Can be left blank for banks without SA</v>
      </c>
      <c r="O85" s="1422"/>
      <c r="P85" s="2084"/>
      <c r="Q85" s="2084"/>
      <c r="R85" s="1387" t="str">
        <f>IF(O85&lt;&gt;"", IF(OR('General Info'!$D$48="No", 'General Info'!$D$48=Parameters!$D$609), "Check the flag in 'General Info'!D" &amp; ROW('General Info'!$D$48),""), IF('General Info'!$D$48="Yes", "Please check if appropriate", "Can be left blank for banks without SA"))</f>
        <v>Can be left blank for banks without SA</v>
      </c>
      <c r="S85" s="1422"/>
      <c r="T85" s="2084"/>
      <c r="U85" s="2084"/>
      <c r="V85" s="1387" t="str">
        <f>IF(S85&lt;&gt;"", IF(OR('General Info'!$D$48="No", 'General Info'!$D$48=Parameters!$D$609), "Check the flag in 'General Info'!D" &amp; ROW('General Info'!$D$48),""), IF('General Info'!$D$48="Yes", "Please check if appropriate", "Can be left blank for banks without SA"))</f>
        <v>Can be left blank for banks without SA</v>
      </c>
      <c r="W85" s="544"/>
    </row>
    <row r="86" spans="1:23" ht="15" customHeight="1" x14ac:dyDescent="0.25">
      <c r="A86" s="471"/>
      <c r="B86" s="240" t="s">
        <v>1071</v>
      </c>
      <c r="C86" s="237"/>
      <c r="D86" s="242"/>
      <c r="E86" s="242"/>
      <c r="F86" s="237"/>
      <c r="G86" s="1716"/>
      <c r="H86" s="345"/>
      <c r="I86" s="345"/>
      <c r="J86" s="1387" t="str">
        <f>IF(G86&lt;&gt;"", IF(OR('General Info'!$D$48="No", 'General Info'!$D$48=Parameters!$D$609), "Check the flag in 'General Info'!D" &amp; ROW('General Info'!$D$48),""), IF('General Info'!$D$48="Yes", "Please check if appropriate", "Can be left blank for banks without SA"))</f>
        <v>Can be left blank for banks without SA</v>
      </c>
      <c r="K86" s="1422"/>
      <c r="L86" s="1584"/>
      <c r="M86" s="1584"/>
      <c r="N86" s="1387" t="str">
        <f>IF(K86&lt;&gt;"", IF(OR('General Info'!$D$48="No", 'General Info'!$D$48=Parameters!$D$609), "Check the flag in 'General Info'!D" &amp; ROW('General Info'!$D$48),""), IF('General Info'!$D$48="Yes", "Please check if appropriate", "Can be left blank for banks without SA"))</f>
        <v>Can be left blank for banks without SA</v>
      </c>
      <c r="O86" s="1422"/>
      <c r="P86" s="2084"/>
      <c r="Q86" s="2084"/>
      <c r="R86" s="1387" t="str">
        <f>IF(O86&lt;&gt;"", IF(OR('General Info'!$D$48="No", 'General Info'!$D$48=Parameters!$D$609), "Check the flag in 'General Info'!D" &amp; ROW('General Info'!$D$48),""), IF('General Info'!$D$48="Yes", "Please check if appropriate", "Can be left blank for banks without SA"))</f>
        <v>Can be left blank for banks without SA</v>
      </c>
      <c r="S86" s="1422"/>
      <c r="T86" s="2084"/>
      <c r="U86" s="2084"/>
      <c r="V86" s="1387" t="str">
        <f>IF(S86&lt;&gt;"", IF(OR('General Info'!$D$48="No", 'General Info'!$D$48=Parameters!$D$609), "Check the flag in 'General Info'!D" &amp; ROW('General Info'!$D$48),""), IF('General Info'!$D$48="Yes", "Please check if appropriate", "Can be left blank for banks without SA"))</f>
        <v>Can be left blank for banks without SA</v>
      </c>
      <c r="W86" s="544"/>
    </row>
    <row r="87" spans="1:23" ht="15" customHeight="1" x14ac:dyDescent="0.25">
      <c r="A87" s="471"/>
      <c r="B87" s="2948" t="s">
        <v>2194</v>
      </c>
      <c r="C87" s="2948"/>
      <c r="D87" s="2948"/>
      <c r="E87" s="2948"/>
      <c r="F87" s="2948"/>
      <c r="G87" s="161">
        <f>IF('General Info'!$D$49="Yes", IF(AND(ISNUMBER(G88), ISNUMBER(G117), ISNUMBER(G123)), SUM((1.5*G88), G117,G123), ""), 0)</f>
        <v>0</v>
      </c>
      <c r="H87" s="345"/>
      <c r="I87" s="345"/>
      <c r="J87" s="345"/>
      <c r="K87" s="1421">
        <f>IF('General Info'!$D$49="Yes", IF(AND(ISNUMBER(K88), ISNUMBER(K117), ISNUMBER(K123)), SUM((1.5*K88), K117,K123), ""), 0)</f>
        <v>0</v>
      </c>
      <c r="L87" s="1584"/>
      <c r="M87" s="1584"/>
      <c r="N87" s="1906"/>
      <c r="O87" s="1421">
        <f>IF('General Info'!$D$49="Yes", IF(AND(ISNUMBER(O88), ISNUMBER(O117), ISNUMBER(O123)), SUM((1.5*O88), O117,O123), ""), 0)</f>
        <v>0</v>
      </c>
      <c r="P87" s="2084"/>
      <c r="Q87" s="2084"/>
      <c r="R87" s="2084"/>
      <c r="S87" s="1421">
        <f>IF('General Info'!$D$49="Yes", IF(AND(ISNUMBER(S88), ISNUMBER(S117), ISNUMBER(S123)), SUM((1.5*S88), S117,S123), ""), 0)</f>
        <v>0</v>
      </c>
      <c r="T87" s="2084"/>
      <c r="U87" s="2084"/>
      <c r="V87" s="2084"/>
      <c r="W87" s="544"/>
    </row>
    <row r="88" spans="1:23" ht="15" customHeight="1" x14ac:dyDescent="0.25">
      <c r="A88" s="471"/>
      <c r="B88" s="240" t="s">
        <v>523</v>
      </c>
      <c r="C88" s="237"/>
      <c r="D88" s="242"/>
      <c r="E88" s="242"/>
      <c r="F88" s="237"/>
      <c r="G88" s="161">
        <f>IF('General Info'!$D$49="Yes", IF(AND(ISNUMBER(G89), ISNUMBER(G90)), (0.5*G89)+(0.5*G90), ""), 0)</f>
        <v>0</v>
      </c>
      <c r="H88" s="345"/>
      <c r="I88" s="345"/>
      <c r="J88" s="345"/>
      <c r="K88" s="1421">
        <f>IF('General Info'!$D$49="Yes", IF(AND(ISNUMBER(K89), ISNUMBER(K90)), (0.5*K89)+(0.5*K90), ""), 0)</f>
        <v>0</v>
      </c>
      <c r="L88" s="1584"/>
      <c r="M88" s="1584"/>
      <c r="N88" s="1906"/>
      <c r="O88" s="1421">
        <f>IF('General Info'!$D$49="Yes", IF(AND(ISNUMBER(O89), ISNUMBER(O90)), (0.5*O89)+(0.5*O90), ""), 0)</f>
        <v>0</v>
      </c>
      <c r="P88" s="2084"/>
      <c r="Q88" s="2084"/>
      <c r="R88" s="2084"/>
      <c r="S88" s="1421">
        <f>IF('General Info'!$D$49="Yes", IF(AND(ISNUMBER(S89), ISNUMBER(S90)), (0.5*S89)+(0.5*S90), ""), 0)</f>
        <v>0</v>
      </c>
      <c r="T88" s="2084"/>
      <c r="U88" s="2084"/>
      <c r="V88" s="2084"/>
      <c r="W88" s="544"/>
    </row>
    <row r="89" spans="1:23" ht="15" customHeight="1" x14ac:dyDescent="0.25">
      <c r="A89" s="471"/>
      <c r="B89" s="239" t="s">
        <v>552</v>
      </c>
      <c r="C89" s="313"/>
      <c r="D89" s="244"/>
      <c r="E89" s="244"/>
      <c r="F89" s="237"/>
      <c r="G89" s="1716"/>
      <c r="H89" s="345"/>
      <c r="I89" s="345"/>
      <c r="J89" s="1386" t="str">
        <f>IF(G89&lt;&gt;"", IF('General Info'!$D$49="No", "Check the flag in 'General Info'!D" &amp; ROW('General Info'!$D$49), ""), IF('General Info'!$D$49="Yes","Please check if appropriate", "Can be left blank for banks without IMA"))</f>
        <v>Can be left blank for banks without IMA</v>
      </c>
      <c r="K89" s="1422"/>
      <c r="L89" s="1584"/>
      <c r="M89" s="1584"/>
      <c r="N89" s="1386" t="str">
        <f>IF(K89&lt;&gt;"", IF('General Info'!$D$49="No", "Check the flag in 'General Info'!D" &amp; ROW('General Info'!$D$49), ""), IF('General Info'!$D$49="Yes","Please check if appropriate", "Can be left blank for banks without IMA"))</f>
        <v>Can be left blank for banks without IMA</v>
      </c>
      <c r="O89" s="1422"/>
      <c r="P89" s="2084"/>
      <c r="Q89" s="2084"/>
      <c r="R89" s="1386" t="str">
        <f>IF(O89&lt;&gt;"", IF('General Info'!$D$49="No", "Check the flag in 'General Info'!D" &amp; ROW('General Info'!$D$49), ""), IF('General Info'!$D$49="Yes","Please check if appropriate", "Can be left blank for banks without IMA"))</f>
        <v>Can be left blank for banks without IMA</v>
      </c>
      <c r="S89" s="1422"/>
      <c r="T89" s="2084"/>
      <c r="U89" s="2084"/>
      <c r="V89" s="1386" t="str">
        <f>IF(S89&lt;&gt;"", IF('General Info'!$D$49="No", "Check the flag in 'General Info'!D" &amp; ROW('General Info'!$D$49), ""), IF('General Info'!$D$49="Yes","Please check if appropriate", "Can be left blank for banks without IMA"))</f>
        <v>Can be left blank for banks without IMA</v>
      </c>
      <c r="W89" s="544"/>
    </row>
    <row r="90" spans="1:23" ht="15" customHeight="1" x14ac:dyDescent="0.25">
      <c r="A90" s="471"/>
      <c r="B90" s="243" t="s">
        <v>732</v>
      </c>
      <c r="C90" s="237"/>
      <c r="D90" s="242"/>
      <c r="E90" s="242"/>
      <c r="F90" s="237"/>
      <c r="G90" s="161">
        <f>IF('General Info'!$D$49="Yes", IF(AND(ISNUMBER(G91), ISNUMBER(G96), ISNUMBER(G102), ISNUMBER(G107), ISNUMBER(G113)), SUM(G91, G96, G102, G107, G113), ""), 0)</f>
        <v>0</v>
      </c>
      <c r="H90" s="345"/>
      <c r="I90" s="345"/>
      <c r="J90" s="345"/>
      <c r="K90" s="1421">
        <f>IF('General Info'!$D$49="Yes", IF(AND(ISNUMBER(K91), ISNUMBER(K96), ISNUMBER(K102), ISNUMBER(K107), ISNUMBER(K113)), SUM(K91, K96, K102, K107, K113), ""), 0)</f>
        <v>0</v>
      </c>
      <c r="L90" s="1584"/>
      <c r="M90" s="1584"/>
      <c r="N90" s="1906"/>
      <c r="O90" s="1421">
        <f>IF('General Info'!$D$49="Yes", IF(AND(ISNUMBER(O91), ISNUMBER(O96), ISNUMBER(O102), ISNUMBER(O107), ISNUMBER(O113)), SUM(O91, O96, O102, O107, O113), ""), 0)</f>
        <v>0</v>
      </c>
      <c r="P90" s="2084"/>
      <c r="Q90" s="2084"/>
      <c r="R90" s="2084"/>
      <c r="S90" s="1421">
        <f>IF('General Info'!$D$49="Yes", IF(AND(ISNUMBER(S91), ISNUMBER(S96), ISNUMBER(S102), ISNUMBER(S107), ISNUMBER(S113)), SUM(S91, S96, S102, S107, S113), ""), 0)</f>
        <v>0</v>
      </c>
      <c r="T90" s="2084"/>
      <c r="U90" s="2084"/>
      <c r="V90" s="2084"/>
      <c r="W90" s="544"/>
    </row>
    <row r="91" spans="1:23" ht="15" customHeight="1" x14ac:dyDescent="0.25">
      <c r="A91" s="471"/>
      <c r="B91" s="248" t="s">
        <v>1473</v>
      </c>
      <c r="C91" s="237"/>
      <c r="D91" s="242"/>
      <c r="E91" s="242"/>
      <c r="F91" s="237"/>
      <c r="G91" s="286"/>
      <c r="H91" s="1919"/>
      <c r="I91" s="345"/>
      <c r="J91" s="1386" t="str">
        <f>IF(G91&lt;&gt;"", IF('General Info'!$D$49="No", "Check the flag in 'General Info'!D" &amp; ROW('General Info'!$D$49), ""), IF('General Info'!$D$49="Yes","Please check if appropriate", "Can be left blank for banks without IMA"))</f>
        <v>Can be left blank for banks without IMA</v>
      </c>
      <c r="K91" s="1422"/>
      <c r="L91" s="1584"/>
      <c r="M91" s="1584"/>
      <c r="N91" s="1386" t="str">
        <f>IF(K91&lt;&gt;"", IF('General Info'!$D$49="No", "Check the flag in 'General Info'!D" &amp; ROW('General Info'!$D$49), ""), IF('General Info'!$D$49="Yes","Please check if appropriate", "Can be left blank for banks without IMA"))</f>
        <v>Can be left blank for banks without IMA</v>
      </c>
      <c r="O91" s="1422"/>
      <c r="P91" s="2319"/>
      <c r="Q91" s="2319"/>
      <c r="R91" s="1719" t="str">
        <f>IF(O91&lt;&gt;"", IF('General Info'!$D$49="No", "Check the flag in 'General Info'!D" &amp; ROW('General Info'!$D$49), ""), IF('General Info'!$D$49="Yes","Please check if appropriate", "Can be left blank for banks without IMA"))</f>
        <v>Can be left blank for banks without IMA</v>
      </c>
      <c r="S91" s="1716"/>
      <c r="T91" s="2084"/>
      <c r="U91" s="2084"/>
      <c r="V91" s="1386" t="str">
        <f>IF(S91&lt;&gt;"", IF('General Info'!$D$49="No", "Check the flag in 'General Info'!D" &amp; ROW('General Info'!$D$49), ""), IF('General Info'!$D$49="Yes","Please check if appropriate", "Can be left blank for banks without IMA"))</f>
        <v>Can be left blank for banks without IMA</v>
      </c>
      <c r="W91" s="544"/>
    </row>
    <row r="92" spans="1:23" ht="15" customHeight="1" x14ac:dyDescent="0.25">
      <c r="A92" s="471"/>
      <c r="B92" s="1586" t="s">
        <v>1481</v>
      </c>
      <c r="C92" s="237"/>
      <c r="D92" s="242"/>
      <c r="E92" s="242"/>
      <c r="F92" s="237"/>
      <c r="G92" s="286"/>
      <c r="H92" s="1919"/>
      <c r="I92" s="1578"/>
      <c r="J92" s="1386" t="str">
        <f>IF(G92&lt;&gt;"", IF('General Info'!$D$49="No", "Check the flag in 'General Info'!D" &amp; ROW('General Info'!$D$49), ""), IF('General Info'!$D$49="Yes","Please check if appropriate", "Can be left blank for banks without IMA"))</f>
        <v>Can be left blank for banks without IMA</v>
      </c>
      <c r="K92" s="1422"/>
      <c r="L92" s="1584"/>
      <c r="M92" s="1584"/>
      <c r="N92" s="1386" t="str">
        <f>IF(K92&lt;&gt;"", IF('General Info'!$D$49="No", "Check the flag in 'General Info'!D" &amp; ROW('General Info'!$D$49), ""), IF('General Info'!$D$49="Yes","Please check if appropriate", "Can be left blank for banks without IMA"))</f>
        <v>Can be left blank for banks without IMA</v>
      </c>
      <c r="O92" s="1422"/>
      <c r="P92" s="2319"/>
      <c r="Q92" s="2319"/>
      <c r="R92" s="1719" t="str">
        <f>IF(O92&lt;&gt;"", IF('General Info'!$D$49="No", "Check the flag in 'General Info'!D" &amp; ROW('General Info'!$D$49), ""), IF('General Info'!$D$49="Yes","Please check if appropriate", "Can be left blank for banks without IMA"))</f>
        <v>Can be left blank for banks without IMA</v>
      </c>
      <c r="S92" s="1716"/>
      <c r="T92" s="2084"/>
      <c r="U92" s="2084"/>
      <c r="V92" s="1386" t="str">
        <f>IF(S92&lt;&gt;"", IF('General Info'!$D$49="No", "Check the flag in 'General Info'!D" &amp; ROW('General Info'!$D$49), ""), IF('General Info'!$D$49="Yes","Please check if appropriate", "Can be left blank for banks without IMA"))</f>
        <v>Can be left blank for banks without IMA</v>
      </c>
      <c r="W92" s="544"/>
    </row>
    <row r="93" spans="1:23" ht="15" customHeight="1" x14ac:dyDescent="0.25">
      <c r="A93" s="471"/>
      <c r="B93" s="1586" t="s">
        <v>1469</v>
      </c>
      <c r="C93" s="237"/>
      <c r="D93" s="242"/>
      <c r="E93" s="242"/>
      <c r="F93" s="237"/>
      <c r="G93" s="286"/>
      <c r="H93" s="1919"/>
      <c r="I93" s="1578"/>
      <c r="J93" s="1386" t="str">
        <f>IF(G93&lt;&gt;"", IF('General Info'!$D$49="No", "Check the flag in 'General Info'!D" &amp; ROW('General Info'!$D$49), ""), IF('General Info'!$D$49="Yes","Please check if appropriate", "Can be left blank for banks without IMA"))</f>
        <v>Can be left blank for banks without IMA</v>
      </c>
      <c r="K93" s="1422"/>
      <c r="L93" s="1584"/>
      <c r="M93" s="1584"/>
      <c r="N93" s="1386" t="str">
        <f>IF(K93&lt;&gt;"", IF('General Info'!$D$49="No", "Check the flag in 'General Info'!D" &amp; ROW('General Info'!$D$49), ""), IF('General Info'!$D$49="Yes","Please check if appropriate", "Can be left blank for banks without IMA"))</f>
        <v>Can be left blank for banks without IMA</v>
      </c>
      <c r="O93" s="1422"/>
      <c r="P93" s="2319"/>
      <c r="Q93" s="2319"/>
      <c r="R93" s="1719" t="str">
        <f>IF(O93&lt;&gt;"", IF('General Info'!$D$49="No", "Check the flag in 'General Info'!D" &amp; ROW('General Info'!$D$49), ""), IF('General Info'!$D$49="Yes","Please check if appropriate", "Can be left blank for banks without IMA"))</f>
        <v>Can be left blank for banks without IMA</v>
      </c>
      <c r="S93" s="1716"/>
      <c r="T93" s="2084"/>
      <c r="U93" s="2084"/>
      <c r="V93" s="1386" t="str">
        <f>IF(S93&lt;&gt;"", IF('General Info'!$D$49="No", "Check the flag in 'General Info'!D" &amp; ROW('General Info'!$D$49), ""), IF('General Info'!$D$49="Yes","Please check if appropriate", "Can be left blank for banks without IMA"))</f>
        <v>Can be left blank for banks without IMA</v>
      </c>
      <c r="W93" s="544"/>
    </row>
    <row r="94" spans="1:23" ht="15" customHeight="1" x14ac:dyDescent="0.25">
      <c r="A94" s="471"/>
      <c r="B94" s="1586" t="s">
        <v>1470</v>
      </c>
      <c r="C94" s="237"/>
      <c r="D94" s="242"/>
      <c r="E94" s="242"/>
      <c r="F94" s="237"/>
      <c r="G94" s="286"/>
      <c r="H94" s="1919"/>
      <c r="I94" s="1578"/>
      <c r="J94" s="1386" t="str">
        <f>IF(G94&lt;&gt;"", IF('General Info'!$D$49="No", "Check the flag in 'General Info'!D" &amp; ROW('General Info'!$D$49), ""), IF('General Info'!$D$49="Yes","Please check if appropriate", "Can be left blank for banks without IMA"))</f>
        <v>Can be left blank for banks without IMA</v>
      </c>
      <c r="K94" s="1422"/>
      <c r="L94" s="1584"/>
      <c r="M94" s="1584"/>
      <c r="N94" s="1386" t="str">
        <f>IF(K94&lt;&gt;"", IF('General Info'!$D$49="No", "Check the flag in 'General Info'!D" &amp; ROW('General Info'!$D$49), ""), IF('General Info'!$D$49="Yes","Please check if appropriate", "Can be left blank for banks without IMA"))</f>
        <v>Can be left blank for banks without IMA</v>
      </c>
      <c r="O94" s="1422"/>
      <c r="P94" s="2319"/>
      <c r="Q94" s="2319"/>
      <c r="R94" s="1719" t="str">
        <f>IF(O94&lt;&gt;"", IF('General Info'!$D$49="No", "Check the flag in 'General Info'!D" &amp; ROW('General Info'!$D$49), ""), IF('General Info'!$D$49="Yes","Please check if appropriate", "Can be left blank for banks without IMA"))</f>
        <v>Can be left blank for banks without IMA</v>
      </c>
      <c r="S94" s="1716"/>
      <c r="T94" s="2084"/>
      <c r="U94" s="2084"/>
      <c r="V94" s="1386" t="str">
        <f>IF(S94&lt;&gt;"", IF('General Info'!$D$49="No", "Check the flag in 'General Info'!D" &amp; ROW('General Info'!$D$49), ""), IF('General Info'!$D$49="Yes","Please check if appropriate", "Can be left blank for banks without IMA"))</f>
        <v>Can be left blank for banks without IMA</v>
      </c>
      <c r="W94" s="544"/>
    </row>
    <row r="95" spans="1:23" ht="15" customHeight="1" x14ac:dyDescent="0.25">
      <c r="A95" s="471"/>
      <c r="B95" s="1586" t="s">
        <v>1471</v>
      </c>
      <c r="C95" s="237"/>
      <c r="D95" s="242"/>
      <c r="E95" s="242"/>
      <c r="F95" s="237"/>
      <c r="G95" s="286"/>
      <c r="H95" s="1919"/>
      <c r="I95" s="1578"/>
      <c r="J95" s="1386" t="str">
        <f>IF(G95&lt;&gt;"", IF('General Info'!$D$49="No", "Check the flag in 'General Info'!D" &amp; ROW('General Info'!$D$49), ""), IF('General Info'!$D$49="Yes","Please check if appropriate", "Can be left blank for banks without IMA"))</f>
        <v>Can be left blank for banks without IMA</v>
      </c>
      <c r="K95" s="1422"/>
      <c r="L95" s="1584"/>
      <c r="M95" s="1584"/>
      <c r="N95" s="1386" t="str">
        <f>IF(K95&lt;&gt;"", IF('General Info'!$D$49="No", "Check the flag in 'General Info'!D" &amp; ROW('General Info'!$D$49), ""), IF('General Info'!$D$49="Yes","Please check if appropriate", "Can be left blank for banks without IMA"))</f>
        <v>Can be left blank for banks without IMA</v>
      </c>
      <c r="O95" s="1422"/>
      <c r="P95" s="2319"/>
      <c r="Q95" s="2319"/>
      <c r="R95" s="1719" t="str">
        <f>IF(O95&lt;&gt;"", IF('General Info'!$D$49="No", "Check the flag in 'General Info'!D" &amp; ROW('General Info'!$D$49), ""), IF('General Info'!$D$49="Yes","Please check if appropriate", "Can be left blank for banks without IMA"))</f>
        <v>Can be left blank for banks without IMA</v>
      </c>
      <c r="S95" s="1716"/>
      <c r="T95" s="2084"/>
      <c r="U95" s="2084"/>
      <c r="V95" s="1386" t="str">
        <f>IF(S95&lt;&gt;"", IF('General Info'!$D$49="No", "Check the flag in 'General Info'!D" &amp; ROW('General Info'!$D$49), ""), IF('General Info'!$D$49="Yes","Please check if appropriate", "Can be left blank for banks without IMA"))</f>
        <v>Can be left blank for banks without IMA</v>
      </c>
      <c r="W95" s="544"/>
    </row>
    <row r="96" spans="1:23" ht="15" customHeight="1" x14ac:dyDescent="0.25">
      <c r="A96" s="471"/>
      <c r="B96" s="248" t="s">
        <v>1474</v>
      </c>
      <c r="C96" s="237"/>
      <c r="D96" s="242"/>
      <c r="E96" s="242"/>
      <c r="F96" s="237"/>
      <c r="G96" s="286"/>
      <c r="H96" s="1919"/>
      <c r="I96" s="345"/>
      <c r="J96" s="1386" t="str">
        <f>IF(G96&lt;&gt;"", IF('General Info'!$D$49="No", "Check the flag in 'General Info'!D" &amp; ROW('General Info'!$D$49), ""), IF('General Info'!$D$49="Yes","Please check if appropriate", "Can be left blank for banks without IMA"))</f>
        <v>Can be left blank for banks without IMA</v>
      </c>
      <c r="K96" s="1422"/>
      <c r="L96" s="1584"/>
      <c r="M96" s="1584"/>
      <c r="N96" s="1386" t="str">
        <f>IF(K96&lt;&gt;"", IF('General Info'!$D$49="No", "Check the flag in 'General Info'!D" &amp; ROW('General Info'!$D$49), ""), IF('General Info'!$D$49="Yes","Please check if appropriate", "Can be left blank for banks without IMA"))</f>
        <v>Can be left blank for banks without IMA</v>
      </c>
      <c r="O96" s="1422"/>
      <c r="P96" s="2319"/>
      <c r="Q96" s="2319"/>
      <c r="R96" s="1719" t="str">
        <f>IF(O96&lt;&gt;"", IF('General Info'!$D$49="No", "Check the flag in 'General Info'!D" &amp; ROW('General Info'!$D$49), ""), IF('General Info'!$D$49="Yes","Please check if appropriate", "Can be left blank for banks without IMA"))</f>
        <v>Can be left blank for banks without IMA</v>
      </c>
      <c r="S96" s="1716"/>
      <c r="T96" s="2084"/>
      <c r="U96" s="2084"/>
      <c r="V96" s="1386" t="str">
        <f>IF(S96&lt;&gt;"", IF('General Info'!$D$49="No", "Check the flag in 'General Info'!D" &amp; ROW('General Info'!$D$49), ""), IF('General Info'!$D$49="Yes","Please check if appropriate", "Can be left blank for banks without IMA"))</f>
        <v>Can be left blank for banks without IMA</v>
      </c>
      <c r="W96" s="544"/>
    </row>
    <row r="97" spans="1:23" ht="15" customHeight="1" x14ac:dyDescent="0.25">
      <c r="A97" s="471"/>
      <c r="B97" s="1586" t="s">
        <v>1481</v>
      </c>
      <c r="C97" s="237"/>
      <c r="D97" s="242"/>
      <c r="E97" s="242"/>
      <c r="F97" s="237"/>
      <c r="G97" s="286"/>
      <c r="H97" s="1919"/>
      <c r="I97" s="1578"/>
      <c r="J97" s="1386" t="str">
        <f>IF(G97&lt;&gt;"", IF('General Info'!$D$49="No", "Check the flag in 'General Info'!D" &amp; ROW('General Info'!$D$49), ""), IF('General Info'!$D$49="Yes","Please check if appropriate", "Can be left blank for banks without IMA"))</f>
        <v>Can be left blank for banks without IMA</v>
      </c>
      <c r="K97" s="1422"/>
      <c r="L97" s="1584"/>
      <c r="M97" s="1584"/>
      <c r="N97" s="1386" t="str">
        <f>IF(K97&lt;&gt;"", IF('General Info'!$D$49="No", "Check the flag in 'General Info'!D" &amp; ROW('General Info'!$D$49), ""), IF('General Info'!$D$49="Yes","Please check if appropriate", "Can be left blank for banks without IMA"))</f>
        <v>Can be left blank for banks without IMA</v>
      </c>
      <c r="O97" s="1422"/>
      <c r="P97" s="2319"/>
      <c r="Q97" s="2319"/>
      <c r="R97" s="1719" t="str">
        <f>IF(O97&lt;&gt;"", IF('General Info'!$D$49="No", "Check the flag in 'General Info'!D" &amp; ROW('General Info'!$D$49), ""), IF('General Info'!$D$49="Yes","Please check if appropriate", "Can be left blank for banks without IMA"))</f>
        <v>Can be left blank for banks without IMA</v>
      </c>
      <c r="S97" s="1716"/>
      <c r="T97" s="2084"/>
      <c r="U97" s="2084"/>
      <c r="V97" s="1386" t="str">
        <f>IF(S97&lt;&gt;"", IF('General Info'!$D$49="No", "Check the flag in 'General Info'!D" &amp; ROW('General Info'!$D$49), ""), IF('General Info'!$D$49="Yes","Please check if appropriate", "Can be left blank for banks without IMA"))</f>
        <v>Can be left blank for banks without IMA</v>
      </c>
      <c r="W97" s="544"/>
    </row>
    <row r="98" spans="1:23" ht="15" customHeight="1" x14ac:dyDescent="0.25">
      <c r="A98" s="471"/>
      <c r="B98" s="1586" t="s">
        <v>1469</v>
      </c>
      <c r="C98" s="237"/>
      <c r="D98" s="242"/>
      <c r="E98" s="242"/>
      <c r="F98" s="237"/>
      <c r="G98" s="286"/>
      <c r="H98" s="1919"/>
      <c r="I98" s="1578"/>
      <c r="J98" s="1386" t="str">
        <f>IF(G98&lt;&gt;"", IF('General Info'!$D$49="No", "Check the flag in 'General Info'!D" &amp; ROW('General Info'!$D$49), ""), IF('General Info'!$D$49="Yes","Please check if appropriate", "Can be left blank for banks without IMA"))</f>
        <v>Can be left blank for banks without IMA</v>
      </c>
      <c r="K98" s="1422"/>
      <c r="L98" s="1584"/>
      <c r="M98" s="1584"/>
      <c r="N98" s="1386" t="str">
        <f>IF(K98&lt;&gt;"", IF('General Info'!$D$49="No", "Check the flag in 'General Info'!D" &amp; ROW('General Info'!$D$49), ""), IF('General Info'!$D$49="Yes","Please check if appropriate", "Can be left blank for banks without IMA"))</f>
        <v>Can be left blank for banks without IMA</v>
      </c>
      <c r="O98" s="1422"/>
      <c r="P98" s="2319"/>
      <c r="Q98" s="2319"/>
      <c r="R98" s="1719" t="str">
        <f>IF(O98&lt;&gt;"", IF('General Info'!$D$49="No", "Check the flag in 'General Info'!D" &amp; ROW('General Info'!$D$49), ""), IF('General Info'!$D$49="Yes","Please check if appropriate", "Can be left blank for banks without IMA"))</f>
        <v>Can be left blank for banks without IMA</v>
      </c>
      <c r="S98" s="1716"/>
      <c r="T98" s="2084"/>
      <c r="U98" s="2084"/>
      <c r="V98" s="1386" t="str">
        <f>IF(S98&lt;&gt;"", IF('General Info'!$D$49="No", "Check the flag in 'General Info'!D" &amp; ROW('General Info'!$D$49), ""), IF('General Info'!$D$49="Yes","Please check if appropriate", "Can be left blank for banks without IMA"))</f>
        <v>Can be left blank for banks without IMA</v>
      </c>
      <c r="W98" s="544"/>
    </row>
    <row r="99" spans="1:23" ht="15" customHeight="1" x14ac:dyDescent="0.25">
      <c r="A99" s="471"/>
      <c r="B99" s="1586" t="s">
        <v>1470</v>
      </c>
      <c r="C99" s="237"/>
      <c r="D99" s="242"/>
      <c r="E99" s="242"/>
      <c r="F99" s="237"/>
      <c r="G99" s="286"/>
      <c r="H99" s="1919"/>
      <c r="I99" s="1578"/>
      <c r="J99" s="1386" t="str">
        <f>IF(G99&lt;&gt;"", IF('General Info'!$D$49="No", "Check the flag in 'General Info'!D" &amp; ROW('General Info'!$D$49), ""), IF('General Info'!$D$49="Yes","Please check if appropriate", "Can be left blank for banks without IMA"))</f>
        <v>Can be left blank for banks without IMA</v>
      </c>
      <c r="K99" s="1422"/>
      <c r="L99" s="1584"/>
      <c r="M99" s="1584"/>
      <c r="N99" s="1386" t="str">
        <f>IF(K99&lt;&gt;"", IF('General Info'!$D$49="No", "Check the flag in 'General Info'!D" &amp; ROW('General Info'!$D$49), ""), IF('General Info'!$D$49="Yes","Please check if appropriate", "Can be left blank for banks without IMA"))</f>
        <v>Can be left blank for banks without IMA</v>
      </c>
      <c r="O99" s="1422"/>
      <c r="P99" s="2319"/>
      <c r="Q99" s="2319"/>
      <c r="R99" s="1719" t="str">
        <f>IF(O99&lt;&gt;"", IF('General Info'!$D$49="No", "Check the flag in 'General Info'!D" &amp; ROW('General Info'!$D$49), ""), IF('General Info'!$D$49="Yes","Please check if appropriate", "Can be left blank for banks without IMA"))</f>
        <v>Can be left blank for banks without IMA</v>
      </c>
      <c r="S99" s="1716"/>
      <c r="T99" s="2084"/>
      <c r="U99" s="2084"/>
      <c r="V99" s="1386" t="str">
        <f>IF(S99&lt;&gt;"", IF('General Info'!$D$49="No", "Check the flag in 'General Info'!D" &amp; ROW('General Info'!$D$49), ""), IF('General Info'!$D$49="Yes","Please check if appropriate", "Can be left blank for banks without IMA"))</f>
        <v>Can be left blank for banks without IMA</v>
      </c>
      <c r="W99" s="544"/>
    </row>
    <row r="100" spans="1:23" ht="15" customHeight="1" x14ac:dyDescent="0.25">
      <c r="A100" s="471"/>
      <c r="B100" s="1586" t="s">
        <v>1471</v>
      </c>
      <c r="C100" s="237"/>
      <c r="D100" s="242"/>
      <c r="E100" s="242"/>
      <c r="F100" s="237"/>
      <c r="G100" s="286"/>
      <c r="H100" s="1919"/>
      <c r="I100" s="1578"/>
      <c r="J100" s="1386" t="str">
        <f>IF(G100&lt;&gt;"", IF('General Info'!$D$49="No", "Check the flag in 'General Info'!D" &amp; ROW('General Info'!$D$49), ""), IF('General Info'!$D$49="Yes","Please check if appropriate", "Can be left blank for banks without IMA"))</f>
        <v>Can be left blank for banks without IMA</v>
      </c>
      <c r="K100" s="1422"/>
      <c r="L100" s="1584"/>
      <c r="M100" s="1584"/>
      <c r="N100" s="1386" t="str">
        <f>IF(K100&lt;&gt;"", IF('General Info'!$D$49="No", "Check the flag in 'General Info'!D" &amp; ROW('General Info'!$D$49), ""), IF('General Info'!$D$49="Yes","Please check if appropriate", "Can be left blank for banks without IMA"))</f>
        <v>Can be left blank for banks without IMA</v>
      </c>
      <c r="O100" s="1422"/>
      <c r="P100" s="2319"/>
      <c r="Q100" s="2319"/>
      <c r="R100" s="1719" t="str">
        <f>IF(O100&lt;&gt;"", IF('General Info'!$D$49="No", "Check the flag in 'General Info'!D" &amp; ROW('General Info'!$D$49), ""), IF('General Info'!$D$49="Yes","Please check if appropriate", "Can be left blank for banks without IMA"))</f>
        <v>Can be left blank for banks without IMA</v>
      </c>
      <c r="S100" s="1716"/>
      <c r="T100" s="2084"/>
      <c r="U100" s="2084"/>
      <c r="V100" s="1386" t="str">
        <f>IF(S100&lt;&gt;"", IF('General Info'!$D$49="No", "Check the flag in 'General Info'!D" &amp; ROW('General Info'!$D$49), ""), IF('General Info'!$D$49="Yes","Please check if appropriate", "Can be left blank for banks without IMA"))</f>
        <v>Can be left blank for banks without IMA</v>
      </c>
      <c r="W100" s="544"/>
    </row>
    <row r="101" spans="1:23" ht="15" customHeight="1" x14ac:dyDescent="0.25">
      <c r="A101" s="471"/>
      <c r="B101" s="1586" t="s">
        <v>1472</v>
      </c>
      <c r="C101" s="237"/>
      <c r="D101" s="242"/>
      <c r="E101" s="242"/>
      <c r="F101" s="237"/>
      <c r="G101" s="286"/>
      <c r="H101" s="1919"/>
      <c r="I101" s="1578"/>
      <c r="J101" s="1386" t="str">
        <f>IF(G101&lt;&gt;"", IF('General Info'!$D$49="No", "Check the flag in 'General Info'!D" &amp; ROW('General Info'!$D$49), ""), IF('General Info'!$D$49="Yes","Please check if appropriate", "Can be left blank for banks without IMA"))</f>
        <v>Can be left blank for banks without IMA</v>
      </c>
      <c r="K101" s="1422"/>
      <c r="L101" s="1584"/>
      <c r="M101" s="1584"/>
      <c r="N101" s="1386" t="str">
        <f>IF(K101&lt;&gt;"", IF('General Info'!$D$49="No", "Check the flag in 'General Info'!D" &amp; ROW('General Info'!$D$49), ""), IF('General Info'!$D$49="Yes","Please check if appropriate", "Can be left blank for banks without IMA"))</f>
        <v>Can be left blank for banks without IMA</v>
      </c>
      <c r="O101" s="1422"/>
      <c r="P101" s="2319"/>
      <c r="Q101" s="2319"/>
      <c r="R101" s="1719" t="str">
        <f>IF(O101&lt;&gt;"", IF('General Info'!$D$49="No", "Check the flag in 'General Info'!D" &amp; ROW('General Info'!$D$49), ""), IF('General Info'!$D$49="Yes","Please check if appropriate", "Can be left blank for banks without IMA"))</f>
        <v>Can be left blank for banks without IMA</v>
      </c>
      <c r="S101" s="1716"/>
      <c r="T101" s="2084"/>
      <c r="U101" s="2084"/>
      <c r="V101" s="1386" t="str">
        <f>IF(S101&lt;&gt;"", IF('General Info'!$D$49="No", "Check the flag in 'General Info'!D" &amp; ROW('General Info'!$D$49), ""), IF('General Info'!$D$49="Yes","Please check if appropriate", "Can be left blank for banks without IMA"))</f>
        <v>Can be left blank for banks without IMA</v>
      </c>
      <c r="W101" s="544"/>
    </row>
    <row r="102" spans="1:23" ht="15" customHeight="1" x14ac:dyDescent="0.25">
      <c r="A102" s="471"/>
      <c r="B102" s="248" t="s">
        <v>1475</v>
      </c>
      <c r="C102" s="237"/>
      <c r="D102" s="242"/>
      <c r="E102" s="242"/>
      <c r="F102" s="237"/>
      <c r="G102" s="286"/>
      <c r="H102" s="1919"/>
      <c r="I102" s="345"/>
      <c r="J102" s="1386" t="str">
        <f>IF(G102&lt;&gt;"", IF('General Info'!$D$49="No", "Check the flag in 'General Info'!D" &amp; ROW('General Info'!$D$49), ""), IF('General Info'!$D$49="Yes","Please check if appropriate", "Can be left blank for banks without IMA"))</f>
        <v>Can be left blank for banks without IMA</v>
      </c>
      <c r="K102" s="1422"/>
      <c r="L102" s="1584"/>
      <c r="M102" s="1584"/>
      <c r="N102" s="1386" t="str">
        <f>IF(K102&lt;&gt;"", IF('General Info'!$D$49="No", "Check the flag in 'General Info'!D" &amp; ROW('General Info'!$D$49), ""), IF('General Info'!$D$49="Yes","Please check if appropriate", "Can be left blank for banks without IMA"))</f>
        <v>Can be left blank for banks without IMA</v>
      </c>
      <c r="O102" s="1422"/>
      <c r="P102" s="2319"/>
      <c r="Q102" s="2319"/>
      <c r="R102" s="1719" t="str">
        <f>IF(O102&lt;&gt;"", IF('General Info'!$D$49="No", "Check the flag in 'General Info'!D" &amp; ROW('General Info'!$D$49), ""), IF('General Info'!$D$49="Yes","Please check if appropriate", "Can be left blank for banks without IMA"))</f>
        <v>Can be left blank for banks without IMA</v>
      </c>
      <c r="S102" s="1716"/>
      <c r="T102" s="2084"/>
      <c r="U102" s="2084"/>
      <c r="V102" s="1386" t="str">
        <f>IF(S102&lt;&gt;"", IF('General Info'!$D$49="No", "Check the flag in 'General Info'!D" &amp; ROW('General Info'!$D$49), ""), IF('General Info'!$D$49="Yes","Please check if appropriate", "Can be left blank for banks without IMA"))</f>
        <v>Can be left blank for banks without IMA</v>
      </c>
      <c r="W102" s="544"/>
    </row>
    <row r="103" spans="1:23" ht="15" customHeight="1" x14ac:dyDescent="0.25">
      <c r="A103" s="471"/>
      <c r="B103" s="1586" t="s">
        <v>1481</v>
      </c>
      <c r="C103" s="237"/>
      <c r="D103" s="242"/>
      <c r="E103" s="242"/>
      <c r="F103" s="237"/>
      <c r="G103" s="286"/>
      <c r="H103" s="1919"/>
      <c r="I103" s="1578"/>
      <c r="J103" s="1386" t="str">
        <f>IF(G103&lt;&gt;"", IF('General Info'!$D$49="No", "Check the flag in 'General Info'!D" &amp; ROW('General Info'!$D$49), ""), IF('General Info'!$D$49="Yes","Please check if appropriate", "Can be left blank for banks without IMA"))</f>
        <v>Can be left blank for banks without IMA</v>
      </c>
      <c r="K103" s="1422"/>
      <c r="L103" s="1584"/>
      <c r="M103" s="1584"/>
      <c r="N103" s="1386" t="str">
        <f>IF(K103&lt;&gt;"", IF('General Info'!$D$49="No", "Check the flag in 'General Info'!D" &amp; ROW('General Info'!$D$49), ""), IF('General Info'!$D$49="Yes","Please check if appropriate", "Can be left blank for banks without IMA"))</f>
        <v>Can be left blank for banks without IMA</v>
      </c>
      <c r="O103" s="1422"/>
      <c r="P103" s="2319"/>
      <c r="Q103" s="2319"/>
      <c r="R103" s="1719" t="str">
        <f>IF(O103&lt;&gt;"", IF('General Info'!$D$49="No", "Check the flag in 'General Info'!D" &amp; ROW('General Info'!$D$49), ""), IF('General Info'!$D$49="Yes","Please check if appropriate", "Can be left blank for banks without IMA"))</f>
        <v>Can be left blank for banks without IMA</v>
      </c>
      <c r="S103" s="1716"/>
      <c r="T103" s="2084"/>
      <c r="U103" s="2084"/>
      <c r="V103" s="1386" t="str">
        <f>IF(S103&lt;&gt;"", IF('General Info'!$D$49="No", "Check the flag in 'General Info'!D" &amp; ROW('General Info'!$D$49), ""), IF('General Info'!$D$49="Yes","Please check if appropriate", "Can be left blank for banks without IMA"))</f>
        <v>Can be left blank for banks without IMA</v>
      </c>
      <c r="W103" s="544"/>
    </row>
    <row r="104" spans="1:23" ht="15" customHeight="1" x14ac:dyDescent="0.25">
      <c r="A104" s="471"/>
      <c r="B104" s="1586" t="s">
        <v>1469</v>
      </c>
      <c r="C104" s="237"/>
      <c r="D104" s="242"/>
      <c r="E104" s="242"/>
      <c r="F104" s="237"/>
      <c r="G104" s="286"/>
      <c r="H104" s="1919"/>
      <c r="I104" s="1578"/>
      <c r="J104" s="1386" t="str">
        <f>IF(G104&lt;&gt;"", IF('General Info'!$D$49="No", "Check the flag in 'General Info'!D" &amp; ROW('General Info'!$D$49), ""), IF('General Info'!$D$49="Yes","Please check if appropriate", "Can be left blank for banks without IMA"))</f>
        <v>Can be left blank for banks without IMA</v>
      </c>
      <c r="K104" s="1422"/>
      <c r="L104" s="1584"/>
      <c r="M104" s="1584"/>
      <c r="N104" s="1386" t="str">
        <f>IF(K104&lt;&gt;"", IF('General Info'!$D$49="No", "Check the flag in 'General Info'!D" &amp; ROW('General Info'!$D$49), ""), IF('General Info'!$D$49="Yes","Please check if appropriate", "Can be left blank for banks without IMA"))</f>
        <v>Can be left blank for banks without IMA</v>
      </c>
      <c r="O104" s="1422"/>
      <c r="P104" s="2319"/>
      <c r="Q104" s="2319"/>
      <c r="R104" s="1719" t="str">
        <f>IF(O104&lt;&gt;"", IF('General Info'!$D$49="No", "Check the flag in 'General Info'!D" &amp; ROW('General Info'!$D$49), ""), IF('General Info'!$D$49="Yes","Please check if appropriate", "Can be left blank for banks without IMA"))</f>
        <v>Can be left blank for banks without IMA</v>
      </c>
      <c r="S104" s="1716"/>
      <c r="T104" s="2084"/>
      <c r="U104" s="2084"/>
      <c r="V104" s="1386" t="str">
        <f>IF(S104&lt;&gt;"", IF('General Info'!$D$49="No", "Check the flag in 'General Info'!D" &amp; ROW('General Info'!$D$49), ""), IF('General Info'!$D$49="Yes","Please check if appropriate", "Can be left blank for banks without IMA"))</f>
        <v>Can be left blank for banks without IMA</v>
      </c>
      <c r="W104" s="544"/>
    </row>
    <row r="105" spans="1:23" ht="15" customHeight="1" x14ac:dyDescent="0.25">
      <c r="A105" s="471"/>
      <c r="B105" s="1586" t="s">
        <v>1470</v>
      </c>
      <c r="C105" s="237"/>
      <c r="D105" s="242"/>
      <c r="E105" s="242"/>
      <c r="F105" s="237"/>
      <c r="G105" s="286"/>
      <c r="H105" s="1919"/>
      <c r="I105" s="1578"/>
      <c r="J105" s="1386" t="str">
        <f>IF(G105&lt;&gt;"", IF('General Info'!$D$49="No", "Check the flag in 'General Info'!D" &amp; ROW('General Info'!$D$49), ""), IF('General Info'!$D$49="Yes","Please check if appropriate", "Can be left blank for banks without IMA"))</f>
        <v>Can be left blank for banks without IMA</v>
      </c>
      <c r="K105" s="1422"/>
      <c r="L105" s="1584"/>
      <c r="M105" s="1584"/>
      <c r="N105" s="1386" t="str">
        <f>IF(K105&lt;&gt;"", IF('General Info'!$D$49="No", "Check the flag in 'General Info'!D" &amp; ROW('General Info'!$D$49), ""), IF('General Info'!$D$49="Yes","Please check if appropriate", "Can be left blank for banks without IMA"))</f>
        <v>Can be left blank for banks without IMA</v>
      </c>
      <c r="O105" s="1422"/>
      <c r="P105" s="2319"/>
      <c r="Q105" s="2319"/>
      <c r="R105" s="1719" t="str">
        <f>IF(O105&lt;&gt;"", IF('General Info'!$D$49="No", "Check the flag in 'General Info'!D" &amp; ROW('General Info'!$D$49), ""), IF('General Info'!$D$49="Yes","Please check if appropriate", "Can be left blank for banks without IMA"))</f>
        <v>Can be left blank for banks without IMA</v>
      </c>
      <c r="S105" s="1716"/>
      <c r="T105" s="2084"/>
      <c r="U105" s="2084"/>
      <c r="V105" s="1386" t="str">
        <f>IF(S105&lt;&gt;"", IF('General Info'!$D$49="No", "Check the flag in 'General Info'!D" &amp; ROW('General Info'!$D$49), ""), IF('General Info'!$D$49="Yes","Please check if appropriate", "Can be left blank for banks without IMA"))</f>
        <v>Can be left blank for banks without IMA</v>
      </c>
      <c r="W105" s="544"/>
    </row>
    <row r="106" spans="1:23" ht="15" customHeight="1" x14ac:dyDescent="0.25">
      <c r="A106" s="471"/>
      <c r="B106" s="1586" t="s">
        <v>1471</v>
      </c>
      <c r="C106" s="237"/>
      <c r="D106" s="242"/>
      <c r="E106" s="242"/>
      <c r="F106" s="237"/>
      <c r="G106" s="286"/>
      <c r="H106" s="1919"/>
      <c r="I106" s="1578"/>
      <c r="J106" s="1386" t="str">
        <f>IF(G106&lt;&gt;"", IF('General Info'!$D$49="No", "Check the flag in 'General Info'!D" &amp; ROW('General Info'!$D$49), ""), IF('General Info'!$D$49="Yes","Please check if appropriate", "Can be left blank for banks without IMA"))</f>
        <v>Can be left blank for banks without IMA</v>
      </c>
      <c r="K106" s="1422"/>
      <c r="L106" s="1584"/>
      <c r="M106" s="1584"/>
      <c r="N106" s="1386" t="str">
        <f>IF(K106&lt;&gt;"", IF('General Info'!$D$49="No", "Check the flag in 'General Info'!D" &amp; ROW('General Info'!$D$49), ""), IF('General Info'!$D$49="Yes","Please check if appropriate", "Can be left blank for banks without IMA"))</f>
        <v>Can be left blank for banks without IMA</v>
      </c>
      <c r="O106" s="1422"/>
      <c r="P106" s="2319"/>
      <c r="Q106" s="2319"/>
      <c r="R106" s="1719" t="str">
        <f>IF(O106&lt;&gt;"", IF('General Info'!$D$49="No", "Check the flag in 'General Info'!D" &amp; ROW('General Info'!$D$49), ""), IF('General Info'!$D$49="Yes","Please check if appropriate", "Can be left blank for banks without IMA"))</f>
        <v>Can be left blank for banks without IMA</v>
      </c>
      <c r="S106" s="1716"/>
      <c r="T106" s="2084"/>
      <c r="U106" s="2084"/>
      <c r="V106" s="1386" t="str">
        <f>IF(S106&lt;&gt;"", IF('General Info'!$D$49="No", "Check the flag in 'General Info'!D" &amp; ROW('General Info'!$D$49), ""), IF('General Info'!$D$49="Yes","Please check if appropriate", "Can be left blank for banks without IMA"))</f>
        <v>Can be left blank for banks without IMA</v>
      </c>
      <c r="W106" s="544"/>
    </row>
    <row r="107" spans="1:23" ht="15" customHeight="1" x14ac:dyDescent="0.25">
      <c r="A107" s="471"/>
      <c r="B107" s="248" t="s">
        <v>1476</v>
      </c>
      <c r="C107" s="237"/>
      <c r="D107" s="242"/>
      <c r="E107" s="242"/>
      <c r="F107" s="237"/>
      <c r="G107" s="286"/>
      <c r="H107" s="1919"/>
      <c r="I107" s="345"/>
      <c r="J107" s="1386" t="str">
        <f>IF(G107&lt;&gt;"", IF('General Info'!$D$49="No", "Check the flag in 'General Info'!D" &amp; ROW('General Info'!$D$49), ""), IF('General Info'!$D$49="Yes","Please check if appropriate", "Can be left blank for banks without IMA"))</f>
        <v>Can be left blank for banks without IMA</v>
      </c>
      <c r="K107" s="1422"/>
      <c r="L107" s="1584"/>
      <c r="M107" s="1584"/>
      <c r="N107" s="1386" t="str">
        <f>IF(K107&lt;&gt;"", IF('General Info'!$D$49="No", "Check the flag in 'General Info'!D" &amp; ROW('General Info'!$D$49), ""), IF('General Info'!$D$49="Yes","Please check if appropriate", "Can be left blank for banks without IMA"))</f>
        <v>Can be left blank for banks without IMA</v>
      </c>
      <c r="O107" s="1422"/>
      <c r="P107" s="2319"/>
      <c r="Q107" s="2319"/>
      <c r="R107" s="1719" t="str">
        <f>IF(O107&lt;&gt;"", IF('General Info'!$D$49="No", "Check the flag in 'General Info'!D" &amp; ROW('General Info'!$D$49), ""), IF('General Info'!$D$49="Yes","Please check if appropriate", "Can be left blank for banks without IMA"))</f>
        <v>Can be left blank for banks without IMA</v>
      </c>
      <c r="S107" s="1716"/>
      <c r="T107" s="2084"/>
      <c r="U107" s="2084"/>
      <c r="V107" s="1386" t="str">
        <f>IF(S107&lt;&gt;"", IF('General Info'!$D$49="No", "Check the flag in 'General Info'!D" &amp; ROW('General Info'!$D$49), ""), IF('General Info'!$D$49="Yes","Please check if appropriate", "Can be left blank for banks without IMA"))</f>
        <v>Can be left blank for banks without IMA</v>
      </c>
      <c r="W107" s="544"/>
    </row>
    <row r="108" spans="1:23" ht="15" customHeight="1" x14ac:dyDescent="0.25">
      <c r="A108" s="471"/>
      <c r="B108" s="1586" t="s">
        <v>1481</v>
      </c>
      <c r="C108" s="237"/>
      <c r="D108" s="242"/>
      <c r="E108" s="242"/>
      <c r="F108" s="237"/>
      <c r="G108" s="286"/>
      <c r="H108" s="1919"/>
      <c r="I108" s="1578"/>
      <c r="J108" s="1386" t="str">
        <f>IF(G108&lt;&gt;"", IF('General Info'!$D$49="No", "Check the flag in 'General Info'!D" &amp; ROW('General Info'!$D$49), ""), IF('General Info'!$D$49="Yes","Please check if appropriate", "Can be left blank for banks without IMA"))</f>
        <v>Can be left blank for banks without IMA</v>
      </c>
      <c r="K108" s="1422"/>
      <c r="L108" s="1584"/>
      <c r="M108" s="1584"/>
      <c r="N108" s="1386" t="str">
        <f>IF(K108&lt;&gt;"", IF('General Info'!$D$49="No", "Check the flag in 'General Info'!D" &amp; ROW('General Info'!$D$49), ""), IF('General Info'!$D$49="Yes","Please check if appropriate", "Can be left blank for banks without IMA"))</f>
        <v>Can be left blank for banks without IMA</v>
      </c>
      <c r="O108" s="1422"/>
      <c r="P108" s="2319"/>
      <c r="Q108" s="2319"/>
      <c r="R108" s="1719" t="str">
        <f>IF(O108&lt;&gt;"", IF('General Info'!$D$49="No", "Check the flag in 'General Info'!D" &amp; ROW('General Info'!$D$49), ""), IF('General Info'!$D$49="Yes","Please check if appropriate", "Can be left blank for banks without IMA"))</f>
        <v>Can be left blank for banks without IMA</v>
      </c>
      <c r="S108" s="1716"/>
      <c r="T108" s="2084"/>
      <c r="U108" s="2084"/>
      <c r="V108" s="1386" t="str">
        <f>IF(S108&lt;&gt;"", IF('General Info'!$D$49="No", "Check the flag in 'General Info'!D" &amp; ROW('General Info'!$D$49), ""), IF('General Info'!$D$49="Yes","Please check if appropriate", "Can be left blank for banks without IMA"))</f>
        <v>Can be left blank for banks without IMA</v>
      </c>
      <c r="W108" s="544"/>
    </row>
    <row r="109" spans="1:23" ht="15" customHeight="1" x14ac:dyDescent="0.25">
      <c r="A109" s="471"/>
      <c r="B109" s="1586" t="s">
        <v>1469</v>
      </c>
      <c r="C109" s="237"/>
      <c r="D109" s="242"/>
      <c r="E109" s="242"/>
      <c r="F109" s="237"/>
      <c r="G109" s="286"/>
      <c r="H109" s="1919"/>
      <c r="I109" s="1578"/>
      <c r="J109" s="1386" t="str">
        <f>IF(G109&lt;&gt;"", IF('General Info'!$D$49="No", "Check the flag in 'General Info'!D" &amp; ROW('General Info'!$D$49), ""), IF('General Info'!$D$49="Yes","Please check if appropriate", "Can be left blank for banks without IMA"))</f>
        <v>Can be left blank for banks without IMA</v>
      </c>
      <c r="K109" s="1422"/>
      <c r="L109" s="1584"/>
      <c r="M109" s="1584"/>
      <c r="N109" s="1386" t="str">
        <f>IF(K109&lt;&gt;"", IF('General Info'!$D$49="No", "Check the flag in 'General Info'!D" &amp; ROW('General Info'!$D$49), ""), IF('General Info'!$D$49="Yes","Please check if appropriate", "Can be left blank for banks without IMA"))</f>
        <v>Can be left blank for banks without IMA</v>
      </c>
      <c r="O109" s="1422"/>
      <c r="P109" s="2319"/>
      <c r="Q109" s="2319"/>
      <c r="R109" s="1719" t="str">
        <f>IF(O109&lt;&gt;"", IF('General Info'!$D$49="No", "Check the flag in 'General Info'!D" &amp; ROW('General Info'!$D$49), ""), IF('General Info'!$D$49="Yes","Please check if appropriate", "Can be left blank for banks without IMA"))</f>
        <v>Can be left blank for banks without IMA</v>
      </c>
      <c r="S109" s="1716"/>
      <c r="T109" s="2084"/>
      <c r="U109" s="2084"/>
      <c r="V109" s="1386" t="str">
        <f>IF(S109&lt;&gt;"", IF('General Info'!$D$49="No", "Check the flag in 'General Info'!D" &amp; ROW('General Info'!$D$49), ""), IF('General Info'!$D$49="Yes","Please check if appropriate", "Can be left blank for banks without IMA"))</f>
        <v>Can be left blank for banks without IMA</v>
      </c>
      <c r="W109" s="544"/>
    </row>
    <row r="110" spans="1:23" ht="15" customHeight="1" x14ac:dyDescent="0.25">
      <c r="A110" s="471"/>
      <c r="B110" s="1586" t="s">
        <v>1470</v>
      </c>
      <c r="C110" s="237"/>
      <c r="D110" s="242"/>
      <c r="E110" s="242"/>
      <c r="F110" s="237"/>
      <c r="G110" s="286"/>
      <c r="H110" s="1919"/>
      <c r="I110" s="1578"/>
      <c r="J110" s="1386" t="str">
        <f>IF(G110&lt;&gt;"", IF('General Info'!$D$49="No", "Check the flag in 'General Info'!D" &amp; ROW('General Info'!$D$49), ""), IF('General Info'!$D$49="Yes","Please check if appropriate", "Can be left blank for banks without IMA"))</f>
        <v>Can be left blank for banks without IMA</v>
      </c>
      <c r="K110" s="1422"/>
      <c r="L110" s="1584"/>
      <c r="M110" s="1584"/>
      <c r="N110" s="1386" t="str">
        <f>IF(K110&lt;&gt;"", IF('General Info'!$D$49="No", "Check the flag in 'General Info'!D" &amp; ROW('General Info'!$D$49), ""), IF('General Info'!$D$49="Yes","Please check if appropriate", "Can be left blank for banks without IMA"))</f>
        <v>Can be left blank for banks without IMA</v>
      </c>
      <c r="O110" s="1422"/>
      <c r="P110" s="2319"/>
      <c r="Q110" s="2319"/>
      <c r="R110" s="1719" t="str">
        <f>IF(O110&lt;&gt;"", IF('General Info'!$D$49="No", "Check the flag in 'General Info'!D" &amp; ROW('General Info'!$D$49), ""), IF('General Info'!$D$49="Yes","Please check if appropriate", "Can be left blank for banks without IMA"))</f>
        <v>Can be left blank for banks without IMA</v>
      </c>
      <c r="S110" s="1716"/>
      <c r="T110" s="2084"/>
      <c r="U110" s="2084"/>
      <c r="V110" s="1386" t="str">
        <f>IF(S110&lt;&gt;"", IF('General Info'!$D$49="No", "Check the flag in 'General Info'!D" &amp; ROW('General Info'!$D$49), ""), IF('General Info'!$D$49="Yes","Please check if appropriate", "Can be left blank for banks without IMA"))</f>
        <v>Can be left blank for banks without IMA</v>
      </c>
      <c r="W110" s="544"/>
    </row>
    <row r="111" spans="1:23" ht="15" customHeight="1" x14ac:dyDescent="0.25">
      <c r="A111" s="471"/>
      <c r="B111" s="1586" t="s">
        <v>1471</v>
      </c>
      <c r="C111" s="237"/>
      <c r="D111" s="242"/>
      <c r="E111" s="242"/>
      <c r="F111" s="237"/>
      <c r="G111" s="286"/>
      <c r="H111" s="1919"/>
      <c r="I111" s="1578"/>
      <c r="J111" s="1386" t="str">
        <f>IF(G111&lt;&gt;"", IF('General Info'!$D$49="No", "Check the flag in 'General Info'!D" &amp; ROW('General Info'!$D$49), ""), IF('General Info'!$D$49="Yes","Please check if appropriate", "Can be left blank for banks without IMA"))</f>
        <v>Can be left blank for banks without IMA</v>
      </c>
      <c r="K111" s="1422"/>
      <c r="L111" s="1584"/>
      <c r="M111" s="1584"/>
      <c r="N111" s="1386" t="str">
        <f>IF(K111&lt;&gt;"", IF('General Info'!$D$49="No", "Check the flag in 'General Info'!D" &amp; ROW('General Info'!$D$49), ""), IF('General Info'!$D$49="Yes","Please check if appropriate", "Can be left blank for banks without IMA"))</f>
        <v>Can be left blank for banks without IMA</v>
      </c>
      <c r="O111" s="1422"/>
      <c r="P111" s="2319"/>
      <c r="Q111" s="2319"/>
      <c r="R111" s="1719" t="str">
        <f>IF(O111&lt;&gt;"", IF('General Info'!$D$49="No", "Check the flag in 'General Info'!D" &amp; ROW('General Info'!$D$49), ""), IF('General Info'!$D$49="Yes","Please check if appropriate", "Can be left blank for banks without IMA"))</f>
        <v>Can be left blank for banks without IMA</v>
      </c>
      <c r="S111" s="1716"/>
      <c r="T111" s="2084"/>
      <c r="U111" s="2084"/>
      <c r="V111" s="1386" t="str">
        <f>IF(S111&lt;&gt;"", IF('General Info'!$D$49="No", "Check the flag in 'General Info'!D" &amp; ROW('General Info'!$D$49), ""), IF('General Info'!$D$49="Yes","Please check if appropriate", "Can be left blank for banks without IMA"))</f>
        <v>Can be left blank for banks without IMA</v>
      </c>
      <c r="W111" s="544"/>
    </row>
    <row r="112" spans="1:23" ht="15" customHeight="1" x14ac:dyDescent="0.25">
      <c r="A112" s="471"/>
      <c r="B112" s="1586" t="s">
        <v>1472</v>
      </c>
      <c r="C112" s="237"/>
      <c r="D112" s="242"/>
      <c r="E112" s="242"/>
      <c r="F112" s="237"/>
      <c r="G112" s="286"/>
      <c r="H112" s="1919"/>
      <c r="I112" s="1578"/>
      <c r="J112" s="1386" t="str">
        <f>IF(G112&lt;&gt;"", IF('General Info'!$D$49="No", "Check the flag in 'General Info'!D" &amp; ROW('General Info'!$D$49), ""), IF('General Info'!$D$49="Yes","Please check if appropriate", "Can be left blank for banks without IMA"))</f>
        <v>Can be left blank for banks without IMA</v>
      </c>
      <c r="K112" s="1422"/>
      <c r="L112" s="1584"/>
      <c r="M112" s="1584"/>
      <c r="N112" s="1386" t="str">
        <f>IF(K112&lt;&gt;"", IF('General Info'!$D$49="No", "Check the flag in 'General Info'!D" &amp; ROW('General Info'!$D$49), ""), IF('General Info'!$D$49="Yes","Please check if appropriate", "Can be left blank for banks without IMA"))</f>
        <v>Can be left blank for banks without IMA</v>
      </c>
      <c r="O112" s="1422"/>
      <c r="P112" s="2319"/>
      <c r="Q112" s="2319"/>
      <c r="R112" s="1719" t="str">
        <f>IF(O112&lt;&gt;"", IF('General Info'!$D$49="No", "Check the flag in 'General Info'!D" &amp; ROW('General Info'!$D$49), ""), IF('General Info'!$D$49="Yes","Please check if appropriate", "Can be left blank for banks without IMA"))</f>
        <v>Can be left blank for banks without IMA</v>
      </c>
      <c r="S112" s="1716"/>
      <c r="T112" s="2084"/>
      <c r="U112" s="2084"/>
      <c r="V112" s="1386" t="str">
        <f>IF(S112&lt;&gt;"", IF('General Info'!$D$49="No", "Check the flag in 'General Info'!D" &amp; ROW('General Info'!$D$49), ""), IF('General Info'!$D$49="Yes","Please check if appropriate", "Can be left blank for banks without IMA"))</f>
        <v>Can be left blank for banks without IMA</v>
      </c>
      <c r="W112" s="544"/>
    </row>
    <row r="113" spans="1:23" ht="15" customHeight="1" x14ac:dyDescent="0.25">
      <c r="A113" s="471"/>
      <c r="B113" s="248" t="s">
        <v>1477</v>
      </c>
      <c r="C113" s="237"/>
      <c r="D113" s="242"/>
      <c r="E113" s="242"/>
      <c r="F113" s="237"/>
      <c r="G113" s="286"/>
      <c r="H113" s="1919"/>
      <c r="I113" s="345"/>
      <c r="J113" s="1386" t="str">
        <f>IF(G113&lt;&gt;"", IF('General Info'!$D$49="No", "Check the flag in 'General Info'!D" &amp; ROW('General Info'!$D$49), ""), IF('General Info'!$D$49="Yes","Please check if appropriate", "Can be left blank for banks without IMA"))</f>
        <v>Can be left blank for banks without IMA</v>
      </c>
      <c r="K113" s="1422"/>
      <c r="L113" s="1584"/>
      <c r="M113" s="1584"/>
      <c r="N113" s="1386" t="str">
        <f>IF(K113&lt;&gt;"", IF('General Info'!$D$49="No", "Check the flag in 'General Info'!D" &amp; ROW('General Info'!$D$49), ""), IF('General Info'!$D$49="Yes","Please check if appropriate", "Can be left blank for banks without IMA"))</f>
        <v>Can be left blank for banks without IMA</v>
      </c>
      <c r="O113" s="1422"/>
      <c r="P113" s="2319"/>
      <c r="Q113" s="2319"/>
      <c r="R113" s="1719" t="str">
        <f>IF(O113&lt;&gt;"", IF('General Info'!$D$49="No", "Check the flag in 'General Info'!D" &amp; ROW('General Info'!$D$49), ""), IF('General Info'!$D$49="Yes","Please check if appropriate", "Can be left blank for banks without IMA"))</f>
        <v>Can be left blank for banks without IMA</v>
      </c>
      <c r="S113" s="1716"/>
      <c r="T113" s="2084"/>
      <c r="U113" s="2084"/>
      <c r="V113" s="1386" t="str">
        <f>IF(S113&lt;&gt;"", IF('General Info'!$D$49="No", "Check the flag in 'General Info'!D" &amp; ROW('General Info'!$D$49), ""), IF('General Info'!$D$49="Yes","Please check if appropriate", "Can be left blank for banks without IMA"))</f>
        <v>Can be left blank for banks without IMA</v>
      </c>
      <c r="W113" s="544"/>
    </row>
    <row r="114" spans="1:23" ht="15" customHeight="1" x14ac:dyDescent="0.25">
      <c r="A114" s="471"/>
      <c r="B114" s="1586" t="s">
        <v>1481</v>
      </c>
      <c r="C114" s="237"/>
      <c r="D114" s="242"/>
      <c r="E114" s="242"/>
      <c r="F114" s="237"/>
      <c r="G114" s="286"/>
      <c r="H114" s="1919"/>
      <c r="I114" s="1578"/>
      <c r="J114" s="1386" t="str">
        <f>IF(G114&lt;&gt;"", IF('General Info'!$D$49="No", "Check the flag in 'General Info'!D" &amp; ROW('General Info'!$D$49), ""), IF('General Info'!$D$49="Yes","Please check if appropriate", "Can be left blank for banks without IMA"))</f>
        <v>Can be left blank for banks without IMA</v>
      </c>
      <c r="K114" s="1422"/>
      <c r="L114" s="1584"/>
      <c r="M114" s="1584"/>
      <c r="N114" s="1386" t="str">
        <f>IF(K114&lt;&gt;"", IF('General Info'!$D$49="No", "Check the flag in 'General Info'!D" &amp; ROW('General Info'!$D$49), ""), IF('General Info'!$D$49="Yes","Please check if appropriate", "Can be left blank for banks without IMA"))</f>
        <v>Can be left blank for banks without IMA</v>
      </c>
      <c r="O114" s="1422"/>
      <c r="P114" s="2319"/>
      <c r="Q114" s="2319"/>
      <c r="R114" s="1719" t="str">
        <f>IF(O114&lt;&gt;"", IF('General Info'!$D$49="No", "Check the flag in 'General Info'!D" &amp; ROW('General Info'!$D$49), ""), IF('General Info'!$D$49="Yes","Please check if appropriate", "Can be left blank for banks without IMA"))</f>
        <v>Can be left blank for banks without IMA</v>
      </c>
      <c r="S114" s="1716"/>
      <c r="T114" s="2084"/>
      <c r="U114" s="2084"/>
      <c r="V114" s="1386" t="str">
        <f>IF(S114&lt;&gt;"", IF('General Info'!$D$49="No", "Check the flag in 'General Info'!D" &amp; ROW('General Info'!$D$49), ""), IF('General Info'!$D$49="Yes","Please check if appropriate", "Can be left blank for banks without IMA"))</f>
        <v>Can be left blank for banks without IMA</v>
      </c>
      <c r="W114" s="544"/>
    </row>
    <row r="115" spans="1:23" ht="15" customHeight="1" x14ac:dyDescent="0.25">
      <c r="A115" s="471"/>
      <c r="B115" s="1586" t="s">
        <v>1469</v>
      </c>
      <c r="C115" s="237"/>
      <c r="D115" s="242"/>
      <c r="E115" s="242"/>
      <c r="F115" s="237"/>
      <c r="G115" s="1716"/>
      <c r="H115" s="1578"/>
      <c r="I115" s="1578"/>
      <c r="J115" s="1386" t="str">
        <f>IF(G115&lt;&gt;"", IF('General Info'!$D$49="No", "Check the flag in 'General Info'!D" &amp; ROW('General Info'!$D$49), ""), IF('General Info'!$D$49="Yes","Please check if appropriate", "Can be left blank for banks without IMA"))</f>
        <v>Can be left blank for banks without IMA</v>
      </c>
      <c r="K115" s="1422"/>
      <c r="L115" s="1584"/>
      <c r="M115" s="1584"/>
      <c r="N115" s="1386" t="str">
        <f>IF(K115&lt;&gt;"", IF('General Info'!$D$49="No", "Check the flag in 'General Info'!D" &amp; ROW('General Info'!$D$49), ""), IF('General Info'!$D$49="Yes","Please check if appropriate", "Can be left blank for banks without IMA"))</f>
        <v>Can be left blank for banks without IMA</v>
      </c>
      <c r="O115" s="1422"/>
      <c r="P115" s="2319"/>
      <c r="Q115" s="2319"/>
      <c r="R115" s="1719" t="str">
        <f>IF(O115&lt;&gt;"", IF('General Info'!$D$49="No", "Check the flag in 'General Info'!D" &amp; ROW('General Info'!$D$49), ""), IF('General Info'!$D$49="Yes","Please check if appropriate", "Can be left blank for banks without IMA"))</f>
        <v>Can be left blank for banks without IMA</v>
      </c>
      <c r="S115" s="1716"/>
      <c r="T115" s="2084"/>
      <c r="U115" s="2084"/>
      <c r="V115" s="1386" t="str">
        <f>IF(S115&lt;&gt;"", IF('General Info'!$D$49="No", "Check the flag in 'General Info'!D" &amp; ROW('General Info'!$D$49), ""), IF('General Info'!$D$49="Yes","Please check if appropriate", "Can be left blank for banks without IMA"))</f>
        <v>Can be left blank for banks without IMA</v>
      </c>
      <c r="W115" s="544"/>
    </row>
    <row r="116" spans="1:23" ht="15" customHeight="1" x14ac:dyDescent="0.25">
      <c r="A116" s="471"/>
      <c r="B116" s="1586" t="s">
        <v>1470</v>
      </c>
      <c r="C116" s="237"/>
      <c r="D116" s="242"/>
      <c r="E116" s="242"/>
      <c r="F116" s="237"/>
      <c r="G116" s="1716"/>
      <c r="H116" s="1578"/>
      <c r="I116" s="1578"/>
      <c r="J116" s="1386" t="str">
        <f>IF(G116&lt;&gt;"", IF('General Info'!$D$49="No", "Check the flag in 'General Info'!D" &amp; ROW('General Info'!$D$49), ""), IF('General Info'!$D$49="Yes","Please check if appropriate", "Can be left blank for banks without IMA"))</f>
        <v>Can be left blank for banks without IMA</v>
      </c>
      <c r="K116" s="1422"/>
      <c r="L116" s="1584"/>
      <c r="M116" s="1584"/>
      <c r="N116" s="1386" t="str">
        <f>IF(K116&lt;&gt;"", IF('General Info'!$D$49="No", "Check the flag in 'General Info'!D" &amp; ROW('General Info'!$D$49), ""), IF('General Info'!$D$49="Yes","Please check if appropriate", "Can be left blank for banks without IMA"))</f>
        <v>Can be left blank for banks without IMA</v>
      </c>
      <c r="O116" s="1422"/>
      <c r="P116" s="2319"/>
      <c r="Q116" s="2319"/>
      <c r="R116" s="2320" t="str">
        <f>IF(O116&lt;&gt;"", IF('General Info'!$D$49="No", "Check the flag in 'General Info'!D" &amp; ROW('General Info'!$D$49), ""), IF('General Info'!$D$49="Yes","Please check if appropriate", "Can be left blank for banks without IMA"))</f>
        <v>Can be left blank for banks without IMA</v>
      </c>
      <c r="S116" s="1716"/>
      <c r="T116" s="2084"/>
      <c r="U116" s="2084"/>
      <c r="V116" s="1386" t="str">
        <f>IF(S116&lt;&gt;"", IF('General Info'!$D$49="No", "Check the flag in 'General Info'!D" &amp; ROW('General Info'!$D$49), ""), IF('General Info'!$D$49="Yes","Please check if appropriate", "Can be left blank for banks without IMA"))</f>
        <v>Can be left blank for banks without IMA</v>
      </c>
      <c r="W116" s="544"/>
    </row>
    <row r="117" spans="1:23" ht="15" customHeight="1" x14ac:dyDescent="0.25">
      <c r="A117" s="471"/>
      <c r="B117" s="240" t="s">
        <v>486</v>
      </c>
      <c r="C117" s="237"/>
      <c r="D117" s="242"/>
      <c r="E117" s="242"/>
      <c r="F117" s="237"/>
      <c r="G117" s="161">
        <f>IF('General Info'!$D$49="Yes", IF(AND(COUNT(G118:G122)=ROWS(G118:G122), COUNT(H118:H122)=ROWS(H118:H122), ISNUMBER(I119), ISNUMBER(I120)), SUM(SQRT(I119), SQRT(I120), SQRT((0.6*SUM(G118:G122))^2+(1-0.6^2)*SUM(H118:H122))), ""), 0)</f>
        <v>0</v>
      </c>
      <c r="H117" s="345"/>
      <c r="I117" s="345"/>
      <c r="J117" s="345"/>
      <c r="K117" s="1421">
        <f>IF('General Info'!$D$49="Yes", IF(AND(COUNT(K118:K122)=ROWS(K118:K122), COUNT(L118:L122)=ROWS(L118:L122), ISNUMBER(M119), ISNUMBER(M120)), SUM(SQRT(M119), SQRT(M120), SQRT((0.6*SUM(K118:K122))^2+(1-0.6^2)*SUM(L118:L122))), ""), 0)</f>
        <v>0</v>
      </c>
      <c r="L117" s="1584"/>
      <c r="M117" s="1584"/>
      <c r="N117" s="1906"/>
      <c r="O117" s="1421">
        <f>IF('General Info'!$D$49="Yes", IF(AND(COUNT(O118:O122)=ROWS(O118:O122), COUNT(P118:P122)=ROWS(P118:P122), ISNUMBER(Q119), ISNUMBER(Q120)), SUM(SQRT(Q119), SQRT(Q120), SQRT((0.6*SUM(O118:O122))^2+(1-0.6^2)*SUM(P118:P122))), ""), 0)</f>
        <v>0</v>
      </c>
      <c r="P117" s="2084"/>
      <c r="Q117" s="2084"/>
      <c r="R117" s="2084"/>
      <c r="S117" s="1421">
        <f>IF('General Info'!$D$49="Yes", IF(AND(COUNT(S118:S122)=ROWS(S118:S122), COUNT(T118:T122)=ROWS(T118:T122), ISNUMBER(U119), ISNUMBER(U120)), SUM(SQRT(U119), SQRT(U120), SQRT((0.6*SUM(S118:S122))^2+(1-0.6^2)*SUM(T118:T122))), ""), 0)</f>
        <v>0</v>
      </c>
      <c r="T117" s="2084"/>
      <c r="U117" s="2084"/>
      <c r="V117" s="2084"/>
      <c r="W117" s="544"/>
    </row>
    <row r="118" spans="1:23" ht="15" customHeight="1" x14ac:dyDescent="0.25">
      <c r="A118" s="471"/>
      <c r="B118" s="243" t="s">
        <v>487</v>
      </c>
      <c r="C118" s="237"/>
      <c r="D118" s="242"/>
      <c r="E118" s="242"/>
      <c r="F118" s="237"/>
      <c r="G118" s="1716"/>
      <c r="H118" s="286"/>
      <c r="I118" s="345"/>
      <c r="J118" s="1386" t="str">
        <f>IF(G118&lt;&gt;"", IF('General Info'!$D$49="No", "Check the flag in 'General Info'!D" &amp; ROW('General Info'!$D$49), ""), IF('General Info'!$D$49="Yes","Please check if appropriate", "Can be left blank for banks without IMA"))</f>
        <v>Can be left blank for banks without IMA</v>
      </c>
      <c r="K118" s="1422"/>
      <c r="L118" s="286"/>
      <c r="M118" s="1584"/>
      <c r="N118" s="1386" t="str">
        <f>IF(K118&lt;&gt;"", IF('General Info'!$D$49="No", "Check the flag in 'General Info'!D" &amp; ROW('General Info'!$D$49), ""), IF('General Info'!$D$49="Yes","Please check if appropriate", "Can be left blank for banks without IMA"))</f>
        <v>Can be left blank for banks without IMA</v>
      </c>
      <c r="O118" s="1422"/>
      <c r="P118" s="286"/>
      <c r="Q118" s="2084"/>
      <c r="R118" s="1386" t="str">
        <f>IF(O118&lt;&gt;"", IF('General Info'!$D$49="No", "Check the flag in 'General Info'!D" &amp; ROW('General Info'!$D$49), ""), IF('General Info'!$D$49="Yes","Please check if appropriate", "Can be left blank for banks without IMA"))</f>
        <v>Can be left blank for banks without IMA</v>
      </c>
      <c r="S118" s="1422"/>
      <c r="T118" s="286"/>
      <c r="U118" s="2084"/>
      <c r="V118" s="1386" t="str">
        <f>IF(S118&lt;&gt;"", IF('General Info'!$D$49="No", "Check the flag in 'General Info'!D" &amp; ROW('General Info'!$D$49), ""), IF('General Info'!$D$49="Yes","Please check if appropriate", "Can be left blank for banks without IMA"))</f>
        <v>Can be left blank for banks without IMA</v>
      </c>
      <c r="W118" s="544"/>
    </row>
    <row r="119" spans="1:23" ht="15" customHeight="1" x14ac:dyDescent="0.25">
      <c r="A119" s="471"/>
      <c r="B119" s="243" t="s">
        <v>1083</v>
      </c>
      <c r="C119" s="237"/>
      <c r="D119" s="242"/>
      <c r="E119" s="237"/>
      <c r="F119" s="237"/>
      <c r="G119" s="1716"/>
      <c r="H119" s="286"/>
      <c r="I119" s="1394"/>
      <c r="J119" s="1386" t="str">
        <f>IF(G119&lt;&gt;"", IF('General Info'!$D$49="No", "Check the flag in 'General Info'!D" &amp; ROW('General Info'!$D$49), ""), IF('General Info'!$D$49="Yes","Please check if appropriate", "Can be left blank for banks without IMA"))</f>
        <v>Can be left blank for banks without IMA</v>
      </c>
      <c r="K119" s="1422"/>
      <c r="L119" s="286"/>
      <c r="M119" s="1394"/>
      <c r="N119" s="1386" t="str">
        <f>IF(K119&lt;&gt;"", IF('General Info'!$D$49="No", "Check the flag in 'General Info'!D" &amp; ROW('General Info'!$D$49), ""), IF('General Info'!$D$49="Yes","Please check if appropriate", "Can be left blank for banks without IMA"))</f>
        <v>Can be left blank for banks without IMA</v>
      </c>
      <c r="O119" s="1422"/>
      <c r="P119" s="286"/>
      <c r="Q119" s="1394"/>
      <c r="R119" s="1386" t="str">
        <f>IF(O119&lt;&gt;"", IF('General Info'!$D$49="No", "Check the flag in 'General Info'!D" &amp; ROW('General Info'!$D$49), ""), IF('General Info'!$D$49="Yes","Please check if appropriate", "Can be left blank for banks without IMA"))</f>
        <v>Can be left blank for banks without IMA</v>
      </c>
      <c r="S119" s="1422"/>
      <c r="T119" s="286"/>
      <c r="U119" s="1394"/>
      <c r="V119" s="1386" t="str">
        <f>IF(S119&lt;&gt;"", IF('General Info'!$D$49="No", "Check the flag in 'General Info'!D" &amp; ROW('General Info'!$D$49), ""), IF('General Info'!$D$49="Yes","Please check if appropriate", "Can be left blank for banks without IMA"))</f>
        <v>Can be left blank for banks without IMA</v>
      </c>
      <c r="W119" s="544"/>
    </row>
    <row r="120" spans="1:23" ht="15" customHeight="1" x14ac:dyDescent="0.25">
      <c r="A120" s="471"/>
      <c r="B120" s="243" t="s">
        <v>1084</v>
      </c>
      <c r="C120" s="237"/>
      <c r="D120" s="242"/>
      <c r="E120" s="237"/>
      <c r="F120" s="237"/>
      <c r="G120" s="1716"/>
      <c r="H120" s="286"/>
      <c r="I120" s="1394"/>
      <c r="J120" s="1386" t="str">
        <f>IF(G120&lt;&gt;"", IF('General Info'!$D$49="No", "Check the flag in 'General Info'!D" &amp; ROW('General Info'!$D$49), ""), IF('General Info'!$D$49="Yes","Please check if appropriate", "Can be left blank for banks without IMA"))</f>
        <v>Can be left blank for banks without IMA</v>
      </c>
      <c r="K120" s="1422"/>
      <c r="L120" s="286"/>
      <c r="M120" s="1394"/>
      <c r="N120" s="1386" t="str">
        <f>IF(K120&lt;&gt;"", IF('General Info'!$D$49="No", "Check the flag in 'General Info'!D" &amp; ROW('General Info'!$D$49), ""), IF('General Info'!$D$49="Yes","Please check if appropriate", "Can be left blank for banks without IMA"))</f>
        <v>Can be left blank for banks without IMA</v>
      </c>
      <c r="O120" s="1422"/>
      <c r="P120" s="286"/>
      <c r="Q120" s="1394"/>
      <c r="R120" s="1386" t="str">
        <f>IF(O120&lt;&gt;"", IF('General Info'!$D$49="No", "Check the flag in 'General Info'!D" &amp; ROW('General Info'!$D$49), ""), IF('General Info'!$D$49="Yes","Please check if appropriate", "Can be left blank for banks without IMA"))</f>
        <v>Can be left blank for banks without IMA</v>
      </c>
      <c r="S120" s="1422"/>
      <c r="T120" s="286"/>
      <c r="U120" s="1394"/>
      <c r="V120" s="1386" t="str">
        <f>IF(S120&lt;&gt;"", IF('General Info'!$D$49="No", "Check the flag in 'General Info'!D" &amp; ROW('General Info'!$D$49), ""), IF('General Info'!$D$49="Yes","Please check if appropriate", "Can be left blank for banks without IMA"))</f>
        <v>Can be left blank for banks without IMA</v>
      </c>
      <c r="W120" s="544"/>
    </row>
    <row r="121" spans="1:23" ht="15" customHeight="1" x14ac:dyDescent="0.25">
      <c r="A121" s="471"/>
      <c r="B121" s="243" t="s">
        <v>488</v>
      </c>
      <c r="C121" s="237"/>
      <c r="D121" s="242"/>
      <c r="E121" s="242"/>
      <c r="F121" s="237"/>
      <c r="G121" s="1716"/>
      <c r="H121" s="286"/>
      <c r="I121" s="345"/>
      <c r="J121" s="1386" t="str">
        <f>IF(G121&lt;&gt;"", IF('General Info'!$D$49="No", "Check the flag in 'General Info'!D" &amp; ROW('General Info'!$D$49), ""), IF('General Info'!$D$49="Yes","Please check if appropriate", "Can be left blank for banks without IMA"))</f>
        <v>Can be left blank for banks without IMA</v>
      </c>
      <c r="K121" s="1422"/>
      <c r="L121" s="286"/>
      <c r="M121" s="1584"/>
      <c r="N121" s="1386" t="str">
        <f>IF(K121&lt;&gt;"", IF('General Info'!$D$49="No", "Check the flag in 'General Info'!D" &amp; ROW('General Info'!$D$49), ""), IF('General Info'!$D$49="Yes","Please check if appropriate", "Can be left blank for banks without IMA"))</f>
        <v>Can be left blank for banks without IMA</v>
      </c>
      <c r="O121" s="1422"/>
      <c r="P121" s="286"/>
      <c r="Q121" s="2084"/>
      <c r="R121" s="1386" t="str">
        <f>IF(O121&lt;&gt;"", IF('General Info'!$D$49="No", "Check the flag in 'General Info'!D" &amp; ROW('General Info'!$D$49), ""), IF('General Info'!$D$49="Yes","Please check if appropriate", "Can be left blank for banks without IMA"))</f>
        <v>Can be left blank for banks without IMA</v>
      </c>
      <c r="S121" s="1422"/>
      <c r="T121" s="286"/>
      <c r="U121" s="2084"/>
      <c r="V121" s="1386" t="str">
        <f>IF(S121&lt;&gt;"", IF('General Info'!$D$49="No", "Check the flag in 'General Info'!D" &amp; ROW('General Info'!$D$49), ""), IF('General Info'!$D$49="Yes","Please check if appropriate", "Can be left blank for banks without IMA"))</f>
        <v>Can be left blank for banks without IMA</v>
      </c>
      <c r="W121" s="544"/>
    </row>
    <row r="122" spans="1:23" ht="15" customHeight="1" x14ac:dyDescent="0.25">
      <c r="A122" s="471"/>
      <c r="B122" s="243" t="s">
        <v>489</v>
      </c>
      <c r="C122" s="237"/>
      <c r="D122" s="242"/>
      <c r="E122" s="242"/>
      <c r="F122" s="237"/>
      <c r="G122" s="1716"/>
      <c r="H122" s="286"/>
      <c r="I122" s="345"/>
      <c r="J122" s="1386" t="str">
        <f>IF(G122&lt;&gt;"", IF('General Info'!$D$49="No", "Check the flag in 'General Info'!D" &amp; ROW('General Info'!$D$49), ""), IF('General Info'!$D$49="Yes","Please check if appropriate", "Can be left blank for banks without IMA"))</f>
        <v>Can be left blank for banks without IMA</v>
      </c>
      <c r="K122" s="1422"/>
      <c r="L122" s="286"/>
      <c r="M122" s="1584"/>
      <c r="N122" s="1386" t="str">
        <f>IF(K122&lt;&gt;"", IF('General Info'!$D$49="No", "Check the flag in 'General Info'!D" &amp; ROW('General Info'!$D$49), ""), IF('General Info'!$D$49="Yes","Please check if appropriate", "Can be left blank for banks without IMA"))</f>
        <v>Can be left blank for banks without IMA</v>
      </c>
      <c r="O122" s="1422"/>
      <c r="P122" s="286"/>
      <c r="Q122" s="2084"/>
      <c r="R122" s="1386" t="str">
        <f>IF(O122&lt;&gt;"", IF('General Info'!$D$49="No", "Check the flag in 'General Info'!D" &amp; ROW('General Info'!$D$49), ""), IF('General Info'!$D$49="Yes","Please check if appropriate", "Can be left blank for banks without IMA"))</f>
        <v>Can be left blank for banks without IMA</v>
      </c>
      <c r="S122" s="1422"/>
      <c r="T122" s="286"/>
      <c r="U122" s="2084"/>
      <c r="V122" s="1386" t="str">
        <f>IF(S122&lt;&gt;"", IF('General Info'!$D$49="No", "Check the flag in 'General Info'!D" &amp; ROW('General Info'!$D$49), ""), IF('General Info'!$D$49="Yes","Please check if appropriate", "Can be left blank for banks without IMA"))</f>
        <v>Can be left blank for banks without IMA</v>
      </c>
      <c r="W122" s="544"/>
    </row>
    <row r="123" spans="1:23" ht="15" customHeight="1" x14ac:dyDescent="0.25">
      <c r="A123" s="471"/>
      <c r="B123" s="417" t="s">
        <v>1072</v>
      </c>
      <c r="C123" s="245"/>
      <c r="D123" s="1392"/>
      <c r="E123" s="1392"/>
      <c r="F123" s="245"/>
      <c r="G123" s="1717"/>
      <c r="H123" s="996"/>
      <c r="I123" s="996"/>
      <c r="J123" s="1386" t="str">
        <f>IF(G123&lt;&gt;"", IF('General Info'!$D$49="No", "Check the flag in 'General Info'!D" &amp; ROW('General Info'!$D$49), ""), IF('General Info'!$D$49="Yes","Please check if appropriate", "Can be left blank for banks without IMA"))</f>
        <v>Can be left blank for banks without IMA</v>
      </c>
      <c r="K123" s="1423"/>
      <c r="L123" s="996"/>
      <c r="M123" s="996"/>
      <c r="N123" s="1386" t="str">
        <f>IF(K123&lt;&gt;"", IF('General Info'!$D$49="No", "Check the flag in 'General Info'!D" &amp; ROW('General Info'!$D$49), ""), IF('General Info'!$D$49="Yes","Please check if appropriate", "Can be left blank for banks without IMA"))</f>
        <v>Can be left blank for banks without IMA</v>
      </c>
      <c r="O123" s="1423"/>
      <c r="P123" s="996"/>
      <c r="Q123" s="996"/>
      <c r="R123" s="1386" t="str">
        <f>IF(O123&lt;&gt;"", IF('General Info'!$D$49="No", "Check the flag in 'General Info'!D" &amp; ROW('General Info'!$D$49), ""), IF('General Info'!$D$49="Yes","Please check if appropriate", "Can be left blank for banks without IMA"))</f>
        <v>Can be left blank for banks without IMA</v>
      </c>
      <c r="S123" s="1423"/>
      <c r="T123" s="996"/>
      <c r="U123" s="996"/>
      <c r="V123" s="1386" t="str">
        <f>IF(S123&lt;&gt;"", IF('General Info'!$D$49="No", "Check the flag in 'General Info'!D" &amp; ROW('General Info'!$D$49), ""), IF('General Info'!$D$49="Yes","Please check if appropriate", "Can be left blank for banks without IMA"))</f>
        <v>Can be left blank for banks without IMA</v>
      </c>
      <c r="W123" s="544"/>
    </row>
    <row r="124" spans="1:23" ht="15" customHeight="1" x14ac:dyDescent="0.25">
      <c r="A124" s="471"/>
      <c r="B124" s="2931" t="s">
        <v>2195</v>
      </c>
      <c r="C124" s="2932"/>
      <c r="D124" s="2932"/>
      <c r="E124" s="2932"/>
      <c r="F124" s="2933"/>
      <c r="G124" s="1724"/>
      <c r="H124" s="364"/>
      <c r="I124" s="364"/>
      <c r="J124" s="1413"/>
      <c r="K124" s="1422"/>
      <c r="L124" s="364"/>
      <c r="M124" s="364"/>
      <c r="N124" s="1386" t="str">
        <f>IF(K124&lt;&gt;"", IF('General Info'!$D$49="No", "Check the flag in 'General Info'!D" &amp; ROW('General Info'!$D$49), ""), IF('General Info'!$D$49="Yes","Please check if appropriate", "Can be left blank for banks without IMA"))</f>
        <v>Can be left blank for banks without IMA</v>
      </c>
      <c r="O124" s="1422"/>
      <c r="P124" s="364"/>
      <c r="Q124" s="364"/>
      <c r="R124" s="1386" t="str">
        <f>IF(O124&lt;&gt;"", IF('General Info'!$D$49="No", "Check the flag in 'General Info'!D" &amp; ROW('General Info'!$D$49), ""), IF('General Info'!$D$49="Yes","Please check if appropriate", "Can be left blank for banks without IMA"))</f>
        <v>Can be left blank for banks without IMA</v>
      </c>
      <c r="S124" s="1422"/>
      <c r="T124" s="364"/>
      <c r="U124" s="364"/>
      <c r="V124" s="1386" t="str">
        <f>IF(S124&lt;&gt;"", IF('General Info'!$D$49="No", "Check the flag in 'General Info'!D" &amp; ROW('General Info'!$D$49), ""), IF('General Info'!$D$49="Yes","Please check if appropriate", "Can be left blank for banks without IMA"))</f>
        <v>Can be left blank for banks without IMA</v>
      </c>
      <c r="W124" s="544"/>
    </row>
    <row r="125" spans="1:23" ht="15" customHeight="1" x14ac:dyDescent="0.25">
      <c r="A125" s="471"/>
      <c r="B125" s="2931" t="s">
        <v>2196</v>
      </c>
      <c r="C125" s="2932"/>
      <c r="D125" s="2932"/>
      <c r="E125" s="2932"/>
      <c r="F125" s="2933"/>
      <c r="G125" s="161" t="str">
        <f>IF(ISNUMBER($G11), $G11, "")</f>
        <v/>
      </c>
      <c r="H125" s="364"/>
      <c r="I125" s="364"/>
      <c r="J125" s="1584"/>
      <c r="K125" s="1421" t="str">
        <f>IF(ISNUMBER($G11), $G11, "")</f>
        <v/>
      </c>
      <c r="L125" s="364"/>
      <c r="M125" s="364"/>
      <c r="N125" s="1906"/>
      <c r="O125" s="1421" t="str">
        <f>IF(ISNUMBER($G11), $G11, "")</f>
        <v/>
      </c>
      <c r="P125" s="364"/>
      <c r="Q125" s="364"/>
      <c r="R125" s="2084"/>
      <c r="S125" s="1421" t="str">
        <f>IF(ISNUMBER($G11), $G11, "")</f>
        <v/>
      </c>
      <c r="T125" s="364"/>
      <c r="U125" s="364"/>
      <c r="V125" s="2084"/>
      <c r="W125" s="544"/>
    </row>
    <row r="126" spans="1:23" ht="15" customHeight="1" x14ac:dyDescent="0.25">
      <c r="A126" s="471"/>
      <c r="B126" s="2931" t="s">
        <v>2197</v>
      </c>
      <c r="C126" s="2932"/>
      <c r="D126" s="2932"/>
      <c r="E126" s="2932"/>
      <c r="F126" s="2933"/>
      <c r="G126" s="1725">
        <f>IF(ISNUMBER(G132), G132, "")</f>
        <v>0</v>
      </c>
      <c r="H126" s="1419"/>
      <c r="I126" s="1419"/>
      <c r="J126" s="1399"/>
      <c r="K126" s="1429">
        <f>IF(ISNUMBER(K132), K132, "")</f>
        <v>0</v>
      </c>
      <c r="L126" s="1419"/>
      <c r="M126" s="1419"/>
      <c r="N126" s="1399"/>
      <c r="O126" s="1429">
        <f>IF(ISNUMBER(O132), O132, "")</f>
        <v>0</v>
      </c>
      <c r="P126" s="1419"/>
      <c r="Q126" s="1419"/>
      <c r="R126" s="1399"/>
      <c r="S126" s="1429">
        <f>IF(ISNUMBER(S132), S132, "")</f>
        <v>0</v>
      </c>
      <c r="T126" s="1419"/>
      <c r="U126" s="1419"/>
      <c r="V126" s="1399"/>
      <c r="W126" s="544"/>
    </row>
    <row r="127" spans="1:23" ht="15" customHeight="1" x14ac:dyDescent="0.25">
      <c r="A127" s="471"/>
      <c r="B127" s="987" t="s">
        <v>1064</v>
      </c>
      <c r="C127" s="1077"/>
      <c r="D127" s="1393"/>
      <c r="E127" s="1393"/>
      <c r="F127" s="1077"/>
      <c r="G127" s="1718" t="str">
        <f>IF(AND(ISNUMBER(G60),ISNUMBER(G87),ISNUMBER(G125),ISNUMBER(G126)), MIN(G125, G87+G60)+MAX(0, G87-G126),"")</f>
        <v/>
      </c>
      <c r="H127" s="1398"/>
      <c r="I127" s="1398"/>
      <c r="J127" s="1583"/>
      <c r="K127" s="1715" t="str">
        <f>IF(AND(ISNUMBER(K60), ISNUMBER(K87), ISNUMBER(K124), ISNUMBER(K125), ISNUMBER(K126)), MIN(K125, K87+K124+K60)+MAX(0, K87-K126), "")</f>
        <v/>
      </c>
      <c r="L127" s="1398"/>
      <c r="M127" s="1398"/>
      <c r="N127" s="1907"/>
      <c r="O127" s="1715" t="str">
        <f>IF(AND(ISNUMBER(O60), ISNUMBER(O87), ISNUMBER(O125), ISNUMBER(O126)), MIN(O125, O87+O60)+MAX(0, O87-O126), "")</f>
        <v/>
      </c>
      <c r="P127" s="1398"/>
      <c r="Q127" s="1398"/>
      <c r="R127" s="2085"/>
      <c r="S127" s="1715" t="str">
        <f>IF(AND(ISNUMBER(S60), ISNUMBER(S87), ISNUMBER(S124), ISNUMBER(S125), ISNUMBER(S126)), MIN(S125, S87+S124+S60)+MAX(0, S87-S126), "")</f>
        <v/>
      </c>
      <c r="T127" s="1398"/>
      <c r="U127" s="1398"/>
      <c r="V127" s="2085"/>
      <c r="W127" s="544"/>
    </row>
    <row r="128" spans="1:23" ht="105" customHeight="1" x14ac:dyDescent="0.25">
      <c r="A128" s="2608" t="s">
        <v>2198</v>
      </c>
      <c r="B128" s="2609"/>
      <c r="C128" s="2609"/>
      <c r="D128" s="2609"/>
      <c r="E128" s="2609"/>
      <c r="F128" s="2609"/>
      <c r="G128" s="2609"/>
      <c r="H128" s="2609"/>
      <c r="I128" s="2609"/>
      <c r="J128" s="2609"/>
      <c r="K128" s="206"/>
      <c r="L128" s="306"/>
      <c r="M128" s="206"/>
      <c r="N128" s="206"/>
      <c r="O128" s="206"/>
      <c r="P128" s="306"/>
      <c r="Q128" s="206"/>
      <c r="R128" s="206"/>
      <c r="S128" s="206"/>
      <c r="T128" s="306"/>
      <c r="U128" s="206"/>
      <c r="V128" s="206"/>
      <c r="W128" s="979"/>
    </row>
    <row r="129" spans="1:23" ht="15" customHeight="1" x14ac:dyDescent="0.25">
      <c r="A129" s="2371"/>
      <c r="B129" s="2934"/>
      <c r="C129" s="2934"/>
      <c r="D129" s="2934"/>
      <c r="E129" s="2934"/>
      <c r="F129" s="2934"/>
      <c r="G129" s="2905" t="s">
        <v>1089</v>
      </c>
      <c r="H129" s="2905"/>
      <c r="I129" s="2905"/>
      <c r="J129" s="2906"/>
      <c r="K129" s="2905" t="s">
        <v>1090</v>
      </c>
      <c r="L129" s="2905"/>
      <c r="M129" s="2905"/>
      <c r="N129" s="2905"/>
      <c r="O129" s="2904" t="s">
        <v>1669</v>
      </c>
      <c r="P129" s="2905"/>
      <c r="Q129" s="2905"/>
      <c r="R129" s="2906"/>
      <c r="S129" s="2904" t="s">
        <v>1670</v>
      </c>
      <c r="T129" s="2905"/>
      <c r="U129" s="2905"/>
      <c r="V129" s="2906"/>
      <c r="W129" s="979"/>
    </row>
    <row r="130" spans="1:23" ht="15" customHeight="1" x14ac:dyDescent="0.25">
      <c r="A130" s="471"/>
      <c r="B130" s="2935"/>
      <c r="C130" s="2935"/>
      <c r="D130" s="2935"/>
      <c r="E130" s="2935"/>
      <c r="F130" s="2935"/>
      <c r="G130" s="1714" t="s">
        <v>1046</v>
      </c>
      <c r="H130" s="1398"/>
      <c r="I130" s="1398"/>
      <c r="J130" s="1720"/>
      <c r="K130" s="1714" t="s">
        <v>1046</v>
      </c>
      <c r="L130" s="1398"/>
      <c r="M130" s="1398"/>
      <c r="N130" s="1907"/>
      <c r="O130" s="2091" t="s">
        <v>1046</v>
      </c>
      <c r="P130" s="1398"/>
      <c r="Q130" s="1398"/>
      <c r="R130" s="2085"/>
      <c r="S130" s="2091" t="s">
        <v>1046</v>
      </c>
      <c r="T130" s="1398"/>
      <c r="U130" s="1398"/>
      <c r="V130" s="2085"/>
      <c r="W130" s="544"/>
    </row>
    <row r="131" spans="1:23" ht="15" customHeight="1" x14ac:dyDescent="0.25">
      <c r="A131" s="471"/>
      <c r="B131" s="235" t="s">
        <v>2199</v>
      </c>
      <c r="C131" s="273"/>
      <c r="D131" s="344"/>
      <c r="E131" s="344"/>
      <c r="F131" s="273"/>
      <c r="G131" s="1048">
        <f>IF(ISNUMBER(G87), G87, "")</f>
        <v>0</v>
      </c>
      <c r="H131" s="1584"/>
      <c r="I131" s="1584"/>
      <c r="J131" s="1722"/>
      <c r="K131" s="1048">
        <f>IF(ISNUMBER(K87), K87, "")</f>
        <v>0</v>
      </c>
      <c r="L131" s="1420"/>
      <c r="M131" s="1420"/>
      <c r="N131" s="1909"/>
      <c r="O131" s="1048">
        <f>IF(ISNUMBER(O87), O87, "")</f>
        <v>0</v>
      </c>
      <c r="P131" s="2084"/>
      <c r="Q131" s="2084"/>
      <c r="R131" s="2086"/>
      <c r="S131" s="1048">
        <f>IF(ISNUMBER(S87), S87, "")</f>
        <v>0</v>
      </c>
      <c r="T131" s="2084"/>
      <c r="U131" s="2084"/>
      <c r="V131" s="2086"/>
      <c r="W131" s="544"/>
    </row>
    <row r="132" spans="1:23" ht="15" customHeight="1" x14ac:dyDescent="0.25">
      <c r="A132" s="471"/>
      <c r="B132" s="140" t="s">
        <v>2200</v>
      </c>
      <c r="C132" s="237"/>
      <c r="D132" s="242"/>
      <c r="E132" s="242"/>
      <c r="F132" s="237"/>
      <c r="G132" s="161">
        <f>IF('General Info'!$D$49="Yes", IF(AND(ISNUMBER(G133), ISNUMBER(G152), ISNUMBER(G153)), SUM(G133,G152,G153), ""), 0)</f>
        <v>0</v>
      </c>
      <c r="H132" s="1584"/>
      <c r="I132" s="1584"/>
      <c r="J132" s="1428"/>
      <c r="K132" s="161">
        <f>IF('General Info'!$D$49="Yes", IF(AND(ISNUMBER(K133), ISNUMBER(K152), ISNUMBER(K153)), SUM(K133,K152,K153), ""), 0)</f>
        <v>0</v>
      </c>
      <c r="L132" s="1420"/>
      <c r="M132" s="1420"/>
      <c r="N132" s="1906"/>
      <c r="O132" s="161">
        <f>IF('General Info'!$D$49="Yes", IF(AND(ISNUMBER(O133), ISNUMBER(O152), ISNUMBER(O153)), SUM(O133,O152,O153), ""), 0)</f>
        <v>0</v>
      </c>
      <c r="P132" s="2084"/>
      <c r="Q132" s="2084"/>
      <c r="R132" s="2084"/>
      <c r="S132" s="161">
        <f>IF('General Info'!$D$49="Yes", IF(AND(ISNUMBER(S133), ISNUMBER(S152), ISNUMBER(S153)), SUM(S133,S152,S153), ""), 0)</f>
        <v>0</v>
      </c>
      <c r="T132" s="2084"/>
      <c r="U132" s="2084"/>
      <c r="V132" s="2084"/>
      <c r="W132" s="544"/>
    </row>
    <row r="133" spans="1:23" ht="15" customHeight="1" x14ac:dyDescent="0.25">
      <c r="A133" s="471"/>
      <c r="B133" s="240" t="s">
        <v>624</v>
      </c>
      <c r="C133" s="237"/>
      <c r="D133" s="242"/>
      <c r="E133" s="242"/>
      <c r="F133" s="237"/>
      <c r="G133" s="161">
        <f>IF('General Info'!$D$49="Yes", IF(AND(ISNUMBER(G134), ISNUMBER(G140), ISNUMBER(G146)), SUM(G134,G140,G146), ""), 0)</f>
        <v>0</v>
      </c>
      <c r="H133" s="1584"/>
      <c r="I133" s="1584"/>
      <c r="J133" s="1428"/>
      <c r="K133" s="161">
        <f>IF('General Info'!$D$49="Yes", IF(AND(ISNUMBER(K134), ISNUMBER(K140), ISNUMBER(K146)), SUM(K134,K140,K146), ""), 0)</f>
        <v>0</v>
      </c>
      <c r="L133" s="1420"/>
      <c r="M133" s="1420"/>
      <c r="N133" s="1906"/>
      <c r="O133" s="161">
        <f>IF('General Info'!$D$49="Yes", IF(AND(ISNUMBER(O134), ISNUMBER(O140), ISNUMBER(O146)), SUM(O134,O140,O146), ""), 0)</f>
        <v>0</v>
      </c>
      <c r="P133" s="2084"/>
      <c r="Q133" s="2084"/>
      <c r="R133" s="2084"/>
      <c r="S133" s="161">
        <f>IF('General Info'!$D$49="Yes", IF(AND(ISNUMBER(S134), ISNUMBER(S140), ISNUMBER(S146)), SUM(S134,S140,S146), ""), 0)</f>
        <v>0</v>
      </c>
      <c r="T133" s="2084"/>
      <c r="U133" s="2084"/>
      <c r="V133" s="2084"/>
      <c r="W133" s="544"/>
    </row>
    <row r="134" spans="1:23" ht="15" customHeight="1" x14ac:dyDescent="0.25">
      <c r="A134" s="471"/>
      <c r="B134" s="243" t="s">
        <v>477</v>
      </c>
      <c r="C134" s="237"/>
      <c r="D134" s="242"/>
      <c r="E134" s="242"/>
      <c r="F134" s="237"/>
      <c r="G134" s="161">
        <f>IF('General Info'!$D$49="Yes", IF(COUNT(G135:G139)=ROWS(G135:G139), SUM(G135:G139), ""), 0)</f>
        <v>0</v>
      </c>
      <c r="H134" s="1584"/>
      <c r="I134" s="1584"/>
      <c r="J134" s="1428"/>
      <c r="K134" s="161">
        <f>IF('General Info'!$D$49="Yes", IF(COUNT(K135:K139)=ROWS(K135:K139), SUM(K135:K139), ""), 0)</f>
        <v>0</v>
      </c>
      <c r="L134" s="1420"/>
      <c r="M134" s="1420"/>
      <c r="N134" s="1906"/>
      <c r="O134" s="161">
        <f>IF('General Info'!$D$49="Yes", IF(COUNT(O135:O139)=ROWS(O135:O139), SUM(O135:O139), ""), 0)</f>
        <v>0</v>
      </c>
      <c r="P134" s="2084"/>
      <c r="Q134" s="2084"/>
      <c r="R134" s="2084"/>
      <c r="S134" s="161">
        <f>IF('General Info'!$D$49="Yes", IF(COUNT(S135:S139)=ROWS(S135:S139), SUM(S135:S139), ""), 0)</f>
        <v>0</v>
      </c>
      <c r="T134" s="2084"/>
      <c r="U134" s="2084"/>
      <c r="V134" s="2084"/>
      <c r="W134" s="544"/>
    </row>
    <row r="135" spans="1:23" ht="15" customHeight="1" x14ac:dyDescent="0.25">
      <c r="A135" s="471"/>
      <c r="B135" s="248" t="s">
        <v>481</v>
      </c>
      <c r="C135" s="237"/>
      <c r="D135" s="242"/>
      <c r="E135" s="242"/>
      <c r="F135" s="237"/>
      <c r="G135" s="1716"/>
      <c r="H135" s="1584"/>
      <c r="I135" s="1584"/>
      <c r="J135" s="1719" t="str">
        <f>IF(G135&lt;&gt;"", IF('General Info'!$D$49="No", "Check the flag in 'General Info'!D" &amp; ROW('General Info'!$D$49), ""), IF('General Info'!$D$49="Yes","Please check if appropriate", "Can be left blank for banks without IMA"))</f>
        <v>Can be left blank for banks without IMA</v>
      </c>
      <c r="K135" s="1716"/>
      <c r="L135" s="1420"/>
      <c r="M135" s="1420"/>
      <c r="N135" s="1386" t="str">
        <f>IF(K135&lt;&gt;"", IF('General Info'!$D$49="No", "Check the flag in 'General Info'!D" &amp; ROW('General Info'!$D$49), ""), IF('General Info'!$D$49="Yes","Please check if appropriate", "Can be left blank for banks without IMA"))</f>
        <v>Can be left blank for banks without IMA</v>
      </c>
      <c r="O135" s="1716"/>
      <c r="P135" s="2084"/>
      <c r="Q135" s="2084"/>
      <c r="R135" s="1386" t="str">
        <f>IF(O135&lt;&gt;"", IF('General Info'!$D$49="No", "Check the flag in 'General Info'!D" &amp; ROW('General Info'!$D$49), ""), IF('General Info'!$D$49="Yes","Please check if appropriate", "Can be left blank for banks without IMA"))</f>
        <v>Can be left blank for banks without IMA</v>
      </c>
      <c r="S135" s="1716"/>
      <c r="T135" s="2084"/>
      <c r="U135" s="2084"/>
      <c r="V135" s="1386" t="str">
        <f>IF(S135&lt;&gt;"", IF('General Info'!$D$49="No", "Check the flag in 'General Info'!D" &amp; ROW('General Info'!$D$49), ""), IF('General Info'!$D$49="Yes","Please check if appropriate", "Can be left blank for banks without IMA"))</f>
        <v>Can be left blank for banks without IMA</v>
      </c>
      <c r="W135" s="544"/>
    </row>
    <row r="136" spans="1:23" ht="15" customHeight="1" x14ac:dyDescent="0.25">
      <c r="A136" s="471"/>
      <c r="B136" s="248" t="s">
        <v>480</v>
      </c>
      <c r="C136" s="237"/>
      <c r="D136" s="242"/>
      <c r="E136" s="242"/>
      <c r="F136" s="237"/>
      <c r="G136" s="1716"/>
      <c r="H136" s="1584"/>
      <c r="I136" s="1584"/>
      <c r="J136" s="1719" t="str">
        <f>IF(G136&lt;&gt;"", IF('General Info'!$D$49="No", "Check the flag in 'General Info'!D" &amp; ROW('General Info'!$D$49), ""), IF('General Info'!$D$49="Yes","Please check if appropriate", "Can be left blank for banks without IMA"))</f>
        <v>Can be left blank for banks without IMA</v>
      </c>
      <c r="K136" s="1716"/>
      <c r="L136" s="1420"/>
      <c r="M136" s="1420"/>
      <c r="N136" s="1386" t="str">
        <f>IF(K136&lt;&gt;"", IF('General Info'!$D$49="No", "Check the flag in 'General Info'!D" &amp; ROW('General Info'!$D$49), ""), IF('General Info'!$D$49="Yes","Please check if appropriate", "Can be left blank for banks without IMA"))</f>
        <v>Can be left blank for banks without IMA</v>
      </c>
      <c r="O136" s="1716"/>
      <c r="P136" s="2084"/>
      <c r="Q136" s="2084"/>
      <c r="R136" s="1386" t="str">
        <f>IF(O136&lt;&gt;"", IF('General Info'!$D$49="No", "Check the flag in 'General Info'!D" &amp; ROW('General Info'!$D$49), ""), IF('General Info'!$D$49="Yes","Please check if appropriate", "Can be left blank for banks without IMA"))</f>
        <v>Can be left blank for banks without IMA</v>
      </c>
      <c r="S136" s="1716"/>
      <c r="T136" s="2084"/>
      <c r="U136" s="2084"/>
      <c r="V136" s="1386" t="str">
        <f>IF(S136&lt;&gt;"", IF('General Info'!$D$49="No", "Check the flag in 'General Info'!D" &amp; ROW('General Info'!$D$49), ""), IF('General Info'!$D$49="Yes","Please check if appropriate", "Can be left blank for banks without IMA"))</f>
        <v>Can be left blank for banks without IMA</v>
      </c>
      <c r="W136" s="544"/>
    </row>
    <row r="137" spans="1:23" ht="15" customHeight="1" x14ac:dyDescent="0.25">
      <c r="A137" s="471"/>
      <c r="B137" s="248" t="s">
        <v>472</v>
      </c>
      <c r="C137" s="237"/>
      <c r="D137" s="242"/>
      <c r="E137" s="242"/>
      <c r="F137" s="237"/>
      <c r="G137" s="1716"/>
      <c r="H137" s="1584"/>
      <c r="I137" s="1584"/>
      <c r="J137" s="1719" t="str">
        <f>IF(G137&lt;&gt;"", IF('General Info'!$D$49="No", "Check the flag in 'General Info'!D" &amp; ROW('General Info'!$D$49), ""), IF('General Info'!$D$49="Yes","Please check if appropriate", "Can be left blank for banks without IMA"))</f>
        <v>Can be left blank for banks without IMA</v>
      </c>
      <c r="K137" s="1716"/>
      <c r="L137" s="1420"/>
      <c r="M137" s="1420"/>
      <c r="N137" s="1386" t="str">
        <f>IF(K137&lt;&gt;"", IF('General Info'!$D$49="No", "Check the flag in 'General Info'!D" &amp; ROW('General Info'!$D$49), ""), IF('General Info'!$D$49="Yes","Please check if appropriate", "Can be left blank for banks without IMA"))</f>
        <v>Can be left blank for banks without IMA</v>
      </c>
      <c r="O137" s="1716"/>
      <c r="P137" s="2084"/>
      <c r="Q137" s="2084"/>
      <c r="R137" s="1386" t="str">
        <f>IF(O137&lt;&gt;"", IF('General Info'!$D$49="No", "Check the flag in 'General Info'!D" &amp; ROW('General Info'!$D$49), ""), IF('General Info'!$D$49="Yes","Please check if appropriate", "Can be left blank for banks without IMA"))</f>
        <v>Can be left blank for banks without IMA</v>
      </c>
      <c r="S137" s="1716"/>
      <c r="T137" s="2084"/>
      <c r="U137" s="2084"/>
      <c r="V137" s="1386" t="str">
        <f>IF(S137&lt;&gt;"", IF('General Info'!$D$49="No", "Check the flag in 'General Info'!D" &amp; ROW('General Info'!$D$49), ""), IF('General Info'!$D$49="Yes","Please check if appropriate", "Can be left blank for banks without IMA"))</f>
        <v>Can be left blank for banks without IMA</v>
      </c>
      <c r="W137" s="544"/>
    </row>
    <row r="138" spans="1:23" ht="15" customHeight="1" x14ac:dyDescent="0.25">
      <c r="A138" s="471"/>
      <c r="B138" s="248" t="s">
        <v>474</v>
      </c>
      <c r="C138" s="237"/>
      <c r="D138" s="242"/>
      <c r="E138" s="242"/>
      <c r="F138" s="237"/>
      <c r="G138" s="1716"/>
      <c r="H138" s="1584"/>
      <c r="I138" s="1584"/>
      <c r="J138" s="1719" t="str">
        <f>IF(G138&lt;&gt;"", IF('General Info'!$D$49="No", "Check the flag in 'General Info'!D" &amp; ROW('General Info'!$D$49), ""), IF('General Info'!$D$49="Yes","Please check if appropriate", "Can be left blank for banks without IMA"))</f>
        <v>Can be left blank for banks without IMA</v>
      </c>
      <c r="K138" s="1716"/>
      <c r="L138" s="1420"/>
      <c r="M138" s="1420"/>
      <c r="N138" s="1386" t="str">
        <f>IF(K138&lt;&gt;"", IF('General Info'!$D$49="No", "Check the flag in 'General Info'!D" &amp; ROW('General Info'!$D$49), ""), IF('General Info'!$D$49="Yes","Please check if appropriate", "Can be left blank for banks without IMA"))</f>
        <v>Can be left blank for banks without IMA</v>
      </c>
      <c r="O138" s="1716"/>
      <c r="P138" s="2084"/>
      <c r="Q138" s="2084"/>
      <c r="R138" s="1386" t="str">
        <f>IF(O138&lt;&gt;"", IF('General Info'!$D$49="No", "Check the flag in 'General Info'!D" &amp; ROW('General Info'!$D$49), ""), IF('General Info'!$D$49="Yes","Please check if appropriate", "Can be left blank for banks without IMA"))</f>
        <v>Can be left blank for banks without IMA</v>
      </c>
      <c r="S138" s="1716"/>
      <c r="T138" s="2084"/>
      <c r="U138" s="2084"/>
      <c r="V138" s="1386" t="str">
        <f>IF(S138&lt;&gt;"", IF('General Info'!$D$49="No", "Check the flag in 'General Info'!D" &amp; ROW('General Info'!$D$49), ""), IF('General Info'!$D$49="Yes","Please check if appropriate", "Can be left blank for banks without IMA"))</f>
        <v>Can be left blank for banks without IMA</v>
      </c>
      <c r="W138" s="544"/>
    </row>
    <row r="139" spans="1:23" ht="15" customHeight="1" x14ac:dyDescent="0.25">
      <c r="A139" s="471"/>
      <c r="B139" s="248" t="s">
        <v>473</v>
      </c>
      <c r="C139" s="237"/>
      <c r="D139" s="242"/>
      <c r="E139" s="242"/>
      <c r="F139" s="237"/>
      <c r="G139" s="1716"/>
      <c r="H139" s="1584"/>
      <c r="I139" s="1584"/>
      <c r="J139" s="1719" t="str">
        <f>IF(G139&lt;&gt;"", IF('General Info'!$D$49="No", "Check the flag in 'General Info'!D" &amp; ROW('General Info'!$D$49), ""), IF('General Info'!$D$49="Yes","Please check if appropriate", "Can be left blank for banks without IMA"))</f>
        <v>Can be left blank for banks without IMA</v>
      </c>
      <c r="K139" s="1716"/>
      <c r="L139" s="1420"/>
      <c r="M139" s="1420"/>
      <c r="N139" s="1386" t="str">
        <f>IF(K139&lt;&gt;"", IF('General Info'!$D$49="No", "Check the flag in 'General Info'!D" &amp; ROW('General Info'!$D$49), ""), IF('General Info'!$D$49="Yes","Please check if appropriate", "Can be left blank for banks without IMA"))</f>
        <v>Can be left blank for banks without IMA</v>
      </c>
      <c r="O139" s="1716"/>
      <c r="P139" s="2084"/>
      <c r="Q139" s="2084"/>
      <c r="R139" s="1386" t="str">
        <f>IF(O139&lt;&gt;"", IF('General Info'!$D$49="No", "Check the flag in 'General Info'!D" &amp; ROW('General Info'!$D$49), ""), IF('General Info'!$D$49="Yes","Please check if appropriate", "Can be left blank for banks without IMA"))</f>
        <v>Can be left blank for banks without IMA</v>
      </c>
      <c r="S139" s="1716"/>
      <c r="T139" s="2084"/>
      <c r="U139" s="2084"/>
      <c r="V139" s="1386" t="str">
        <f>IF(S139&lt;&gt;"", IF('General Info'!$D$49="No", "Check the flag in 'General Info'!D" &amp; ROW('General Info'!$D$49), ""), IF('General Info'!$D$49="Yes","Please check if appropriate", "Can be left blank for banks without IMA"))</f>
        <v>Can be left blank for banks without IMA</v>
      </c>
      <c r="W139" s="544"/>
    </row>
    <row r="140" spans="1:23" ht="15" customHeight="1" x14ac:dyDescent="0.25">
      <c r="A140" s="471"/>
      <c r="B140" s="243" t="s">
        <v>478</v>
      </c>
      <c r="C140" s="237"/>
      <c r="D140" s="242"/>
      <c r="E140" s="242"/>
      <c r="F140" s="237"/>
      <c r="G140" s="161">
        <f>IF('General Info'!$D$49="Yes", IF(COUNT(G141:G145)=ROWS(G141:G145), SUM(G141:G145), ""), 0)</f>
        <v>0</v>
      </c>
      <c r="H140" s="1584"/>
      <c r="I140" s="1584"/>
      <c r="J140" s="1428"/>
      <c r="K140" s="161">
        <f>IF('General Info'!$D$49="Yes", IF(COUNT(K141:K145)=ROWS(K141:K145), SUM(K141:K145), ""), 0)</f>
        <v>0</v>
      </c>
      <c r="L140" s="1420"/>
      <c r="M140" s="1420"/>
      <c r="N140" s="1906"/>
      <c r="O140" s="161">
        <f>IF('General Info'!$D$49="Yes", IF(COUNT(O141:O145)=ROWS(O141:O145), SUM(O141:O145), ""), 0)</f>
        <v>0</v>
      </c>
      <c r="P140" s="2084"/>
      <c r="Q140" s="2084"/>
      <c r="R140" s="2084"/>
      <c r="S140" s="161">
        <f>IF('General Info'!$D$49="Yes", IF(COUNT(S141:S145)=ROWS(S141:S145), SUM(S141:S145), ""), 0)</f>
        <v>0</v>
      </c>
      <c r="T140" s="2084"/>
      <c r="U140" s="2084"/>
      <c r="V140" s="2084"/>
      <c r="W140" s="544"/>
    </row>
    <row r="141" spans="1:23" ht="15" customHeight="1" x14ac:dyDescent="0.25">
      <c r="A141" s="471"/>
      <c r="B141" s="248" t="s">
        <v>481</v>
      </c>
      <c r="C141" s="237"/>
      <c r="D141" s="242"/>
      <c r="E141" s="242"/>
      <c r="F141" s="237"/>
      <c r="G141" s="1716"/>
      <c r="H141" s="1584"/>
      <c r="I141" s="1584"/>
      <c r="J141" s="1719" t="str">
        <f>IF(G141&lt;&gt;"", IF('General Info'!$D$49="No", "Check the flag in 'General Info'!D" &amp; ROW('General Info'!$D$49), ""), IF('General Info'!$D$49="Yes","Please check if appropriate", "Can be left blank for banks without IMA"))</f>
        <v>Can be left blank for banks without IMA</v>
      </c>
      <c r="K141" s="1716"/>
      <c r="L141" s="1420"/>
      <c r="M141" s="1420"/>
      <c r="N141" s="1386" t="str">
        <f>IF(K141&lt;&gt;"", IF('General Info'!$D$49="No", "Check the flag in 'General Info'!D" &amp; ROW('General Info'!$D$49), ""), IF('General Info'!$D$49="Yes","Please check if appropriate", "Can be left blank for banks without IMA"))</f>
        <v>Can be left blank for banks without IMA</v>
      </c>
      <c r="O141" s="1716"/>
      <c r="P141" s="2084"/>
      <c r="Q141" s="2084"/>
      <c r="R141" s="1386" t="str">
        <f>IF(O141&lt;&gt;"", IF('General Info'!$D$49="No", "Check the flag in 'General Info'!D" &amp; ROW('General Info'!$D$49), ""), IF('General Info'!$D$49="Yes","Please check if appropriate", "Can be left blank for banks without IMA"))</f>
        <v>Can be left blank for banks without IMA</v>
      </c>
      <c r="S141" s="1716"/>
      <c r="T141" s="2084"/>
      <c r="U141" s="2084"/>
      <c r="V141" s="1386" t="str">
        <f>IF(S141&lt;&gt;"", IF('General Info'!$D$49="No", "Check the flag in 'General Info'!D" &amp; ROW('General Info'!$D$49), ""), IF('General Info'!$D$49="Yes","Please check if appropriate", "Can be left blank for banks without IMA"))</f>
        <v>Can be left blank for banks without IMA</v>
      </c>
      <c r="W141" s="544"/>
    </row>
    <row r="142" spans="1:23" ht="15" customHeight="1" x14ac:dyDescent="0.25">
      <c r="A142" s="471"/>
      <c r="B142" s="248" t="s">
        <v>480</v>
      </c>
      <c r="C142" s="237"/>
      <c r="D142" s="242"/>
      <c r="E142" s="242"/>
      <c r="F142" s="237"/>
      <c r="G142" s="1716"/>
      <c r="H142" s="1584"/>
      <c r="I142" s="1584"/>
      <c r="J142" s="1719" t="str">
        <f>IF(G142&lt;&gt;"", IF('General Info'!$D$49="No", "Check the flag in 'General Info'!D" &amp; ROW('General Info'!$D$49), ""), IF('General Info'!$D$49="Yes","Please check if appropriate", "Can be left blank for banks without IMA"))</f>
        <v>Can be left blank for banks without IMA</v>
      </c>
      <c r="K142" s="1716"/>
      <c r="L142" s="1420"/>
      <c r="M142" s="1420"/>
      <c r="N142" s="1386" t="str">
        <f>IF(K142&lt;&gt;"", IF('General Info'!$D$49="No", "Check the flag in 'General Info'!D" &amp; ROW('General Info'!$D$49), ""), IF('General Info'!$D$49="Yes","Please check if appropriate", "Can be left blank for banks without IMA"))</f>
        <v>Can be left blank for banks without IMA</v>
      </c>
      <c r="O142" s="1716"/>
      <c r="P142" s="2084"/>
      <c r="Q142" s="2084"/>
      <c r="R142" s="1386" t="str">
        <f>IF(O142&lt;&gt;"", IF('General Info'!$D$49="No", "Check the flag in 'General Info'!D" &amp; ROW('General Info'!$D$49), ""), IF('General Info'!$D$49="Yes","Please check if appropriate", "Can be left blank for banks without IMA"))</f>
        <v>Can be left blank for banks without IMA</v>
      </c>
      <c r="S142" s="1716"/>
      <c r="T142" s="2084"/>
      <c r="U142" s="2084"/>
      <c r="V142" s="1386" t="str">
        <f>IF(S142&lt;&gt;"", IF('General Info'!$D$49="No", "Check the flag in 'General Info'!D" &amp; ROW('General Info'!$D$49), ""), IF('General Info'!$D$49="Yes","Please check if appropriate", "Can be left blank for banks without IMA"))</f>
        <v>Can be left blank for banks without IMA</v>
      </c>
      <c r="W142" s="544"/>
    </row>
    <row r="143" spans="1:23" ht="15" customHeight="1" x14ac:dyDescent="0.25">
      <c r="A143" s="471"/>
      <c r="B143" s="248" t="s">
        <v>472</v>
      </c>
      <c r="C143" s="237"/>
      <c r="D143" s="242"/>
      <c r="E143" s="242"/>
      <c r="F143" s="237"/>
      <c r="G143" s="1716"/>
      <c r="H143" s="1584"/>
      <c r="I143" s="1584"/>
      <c r="J143" s="1719" t="str">
        <f>IF(G143&lt;&gt;"", IF('General Info'!$D$49="No", "Check the flag in 'General Info'!D" &amp; ROW('General Info'!$D$49), ""), IF('General Info'!$D$49="Yes","Please check if appropriate", "Can be left blank for banks without IMA"))</f>
        <v>Can be left blank for banks without IMA</v>
      </c>
      <c r="K143" s="1716"/>
      <c r="L143" s="1420"/>
      <c r="M143" s="1420"/>
      <c r="N143" s="1386" t="str">
        <f>IF(K143&lt;&gt;"", IF('General Info'!$D$49="No", "Check the flag in 'General Info'!D" &amp; ROW('General Info'!$D$49), ""), IF('General Info'!$D$49="Yes","Please check if appropriate", "Can be left blank for banks without IMA"))</f>
        <v>Can be left blank for banks without IMA</v>
      </c>
      <c r="O143" s="1716"/>
      <c r="P143" s="2084"/>
      <c r="Q143" s="2084"/>
      <c r="R143" s="1386" t="str">
        <f>IF(O143&lt;&gt;"", IF('General Info'!$D$49="No", "Check the flag in 'General Info'!D" &amp; ROW('General Info'!$D$49), ""), IF('General Info'!$D$49="Yes","Please check if appropriate", "Can be left blank for banks without IMA"))</f>
        <v>Can be left blank for banks without IMA</v>
      </c>
      <c r="S143" s="1716"/>
      <c r="T143" s="2084"/>
      <c r="U143" s="2084"/>
      <c r="V143" s="1386" t="str">
        <f>IF(S143&lt;&gt;"", IF('General Info'!$D$49="No", "Check the flag in 'General Info'!D" &amp; ROW('General Info'!$D$49), ""), IF('General Info'!$D$49="Yes","Please check if appropriate", "Can be left blank for banks without IMA"))</f>
        <v>Can be left blank for banks without IMA</v>
      </c>
      <c r="W143" s="544"/>
    </row>
    <row r="144" spans="1:23" ht="15" customHeight="1" x14ac:dyDescent="0.25">
      <c r="A144" s="471"/>
      <c r="B144" s="248" t="s">
        <v>474</v>
      </c>
      <c r="C144" s="237"/>
      <c r="D144" s="242"/>
      <c r="E144" s="242"/>
      <c r="F144" s="237"/>
      <c r="G144" s="1716"/>
      <c r="H144" s="1584"/>
      <c r="I144" s="1584"/>
      <c r="J144" s="1719" t="str">
        <f>IF(G144&lt;&gt;"", IF('General Info'!$D$49="No", "Check the flag in 'General Info'!D" &amp; ROW('General Info'!$D$49), ""), IF('General Info'!$D$49="Yes","Please check if appropriate", "Can be left blank for banks without IMA"))</f>
        <v>Can be left blank for banks without IMA</v>
      </c>
      <c r="K144" s="1716"/>
      <c r="L144" s="1420"/>
      <c r="M144" s="1420"/>
      <c r="N144" s="1386" t="str">
        <f>IF(K144&lt;&gt;"", IF('General Info'!$D$49="No", "Check the flag in 'General Info'!D" &amp; ROW('General Info'!$D$49), ""), IF('General Info'!$D$49="Yes","Please check if appropriate", "Can be left blank for banks without IMA"))</f>
        <v>Can be left blank for banks without IMA</v>
      </c>
      <c r="O144" s="1716"/>
      <c r="P144" s="2084"/>
      <c r="Q144" s="2084"/>
      <c r="R144" s="1386" t="str">
        <f>IF(O144&lt;&gt;"", IF('General Info'!$D$49="No", "Check the flag in 'General Info'!D" &amp; ROW('General Info'!$D$49), ""), IF('General Info'!$D$49="Yes","Please check if appropriate", "Can be left blank for banks without IMA"))</f>
        <v>Can be left blank for banks without IMA</v>
      </c>
      <c r="S144" s="1716"/>
      <c r="T144" s="2084"/>
      <c r="U144" s="2084"/>
      <c r="V144" s="1386" t="str">
        <f>IF(S144&lt;&gt;"", IF('General Info'!$D$49="No", "Check the flag in 'General Info'!D" &amp; ROW('General Info'!$D$49), ""), IF('General Info'!$D$49="Yes","Please check if appropriate", "Can be left blank for banks without IMA"))</f>
        <v>Can be left blank for banks without IMA</v>
      </c>
      <c r="W144" s="544"/>
    </row>
    <row r="145" spans="1:23" ht="15" customHeight="1" x14ac:dyDescent="0.25">
      <c r="A145" s="471"/>
      <c r="B145" s="248" t="s">
        <v>473</v>
      </c>
      <c r="C145" s="237"/>
      <c r="D145" s="242"/>
      <c r="E145" s="242"/>
      <c r="F145" s="237"/>
      <c r="G145" s="1716"/>
      <c r="H145" s="1584"/>
      <c r="I145" s="1584"/>
      <c r="J145" s="1719" t="str">
        <f>IF(G145&lt;&gt;"", IF('General Info'!$D$49="No", "Check the flag in 'General Info'!D" &amp; ROW('General Info'!$D$49), ""), IF('General Info'!$D$49="Yes","Please check if appropriate", "Can be left blank for banks without IMA"))</f>
        <v>Can be left blank for banks without IMA</v>
      </c>
      <c r="K145" s="1716"/>
      <c r="L145" s="1420"/>
      <c r="M145" s="1420"/>
      <c r="N145" s="1386" t="str">
        <f>IF(K145&lt;&gt;"", IF('General Info'!$D$49="No", "Check the flag in 'General Info'!D" &amp; ROW('General Info'!$D$49), ""), IF('General Info'!$D$49="Yes","Please check if appropriate", "Can be left blank for banks without IMA"))</f>
        <v>Can be left blank for banks without IMA</v>
      </c>
      <c r="O145" s="1716"/>
      <c r="P145" s="2084"/>
      <c r="Q145" s="2084"/>
      <c r="R145" s="1386" t="str">
        <f>IF(O145&lt;&gt;"", IF('General Info'!$D$49="No", "Check the flag in 'General Info'!D" &amp; ROW('General Info'!$D$49), ""), IF('General Info'!$D$49="Yes","Please check if appropriate", "Can be left blank for banks without IMA"))</f>
        <v>Can be left blank for banks without IMA</v>
      </c>
      <c r="S145" s="1716"/>
      <c r="T145" s="2084"/>
      <c r="U145" s="2084"/>
      <c r="V145" s="1386" t="str">
        <f>IF(S145&lt;&gt;"", IF('General Info'!$D$49="No", "Check the flag in 'General Info'!D" &amp; ROW('General Info'!$D$49), ""), IF('General Info'!$D$49="Yes","Please check if appropriate", "Can be left blank for banks without IMA"))</f>
        <v>Can be left blank for banks without IMA</v>
      </c>
      <c r="W145" s="544"/>
    </row>
    <row r="146" spans="1:23" ht="15" customHeight="1" x14ac:dyDescent="0.25">
      <c r="A146" s="471"/>
      <c r="B146" s="243" t="s">
        <v>479</v>
      </c>
      <c r="C146" s="237"/>
      <c r="D146" s="242"/>
      <c r="E146" s="242"/>
      <c r="F146" s="237"/>
      <c r="G146" s="161">
        <f>IF('General Info'!$D$49="Yes", IF(COUNT(G147:G151)=ROWS(G147:G151), SUM(G147:G151), ""), 0)</f>
        <v>0</v>
      </c>
      <c r="H146" s="1584"/>
      <c r="I146" s="1584"/>
      <c r="J146" s="1428"/>
      <c r="K146" s="161">
        <f>IF('General Info'!$D$49="Yes", IF(COUNT(K147:K151)=ROWS(K147:K151), SUM(K147:K151), ""), 0)</f>
        <v>0</v>
      </c>
      <c r="L146" s="1420"/>
      <c r="M146" s="1420"/>
      <c r="N146" s="1906"/>
      <c r="O146" s="161">
        <f>IF('General Info'!$D$49="Yes", IF(COUNT(O147:O151)=ROWS(O147:O151), SUM(O147:O151), ""), 0)</f>
        <v>0</v>
      </c>
      <c r="P146" s="2084"/>
      <c r="Q146" s="2084"/>
      <c r="R146" s="2084"/>
      <c r="S146" s="161">
        <f>IF('General Info'!$D$49="Yes", IF(COUNT(S147:S151)=ROWS(S147:S151), SUM(S147:S151), ""), 0)</f>
        <v>0</v>
      </c>
      <c r="T146" s="2084"/>
      <c r="U146" s="2084"/>
      <c r="V146" s="2084"/>
      <c r="W146" s="544"/>
    </row>
    <row r="147" spans="1:23" ht="15" customHeight="1" x14ac:dyDescent="0.25">
      <c r="A147" s="471"/>
      <c r="B147" s="248" t="s">
        <v>481</v>
      </c>
      <c r="C147" s="237"/>
      <c r="D147" s="242"/>
      <c r="E147" s="242"/>
      <c r="F147" s="237"/>
      <c r="G147" s="1716"/>
      <c r="H147" s="1584"/>
      <c r="I147" s="1584"/>
      <c r="J147" s="1719" t="str">
        <f>IF(G147&lt;&gt;"", IF('General Info'!$D$49="No", "Check the flag in 'General Info'!D" &amp; ROW('General Info'!$D$49), ""), IF('General Info'!$D$49="Yes","Please check if appropriate", "Can be left blank for banks without IMA"))</f>
        <v>Can be left blank for banks without IMA</v>
      </c>
      <c r="K147" s="1716"/>
      <c r="L147" s="1420"/>
      <c r="M147" s="1420"/>
      <c r="N147" s="1386" t="str">
        <f>IF(K147&lt;&gt;"", IF('General Info'!$D$49="No", "Check the flag in 'General Info'!D" &amp; ROW('General Info'!$D$49), ""), IF('General Info'!$D$49="Yes","Please check if appropriate", "Can be left blank for banks without IMA"))</f>
        <v>Can be left blank for banks without IMA</v>
      </c>
      <c r="O147" s="1716"/>
      <c r="P147" s="2084"/>
      <c r="Q147" s="2084"/>
      <c r="R147" s="1386" t="str">
        <f>IF(O147&lt;&gt;"", IF('General Info'!$D$49="No", "Check the flag in 'General Info'!D" &amp; ROW('General Info'!$D$49), ""), IF('General Info'!$D$49="Yes","Please check if appropriate", "Can be left blank for banks without IMA"))</f>
        <v>Can be left blank for banks without IMA</v>
      </c>
      <c r="S147" s="1716"/>
      <c r="T147" s="2084"/>
      <c r="U147" s="2084"/>
      <c r="V147" s="1386" t="str">
        <f>IF(S147&lt;&gt;"", IF('General Info'!$D$49="No", "Check the flag in 'General Info'!D" &amp; ROW('General Info'!$D$49), ""), IF('General Info'!$D$49="Yes","Please check if appropriate", "Can be left blank for banks without IMA"))</f>
        <v>Can be left blank for banks without IMA</v>
      </c>
      <c r="W147" s="544"/>
    </row>
    <row r="148" spans="1:23" ht="15" customHeight="1" x14ac:dyDescent="0.25">
      <c r="A148" s="471"/>
      <c r="B148" s="248" t="s">
        <v>480</v>
      </c>
      <c r="C148" s="237"/>
      <c r="D148" s="242"/>
      <c r="E148" s="242"/>
      <c r="F148" s="237"/>
      <c r="G148" s="1716"/>
      <c r="H148" s="1584"/>
      <c r="I148" s="1584"/>
      <c r="J148" s="1719" t="str">
        <f>IF(G148&lt;&gt;"", IF('General Info'!$D$49="No", "Check the flag in 'General Info'!D" &amp; ROW('General Info'!$D$49), ""), IF('General Info'!$D$49="Yes","Please check if appropriate", "Can be left blank for banks without IMA"))</f>
        <v>Can be left blank for banks without IMA</v>
      </c>
      <c r="K148" s="1716"/>
      <c r="L148" s="1420"/>
      <c r="M148" s="1420"/>
      <c r="N148" s="1386" t="str">
        <f>IF(K148&lt;&gt;"", IF('General Info'!$D$49="No", "Check the flag in 'General Info'!D" &amp; ROW('General Info'!$D$49), ""), IF('General Info'!$D$49="Yes","Please check if appropriate", "Can be left blank for banks without IMA"))</f>
        <v>Can be left blank for banks without IMA</v>
      </c>
      <c r="O148" s="1716"/>
      <c r="P148" s="2084"/>
      <c r="Q148" s="2084"/>
      <c r="R148" s="1386" t="str">
        <f>IF(O148&lt;&gt;"", IF('General Info'!$D$49="No", "Check the flag in 'General Info'!D" &amp; ROW('General Info'!$D$49), ""), IF('General Info'!$D$49="Yes","Please check if appropriate", "Can be left blank for banks without IMA"))</f>
        <v>Can be left blank for banks without IMA</v>
      </c>
      <c r="S148" s="1716"/>
      <c r="T148" s="2084"/>
      <c r="U148" s="2084"/>
      <c r="V148" s="1386" t="str">
        <f>IF(S148&lt;&gt;"", IF('General Info'!$D$49="No", "Check the flag in 'General Info'!D" &amp; ROW('General Info'!$D$49), ""), IF('General Info'!$D$49="Yes","Please check if appropriate", "Can be left blank for banks without IMA"))</f>
        <v>Can be left blank for banks without IMA</v>
      </c>
      <c r="W148" s="544"/>
    </row>
    <row r="149" spans="1:23" ht="15" customHeight="1" x14ac:dyDescent="0.25">
      <c r="A149" s="471"/>
      <c r="B149" s="248" t="s">
        <v>472</v>
      </c>
      <c r="C149" s="237"/>
      <c r="D149" s="242"/>
      <c r="E149" s="242"/>
      <c r="F149" s="237"/>
      <c r="G149" s="1716"/>
      <c r="H149" s="1584"/>
      <c r="I149" s="1584"/>
      <c r="J149" s="1719" t="str">
        <f>IF(G149&lt;&gt;"", IF('General Info'!$D$49="No", "Check the flag in 'General Info'!D" &amp; ROW('General Info'!$D$49), ""), IF('General Info'!$D$49="Yes","Please check if appropriate", "Can be left blank for banks without IMA"))</f>
        <v>Can be left blank for banks without IMA</v>
      </c>
      <c r="K149" s="1716"/>
      <c r="L149" s="1420"/>
      <c r="M149" s="1420"/>
      <c r="N149" s="1386" t="str">
        <f>IF(K149&lt;&gt;"", IF('General Info'!$D$49="No", "Check the flag in 'General Info'!D" &amp; ROW('General Info'!$D$49), ""), IF('General Info'!$D$49="Yes","Please check if appropriate", "Can be left blank for banks without IMA"))</f>
        <v>Can be left blank for banks without IMA</v>
      </c>
      <c r="O149" s="1716"/>
      <c r="P149" s="2084"/>
      <c r="Q149" s="2084"/>
      <c r="R149" s="1386" t="str">
        <f>IF(O149&lt;&gt;"", IF('General Info'!$D$49="No", "Check the flag in 'General Info'!D" &amp; ROW('General Info'!$D$49), ""), IF('General Info'!$D$49="Yes","Please check if appropriate", "Can be left blank for banks without IMA"))</f>
        <v>Can be left blank for banks without IMA</v>
      </c>
      <c r="S149" s="1716"/>
      <c r="T149" s="2084"/>
      <c r="U149" s="2084"/>
      <c r="V149" s="1386" t="str">
        <f>IF(S149&lt;&gt;"", IF('General Info'!$D$49="No", "Check the flag in 'General Info'!D" &amp; ROW('General Info'!$D$49), ""), IF('General Info'!$D$49="Yes","Please check if appropriate", "Can be left blank for banks without IMA"))</f>
        <v>Can be left blank for banks without IMA</v>
      </c>
      <c r="W149" s="544"/>
    </row>
    <row r="150" spans="1:23" ht="15" customHeight="1" x14ac:dyDescent="0.25">
      <c r="A150" s="471"/>
      <c r="B150" s="248" t="s">
        <v>474</v>
      </c>
      <c r="C150" s="237"/>
      <c r="D150" s="242"/>
      <c r="E150" s="242"/>
      <c r="F150" s="237"/>
      <c r="G150" s="1716"/>
      <c r="H150" s="1584"/>
      <c r="I150" s="1584"/>
      <c r="J150" s="1719" t="str">
        <f>IF(G150&lt;&gt;"", IF('General Info'!$D$49="No", "Check the flag in 'General Info'!D" &amp; ROW('General Info'!$D$49), ""), IF('General Info'!$D$49="Yes","Please check if appropriate", "Can be left blank for banks without IMA"))</f>
        <v>Can be left blank for banks without IMA</v>
      </c>
      <c r="K150" s="1716"/>
      <c r="L150" s="1420"/>
      <c r="M150" s="1420"/>
      <c r="N150" s="1386" t="str">
        <f>IF(K150&lt;&gt;"", IF('General Info'!$D$49="No", "Check the flag in 'General Info'!D" &amp; ROW('General Info'!$D$49), ""), IF('General Info'!$D$49="Yes","Please check if appropriate", "Can be left blank for banks without IMA"))</f>
        <v>Can be left blank for banks without IMA</v>
      </c>
      <c r="O150" s="1716"/>
      <c r="P150" s="2084"/>
      <c r="Q150" s="2084"/>
      <c r="R150" s="1386" t="str">
        <f>IF(O150&lt;&gt;"", IF('General Info'!$D$49="No", "Check the flag in 'General Info'!D" &amp; ROW('General Info'!$D$49), ""), IF('General Info'!$D$49="Yes","Please check if appropriate", "Can be left blank for banks without IMA"))</f>
        <v>Can be left blank for banks without IMA</v>
      </c>
      <c r="S150" s="1716"/>
      <c r="T150" s="2084"/>
      <c r="U150" s="2084"/>
      <c r="V150" s="1386" t="str">
        <f>IF(S150&lt;&gt;"", IF('General Info'!$D$49="No", "Check the flag in 'General Info'!D" &amp; ROW('General Info'!$D$49), ""), IF('General Info'!$D$49="Yes","Please check if appropriate", "Can be left blank for banks without IMA"))</f>
        <v>Can be left blank for banks without IMA</v>
      </c>
      <c r="W150" s="544"/>
    </row>
    <row r="151" spans="1:23" ht="15" customHeight="1" x14ac:dyDescent="0.25">
      <c r="A151" s="471"/>
      <c r="B151" s="248" t="s">
        <v>473</v>
      </c>
      <c r="C151" s="237"/>
      <c r="D151" s="242"/>
      <c r="E151" s="242"/>
      <c r="F151" s="237"/>
      <c r="G151" s="1716"/>
      <c r="H151" s="1584"/>
      <c r="I151" s="1584"/>
      <c r="J151" s="1719" t="str">
        <f>IF(G151&lt;&gt;"", IF('General Info'!$D$49="No", "Check the flag in 'General Info'!D" &amp; ROW('General Info'!$D$49), ""), IF('General Info'!$D$49="Yes","Please check if appropriate", "Can be left blank for banks without IMA"))</f>
        <v>Can be left blank for banks without IMA</v>
      </c>
      <c r="K151" s="1716"/>
      <c r="L151" s="1420"/>
      <c r="M151" s="1420"/>
      <c r="N151" s="1386" t="str">
        <f>IF(K151&lt;&gt;"", IF('General Info'!$D$49="No", "Check the flag in 'General Info'!D" &amp; ROW('General Info'!$D$49), ""), IF('General Info'!$D$49="Yes","Please check if appropriate", "Can be left blank for banks without IMA"))</f>
        <v>Can be left blank for banks without IMA</v>
      </c>
      <c r="O151" s="1716"/>
      <c r="P151" s="2084"/>
      <c r="Q151" s="2084"/>
      <c r="R151" s="1386" t="str">
        <f>IF(O151&lt;&gt;"", IF('General Info'!$D$49="No", "Check the flag in 'General Info'!D" &amp; ROW('General Info'!$D$49), ""), IF('General Info'!$D$49="Yes","Please check if appropriate", "Can be left blank for banks without IMA"))</f>
        <v>Can be left blank for banks without IMA</v>
      </c>
      <c r="S151" s="1716"/>
      <c r="T151" s="2084"/>
      <c r="U151" s="2084"/>
      <c r="V151" s="1386" t="str">
        <f>IF(S151&lt;&gt;"", IF('General Info'!$D$49="No", "Check the flag in 'General Info'!D" &amp; ROW('General Info'!$D$49), ""), IF('General Info'!$D$49="Yes","Please check if appropriate", "Can be left blank for banks without IMA"))</f>
        <v>Can be left blank for banks without IMA</v>
      </c>
      <c r="W151" s="544"/>
    </row>
    <row r="152" spans="1:23" ht="15" customHeight="1" x14ac:dyDescent="0.25">
      <c r="A152" s="471"/>
      <c r="B152" s="238" t="s">
        <v>588</v>
      </c>
      <c r="C152" s="237"/>
      <c r="D152" s="242"/>
      <c r="E152" s="242"/>
      <c r="F152" s="237"/>
      <c r="G152" s="1716"/>
      <c r="H152" s="1584"/>
      <c r="I152" s="1584"/>
      <c r="J152" s="1719" t="str">
        <f>IF(G152&lt;&gt;"", IF('General Info'!$D$49="No", "Check the flag in 'General Info'!D" &amp; ROW('General Info'!$D$49), ""), IF('General Info'!$D$49="Yes","Please check if appropriate", "Can be left blank for banks without IMA"))</f>
        <v>Can be left blank for banks without IMA</v>
      </c>
      <c r="K152" s="1716"/>
      <c r="L152" s="1420"/>
      <c r="M152" s="1420"/>
      <c r="N152" s="1386" t="str">
        <f>IF(K152&lt;&gt;"", IF('General Info'!$D$49="No", "Check the flag in 'General Info'!D" &amp; ROW('General Info'!$D$49), ""), IF('General Info'!$D$49="Yes","Please check if appropriate", "Can be left blank for banks without IMA"))</f>
        <v>Can be left blank for banks without IMA</v>
      </c>
      <c r="O152" s="1716"/>
      <c r="P152" s="2084"/>
      <c r="Q152" s="2084"/>
      <c r="R152" s="1386" t="str">
        <f>IF(O152&lt;&gt;"", IF('General Info'!$D$49="No", "Check the flag in 'General Info'!D" &amp; ROW('General Info'!$D$49), ""), IF('General Info'!$D$49="Yes","Please check if appropriate", "Can be left blank for banks without IMA"))</f>
        <v>Can be left blank for banks without IMA</v>
      </c>
      <c r="S152" s="1716"/>
      <c r="T152" s="2084"/>
      <c r="U152" s="2084"/>
      <c r="V152" s="1386" t="str">
        <f>IF(S152&lt;&gt;"", IF('General Info'!$D$49="No", "Check the flag in 'General Info'!D" &amp; ROW('General Info'!$D$49), ""), IF('General Info'!$D$49="Yes","Please check if appropriate", "Can be left blank for banks without IMA"))</f>
        <v>Can be left blank for banks without IMA</v>
      </c>
      <c r="W152" s="544"/>
    </row>
    <row r="153" spans="1:23" ht="15" customHeight="1" x14ac:dyDescent="0.25">
      <c r="A153" s="471"/>
      <c r="B153" s="359" t="s">
        <v>1073</v>
      </c>
      <c r="C153" s="249"/>
      <c r="D153" s="250"/>
      <c r="E153" s="250"/>
      <c r="F153" s="249"/>
      <c r="G153" s="1721"/>
      <c r="H153" s="1399"/>
      <c r="I153" s="1399"/>
      <c r="J153" s="1723" t="str">
        <f>IF(G153&lt;&gt;"", IF('General Info'!$D$49="No", "Check the flag in 'General Info'!D" &amp; ROW('General Info'!$D$49), ""), IF('General Info'!$D$49="Yes","Please check if appropriate", "Can be left blank for banks without IMA"))</f>
        <v>Can be left blank for banks without IMA</v>
      </c>
      <c r="K153" s="1721"/>
      <c r="L153" s="1399"/>
      <c r="M153" s="1399"/>
      <c r="N153" s="1910" t="str">
        <f>IF(K153&lt;&gt;"", IF('General Info'!$D$49="No", "Check the flag in 'General Info'!D" &amp; ROW('General Info'!$D$49), ""), IF('General Info'!$D$49="Yes","Please check if appropriate", "Can be left blank for banks without IMA"))</f>
        <v>Can be left blank for banks without IMA</v>
      </c>
      <c r="O153" s="1721"/>
      <c r="P153" s="1399"/>
      <c r="Q153" s="1399"/>
      <c r="R153" s="2087" t="str">
        <f>IF(O153&lt;&gt;"", IF('General Info'!$D$49="No", "Check the flag in 'General Info'!D" &amp; ROW('General Info'!$D$49), ""), IF('General Info'!$D$49="Yes","Please check if appropriate", "Can be left blank for banks without IMA"))</f>
        <v>Can be left blank for banks without IMA</v>
      </c>
      <c r="S153" s="1721"/>
      <c r="T153" s="1399"/>
      <c r="U153" s="1399"/>
      <c r="V153" s="2087" t="str">
        <f>IF(S153&lt;&gt;"", IF('General Info'!$D$49="No", "Check the flag in 'General Info'!D" &amp; ROW('General Info'!$D$49), ""), IF('General Info'!$D$49="Yes","Please check if appropriate", "Can be left blank for banks without IMA"))</f>
        <v>Can be left blank for banks without IMA</v>
      </c>
      <c r="W153" s="544"/>
    </row>
    <row r="154" spans="1:23" ht="60" customHeight="1" x14ac:dyDescent="0.25">
      <c r="A154" s="2943" t="s">
        <v>2201</v>
      </c>
      <c r="B154" s="2944"/>
      <c r="C154" s="2944"/>
      <c r="D154" s="2944"/>
      <c r="E154" s="2944"/>
      <c r="F154" s="2944"/>
      <c r="G154" s="2944"/>
      <c r="H154" s="2944"/>
      <c r="I154" s="2944"/>
      <c r="J154" s="2944"/>
      <c r="K154" s="1414"/>
      <c r="L154" s="1414"/>
      <c r="M154" s="1414"/>
      <c r="N154" s="1911"/>
      <c r="O154" s="2088"/>
      <c r="P154" s="2088"/>
      <c r="Q154" s="2088"/>
      <c r="R154" s="2088"/>
      <c r="S154" s="2088"/>
      <c r="T154" s="2088"/>
      <c r="U154" s="2088"/>
      <c r="V154" s="2088"/>
      <c r="W154" s="1340"/>
    </row>
    <row r="155" spans="1:23" ht="30" customHeight="1" x14ac:dyDescent="0.25">
      <c r="A155" s="2371"/>
      <c r="B155" s="2942" t="s">
        <v>731</v>
      </c>
      <c r="C155" s="2942"/>
      <c r="D155" s="2942"/>
      <c r="E155" s="2942"/>
      <c r="F155" s="2942"/>
      <c r="G155" s="2942"/>
      <c r="H155" s="2942"/>
      <c r="I155" s="2942"/>
      <c r="J155" s="2942"/>
      <c r="K155" s="1415"/>
      <c r="L155" s="1415"/>
      <c r="M155" s="1415"/>
      <c r="N155" s="1912"/>
      <c r="O155" s="2089"/>
      <c r="P155" s="2089"/>
      <c r="Q155" s="2089"/>
      <c r="R155" s="2089"/>
      <c r="S155" s="2089"/>
      <c r="T155" s="2089"/>
      <c r="U155" s="2089"/>
      <c r="V155" s="2089"/>
      <c r="W155" s="979"/>
    </row>
    <row r="156" spans="1:23" ht="15" customHeight="1" x14ac:dyDescent="0.25">
      <c r="A156" s="471"/>
      <c r="B156" s="1407"/>
      <c r="C156" s="1077"/>
      <c r="D156" s="1393"/>
      <c r="E156" s="1393"/>
      <c r="F156" s="985"/>
      <c r="G156" s="1409" t="s">
        <v>1046</v>
      </c>
      <c r="H156" s="1398"/>
      <c r="I156" s="1398"/>
      <c r="J156" s="1395"/>
      <c r="K156" s="1414"/>
      <c r="L156" s="1414"/>
      <c r="M156" s="1414"/>
      <c r="N156" s="1911"/>
      <c r="O156" s="2088"/>
      <c r="P156" s="2088"/>
      <c r="Q156" s="2088"/>
      <c r="R156" s="2088"/>
      <c r="S156" s="2088"/>
      <c r="T156" s="2088"/>
      <c r="U156" s="2088"/>
      <c r="V156" s="2088"/>
      <c r="W156" s="544"/>
    </row>
    <row r="157" spans="1:23" ht="15" customHeight="1" x14ac:dyDescent="0.25">
      <c r="A157" s="392"/>
      <c r="B157" s="988" t="s">
        <v>2202</v>
      </c>
      <c r="C157" s="703"/>
      <c r="D157" s="702"/>
      <c r="E157" s="702"/>
      <c r="F157" s="702"/>
      <c r="G157" s="989"/>
      <c r="H157" s="981"/>
      <c r="I157" s="981"/>
      <c r="J157" s="997"/>
      <c r="K157" s="1414"/>
      <c r="L157" s="1414"/>
      <c r="M157" s="1414"/>
      <c r="N157" s="1911"/>
      <c r="O157" s="2088"/>
      <c r="P157" s="2088"/>
      <c r="Q157" s="2088"/>
      <c r="R157" s="2088"/>
      <c r="S157" s="2088"/>
      <c r="T157" s="2088"/>
      <c r="U157" s="2088"/>
      <c r="V157" s="2088"/>
      <c r="W157" s="544"/>
    </row>
    <row r="158" spans="1:23" ht="15" customHeight="1" x14ac:dyDescent="0.25">
      <c r="A158" s="392"/>
      <c r="B158" s="362" t="s">
        <v>1066</v>
      </c>
      <c r="C158" s="363"/>
      <c r="D158" s="237"/>
      <c r="E158" s="237"/>
      <c r="F158" s="237"/>
      <c r="G158" s="286"/>
      <c r="H158" s="345"/>
      <c r="I158" s="345"/>
      <c r="J158" s="1389" t="str">
        <f>IF(AND('General Info'!D48="No", 'General Info'!D49="No"), "", IF(G158&lt;&gt;"","","Cell left blank: please check"))</f>
        <v>Cell left blank: please check</v>
      </c>
      <c r="K158" s="1414"/>
      <c r="L158" s="1414"/>
      <c r="M158" s="1414"/>
      <c r="N158" s="1911"/>
      <c r="O158" s="2088"/>
      <c r="P158" s="2088"/>
      <c r="Q158" s="2088"/>
      <c r="R158" s="2088"/>
      <c r="S158" s="2088"/>
      <c r="T158" s="2088"/>
      <c r="U158" s="2088"/>
      <c r="V158" s="2088"/>
      <c r="W158" s="544"/>
    </row>
    <row r="159" spans="1:23" ht="15" customHeight="1" x14ac:dyDescent="0.25">
      <c r="A159" s="392"/>
      <c r="B159" s="362" t="s">
        <v>1412</v>
      </c>
      <c r="C159" s="363"/>
      <c r="D159" s="237"/>
      <c r="E159" s="237"/>
      <c r="F159" s="237"/>
      <c r="G159" s="286"/>
      <c r="H159" s="345"/>
      <c r="I159" s="345"/>
      <c r="J159" s="1389" t="str">
        <f>IF(AND('General Info'!D48="No", 'General Info'!D49="No"), "", IF(G159&lt;&gt;"","","Cell left blank: please check"))</f>
        <v>Cell left blank: please check</v>
      </c>
      <c r="K159" s="1414"/>
      <c r="L159" s="1414"/>
      <c r="M159" s="1414"/>
      <c r="N159" s="1911"/>
      <c r="O159" s="2088"/>
      <c r="P159" s="2088"/>
      <c r="Q159" s="2088"/>
      <c r="R159" s="2088"/>
      <c r="S159" s="2088"/>
      <c r="T159" s="2088"/>
      <c r="U159" s="2088"/>
      <c r="V159" s="2088"/>
      <c r="W159" s="544"/>
    </row>
    <row r="160" spans="1:23" ht="15" customHeight="1" x14ac:dyDescent="0.25">
      <c r="A160" s="392"/>
      <c r="B160" s="353" t="s">
        <v>2203</v>
      </c>
      <c r="C160" s="363"/>
      <c r="D160" s="237"/>
      <c r="E160" s="237"/>
      <c r="F160" s="237"/>
      <c r="G160" s="364"/>
      <c r="H160" s="345"/>
      <c r="I160" s="345"/>
      <c r="J160" s="345"/>
      <c r="K160" s="1414"/>
      <c r="L160" s="1414"/>
      <c r="M160" s="1414"/>
      <c r="N160" s="1911"/>
      <c r="O160" s="2088"/>
      <c r="P160" s="2088"/>
      <c r="Q160" s="2088"/>
      <c r="R160" s="2088"/>
      <c r="S160" s="2088"/>
      <c r="T160" s="2088"/>
      <c r="U160" s="2088"/>
      <c r="V160" s="2088"/>
      <c r="W160" s="544"/>
    </row>
    <row r="161" spans="1:23" ht="15" customHeight="1" x14ac:dyDescent="0.25">
      <c r="A161" s="392"/>
      <c r="B161" s="362" t="s">
        <v>1066</v>
      </c>
      <c r="C161" s="363"/>
      <c r="D161" s="237"/>
      <c r="E161" s="237"/>
      <c r="F161" s="237"/>
      <c r="G161" s="286"/>
      <c r="H161" s="345"/>
      <c r="I161" s="345"/>
      <c r="J161" s="1389" t="str">
        <f>IF(AND('General Info'!D48="No", 'General Info'!D49="No"), "", IF(G161&lt;&gt;"","","Cell left blank: please check"))</f>
        <v>Cell left blank: please check</v>
      </c>
      <c r="K161" s="1414"/>
      <c r="L161" s="1414"/>
      <c r="M161" s="1414"/>
      <c r="N161" s="1911"/>
      <c r="O161" s="2088"/>
      <c r="P161" s="2088"/>
      <c r="Q161" s="2088"/>
      <c r="R161" s="2088"/>
      <c r="S161" s="2088"/>
      <c r="T161" s="2088"/>
      <c r="U161" s="2088"/>
      <c r="V161" s="2088"/>
      <c r="W161" s="544"/>
    </row>
    <row r="162" spans="1:23" ht="15" customHeight="1" x14ac:dyDescent="0.25">
      <c r="A162" s="392"/>
      <c r="B162" s="362" t="s">
        <v>1412</v>
      </c>
      <c r="C162" s="363"/>
      <c r="D162" s="237"/>
      <c r="E162" s="237"/>
      <c r="F162" s="237"/>
      <c r="G162" s="286"/>
      <c r="H162" s="345"/>
      <c r="I162" s="345"/>
      <c r="J162" s="1389" t="str">
        <f>IF(AND('General Info'!D48="No", 'General Info'!D49="No"), "", IF(G162&lt;&gt;"","","Cell left blank: please check"))</f>
        <v>Cell left blank: please check</v>
      </c>
      <c r="K162" s="1414"/>
      <c r="L162" s="1414"/>
      <c r="M162" s="1414"/>
      <c r="N162" s="1911"/>
      <c r="O162" s="2088"/>
      <c r="P162" s="2088"/>
      <c r="Q162" s="2088"/>
      <c r="R162" s="2088"/>
      <c r="S162" s="2088"/>
      <c r="T162" s="2088"/>
      <c r="U162" s="2088"/>
      <c r="V162" s="2088"/>
      <c r="W162" s="544"/>
    </row>
    <row r="163" spans="1:23" ht="15" customHeight="1" x14ac:dyDescent="0.25">
      <c r="A163" s="392"/>
      <c r="B163" s="353" t="s">
        <v>2204</v>
      </c>
      <c r="C163" s="363"/>
      <c r="D163" s="237"/>
      <c r="E163" s="237"/>
      <c r="F163" s="237"/>
      <c r="G163" s="364"/>
      <c r="H163" s="345"/>
      <c r="I163" s="345"/>
      <c r="J163" s="345"/>
      <c r="K163" s="1414"/>
      <c r="L163" s="1414"/>
      <c r="M163" s="1414"/>
      <c r="N163" s="1911"/>
      <c r="O163" s="2088"/>
      <c r="P163" s="2088"/>
      <c r="Q163" s="2088"/>
      <c r="R163" s="2088"/>
      <c r="S163" s="2088"/>
      <c r="T163" s="2088"/>
      <c r="U163" s="2088"/>
      <c r="V163" s="2088"/>
      <c r="W163" s="544"/>
    </row>
    <row r="164" spans="1:23" ht="15" customHeight="1" x14ac:dyDescent="0.25">
      <c r="A164" s="392"/>
      <c r="B164" s="362" t="s">
        <v>1067</v>
      </c>
      <c r="C164" s="363"/>
      <c r="D164" s="237"/>
      <c r="E164" s="237"/>
      <c r="F164" s="237"/>
      <c r="G164" s="286"/>
      <c r="H164" s="345"/>
      <c r="I164" s="345"/>
      <c r="J164" s="1389" t="str">
        <f>IF(AND('General Info'!D48="No", 'General Info'!D49="No"), "", IF(G164&lt;&gt;"","","Cell left blank: please check"))</f>
        <v>Cell left blank: please check</v>
      </c>
      <c r="K164" s="1414"/>
      <c r="L164" s="1414"/>
      <c r="M164" s="1414"/>
      <c r="N164" s="1911"/>
      <c r="O164" s="2088"/>
      <c r="P164" s="2088"/>
      <c r="Q164" s="2088"/>
      <c r="R164" s="2088"/>
      <c r="S164" s="2088"/>
      <c r="T164" s="2088"/>
      <c r="U164" s="2088"/>
      <c r="V164" s="2088"/>
      <c r="W164" s="544"/>
    </row>
    <row r="165" spans="1:23" ht="15" customHeight="1" x14ac:dyDescent="0.25">
      <c r="A165" s="392"/>
      <c r="B165" s="425" t="s">
        <v>1412</v>
      </c>
      <c r="C165" s="268"/>
      <c r="D165" s="249"/>
      <c r="E165" s="249"/>
      <c r="F165" s="249"/>
      <c r="G165" s="343"/>
      <c r="H165" s="1399"/>
      <c r="I165" s="1399"/>
      <c r="J165" s="1388" t="str">
        <f>IF(AND('General Info'!D48="No", 'General Info'!D49="No"), "", IF(G165&lt;&gt;"","","Cell left blank: please check"))</f>
        <v>Cell left blank: please check</v>
      </c>
      <c r="K165" s="1414"/>
      <c r="L165" s="1414"/>
      <c r="M165" s="1414"/>
      <c r="N165" s="1911"/>
      <c r="O165" s="2088"/>
      <c r="P165" s="2088"/>
      <c r="Q165" s="2088"/>
      <c r="R165" s="2088"/>
      <c r="S165" s="2088"/>
      <c r="T165" s="2088"/>
      <c r="U165" s="2088"/>
      <c r="V165" s="2088"/>
      <c r="W165" s="544"/>
    </row>
    <row r="166" spans="1:23" ht="15" customHeight="1" x14ac:dyDescent="0.25">
      <c r="A166" s="1072"/>
      <c r="B166" s="410"/>
      <c r="C166" s="410"/>
      <c r="D166" s="977"/>
      <c r="E166" s="977"/>
      <c r="F166" s="977"/>
      <c r="G166" s="977"/>
      <c r="H166" s="993"/>
      <c r="I166" s="977"/>
      <c r="J166" s="977"/>
      <c r="K166" s="977"/>
      <c r="L166" s="993"/>
      <c r="M166" s="977"/>
      <c r="N166" s="549"/>
      <c r="O166" s="977"/>
      <c r="P166" s="993"/>
      <c r="Q166" s="977"/>
      <c r="R166" s="549"/>
      <c r="S166" s="977"/>
      <c r="T166" s="993"/>
      <c r="U166" s="977"/>
      <c r="V166" s="549"/>
      <c r="W166" s="609"/>
    </row>
    <row r="167" spans="1:23" ht="45" customHeight="1" x14ac:dyDescent="0.35">
      <c r="A167" s="2371" t="s">
        <v>2205</v>
      </c>
      <c r="B167" s="223"/>
      <c r="C167" s="206"/>
      <c r="D167" s="206"/>
      <c r="E167" s="206"/>
      <c r="F167" s="224"/>
      <c r="G167" s="206"/>
      <c r="H167" s="306"/>
      <c r="I167" s="206"/>
      <c r="J167" s="206"/>
      <c r="K167" s="206"/>
      <c r="L167" s="306"/>
      <c r="M167" s="206"/>
      <c r="N167" s="206"/>
      <c r="O167" s="206"/>
      <c r="P167" s="306"/>
      <c r="Q167" s="206"/>
      <c r="R167" s="206"/>
      <c r="S167" s="206"/>
      <c r="T167" s="306"/>
      <c r="U167" s="206"/>
      <c r="V167" s="206"/>
      <c r="W167" s="979"/>
    </row>
    <row r="168" spans="1:23" ht="45" customHeight="1" x14ac:dyDescent="0.25">
      <c r="A168" s="394"/>
      <c r="B168" s="2956" t="s">
        <v>1505</v>
      </c>
      <c r="C168" s="2956"/>
      <c r="D168" s="2956"/>
      <c r="E168" s="2956"/>
      <c r="F168" s="2956"/>
      <c r="G168" s="2956"/>
      <c r="H168" s="2956"/>
      <c r="I168" s="2956"/>
      <c r="J168" s="2956"/>
      <c r="K168" s="594"/>
      <c r="L168" s="594"/>
      <c r="M168" s="1462"/>
      <c r="N168" s="1462"/>
      <c r="O168" s="1462"/>
      <c r="P168" s="1462"/>
      <c r="Q168" s="1462"/>
      <c r="R168" s="1462"/>
      <c r="S168" s="1462"/>
      <c r="T168" s="1462"/>
      <c r="U168" s="1462"/>
      <c r="V168" s="1462"/>
      <c r="W168" s="498"/>
    </row>
    <row r="169" spans="1:23" ht="30" customHeight="1" x14ac:dyDescent="0.25">
      <c r="A169" s="392"/>
      <c r="B169" s="990" t="s">
        <v>305</v>
      </c>
      <c r="C169" s="1074" t="s">
        <v>454</v>
      </c>
      <c r="D169" s="2936" t="s">
        <v>432</v>
      </c>
      <c r="E169" s="2937"/>
      <c r="F169" s="2938"/>
      <c r="G169" s="2927" t="s">
        <v>433</v>
      </c>
      <c r="H169" s="2928"/>
      <c r="I169" s="1434" t="s">
        <v>1192</v>
      </c>
      <c r="J169" s="1577" t="s">
        <v>1193</v>
      </c>
      <c r="K169" s="1908" t="s">
        <v>1462</v>
      </c>
      <c r="L169" s="1908" t="s">
        <v>1461</v>
      </c>
      <c r="M169" s="2553" t="s">
        <v>2283</v>
      </c>
      <c r="N169" s="2553" t="s">
        <v>2284</v>
      </c>
      <c r="O169" s="2553" t="s">
        <v>2285</v>
      </c>
      <c r="P169" s="477"/>
      <c r="Q169" s="477"/>
      <c r="S169" s="477"/>
      <c r="T169" s="477"/>
      <c r="U169" s="477"/>
      <c r="W169" s="544"/>
    </row>
    <row r="170" spans="1:23" ht="15" customHeight="1" x14ac:dyDescent="0.25">
      <c r="A170" s="392"/>
      <c r="B170" s="991" t="s">
        <v>306</v>
      </c>
      <c r="C170" s="1240"/>
      <c r="D170" s="2939"/>
      <c r="E170" s="2940"/>
      <c r="F170" s="2941"/>
      <c r="G170" s="2929"/>
      <c r="H170" s="2930"/>
      <c r="I170" s="1432"/>
      <c r="J170" s="1432"/>
      <c r="K170" s="1747"/>
      <c r="L170" s="36"/>
      <c r="M170" s="1"/>
      <c r="N170" s="1"/>
      <c r="O170" s="1"/>
      <c r="P170" s="477"/>
      <c r="Q170" s="477"/>
      <c r="S170" s="477"/>
      <c r="T170" s="477"/>
      <c r="U170" s="477"/>
      <c r="W170" s="544"/>
    </row>
    <row r="171" spans="1:23" ht="15" customHeight="1" x14ac:dyDescent="0.25">
      <c r="A171" s="392"/>
      <c r="B171" s="1431" t="s">
        <v>307</v>
      </c>
      <c r="C171" s="12"/>
      <c r="D171" s="2921"/>
      <c r="E171" s="2922"/>
      <c r="F171" s="2923"/>
      <c r="G171" s="2913"/>
      <c r="H171" s="2914"/>
      <c r="I171" s="1430"/>
      <c r="J171" s="1430"/>
      <c r="K171" s="1747"/>
      <c r="L171" s="36"/>
      <c r="M171" s="1"/>
      <c r="N171" s="1"/>
      <c r="O171" s="1"/>
      <c r="P171" s="477"/>
      <c r="Q171" s="477"/>
      <c r="S171" s="477"/>
      <c r="T171" s="477"/>
      <c r="U171" s="477"/>
      <c r="W171" s="544"/>
    </row>
    <row r="172" spans="1:23" ht="15" customHeight="1" x14ac:dyDescent="0.25">
      <c r="A172" s="392"/>
      <c r="B172" s="216" t="s">
        <v>308</v>
      </c>
      <c r="C172" s="25"/>
      <c r="D172" s="2921"/>
      <c r="E172" s="2922"/>
      <c r="F172" s="2923"/>
      <c r="G172" s="2913"/>
      <c r="H172" s="2914"/>
      <c r="I172" s="341"/>
      <c r="J172" s="341"/>
      <c r="K172" s="1747"/>
      <c r="L172" s="36"/>
      <c r="M172" s="1"/>
      <c r="N172" s="1"/>
      <c r="O172" s="1"/>
      <c r="P172" s="477"/>
      <c r="Q172" s="477"/>
      <c r="S172" s="477"/>
      <c r="T172" s="477"/>
      <c r="U172" s="477"/>
      <c r="W172" s="544"/>
    </row>
    <row r="173" spans="1:23" ht="15" customHeight="1" x14ac:dyDescent="0.25">
      <c r="A173" s="392"/>
      <c r="B173" s="216" t="s">
        <v>309</v>
      </c>
      <c r="C173" s="25"/>
      <c r="D173" s="2921"/>
      <c r="E173" s="2922"/>
      <c r="F173" s="2923"/>
      <c r="G173" s="2913"/>
      <c r="H173" s="2914"/>
      <c r="I173" s="341"/>
      <c r="J173" s="341"/>
      <c r="K173" s="1747"/>
      <c r="L173" s="36"/>
      <c r="M173" s="1"/>
      <c r="N173" s="1"/>
      <c r="O173" s="1"/>
      <c r="P173" s="477"/>
      <c r="Q173" s="477"/>
      <c r="S173" s="477"/>
      <c r="T173" s="477"/>
      <c r="U173" s="477"/>
      <c r="W173" s="544"/>
    </row>
    <row r="174" spans="1:23" ht="15" customHeight="1" x14ac:dyDescent="0.25">
      <c r="A174" s="392"/>
      <c r="B174" s="216" t="s">
        <v>310</v>
      </c>
      <c r="C174" s="25"/>
      <c r="D174" s="2921"/>
      <c r="E174" s="2922"/>
      <c r="F174" s="2923"/>
      <c r="G174" s="2913"/>
      <c r="H174" s="2914"/>
      <c r="I174" s="341"/>
      <c r="J174" s="341"/>
      <c r="K174" s="1747"/>
      <c r="L174" s="36"/>
      <c r="M174" s="1"/>
      <c r="N174" s="1"/>
      <c r="O174" s="1"/>
      <c r="P174" s="477"/>
      <c r="Q174" s="477"/>
      <c r="S174" s="477"/>
      <c r="T174" s="477"/>
      <c r="U174" s="477"/>
      <c r="W174" s="544"/>
    </row>
    <row r="175" spans="1:23" ht="15" customHeight="1" x14ac:dyDescent="0.25">
      <c r="A175" s="392"/>
      <c r="B175" s="216" t="s">
        <v>311</v>
      </c>
      <c r="C175" s="25"/>
      <c r="D175" s="2921"/>
      <c r="E175" s="2922"/>
      <c r="F175" s="2923"/>
      <c r="G175" s="2913"/>
      <c r="H175" s="2914"/>
      <c r="I175" s="341"/>
      <c r="J175" s="341"/>
      <c r="K175" s="1747"/>
      <c r="L175" s="36"/>
      <c r="M175" s="1"/>
      <c r="N175" s="1"/>
      <c r="O175" s="1"/>
      <c r="P175" s="477"/>
      <c r="Q175" s="477"/>
      <c r="S175" s="477"/>
      <c r="T175" s="477"/>
      <c r="U175" s="477"/>
      <c r="W175" s="544"/>
    </row>
    <row r="176" spans="1:23" ht="15" customHeight="1" x14ac:dyDescent="0.25">
      <c r="A176" s="392"/>
      <c r="B176" s="216" t="s">
        <v>312</v>
      </c>
      <c r="C176" s="25"/>
      <c r="D176" s="2921"/>
      <c r="E176" s="2922"/>
      <c r="F176" s="2923"/>
      <c r="G176" s="2913"/>
      <c r="H176" s="2914"/>
      <c r="I176" s="341"/>
      <c r="J176" s="341"/>
      <c r="K176" s="1747"/>
      <c r="L176" s="36"/>
      <c r="M176" s="1"/>
      <c r="N176" s="1"/>
      <c r="O176" s="1"/>
      <c r="P176" s="477"/>
      <c r="Q176" s="477"/>
      <c r="S176" s="477"/>
      <c r="T176" s="477"/>
      <c r="U176" s="477"/>
      <c r="W176" s="544"/>
    </row>
    <row r="177" spans="1:23" ht="15" customHeight="1" x14ac:dyDescent="0.25">
      <c r="A177" s="392"/>
      <c r="B177" s="216" t="s">
        <v>313</v>
      </c>
      <c r="C177" s="25"/>
      <c r="D177" s="2921"/>
      <c r="E177" s="2922"/>
      <c r="F177" s="2923"/>
      <c r="G177" s="2913"/>
      <c r="H177" s="2914"/>
      <c r="I177" s="341"/>
      <c r="J177" s="341"/>
      <c r="K177" s="1747"/>
      <c r="L177" s="36"/>
      <c r="M177" s="1"/>
      <c r="N177" s="1"/>
      <c r="O177" s="1"/>
      <c r="P177" s="477"/>
      <c r="Q177" s="477"/>
      <c r="S177" s="477"/>
      <c r="T177" s="477"/>
      <c r="U177" s="477"/>
      <c r="W177" s="544"/>
    </row>
    <row r="178" spans="1:23" ht="15" customHeight="1" x14ac:dyDescent="0.25">
      <c r="A178" s="392"/>
      <c r="B178" s="216" t="s">
        <v>314</v>
      </c>
      <c r="C178" s="25"/>
      <c r="D178" s="2921"/>
      <c r="E178" s="2922"/>
      <c r="F178" s="2923"/>
      <c r="G178" s="2913"/>
      <c r="H178" s="2914"/>
      <c r="I178" s="341"/>
      <c r="J178" s="341"/>
      <c r="K178" s="1747"/>
      <c r="L178" s="36"/>
      <c r="M178" s="1"/>
      <c r="N178" s="1"/>
      <c r="O178" s="1"/>
      <c r="P178" s="477"/>
      <c r="Q178" s="477"/>
      <c r="S178" s="477"/>
      <c r="T178" s="477"/>
      <c r="U178" s="477"/>
      <c r="W178" s="544"/>
    </row>
    <row r="179" spans="1:23" ht="15" customHeight="1" x14ac:dyDescent="0.25">
      <c r="A179" s="392"/>
      <c r="B179" s="216" t="s">
        <v>315</v>
      </c>
      <c r="C179" s="25"/>
      <c r="D179" s="2921"/>
      <c r="E179" s="2922"/>
      <c r="F179" s="2923"/>
      <c r="G179" s="2913"/>
      <c r="H179" s="2914"/>
      <c r="I179" s="341"/>
      <c r="J179" s="341"/>
      <c r="K179" s="1747"/>
      <c r="L179" s="36"/>
      <c r="M179" s="1"/>
      <c r="N179" s="1"/>
      <c r="O179" s="1"/>
      <c r="P179" s="477"/>
      <c r="Q179" s="477"/>
      <c r="S179" s="477"/>
      <c r="T179" s="477"/>
      <c r="U179" s="477"/>
      <c r="W179" s="544"/>
    </row>
    <row r="180" spans="1:23" ht="15" customHeight="1" x14ac:dyDescent="0.25">
      <c r="A180" s="392"/>
      <c r="B180" s="216" t="s">
        <v>316</v>
      </c>
      <c r="C180" s="25"/>
      <c r="D180" s="2921"/>
      <c r="E180" s="2922"/>
      <c r="F180" s="2923"/>
      <c r="G180" s="2913"/>
      <c r="H180" s="2914"/>
      <c r="I180" s="341"/>
      <c r="J180" s="341"/>
      <c r="K180" s="1747"/>
      <c r="L180" s="36"/>
      <c r="M180" s="1"/>
      <c r="N180" s="1"/>
      <c r="O180" s="1"/>
      <c r="P180" s="477"/>
      <c r="Q180" s="477"/>
      <c r="S180" s="477"/>
      <c r="T180" s="477"/>
      <c r="U180" s="477"/>
      <c r="W180" s="544"/>
    </row>
    <row r="181" spans="1:23" ht="15" customHeight="1" x14ac:dyDescent="0.25">
      <c r="A181" s="392"/>
      <c r="B181" s="216" t="s">
        <v>317</v>
      </c>
      <c r="C181" s="25"/>
      <c r="D181" s="2921"/>
      <c r="E181" s="2922"/>
      <c r="F181" s="2923"/>
      <c r="G181" s="2913"/>
      <c r="H181" s="2914"/>
      <c r="I181" s="341"/>
      <c r="J181" s="341"/>
      <c r="K181" s="1747"/>
      <c r="L181" s="36"/>
      <c r="M181" s="1"/>
      <c r="N181" s="1"/>
      <c r="O181" s="1"/>
      <c r="P181" s="477"/>
      <c r="Q181" s="477"/>
      <c r="S181" s="477"/>
      <c r="T181" s="477"/>
      <c r="U181" s="477"/>
      <c r="W181" s="544"/>
    </row>
    <row r="182" spans="1:23" ht="15" customHeight="1" x14ac:dyDescent="0.25">
      <c r="A182" s="392"/>
      <c r="B182" s="216" t="s">
        <v>318</v>
      </c>
      <c r="C182" s="25"/>
      <c r="D182" s="2921"/>
      <c r="E182" s="2922"/>
      <c r="F182" s="2923"/>
      <c r="G182" s="2913"/>
      <c r="H182" s="2914"/>
      <c r="I182" s="341"/>
      <c r="J182" s="341"/>
      <c r="K182" s="1747"/>
      <c r="L182" s="36"/>
      <c r="M182" s="1"/>
      <c r="N182" s="1"/>
      <c r="O182" s="1"/>
      <c r="P182" s="477"/>
      <c r="Q182" s="477"/>
      <c r="S182" s="477"/>
      <c r="T182" s="477"/>
      <c r="U182" s="477"/>
      <c r="W182" s="544"/>
    </row>
    <row r="183" spans="1:23" ht="15" customHeight="1" x14ac:dyDescent="0.25">
      <c r="A183" s="392"/>
      <c r="B183" s="216" t="s">
        <v>319</v>
      </c>
      <c r="C183" s="25"/>
      <c r="D183" s="2921"/>
      <c r="E183" s="2922"/>
      <c r="F183" s="2923"/>
      <c r="G183" s="2913"/>
      <c r="H183" s="2914"/>
      <c r="I183" s="341"/>
      <c r="J183" s="341"/>
      <c r="K183" s="1747"/>
      <c r="L183" s="36"/>
      <c r="M183" s="1"/>
      <c r="N183" s="1"/>
      <c r="O183" s="1"/>
      <c r="P183" s="477"/>
      <c r="Q183" s="477"/>
      <c r="S183" s="477"/>
      <c r="T183" s="477"/>
      <c r="U183" s="477"/>
      <c r="W183" s="544"/>
    </row>
    <row r="184" spans="1:23" ht="15" customHeight="1" x14ac:dyDescent="0.25">
      <c r="A184" s="392"/>
      <c r="B184" s="216" t="s">
        <v>320</v>
      </c>
      <c r="C184" s="25"/>
      <c r="D184" s="2921"/>
      <c r="E184" s="2922"/>
      <c r="F184" s="2923"/>
      <c r="G184" s="2913"/>
      <c r="H184" s="2914"/>
      <c r="I184" s="341"/>
      <c r="J184" s="341"/>
      <c r="K184" s="1747"/>
      <c r="L184" s="36"/>
      <c r="M184" s="1"/>
      <c r="N184" s="1"/>
      <c r="O184" s="1"/>
      <c r="P184" s="477"/>
      <c r="Q184" s="477"/>
      <c r="S184" s="477"/>
      <c r="T184" s="477"/>
      <c r="U184" s="477"/>
      <c r="W184" s="544"/>
    </row>
    <row r="185" spans="1:23" ht="15" customHeight="1" x14ac:dyDescent="0.25">
      <c r="A185" s="392"/>
      <c r="B185" s="216" t="s">
        <v>321</v>
      </c>
      <c r="C185" s="25"/>
      <c r="D185" s="2921"/>
      <c r="E185" s="2922"/>
      <c r="F185" s="2923"/>
      <c r="G185" s="2913"/>
      <c r="H185" s="2914"/>
      <c r="I185" s="341"/>
      <c r="J185" s="341"/>
      <c r="K185" s="1747"/>
      <c r="L185" s="36"/>
      <c r="M185" s="1"/>
      <c r="N185" s="1"/>
      <c r="O185" s="1"/>
      <c r="P185" s="477"/>
      <c r="Q185" s="477"/>
      <c r="S185" s="477"/>
      <c r="T185" s="477"/>
      <c r="U185" s="477"/>
      <c r="W185" s="544"/>
    </row>
    <row r="186" spans="1:23" ht="15" customHeight="1" x14ac:dyDescent="0.25">
      <c r="A186" s="392"/>
      <c r="B186" s="216" t="s">
        <v>322</v>
      </c>
      <c r="C186" s="25"/>
      <c r="D186" s="2921"/>
      <c r="E186" s="2922"/>
      <c r="F186" s="2923"/>
      <c r="G186" s="2913"/>
      <c r="H186" s="2914"/>
      <c r="I186" s="341"/>
      <c r="J186" s="341"/>
      <c r="K186" s="1747"/>
      <c r="L186" s="36"/>
      <c r="M186" s="1"/>
      <c r="N186" s="1"/>
      <c r="O186" s="1"/>
      <c r="P186" s="477"/>
      <c r="Q186" s="477"/>
      <c r="S186" s="477"/>
      <c r="T186" s="477"/>
      <c r="U186" s="477"/>
      <c r="W186" s="544"/>
    </row>
    <row r="187" spans="1:23" ht="15" customHeight="1" x14ac:dyDescent="0.25">
      <c r="A187" s="392"/>
      <c r="B187" s="216" t="s">
        <v>323</v>
      </c>
      <c r="C187" s="25"/>
      <c r="D187" s="2921"/>
      <c r="E187" s="2922"/>
      <c r="F187" s="2923"/>
      <c r="G187" s="2913"/>
      <c r="H187" s="2914"/>
      <c r="I187" s="341"/>
      <c r="J187" s="341"/>
      <c r="K187" s="1747"/>
      <c r="L187" s="36"/>
      <c r="M187" s="1"/>
      <c r="N187" s="1"/>
      <c r="O187" s="1"/>
      <c r="P187" s="477"/>
      <c r="Q187" s="477"/>
      <c r="S187" s="477"/>
      <c r="T187" s="477"/>
      <c r="U187" s="477"/>
      <c r="W187" s="544"/>
    </row>
    <row r="188" spans="1:23" ht="15" customHeight="1" x14ac:dyDescent="0.25">
      <c r="A188" s="392"/>
      <c r="B188" s="216" t="s">
        <v>324</v>
      </c>
      <c r="C188" s="25"/>
      <c r="D188" s="2921"/>
      <c r="E188" s="2922"/>
      <c r="F188" s="2923"/>
      <c r="G188" s="2913"/>
      <c r="H188" s="2914"/>
      <c r="I188" s="341"/>
      <c r="J188" s="341"/>
      <c r="K188" s="1747"/>
      <c r="L188" s="36"/>
      <c r="M188" s="1"/>
      <c r="N188" s="1"/>
      <c r="O188" s="1"/>
      <c r="P188" s="477"/>
      <c r="Q188" s="477"/>
      <c r="S188" s="477"/>
      <c r="T188" s="477"/>
      <c r="U188" s="477"/>
      <c r="W188" s="544"/>
    </row>
    <row r="189" spans="1:23" ht="15" customHeight="1" x14ac:dyDescent="0.25">
      <c r="A189" s="392"/>
      <c r="B189" s="216" t="s">
        <v>325</v>
      </c>
      <c r="C189" s="25"/>
      <c r="D189" s="2921"/>
      <c r="E189" s="2922"/>
      <c r="F189" s="2923"/>
      <c r="G189" s="2913"/>
      <c r="H189" s="2914"/>
      <c r="I189" s="341"/>
      <c r="J189" s="341"/>
      <c r="K189" s="1747"/>
      <c r="L189" s="36"/>
      <c r="M189" s="1"/>
      <c r="N189" s="1"/>
      <c r="O189" s="1"/>
      <c r="P189" s="477"/>
      <c r="Q189" s="477"/>
      <c r="S189" s="477"/>
      <c r="T189" s="477"/>
      <c r="U189" s="477"/>
      <c r="W189" s="544"/>
    </row>
    <row r="190" spans="1:23" ht="15" customHeight="1" x14ac:dyDescent="0.25">
      <c r="A190" s="392"/>
      <c r="B190" s="216" t="s">
        <v>326</v>
      </c>
      <c r="C190" s="25"/>
      <c r="D190" s="2921"/>
      <c r="E190" s="2922"/>
      <c r="F190" s="2923"/>
      <c r="G190" s="2913"/>
      <c r="H190" s="2914"/>
      <c r="I190" s="341"/>
      <c r="J190" s="341"/>
      <c r="K190" s="1747"/>
      <c r="L190" s="36"/>
      <c r="M190" s="1"/>
      <c r="N190" s="1"/>
      <c r="O190" s="1"/>
      <c r="P190" s="477"/>
      <c r="Q190" s="477"/>
      <c r="S190" s="477"/>
      <c r="T190" s="477"/>
      <c r="U190" s="477"/>
      <c r="W190" s="544"/>
    </row>
    <row r="191" spans="1:23" ht="15" customHeight="1" x14ac:dyDescent="0.25">
      <c r="A191" s="392"/>
      <c r="B191" s="216" t="s">
        <v>327</v>
      </c>
      <c r="C191" s="25"/>
      <c r="D191" s="2921"/>
      <c r="E191" s="2922"/>
      <c r="F191" s="2923"/>
      <c r="G191" s="2913"/>
      <c r="H191" s="2914"/>
      <c r="I191" s="341"/>
      <c r="J191" s="341"/>
      <c r="K191" s="1747"/>
      <c r="L191" s="36"/>
      <c r="M191" s="1"/>
      <c r="N191" s="1"/>
      <c r="O191" s="1"/>
      <c r="P191" s="477"/>
      <c r="Q191" s="477"/>
      <c r="S191" s="477"/>
      <c r="T191" s="477"/>
      <c r="U191" s="477"/>
      <c r="W191" s="544"/>
    </row>
    <row r="192" spans="1:23" ht="15" customHeight="1" x14ac:dyDescent="0.25">
      <c r="A192" s="392"/>
      <c r="B192" s="216" t="s">
        <v>328</v>
      </c>
      <c r="C192" s="25"/>
      <c r="D192" s="2921"/>
      <c r="E192" s="2922"/>
      <c r="F192" s="2923"/>
      <c r="G192" s="2913"/>
      <c r="H192" s="2914"/>
      <c r="I192" s="341"/>
      <c r="J192" s="341"/>
      <c r="K192" s="1747"/>
      <c r="L192" s="36"/>
      <c r="M192" s="1"/>
      <c r="N192" s="1"/>
      <c r="O192" s="1"/>
      <c r="P192" s="477"/>
      <c r="Q192" s="477"/>
      <c r="S192" s="477"/>
      <c r="T192" s="477"/>
      <c r="U192" s="477"/>
      <c r="W192" s="544"/>
    </row>
    <row r="193" spans="1:23" ht="15" customHeight="1" x14ac:dyDescent="0.25">
      <c r="A193" s="392"/>
      <c r="B193" s="216" t="s">
        <v>329</v>
      </c>
      <c r="C193" s="25"/>
      <c r="D193" s="2921"/>
      <c r="E193" s="2922"/>
      <c r="F193" s="2923"/>
      <c r="G193" s="2913"/>
      <c r="H193" s="2914"/>
      <c r="I193" s="341"/>
      <c r="J193" s="341"/>
      <c r="K193" s="1747"/>
      <c r="L193" s="36"/>
      <c r="M193" s="1"/>
      <c r="N193" s="1"/>
      <c r="O193" s="1"/>
      <c r="P193" s="477"/>
      <c r="Q193" s="477"/>
      <c r="S193" s="477"/>
      <c r="T193" s="477"/>
      <c r="U193" s="477"/>
      <c r="W193" s="544"/>
    </row>
    <row r="194" spans="1:23" ht="15" customHeight="1" x14ac:dyDescent="0.25">
      <c r="A194" s="392"/>
      <c r="B194" s="216" t="s">
        <v>330</v>
      </c>
      <c r="C194" s="25"/>
      <c r="D194" s="2921"/>
      <c r="E194" s="2922"/>
      <c r="F194" s="2923"/>
      <c r="G194" s="2913"/>
      <c r="H194" s="2914"/>
      <c r="I194" s="341"/>
      <c r="J194" s="341"/>
      <c r="K194" s="1747"/>
      <c r="L194" s="36"/>
      <c r="M194" s="1"/>
      <c r="N194" s="1"/>
      <c r="O194" s="1"/>
      <c r="P194" s="477"/>
      <c r="Q194" s="477"/>
      <c r="S194" s="477"/>
      <c r="T194" s="477"/>
      <c r="U194" s="477"/>
      <c r="W194" s="544"/>
    </row>
    <row r="195" spans="1:23" ht="15" customHeight="1" x14ac:dyDescent="0.25">
      <c r="A195" s="392"/>
      <c r="B195" s="216" t="s">
        <v>331</v>
      </c>
      <c r="C195" s="25"/>
      <c r="D195" s="2921"/>
      <c r="E195" s="2922"/>
      <c r="F195" s="2923"/>
      <c r="G195" s="2913"/>
      <c r="H195" s="2914"/>
      <c r="I195" s="341"/>
      <c r="J195" s="341"/>
      <c r="K195" s="1747"/>
      <c r="L195" s="36"/>
      <c r="M195" s="1"/>
      <c r="N195" s="1"/>
      <c r="O195" s="1"/>
      <c r="P195" s="477"/>
      <c r="Q195" s="477"/>
      <c r="S195" s="477"/>
      <c r="T195" s="477"/>
      <c r="U195" s="477"/>
      <c r="W195" s="544"/>
    </row>
    <row r="196" spans="1:23" ht="15" customHeight="1" x14ac:dyDescent="0.25">
      <c r="A196" s="392"/>
      <c r="B196" s="216" t="s">
        <v>332</v>
      </c>
      <c r="C196" s="25"/>
      <c r="D196" s="2921"/>
      <c r="E196" s="2922"/>
      <c r="F196" s="2923"/>
      <c r="G196" s="2913"/>
      <c r="H196" s="2914"/>
      <c r="I196" s="341"/>
      <c r="J196" s="341"/>
      <c r="K196" s="1747"/>
      <c r="L196" s="36"/>
      <c r="M196" s="1"/>
      <c r="N196" s="1"/>
      <c r="O196" s="1"/>
      <c r="P196" s="477"/>
      <c r="Q196" s="477"/>
      <c r="S196" s="477"/>
      <c r="T196" s="477"/>
      <c r="U196" s="477"/>
      <c r="W196" s="544"/>
    </row>
    <row r="197" spans="1:23" ht="15" customHeight="1" x14ac:dyDescent="0.25">
      <c r="A197" s="392"/>
      <c r="B197" s="216" t="s">
        <v>333</v>
      </c>
      <c r="C197" s="25"/>
      <c r="D197" s="2921"/>
      <c r="E197" s="2922"/>
      <c r="F197" s="2923"/>
      <c r="G197" s="2913"/>
      <c r="H197" s="2914"/>
      <c r="I197" s="341"/>
      <c r="J197" s="341"/>
      <c r="K197" s="1747"/>
      <c r="L197" s="36"/>
      <c r="M197" s="1"/>
      <c r="N197" s="1"/>
      <c r="O197" s="1"/>
      <c r="P197" s="477"/>
      <c r="Q197" s="477"/>
      <c r="S197" s="477"/>
      <c r="T197" s="477"/>
      <c r="U197" s="477"/>
      <c r="W197" s="544"/>
    </row>
    <row r="198" spans="1:23" ht="15" customHeight="1" x14ac:dyDescent="0.25">
      <c r="A198" s="392"/>
      <c r="B198" s="216" t="s">
        <v>334</v>
      </c>
      <c r="C198" s="25"/>
      <c r="D198" s="2921"/>
      <c r="E198" s="2922"/>
      <c r="F198" s="2923"/>
      <c r="G198" s="2913"/>
      <c r="H198" s="2914"/>
      <c r="I198" s="341"/>
      <c r="J198" s="341"/>
      <c r="K198" s="1747"/>
      <c r="L198" s="36"/>
      <c r="M198" s="1"/>
      <c r="N198" s="1"/>
      <c r="O198" s="1"/>
      <c r="P198" s="477"/>
      <c r="Q198" s="477"/>
      <c r="S198" s="477"/>
      <c r="T198" s="477"/>
      <c r="U198" s="477"/>
      <c r="W198" s="544"/>
    </row>
    <row r="199" spans="1:23" ht="15" customHeight="1" x14ac:dyDescent="0.25">
      <c r="A199" s="392"/>
      <c r="B199" s="216" t="s">
        <v>335</v>
      </c>
      <c r="C199" s="25"/>
      <c r="D199" s="2921"/>
      <c r="E199" s="2922"/>
      <c r="F199" s="2923"/>
      <c r="G199" s="2913"/>
      <c r="H199" s="2914"/>
      <c r="I199" s="341"/>
      <c r="J199" s="341"/>
      <c r="K199" s="1747"/>
      <c r="L199" s="36"/>
      <c r="M199" s="1"/>
      <c r="N199" s="1"/>
      <c r="O199" s="1"/>
      <c r="P199" s="477"/>
      <c r="Q199" s="477"/>
      <c r="S199" s="477"/>
      <c r="T199" s="477"/>
      <c r="U199" s="477"/>
      <c r="W199" s="544"/>
    </row>
    <row r="200" spans="1:23" ht="15" customHeight="1" x14ac:dyDescent="0.25">
      <c r="A200" s="392"/>
      <c r="B200" s="216" t="s">
        <v>336</v>
      </c>
      <c r="C200" s="25"/>
      <c r="D200" s="2921"/>
      <c r="E200" s="2922"/>
      <c r="F200" s="2923"/>
      <c r="G200" s="2913"/>
      <c r="H200" s="2914"/>
      <c r="I200" s="341"/>
      <c r="J200" s="341"/>
      <c r="K200" s="1747"/>
      <c r="L200" s="36"/>
      <c r="M200" s="1"/>
      <c r="N200" s="1"/>
      <c r="O200" s="1"/>
      <c r="P200" s="477"/>
      <c r="Q200" s="477"/>
      <c r="S200" s="477"/>
      <c r="T200" s="477"/>
      <c r="U200" s="477"/>
      <c r="W200" s="544"/>
    </row>
    <row r="201" spans="1:23" ht="15" customHeight="1" x14ac:dyDescent="0.25">
      <c r="A201" s="392"/>
      <c r="B201" s="216" t="s">
        <v>337</v>
      </c>
      <c r="C201" s="25"/>
      <c r="D201" s="2921"/>
      <c r="E201" s="2922"/>
      <c r="F201" s="2923"/>
      <c r="G201" s="2913"/>
      <c r="H201" s="2914"/>
      <c r="I201" s="341"/>
      <c r="J201" s="341"/>
      <c r="K201" s="1747"/>
      <c r="L201" s="36"/>
      <c r="M201" s="1"/>
      <c r="N201" s="1"/>
      <c r="O201" s="1"/>
      <c r="P201" s="477"/>
      <c r="Q201" s="477"/>
      <c r="S201" s="477"/>
      <c r="T201" s="477"/>
      <c r="U201" s="477"/>
      <c r="W201" s="544"/>
    </row>
    <row r="202" spans="1:23" ht="15" customHeight="1" x14ac:dyDescent="0.25">
      <c r="A202" s="392"/>
      <c r="B202" s="216" t="s">
        <v>338</v>
      </c>
      <c r="C202" s="25"/>
      <c r="D202" s="2921"/>
      <c r="E202" s="2922"/>
      <c r="F202" s="2923"/>
      <c r="G202" s="2913"/>
      <c r="H202" s="2914"/>
      <c r="I202" s="341"/>
      <c r="J202" s="341"/>
      <c r="K202" s="1747"/>
      <c r="L202" s="36"/>
      <c r="M202" s="1"/>
      <c r="N202" s="1"/>
      <c r="O202" s="1"/>
      <c r="P202" s="477"/>
      <c r="Q202" s="477"/>
      <c r="S202" s="477"/>
      <c r="T202" s="477"/>
      <c r="U202" s="477"/>
      <c r="W202" s="544"/>
    </row>
    <row r="203" spans="1:23" ht="15" customHeight="1" x14ac:dyDescent="0.25">
      <c r="A203" s="392"/>
      <c r="B203" s="216" t="s">
        <v>339</v>
      </c>
      <c r="C203" s="25"/>
      <c r="D203" s="2921"/>
      <c r="E203" s="2922"/>
      <c r="F203" s="2923"/>
      <c r="G203" s="2913"/>
      <c r="H203" s="2914"/>
      <c r="I203" s="341"/>
      <c r="J203" s="341"/>
      <c r="K203" s="1747"/>
      <c r="L203" s="36"/>
      <c r="M203" s="1"/>
      <c r="N203" s="1"/>
      <c r="O203" s="1"/>
      <c r="P203" s="477"/>
      <c r="Q203" s="477"/>
      <c r="S203" s="477"/>
      <c r="T203" s="477"/>
      <c r="U203" s="477"/>
      <c r="W203" s="544"/>
    </row>
    <row r="204" spans="1:23" ht="15" customHeight="1" x14ac:dyDescent="0.25">
      <c r="A204" s="392"/>
      <c r="B204" s="216" t="s">
        <v>340</v>
      </c>
      <c r="C204" s="25"/>
      <c r="D204" s="2921"/>
      <c r="E204" s="2922"/>
      <c r="F204" s="2923"/>
      <c r="G204" s="2913"/>
      <c r="H204" s="2914"/>
      <c r="I204" s="341"/>
      <c r="J204" s="341"/>
      <c r="K204" s="1747"/>
      <c r="L204" s="36"/>
      <c r="M204" s="1"/>
      <c r="N204" s="1"/>
      <c r="O204" s="1"/>
      <c r="P204" s="477"/>
      <c r="Q204" s="477"/>
      <c r="S204" s="477"/>
      <c r="T204" s="477"/>
      <c r="U204" s="477"/>
      <c r="W204" s="544"/>
    </row>
    <row r="205" spans="1:23" ht="15" customHeight="1" x14ac:dyDescent="0.25">
      <c r="A205" s="392"/>
      <c r="B205" s="216" t="s">
        <v>341</v>
      </c>
      <c r="C205" s="25"/>
      <c r="D205" s="2921"/>
      <c r="E205" s="2922"/>
      <c r="F205" s="2923"/>
      <c r="G205" s="2913"/>
      <c r="H205" s="2914"/>
      <c r="I205" s="341"/>
      <c r="J205" s="341"/>
      <c r="K205" s="1747"/>
      <c r="L205" s="36"/>
      <c r="M205" s="1"/>
      <c r="N205" s="1"/>
      <c r="O205" s="1"/>
      <c r="P205" s="477"/>
      <c r="Q205" s="477"/>
      <c r="S205" s="477"/>
      <c r="T205" s="477"/>
      <c r="U205" s="477"/>
      <c r="W205" s="544"/>
    </row>
    <row r="206" spans="1:23" ht="15" customHeight="1" x14ac:dyDescent="0.25">
      <c r="A206" s="392"/>
      <c r="B206" s="216" t="s">
        <v>342</v>
      </c>
      <c r="C206" s="25"/>
      <c r="D206" s="2921"/>
      <c r="E206" s="2922"/>
      <c r="F206" s="2923"/>
      <c r="G206" s="2913"/>
      <c r="H206" s="2914"/>
      <c r="I206" s="341"/>
      <c r="J206" s="341"/>
      <c r="K206" s="1747"/>
      <c r="L206" s="36"/>
      <c r="M206" s="1"/>
      <c r="N206" s="1"/>
      <c r="O206" s="1"/>
      <c r="P206" s="477"/>
      <c r="Q206" s="477"/>
      <c r="S206" s="477"/>
      <c r="T206" s="477"/>
      <c r="U206" s="477"/>
      <c r="W206" s="544"/>
    </row>
    <row r="207" spans="1:23" ht="15" customHeight="1" x14ac:dyDescent="0.25">
      <c r="A207" s="392"/>
      <c r="B207" s="216" t="s">
        <v>343</v>
      </c>
      <c r="C207" s="25"/>
      <c r="D207" s="2921"/>
      <c r="E207" s="2922"/>
      <c r="F207" s="2923"/>
      <c r="G207" s="2913"/>
      <c r="H207" s="2914"/>
      <c r="I207" s="341"/>
      <c r="J207" s="341"/>
      <c r="K207" s="1747"/>
      <c r="L207" s="36"/>
      <c r="M207" s="1"/>
      <c r="N207" s="1"/>
      <c r="O207" s="1"/>
      <c r="P207" s="477"/>
      <c r="Q207" s="477"/>
      <c r="S207" s="477"/>
      <c r="T207" s="477"/>
      <c r="U207" s="477"/>
      <c r="W207" s="544"/>
    </row>
    <row r="208" spans="1:23" ht="15" customHeight="1" x14ac:dyDescent="0.25">
      <c r="A208" s="392"/>
      <c r="B208" s="216" t="s">
        <v>344</v>
      </c>
      <c r="C208" s="25"/>
      <c r="D208" s="2921"/>
      <c r="E208" s="2922"/>
      <c r="F208" s="2923"/>
      <c r="G208" s="2913"/>
      <c r="H208" s="2914"/>
      <c r="I208" s="341"/>
      <c r="J208" s="341"/>
      <c r="K208" s="1747"/>
      <c r="L208" s="36"/>
      <c r="M208" s="1"/>
      <c r="N208" s="1"/>
      <c r="O208" s="1"/>
      <c r="P208" s="477"/>
      <c r="Q208" s="477"/>
      <c r="S208" s="477"/>
      <c r="T208" s="477"/>
      <c r="U208" s="477"/>
      <c r="W208" s="544"/>
    </row>
    <row r="209" spans="1:23" ht="15" customHeight="1" x14ac:dyDescent="0.25">
      <c r="A209" s="392"/>
      <c r="B209" s="216" t="s">
        <v>345</v>
      </c>
      <c r="C209" s="25"/>
      <c r="D209" s="2921"/>
      <c r="E209" s="2922"/>
      <c r="F209" s="2923"/>
      <c r="G209" s="2913"/>
      <c r="H209" s="2914"/>
      <c r="I209" s="341"/>
      <c r="J209" s="341"/>
      <c r="K209" s="1747"/>
      <c r="L209" s="36"/>
      <c r="M209" s="1"/>
      <c r="N209" s="1"/>
      <c r="O209" s="1"/>
      <c r="P209" s="477"/>
      <c r="Q209" s="477"/>
      <c r="S209" s="477"/>
      <c r="T209" s="477"/>
      <c r="U209" s="477"/>
      <c r="W209" s="544"/>
    </row>
    <row r="210" spans="1:23" ht="15" customHeight="1" x14ac:dyDescent="0.25">
      <c r="A210" s="392"/>
      <c r="B210" s="216" t="s">
        <v>346</v>
      </c>
      <c r="C210" s="25"/>
      <c r="D210" s="2921"/>
      <c r="E210" s="2922"/>
      <c r="F210" s="2923"/>
      <c r="G210" s="2913"/>
      <c r="H210" s="2914"/>
      <c r="I210" s="341"/>
      <c r="J210" s="341"/>
      <c r="K210" s="1747"/>
      <c r="L210" s="36"/>
      <c r="M210" s="1"/>
      <c r="N210" s="1"/>
      <c r="O210" s="1"/>
      <c r="P210" s="477"/>
      <c r="Q210" s="477"/>
      <c r="S210" s="477"/>
      <c r="T210" s="477"/>
      <c r="U210" s="477"/>
      <c r="W210" s="544"/>
    </row>
    <row r="211" spans="1:23" ht="15" customHeight="1" x14ac:dyDescent="0.25">
      <c r="A211" s="392"/>
      <c r="B211" s="216" t="s">
        <v>347</v>
      </c>
      <c r="C211" s="25"/>
      <c r="D211" s="2921"/>
      <c r="E211" s="2922"/>
      <c r="F211" s="2923"/>
      <c r="G211" s="2913"/>
      <c r="H211" s="2914"/>
      <c r="I211" s="341"/>
      <c r="J211" s="341"/>
      <c r="K211" s="1747"/>
      <c r="L211" s="36"/>
      <c r="M211" s="1"/>
      <c r="N211" s="1"/>
      <c r="O211" s="1"/>
      <c r="P211" s="477"/>
      <c r="Q211" s="477"/>
      <c r="S211" s="477"/>
      <c r="T211" s="477"/>
      <c r="U211" s="477"/>
      <c r="W211" s="544"/>
    </row>
    <row r="212" spans="1:23" ht="15" customHeight="1" x14ac:dyDescent="0.25">
      <c r="A212" s="392"/>
      <c r="B212" s="216" t="s">
        <v>348</v>
      </c>
      <c r="C212" s="25"/>
      <c r="D212" s="2921"/>
      <c r="E212" s="2922"/>
      <c r="F212" s="2923"/>
      <c r="G212" s="2913"/>
      <c r="H212" s="2914"/>
      <c r="I212" s="341"/>
      <c r="J212" s="341"/>
      <c r="K212" s="1747"/>
      <c r="L212" s="36"/>
      <c r="M212" s="1"/>
      <c r="N212" s="1"/>
      <c r="O212" s="1"/>
      <c r="P212" s="477"/>
      <c r="Q212" s="477"/>
      <c r="S212" s="477"/>
      <c r="T212" s="477"/>
      <c r="U212" s="477"/>
      <c r="W212" s="544"/>
    </row>
    <row r="213" spans="1:23" ht="15" customHeight="1" x14ac:dyDescent="0.25">
      <c r="A213" s="392"/>
      <c r="B213" s="216" t="s">
        <v>349</v>
      </c>
      <c r="C213" s="25"/>
      <c r="D213" s="2921"/>
      <c r="E213" s="2922"/>
      <c r="F213" s="2923"/>
      <c r="G213" s="2913"/>
      <c r="H213" s="2914"/>
      <c r="I213" s="341"/>
      <c r="J213" s="341"/>
      <c r="K213" s="1747"/>
      <c r="L213" s="36"/>
      <c r="M213" s="1"/>
      <c r="N213" s="1"/>
      <c r="O213" s="1"/>
      <c r="P213" s="477"/>
      <c r="Q213" s="477"/>
      <c r="S213" s="477"/>
      <c r="T213" s="477"/>
      <c r="U213" s="477"/>
      <c r="W213" s="544"/>
    </row>
    <row r="214" spans="1:23" ht="15" customHeight="1" x14ac:dyDescent="0.25">
      <c r="A214" s="392"/>
      <c r="B214" s="216" t="s">
        <v>350</v>
      </c>
      <c r="C214" s="25"/>
      <c r="D214" s="2921"/>
      <c r="E214" s="2922"/>
      <c r="F214" s="2923"/>
      <c r="G214" s="2913"/>
      <c r="H214" s="2914"/>
      <c r="I214" s="341"/>
      <c r="J214" s="341"/>
      <c r="K214" s="1747"/>
      <c r="L214" s="36"/>
      <c r="M214" s="1"/>
      <c r="N214" s="1"/>
      <c r="O214" s="1"/>
      <c r="P214" s="477"/>
      <c r="Q214" s="477"/>
      <c r="S214" s="477"/>
      <c r="T214" s="477"/>
      <c r="U214" s="477"/>
      <c r="W214" s="544"/>
    </row>
    <row r="215" spans="1:23" ht="15" customHeight="1" x14ac:dyDescent="0.25">
      <c r="A215" s="392"/>
      <c r="B215" s="216" t="s">
        <v>351</v>
      </c>
      <c r="C215" s="25"/>
      <c r="D215" s="2921"/>
      <c r="E215" s="2922"/>
      <c r="F215" s="2923"/>
      <c r="G215" s="2913"/>
      <c r="H215" s="2914"/>
      <c r="I215" s="341"/>
      <c r="J215" s="341"/>
      <c r="K215" s="1747"/>
      <c r="L215" s="36"/>
      <c r="M215" s="1"/>
      <c r="N215" s="1"/>
      <c r="O215" s="1"/>
      <c r="P215" s="477"/>
      <c r="Q215" s="477"/>
      <c r="S215" s="477"/>
      <c r="T215" s="477"/>
      <c r="U215" s="477"/>
      <c r="W215" s="544"/>
    </row>
    <row r="216" spans="1:23" ht="15" customHeight="1" x14ac:dyDescent="0.25">
      <c r="A216" s="392"/>
      <c r="B216" s="216" t="s">
        <v>352</v>
      </c>
      <c r="C216" s="25"/>
      <c r="D216" s="2921"/>
      <c r="E216" s="2922"/>
      <c r="F216" s="2923"/>
      <c r="G216" s="2913"/>
      <c r="H216" s="2914"/>
      <c r="I216" s="341"/>
      <c r="J216" s="341"/>
      <c r="K216" s="1747"/>
      <c r="L216" s="36"/>
      <c r="M216" s="1"/>
      <c r="N216" s="1"/>
      <c r="O216" s="1"/>
      <c r="P216" s="477"/>
      <c r="Q216" s="477"/>
      <c r="S216" s="477"/>
      <c r="T216" s="477"/>
      <c r="U216" s="477"/>
      <c r="W216" s="544"/>
    </row>
    <row r="217" spans="1:23" ht="15" customHeight="1" x14ac:dyDescent="0.25">
      <c r="A217" s="392"/>
      <c r="B217" s="216" t="s">
        <v>353</v>
      </c>
      <c r="C217" s="25"/>
      <c r="D217" s="2921"/>
      <c r="E217" s="2922"/>
      <c r="F217" s="2923"/>
      <c r="G217" s="2913"/>
      <c r="H217" s="2914"/>
      <c r="I217" s="341"/>
      <c r="J217" s="341"/>
      <c r="K217" s="1747"/>
      <c r="L217" s="36"/>
      <c r="M217" s="1"/>
      <c r="N217" s="1"/>
      <c r="O217" s="1"/>
      <c r="P217" s="477"/>
      <c r="Q217" s="477"/>
      <c r="S217" s="477"/>
      <c r="T217" s="477"/>
      <c r="U217" s="477"/>
      <c r="W217" s="544"/>
    </row>
    <row r="218" spans="1:23" ht="15" customHeight="1" x14ac:dyDescent="0.25">
      <c r="A218" s="392"/>
      <c r="B218" s="216" t="s">
        <v>354</v>
      </c>
      <c r="C218" s="25"/>
      <c r="D218" s="2921"/>
      <c r="E218" s="2922"/>
      <c r="F218" s="2923"/>
      <c r="G218" s="2913"/>
      <c r="H218" s="2914"/>
      <c r="I218" s="341"/>
      <c r="J218" s="341"/>
      <c r="K218" s="1747"/>
      <c r="L218" s="36"/>
      <c r="M218" s="1"/>
      <c r="N218" s="1"/>
      <c r="O218" s="1"/>
      <c r="P218" s="477"/>
      <c r="Q218" s="477"/>
      <c r="S218" s="477"/>
      <c r="T218" s="477"/>
      <c r="U218" s="477"/>
      <c r="W218" s="544"/>
    </row>
    <row r="219" spans="1:23" ht="15" customHeight="1" x14ac:dyDescent="0.25">
      <c r="A219" s="392"/>
      <c r="B219" s="216" t="s">
        <v>355</v>
      </c>
      <c r="C219" s="25"/>
      <c r="D219" s="2921"/>
      <c r="E219" s="2922"/>
      <c r="F219" s="2923"/>
      <c r="G219" s="2913"/>
      <c r="H219" s="2914"/>
      <c r="I219" s="341"/>
      <c r="J219" s="341"/>
      <c r="K219" s="1747"/>
      <c r="L219" s="36"/>
      <c r="M219" s="1"/>
      <c r="N219" s="1"/>
      <c r="O219" s="1"/>
      <c r="P219" s="477"/>
      <c r="Q219" s="477"/>
      <c r="S219" s="477"/>
      <c r="T219" s="477"/>
      <c r="U219" s="477"/>
      <c r="W219" s="544"/>
    </row>
    <row r="220" spans="1:23" ht="15" customHeight="1" x14ac:dyDescent="0.25">
      <c r="A220" s="392"/>
      <c r="B220" s="216" t="s">
        <v>356</v>
      </c>
      <c r="C220" s="25"/>
      <c r="D220" s="2921"/>
      <c r="E220" s="2922"/>
      <c r="F220" s="2923"/>
      <c r="G220" s="2913"/>
      <c r="H220" s="2914"/>
      <c r="I220" s="341"/>
      <c r="J220" s="341"/>
      <c r="K220" s="1747"/>
      <c r="L220" s="36"/>
      <c r="M220" s="1"/>
      <c r="N220" s="1"/>
      <c r="O220" s="1"/>
      <c r="P220" s="477"/>
      <c r="Q220" s="477"/>
      <c r="S220" s="477"/>
      <c r="T220" s="477"/>
      <c r="U220" s="477"/>
      <c r="W220" s="544"/>
    </row>
    <row r="221" spans="1:23" ht="15" customHeight="1" x14ac:dyDescent="0.25">
      <c r="A221" s="392"/>
      <c r="B221" s="216" t="s">
        <v>357</v>
      </c>
      <c r="C221" s="25"/>
      <c r="D221" s="2921"/>
      <c r="E221" s="2922"/>
      <c r="F221" s="2923"/>
      <c r="G221" s="2913"/>
      <c r="H221" s="2914"/>
      <c r="I221" s="341"/>
      <c r="J221" s="341"/>
      <c r="K221" s="1747"/>
      <c r="L221" s="36"/>
      <c r="M221" s="1"/>
      <c r="N221" s="1"/>
      <c r="O221" s="1"/>
      <c r="P221" s="477"/>
      <c r="Q221" s="477"/>
      <c r="S221" s="477"/>
      <c r="T221" s="477"/>
      <c r="U221" s="477"/>
      <c r="W221" s="544"/>
    </row>
    <row r="222" spans="1:23" ht="15" customHeight="1" x14ac:dyDescent="0.25">
      <c r="A222" s="392"/>
      <c r="B222" s="216" t="s">
        <v>358</v>
      </c>
      <c r="C222" s="25"/>
      <c r="D222" s="2921"/>
      <c r="E222" s="2922"/>
      <c r="F222" s="2923"/>
      <c r="G222" s="2913"/>
      <c r="H222" s="2914"/>
      <c r="I222" s="341"/>
      <c r="J222" s="341"/>
      <c r="K222" s="1747"/>
      <c r="L222" s="36"/>
      <c r="M222" s="1"/>
      <c r="N222" s="1"/>
      <c r="O222" s="1"/>
      <c r="P222" s="477"/>
      <c r="Q222" s="477"/>
      <c r="S222" s="477"/>
      <c r="T222" s="477"/>
      <c r="U222" s="477"/>
      <c r="W222" s="544"/>
    </row>
    <row r="223" spans="1:23" ht="15" customHeight="1" x14ac:dyDescent="0.25">
      <c r="A223" s="392"/>
      <c r="B223" s="216" t="s">
        <v>359</v>
      </c>
      <c r="C223" s="25"/>
      <c r="D223" s="2921"/>
      <c r="E223" s="2922"/>
      <c r="F223" s="2923"/>
      <c r="G223" s="2913"/>
      <c r="H223" s="2914"/>
      <c r="I223" s="341"/>
      <c r="J223" s="341"/>
      <c r="K223" s="1747"/>
      <c r="L223" s="36"/>
      <c r="M223" s="1"/>
      <c r="N223" s="1"/>
      <c r="O223" s="1"/>
      <c r="P223" s="477"/>
      <c r="Q223" s="477"/>
      <c r="S223" s="477"/>
      <c r="T223" s="477"/>
      <c r="U223" s="477"/>
      <c r="W223" s="544"/>
    </row>
    <row r="224" spans="1:23" ht="15" customHeight="1" x14ac:dyDescent="0.25">
      <c r="A224" s="392"/>
      <c r="B224" s="216" t="s">
        <v>360</v>
      </c>
      <c r="C224" s="25"/>
      <c r="D224" s="2921"/>
      <c r="E224" s="2922"/>
      <c r="F224" s="2923"/>
      <c r="G224" s="2913"/>
      <c r="H224" s="2914"/>
      <c r="I224" s="341"/>
      <c r="J224" s="341"/>
      <c r="K224" s="1747"/>
      <c r="L224" s="36"/>
      <c r="M224" s="1"/>
      <c r="N224" s="1"/>
      <c r="O224" s="1"/>
      <c r="P224" s="477"/>
      <c r="Q224" s="477"/>
      <c r="S224" s="477"/>
      <c r="T224" s="477"/>
      <c r="U224" s="477"/>
      <c r="W224" s="544"/>
    </row>
    <row r="225" spans="1:23" ht="15" customHeight="1" x14ac:dyDescent="0.25">
      <c r="A225" s="392"/>
      <c r="B225" s="216" t="s">
        <v>361</v>
      </c>
      <c r="C225" s="25"/>
      <c r="D225" s="2921"/>
      <c r="E225" s="2922"/>
      <c r="F225" s="2923"/>
      <c r="G225" s="2913"/>
      <c r="H225" s="2914"/>
      <c r="I225" s="341"/>
      <c r="J225" s="341"/>
      <c r="K225" s="1747"/>
      <c r="L225" s="36"/>
      <c r="M225" s="1"/>
      <c r="N225" s="1"/>
      <c r="O225" s="1"/>
      <c r="P225" s="477"/>
      <c r="Q225" s="477"/>
      <c r="S225" s="477"/>
      <c r="T225" s="477"/>
      <c r="U225" s="477"/>
      <c r="W225" s="544"/>
    </row>
    <row r="226" spans="1:23" ht="15" customHeight="1" x14ac:dyDescent="0.25">
      <c r="A226" s="392"/>
      <c r="B226" s="216" t="s">
        <v>362</v>
      </c>
      <c r="C226" s="25"/>
      <c r="D226" s="2921"/>
      <c r="E226" s="2922"/>
      <c r="F226" s="2923"/>
      <c r="G226" s="2913"/>
      <c r="H226" s="2914"/>
      <c r="I226" s="341"/>
      <c r="J226" s="341"/>
      <c r="K226" s="1747"/>
      <c r="L226" s="36"/>
      <c r="M226" s="1"/>
      <c r="N226" s="1"/>
      <c r="O226" s="1"/>
      <c r="P226" s="477"/>
      <c r="Q226" s="477"/>
      <c r="S226" s="477"/>
      <c r="T226" s="477"/>
      <c r="U226" s="477"/>
      <c r="W226" s="544"/>
    </row>
    <row r="227" spans="1:23" ht="15" customHeight="1" x14ac:dyDescent="0.25">
      <c r="A227" s="392"/>
      <c r="B227" s="216" t="s">
        <v>363</v>
      </c>
      <c r="C227" s="25"/>
      <c r="D227" s="2921"/>
      <c r="E227" s="2922"/>
      <c r="F227" s="2923"/>
      <c r="G227" s="2913"/>
      <c r="H227" s="2914"/>
      <c r="I227" s="341"/>
      <c r="J227" s="341"/>
      <c r="K227" s="1747"/>
      <c r="L227" s="36"/>
      <c r="M227" s="1"/>
      <c r="N227" s="1"/>
      <c r="O227" s="1"/>
      <c r="P227" s="477"/>
      <c r="Q227" s="477"/>
      <c r="S227" s="477"/>
      <c r="T227" s="477"/>
      <c r="U227" s="477"/>
      <c r="W227" s="544"/>
    </row>
    <row r="228" spans="1:23" ht="15" customHeight="1" x14ac:dyDescent="0.25">
      <c r="A228" s="392"/>
      <c r="B228" s="216" t="s">
        <v>364</v>
      </c>
      <c r="C228" s="25"/>
      <c r="D228" s="2921"/>
      <c r="E228" s="2922"/>
      <c r="F228" s="2923"/>
      <c r="G228" s="2913"/>
      <c r="H228" s="2914"/>
      <c r="I228" s="341"/>
      <c r="J228" s="341"/>
      <c r="K228" s="1747"/>
      <c r="L228" s="36"/>
      <c r="M228" s="1"/>
      <c r="N228" s="1"/>
      <c r="O228" s="1"/>
      <c r="P228" s="477"/>
      <c r="Q228" s="477"/>
      <c r="S228" s="477"/>
      <c r="T228" s="477"/>
      <c r="U228" s="477"/>
      <c r="W228" s="544"/>
    </row>
    <row r="229" spans="1:23" ht="15" customHeight="1" x14ac:dyDescent="0.25">
      <c r="A229" s="392"/>
      <c r="B229" s="216" t="s">
        <v>365</v>
      </c>
      <c r="C229" s="25"/>
      <c r="D229" s="2921"/>
      <c r="E229" s="2922"/>
      <c r="F229" s="2923"/>
      <c r="G229" s="2913"/>
      <c r="H229" s="2914"/>
      <c r="I229" s="341"/>
      <c r="J229" s="341"/>
      <c r="K229" s="1747"/>
      <c r="L229" s="36"/>
      <c r="M229" s="1"/>
      <c r="N229" s="1"/>
      <c r="O229" s="1"/>
      <c r="P229" s="477"/>
      <c r="Q229" s="477"/>
      <c r="S229" s="477"/>
      <c r="T229" s="477"/>
      <c r="U229" s="477"/>
      <c r="W229" s="544"/>
    </row>
    <row r="230" spans="1:23" ht="15" customHeight="1" x14ac:dyDescent="0.25">
      <c r="A230" s="392"/>
      <c r="B230" s="216" t="s">
        <v>366</v>
      </c>
      <c r="C230" s="25"/>
      <c r="D230" s="2921"/>
      <c r="E230" s="2922"/>
      <c r="F230" s="2923"/>
      <c r="G230" s="2913"/>
      <c r="H230" s="2914"/>
      <c r="I230" s="341"/>
      <c r="J230" s="341"/>
      <c r="K230" s="1747"/>
      <c r="L230" s="36"/>
      <c r="M230" s="1"/>
      <c r="N230" s="1"/>
      <c r="O230" s="1"/>
      <c r="P230" s="477"/>
      <c r="Q230" s="477"/>
      <c r="S230" s="477"/>
      <c r="T230" s="477"/>
      <c r="U230" s="477"/>
      <c r="W230" s="544"/>
    </row>
    <row r="231" spans="1:23" ht="15" customHeight="1" x14ac:dyDescent="0.25">
      <c r="A231" s="392"/>
      <c r="B231" s="216" t="s">
        <v>367</v>
      </c>
      <c r="C231" s="25"/>
      <c r="D231" s="2921"/>
      <c r="E231" s="2922"/>
      <c r="F231" s="2923"/>
      <c r="G231" s="2913"/>
      <c r="H231" s="2914"/>
      <c r="I231" s="341"/>
      <c r="J231" s="341"/>
      <c r="K231" s="1747"/>
      <c r="L231" s="36"/>
      <c r="M231" s="1"/>
      <c r="N231" s="1"/>
      <c r="O231" s="1"/>
      <c r="P231" s="477"/>
      <c r="Q231" s="477"/>
      <c r="S231" s="477"/>
      <c r="T231" s="477"/>
      <c r="U231" s="477"/>
      <c r="W231" s="544"/>
    </row>
    <row r="232" spans="1:23" ht="15" customHeight="1" x14ac:dyDescent="0.25">
      <c r="A232" s="392"/>
      <c r="B232" s="216" t="s">
        <v>368</v>
      </c>
      <c r="C232" s="25"/>
      <c r="D232" s="2921"/>
      <c r="E232" s="2922"/>
      <c r="F232" s="2923"/>
      <c r="G232" s="2913"/>
      <c r="H232" s="2914"/>
      <c r="I232" s="341"/>
      <c r="J232" s="341"/>
      <c r="K232" s="1747"/>
      <c r="L232" s="36"/>
      <c r="M232" s="1"/>
      <c r="N232" s="1"/>
      <c r="O232" s="1"/>
      <c r="P232" s="477"/>
      <c r="Q232" s="477"/>
      <c r="S232" s="477"/>
      <c r="T232" s="477"/>
      <c r="U232" s="477"/>
      <c r="W232" s="544"/>
    </row>
    <row r="233" spans="1:23" ht="15" customHeight="1" x14ac:dyDescent="0.25">
      <c r="A233" s="392"/>
      <c r="B233" s="216" t="s">
        <v>369</v>
      </c>
      <c r="C233" s="25"/>
      <c r="D233" s="2921"/>
      <c r="E233" s="2922"/>
      <c r="F233" s="2923"/>
      <c r="G233" s="2913"/>
      <c r="H233" s="2914"/>
      <c r="I233" s="341"/>
      <c r="J233" s="341"/>
      <c r="K233" s="1747"/>
      <c r="L233" s="36"/>
      <c r="M233" s="1"/>
      <c r="N233" s="1"/>
      <c r="O233" s="1"/>
      <c r="P233" s="477"/>
      <c r="Q233" s="477"/>
      <c r="S233" s="477"/>
      <c r="T233" s="477"/>
      <c r="U233" s="477"/>
      <c r="W233" s="544"/>
    </row>
    <row r="234" spans="1:23" ht="15" customHeight="1" x14ac:dyDescent="0.25">
      <c r="A234" s="392"/>
      <c r="B234" s="216" t="s">
        <v>370</v>
      </c>
      <c r="C234" s="25"/>
      <c r="D234" s="2921"/>
      <c r="E234" s="2922"/>
      <c r="F234" s="2923"/>
      <c r="G234" s="2913"/>
      <c r="H234" s="2914"/>
      <c r="I234" s="341"/>
      <c r="J234" s="341"/>
      <c r="K234" s="1747"/>
      <c r="L234" s="36"/>
      <c r="M234" s="1"/>
      <c r="N234" s="1"/>
      <c r="O234" s="1"/>
      <c r="P234" s="477"/>
      <c r="Q234" s="477"/>
      <c r="S234" s="477"/>
      <c r="T234" s="477"/>
      <c r="U234" s="477"/>
      <c r="W234" s="544"/>
    </row>
    <row r="235" spans="1:23" ht="15" customHeight="1" x14ac:dyDescent="0.25">
      <c r="A235" s="392"/>
      <c r="B235" s="216" t="s">
        <v>371</v>
      </c>
      <c r="C235" s="25"/>
      <c r="D235" s="2921"/>
      <c r="E235" s="2922"/>
      <c r="F235" s="2923"/>
      <c r="G235" s="2913"/>
      <c r="H235" s="2914"/>
      <c r="I235" s="341"/>
      <c r="J235" s="341"/>
      <c r="K235" s="1747"/>
      <c r="L235" s="36"/>
      <c r="M235" s="1"/>
      <c r="N235" s="1"/>
      <c r="O235" s="1"/>
      <c r="P235" s="477"/>
      <c r="Q235" s="477"/>
      <c r="S235" s="477"/>
      <c r="T235" s="477"/>
      <c r="U235" s="477"/>
      <c r="W235" s="544"/>
    </row>
    <row r="236" spans="1:23" ht="15" customHeight="1" x14ac:dyDescent="0.25">
      <c r="A236" s="392"/>
      <c r="B236" s="216" t="s">
        <v>372</v>
      </c>
      <c r="C236" s="25"/>
      <c r="D236" s="2921"/>
      <c r="E236" s="2922"/>
      <c r="F236" s="2923"/>
      <c r="G236" s="2913"/>
      <c r="H236" s="2914"/>
      <c r="I236" s="341"/>
      <c r="J236" s="341"/>
      <c r="K236" s="1747"/>
      <c r="L236" s="36"/>
      <c r="M236" s="1"/>
      <c r="N236" s="1"/>
      <c r="O236" s="1"/>
      <c r="P236" s="477"/>
      <c r="Q236" s="477"/>
      <c r="S236" s="477"/>
      <c r="T236" s="477"/>
      <c r="U236" s="477"/>
      <c r="W236" s="544"/>
    </row>
    <row r="237" spans="1:23" ht="15" customHeight="1" x14ac:dyDescent="0.25">
      <c r="A237" s="392"/>
      <c r="B237" s="216" t="s">
        <v>373</v>
      </c>
      <c r="C237" s="25"/>
      <c r="D237" s="2921"/>
      <c r="E237" s="2922"/>
      <c r="F237" s="2923"/>
      <c r="G237" s="2913"/>
      <c r="H237" s="2914"/>
      <c r="I237" s="341"/>
      <c r="J237" s="341"/>
      <c r="K237" s="1747"/>
      <c r="L237" s="36"/>
      <c r="M237" s="1"/>
      <c r="N237" s="1"/>
      <c r="O237" s="1"/>
      <c r="P237" s="477"/>
      <c r="Q237" s="477"/>
      <c r="S237" s="477"/>
      <c r="T237" s="477"/>
      <c r="U237" s="477"/>
      <c r="W237" s="544"/>
    </row>
    <row r="238" spans="1:23" ht="15" customHeight="1" x14ac:dyDescent="0.25">
      <c r="A238" s="392"/>
      <c r="B238" s="216" t="s">
        <v>374</v>
      </c>
      <c r="C238" s="25"/>
      <c r="D238" s="2921"/>
      <c r="E238" s="2922"/>
      <c r="F238" s="2923"/>
      <c r="G238" s="2913"/>
      <c r="H238" s="2914"/>
      <c r="I238" s="341"/>
      <c r="J238" s="341"/>
      <c r="K238" s="1747"/>
      <c r="L238" s="36"/>
      <c r="M238" s="1"/>
      <c r="N238" s="1"/>
      <c r="O238" s="1"/>
      <c r="P238" s="477"/>
      <c r="Q238" s="477"/>
      <c r="S238" s="477"/>
      <c r="T238" s="477"/>
      <c r="U238" s="477"/>
      <c r="W238" s="544"/>
    </row>
    <row r="239" spans="1:23" ht="15" customHeight="1" x14ac:dyDescent="0.25">
      <c r="A239" s="392"/>
      <c r="B239" s="216" t="s">
        <v>375</v>
      </c>
      <c r="C239" s="25"/>
      <c r="D239" s="2921"/>
      <c r="E239" s="2922"/>
      <c r="F239" s="2923"/>
      <c r="G239" s="2913"/>
      <c r="H239" s="2914"/>
      <c r="I239" s="341"/>
      <c r="J239" s="341"/>
      <c r="K239" s="1747"/>
      <c r="L239" s="36"/>
      <c r="M239" s="1"/>
      <c r="N239" s="1"/>
      <c r="O239" s="1"/>
      <c r="P239" s="477"/>
      <c r="Q239" s="477"/>
      <c r="S239" s="477"/>
      <c r="T239" s="477"/>
      <c r="U239" s="477"/>
      <c r="W239" s="544"/>
    </row>
    <row r="240" spans="1:23" ht="15" customHeight="1" x14ac:dyDescent="0.25">
      <c r="A240" s="392"/>
      <c r="B240" s="216" t="s">
        <v>376</v>
      </c>
      <c r="C240" s="25"/>
      <c r="D240" s="2921"/>
      <c r="E240" s="2922"/>
      <c r="F240" s="2923"/>
      <c r="G240" s="2913"/>
      <c r="H240" s="2914"/>
      <c r="I240" s="341"/>
      <c r="J240" s="341"/>
      <c r="K240" s="1747"/>
      <c r="L240" s="36"/>
      <c r="M240" s="1"/>
      <c r="N240" s="1"/>
      <c r="O240" s="1"/>
      <c r="P240" s="477"/>
      <c r="Q240" s="477"/>
      <c r="S240" s="477"/>
      <c r="T240" s="477"/>
      <c r="U240" s="477"/>
      <c r="W240" s="544"/>
    </row>
    <row r="241" spans="1:23" ht="15" customHeight="1" x14ac:dyDescent="0.25">
      <c r="A241" s="392"/>
      <c r="B241" s="216" t="s">
        <v>377</v>
      </c>
      <c r="C241" s="25"/>
      <c r="D241" s="2921"/>
      <c r="E241" s="2922"/>
      <c r="F241" s="2923"/>
      <c r="G241" s="2913"/>
      <c r="H241" s="2914"/>
      <c r="I241" s="341"/>
      <c r="J241" s="341"/>
      <c r="K241" s="1747"/>
      <c r="L241" s="36"/>
      <c r="M241" s="1"/>
      <c r="N241" s="1"/>
      <c r="O241" s="1"/>
      <c r="P241" s="477"/>
      <c r="Q241" s="477"/>
      <c r="S241" s="477"/>
      <c r="T241" s="477"/>
      <c r="U241" s="477"/>
      <c r="W241" s="544"/>
    </row>
    <row r="242" spans="1:23" ht="15" customHeight="1" x14ac:dyDescent="0.25">
      <c r="A242" s="392"/>
      <c r="B242" s="216" t="s">
        <v>378</v>
      </c>
      <c r="C242" s="25"/>
      <c r="D242" s="2921"/>
      <c r="E242" s="2922"/>
      <c r="F242" s="2923"/>
      <c r="G242" s="2913"/>
      <c r="H242" s="2914"/>
      <c r="I242" s="341"/>
      <c r="J242" s="341"/>
      <c r="K242" s="1747"/>
      <c r="L242" s="36"/>
      <c r="M242" s="1"/>
      <c r="N242" s="1"/>
      <c r="O242" s="1"/>
      <c r="P242" s="477"/>
      <c r="Q242" s="477"/>
      <c r="S242" s="477"/>
      <c r="T242" s="477"/>
      <c r="U242" s="477"/>
      <c r="W242" s="544"/>
    </row>
    <row r="243" spans="1:23" ht="15" customHeight="1" x14ac:dyDescent="0.25">
      <c r="A243" s="392"/>
      <c r="B243" s="216" t="s">
        <v>379</v>
      </c>
      <c r="C243" s="25"/>
      <c r="D243" s="2921"/>
      <c r="E243" s="2922"/>
      <c r="F243" s="2923"/>
      <c r="G243" s="2913"/>
      <c r="H243" s="2914"/>
      <c r="I243" s="341"/>
      <c r="J243" s="341"/>
      <c r="K243" s="1747"/>
      <c r="L243" s="36"/>
      <c r="M243" s="1"/>
      <c r="N243" s="1"/>
      <c r="O243" s="1"/>
      <c r="P243" s="477"/>
      <c r="Q243" s="477"/>
      <c r="S243" s="477"/>
      <c r="T243" s="477"/>
      <c r="U243" s="477"/>
      <c r="W243" s="544"/>
    </row>
    <row r="244" spans="1:23" ht="15" customHeight="1" x14ac:dyDescent="0.25">
      <c r="A244" s="392"/>
      <c r="B244" s="216" t="s">
        <v>380</v>
      </c>
      <c r="C244" s="25"/>
      <c r="D244" s="2921"/>
      <c r="E244" s="2922"/>
      <c r="F244" s="2923"/>
      <c r="G244" s="2913"/>
      <c r="H244" s="2914"/>
      <c r="I244" s="341"/>
      <c r="J244" s="341"/>
      <c r="K244" s="1747"/>
      <c r="L244" s="36"/>
      <c r="M244" s="1"/>
      <c r="N244" s="1"/>
      <c r="O244" s="1"/>
      <c r="P244" s="477"/>
      <c r="Q244" s="477"/>
      <c r="S244" s="477"/>
      <c r="T244" s="477"/>
      <c r="U244" s="477"/>
      <c r="W244" s="544"/>
    </row>
    <row r="245" spans="1:23" ht="15" customHeight="1" x14ac:dyDescent="0.25">
      <c r="A245" s="392"/>
      <c r="B245" s="216" t="s">
        <v>381</v>
      </c>
      <c r="C245" s="25"/>
      <c r="D245" s="2921"/>
      <c r="E245" s="2922"/>
      <c r="F245" s="2923"/>
      <c r="G245" s="2913"/>
      <c r="H245" s="2914"/>
      <c r="I245" s="341"/>
      <c r="J245" s="341"/>
      <c r="K245" s="1747"/>
      <c r="L245" s="36"/>
      <c r="M245" s="1"/>
      <c r="N245" s="1"/>
      <c r="O245" s="1"/>
      <c r="P245" s="477"/>
      <c r="Q245" s="477"/>
      <c r="S245" s="477"/>
      <c r="T245" s="477"/>
      <c r="U245" s="477"/>
      <c r="W245" s="544"/>
    </row>
    <row r="246" spans="1:23" ht="15" customHeight="1" x14ac:dyDescent="0.25">
      <c r="A246" s="392"/>
      <c r="B246" s="216" t="s">
        <v>382</v>
      </c>
      <c r="C246" s="25"/>
      <c r="D246" s="2921"/>
      <c r="E246" s="2922"/>
      <c r="F246" s="2923"/>
      <c r="G246" s="2913"/>
      <c r="H246" s="2914"/>
      <c r="I246" s="341"/>
      <c r="J246" s="341"/>
      <c r="K246" s="1747"/>
      <c r="L246" s="36"/>
      <c r="M246" s="1"/>
      <c r="N246" s="1"/>
      <c r="O246" s="1"/>
      <c r="P246" s="477"/>
      <c r="Q246" s="477"/>
      <c r="S246" s="477"/>
      <c r="T246" s="477"/>
      <c r="U246" s="477"/>
      <c r="W246" s="544"/>
    </row>
    <row r="247" spans="1:23" ht="15" customHeight="1" x14ac:dyDescent="0.25">
      <c r="A247" s="392"/>
      <c r="B247" s="216" t="s">
        <v>383</v>
      </c>
      <c r="C247" s="25"/>
      <c r="D247" s="2921"/>
      <c r="E247" s="2922"/>
      <c r="F247" s="2923"/>
      <c r="G247" s="2913"/>
      <c r="H247" s="2914"/>
      <c r="I247" s="341"/>
      <c r="J247" s="341"/>
      <c r="K247" s="1747"/>
      <c r="L247" s="36"/>
      <c r="M247" s="1"/>
      <c r="N247" s="1"/>
      <c r="O247" s="1"/>
      <c r="P247" s="477"/>
      <c r="Q247" s="477"/>
      <c r="S247" s="477"/>
      <c r="T247" s="477"/>
      <c r="U247" s="477"/>
      <c r="W247" s="544"/>
    </row>
    <row r="248" spans="1:23" ht="15" customHeight="1" x14ac:dyDescent="0.25">
      <c r="A248" s="392"/>
      <c r="B248" s="216" t="s">
        <v>384</v>
      </c>
      <c r="C248" s="25"/>
      <c r="D248" s="2921"/>
      <c r="E248" s="2922"/>
      <c r="F248" s="2923"/>
      <c r="G248" s="2913"/>
      <c r="H248" s="2914"/>
      <c r="I248" s="341"/>
      <c r="J248" s="341"/>
      <c r="K248" s="1747"/>
      <c r="L248" s="36"/>
      <c r="M248" s="1"/>
      <c r="N248" s="1"/>
      <c r="O248" s="1"/>
      <c r="P248" s="477"/>
      <c r="Q248" s="477"/>
      <c r="S248" s="477"/>
      <c r="T248" s="477"/>
      <c r="U248" s="477"/>
      <c r="W248" s="544"/>
    </row>
    <row r="249" spans="1:23" ht="15" customHeight="1" x14ac:dyDescent="0.25">
      <c r="A249" s="392"/>
      <c r="B249" s="216" t="s">
        <v>385</v>
      </c>
      <c r="C249" s="25"/>
      <c r="D249" s="2921"/>
      <c r="E249" s="2922"/>
      <c r="F249" s="2923"/>
      <c r="G249" s="2913"/>
      <c r="H249" s="2914"/>
      <c r="I249" s="341"/>
      <c r="J249" s="341"/>
      <c r="K249" s="1747"/>
      <c r="L249" s="36"/>
      <c r="M249" s="1"/>
      <c r="N249" s="1"/>
      <c r="O249" s="1"/>
      <c r="P249" s="477"/>
      <c r="Q249" s="477"/>
      <c r="S249" s="477"/>
      <c r="T249" s="477"/>
      <c r="U249" s="477"/>
      <c r="W249" s="544"/>
    </row>
    <row r="250" spans="1:23" ht="15" customHeight="1" x14ac:dyDescent="0.25">
      <c r="A250" s="392"/>
      <c r="B250" s="216" t="s">
        <v>386</v>
      </c>
      <c r="C250" s="25"/>
      <c r="D250" s="2921"/>
      <c r="E250" s="2922"/>
      <c r="F250" s="2923"/>
      <c r="G250" s="2913"/>
      <c r="H250" s="2914"/>
      <c r="I250" s="341"/>
      <c r="J250" s="341"/>
      <c r="K250" s="1747"/>
      <c r="L250" s="36"/>
      <c r="M250" s="1"/>
      <c r="N250" s="1"/>
      <c r="O250" s="1"/>
      <c r="P250" s="477"/>
      <c r="Q250" s="477"/>
      <c r="S250" s="477"/>
      <c r="T250" s="477"/>
      <c r="U250" s="477"/>
      <c r="W250" s="544"/>
    </row>
    <row r="251" spans="1:23" ht="15" customHeight="1" x14ac:dyDescent="0.25">
      <c r="A251" s="392"/>
      <c r="B251" s="216" t="s">
        <v>387</v>
      </c>
      <c r="C251" s="25"/>
      <c r="D251" s="2921"/>
      <c r="E251" s="2922"/>
      <c r="F251" s="2923"/>
      <c r="G251" s="2913"/>
      <c r="H251" s="2914"/>
      <c r="I251" s="341"/>
      <c r="J251" s="341"/>
      <c r="K251" s="1747"/>
      <c r="L251" s="36"/>
      <c r="M251" s="1"/>
      <c r="N251" s="1"/>
      <c r="O251" s="1"/>
      <c r="P251" s="477"/>
      <c r="Q251" s="477"/>
      <c r="S251" s="477"/>
      <c r="T251" s="477"/>
      <c r="U251" s="477"/>
      <c r="W251" s="544"/>
    </row>
    <row r="252" spans="1:23" ht="15" customHeight="1" x14ac:dyDescent="0.25">
      <c r="A252" s="392"/>
      <c r="B252" s="216" t="s">
        <v>388</v>
      </c>
      <c r="C252" s="25"/>
      <c r="D252" s="2921"/>
      <c r="E252" s="2922"/>
      <c r="F252" s="2923"/>
      <c r="G252" s="2913"/>
      <c r="H252" s="2914"/>
      <c r="I252" s="341"/>
      <c r="J252" s="341"/>
      <c r="K252" s="1747"/>
      <c r="L252" s="36"/>
      <c r="M252" s="1"/>
      <c r="N252" s="1"/>
      <c r="O252" s="1"/>
      <c r="P252" s="477"/>
      <c r="Q252" s="477"/>
      <c r="S252" s="477"/>
      <c r="T252" s="477"/>
      <c r="U252" s="477"/>
      <c r="W252" s="544"/>
    </row>
    <row r="253" spans="1:23" ht="15" customHeight="1" x14ac:dyDescent="0.25">
      <c r="A253" s="392"/>
      <c r="B253" s="216" t="s">
        <v>389</v>
      </c>
      <c r="C253" s="25"/>
      <c r="D253" s="2921"/>
      <c r="E253" s="2922"/>
      <c r="F253" s="2923"/>
      <c r="G253" s="2913"/>
      <c r="H253" s="2914"/>
      <c r="I253" s="341"/>
      <c r="J253" s="341"/>
      <c r="K253" s="1747"/>
      <c r="L253" s="36"/>
      <c r="M253" s="1"/>
      <c r="N253" s="1"/>
      <c r="O253" s="1"/>
      <c r="P253" s="477"/>
      <c r="Q253" s="477"/>
      <c r="S253" s="477"/>
      <c r="T253" s="477"/>
      <c r="U253" s="477"/>
      <c r="W253" s="544"/>
    </row>
    <row r="254" spans="1:23" ht="15" customHeight="1" x14ac:dyDescent="0.25">
      <c r="A254" s="392"/>
      <c r="B254" s="216" t="s">
        <v>390</v>
      </c>
      <c r="C254" s="25"/>
      <c r="D254" s="2921"/>
      <c r="E254" s="2922"/>
      <c r="F254" s="2923"/>
      <c r="G254" s="2913"/>
      <c r="H254" s="2914"/>
      <c r="I254" s="341"/>
      <c r="J254" s="341"/>
      <c r="K254" s="1747"/>
      <c r="L254" s="36"/>
      <c r="M254" s="1"/>
      <c r="N254" s="1"/>
      <c r="O254" s="1"/>
      <c r="P254" s="477"/>
      <c r="Q254" s="477"/>
      <c r="S254" s="477"/>
      <c r="T254" s="477"/>
      <c r="U254" s="477"/>
      <c r="W254" s="544"/>
    </row>
    <row r="255" spans="1:23" ht="15" customHeight="1" x14ac:dyDescent="0.25">
      <c r="A255" s="392"/>
      <c r="B255" s="216" t="s">
        <v>391</v>
      </c>
      <c r="C255" s="25"/>
      <c r="D255" s="2921"/>
      <c r="E255" s="2922"/>
      <c r="F255" s="2923"/>
      <c r="G255" s="2913"/>
      <c r="H255" s="2914"/>
      <c r="I255" s="341"/>
      <c r="J255" s="341"/>
      <c r="K255" s="1747"/>
      <c r="L255" s="36"/>
      <c r="M255" s="1"/>
      <c r="N255" s="1"/>
      <c r="O255" s="1"/>
      <c r="P255" s="477"/>
      <c r="Q255" s="477"/>
      <c r="S255" s="477"/>
      <c r="T255" s="477"/>
      <c r="U255" s="477"/>
      <c r="W255" s="544"/>
    </row>
    <row r="256" spans="1:23" ht="15" customHeight="1" x14ac:dyDescent="0.25">
      <c r="A256" s="392"/>
      <c r="B256" s="216" t="s">
        <v>392</v>
      </c>
      <c r="C256" s="25"/>
      <c r="D256" s="2921"/>
      <c r="E256" s="2922"/>
      <c r="F256" s="2923"/>
      <c r="G256" s="2913"/>
      <c r="H256" s="2914"/>
      <c r="I256" s="341"/>
      <c r="J256" s="341"/>
      <c r="K256" s="1747"/>
      <c r="L256" s="36"/>
      <c r="M256" s="1"/>
      <c r="N256" s="1"/>
      <c r="O256" s="1"/>
      <c r="P256" s="477"/>
      <c r="Q256" s="477"/>
      <c r="S256" s="477"/>
      <c r="T256" s="477"/>
      <c r="U256" s="477"/>
      <c r="W256" s="544"/>
    </row>
    <row r="257" spans="1:23" ht="15" customHeight="1" x14ac:dyDescent="0.25">
      <c r="A257" s="392"/>
      <c r="B257" s="216" t="s">
        <v>393</v>
      </c>
      <c r="C257" s="25"/>
      <c r="D257" s="2921"/>
      <c r="E257" s="2922"/>
      <c r="F257" s="2923"/>
      <c r="G257" s="2913"/>
      <c r="H257" s="2914"/>
      <c r="I257" s="341"/>
      <c r="J257" s="341"/>
      <c r="K257" s="1747"/>
      <c r="L257" s="36"/>
      <c r="M257" s="1"/>
      <c r="N257" s="1"/>
      <c r="O257" s="1"/>
      <c r="P257" s="477"/>
      <c r="Q257" s="477"/>
      <c r="S257" s="477"/>
      <c r="T257" s="477"/>
      <c r="U257" s="477"/>
      <c r="W257" s="544"/>
    </row>
    <row r="258" spans="1:23" ht="15" customHeight="1" x14ac:dyDescent="0.25">
      <c r="A258" s="392"/>
      <c r="B258" s="216" t="s">
        <v>394</v>
      </c>
      <c r="C258" s="25"/>
      <c r="D258" s="2921"/>
      <c r="E258" s="2922"/>
      <c r="F258" s="2923"/>
      <c r="G258" s="2913"/>
      <c r="H258" s="2914"/>
      <c r="I258" s="341"/>
      <c r="J258" s="341"/>
      <c r="K258" s="1747"/>
      <c r="L258" s="36"/>
      <c r="M258" s="1"/>
      <c r="N258" s="1"/>
      <c r="O258" s="1"/>
      <c r="P258" s="477"/>
      <c r="Q258" s="477"/>
      <c r="S258" s="477"/>
      <c r="T258" s="477"/>
      <c r="U258" s="477"/>
      <c r="W258" s="544"/>
    </row>
    <row r="259" spans="1:23" ht="15" customHeight="1" x14ac:dyDescent="0.25">
      <c r="A259" s="392"/>
      <c r="B259" s="216" t="s">
        <v>395</v>
      </c>
      <c r="C259" s="25"/>
      <c r="D259" s="2921"/>
      <c r="E259" s="2922"/>
      <c r="F259" s="2923"/>
      <c r="G259" s="2913"/>
      <c r="H259" s="2914"/>
      <c r="I259" s="341"/>
      <c r="J259" s="341"/>
      <c r="K259" s="1747"/>
      <c r="L259" s="36"/>
      <c r="M259" s="1"/>
      <c r="N259" s="1"/>
      <c r="O259" s="1"/>
      <c r="P259" s="477"/>
      <c r="Q259" s="477"/>
      <c r="S259" s="477"/>
      <c r="T259" s="477"/>
      <c r="U259" s="477"/>
      <c r="W259" s="544"/>
    </row>
    <row r="260" spans="1:23" ht="15" customHeight="1" x14ac:dyDescent="0.25">
      <c r="A260" s="392"/>
      <c r="B260" s="216" t="s">
        <v>396</v>
      </c>
      <c r="C260" s="25"/>
      <c r="D260" s="2921"/>
      <c r="E260" s="2922"/>
      <c r="F260" s="2923"/>
      <c r="G260" s="2913"/>
      <c r="H260" s="2914"/>
      <c r="I260" s="341"/>
      <c r="J260" s="341"/>
      <c r="K260" s="1747"/>
      <c r="L260" s="36"/>
      <c r="M260" s="1"/>
      <c r="N260" s="1"/>
      <c r="O260" s="1"/>
      <c r="P260" s="477"/>
      <c r="Q260" s="477"/>
      <c r="S260" s="477"/>
      <c r="T260" s="477"/>
      <c r="U260" s="477"/>
      <c r="W260" s="544"/>
    </row>
    <row r="261" spans="1:23" ht="15" customHeight="1" x14ac:dyDescent="0.25">
      <c r="A261" s="392"/>
      <c r="B261" s="216" t="s">
        <v>397</v>
      </c>
      <c r="C261" s="25"/>
      <c r="D261" s="2921"/>
      <c r="E261" s="2922"/>
      <c r="F261" s="2923"/>
      <c r="G261" s="2913"/>
      <c r="H261" s="2914"/>
      <c r="I261" s="341"/>
      <c r="J261" s="341"/>
      <c r="K261" s="1747"/>
      <c r="L261" s="36"/>
      <c r="M261" s="1"/>
      <c r="N261" s="1"/>
      <c r="O261" s="1"/>
      <c r="P261" s="477"/>
      <c r="Q261" s="477"/>
      <c r="S261" s="477"/>
      <c r="T261" s="477"/>
      <c r="U261" s="477"/>
      <c r="W261" s="544"/>
    </row>
    <row r="262" spans="1:23" ht="15" customHeight="1" x14ac:dyDescent="0.25">
      <c r="A262" s="392"/>
      <c r="B262" s="216" t="s">
        <v>398</v>
      </c>
      <c r="C262" s="25"/>
      <c r="D262" s="2921"/>
      <c r="E262" s="2922"/>
      <c r="F262" s="2923"/>
      <c r="G262" s="2913"/>
      <c r="H262" s="2914"/>
      <c r="I262" s="341"/>
      <c r="J262" s="341"/>
      <c r="K262" s="1747"/>
      <c r="L262" s="36"/>
      <c r="M262" s="1"/>
      <c r="N262" s="1"/>
      <c r="O262" s="1"/>
      <c r="P262" s="477"/>
      <c r="Q262" s="477"/>
      <c r="S262" s="477"/>
      <c r="T262" s="477"/>
      <c r="U262" s="477"/>
      <c r="W262" s="544"/>
    </row>
    <row r="263" spans="1:23" ht="15" customHeight="1" x14ac:dyDescent="0.25">
      <c r="A263" s="392"/>
      <c r="B263" s="216" t="s">
        <v>399</v>
      </c>
      <c r="C263" s="25"/>
      <c r="D263" s="2921"/>
      <c r="E263" s="2922"/>
      <c r="F263" s="2923"/>
      <c r="G263" s="2913"/>
      <c r="H263" s="2914"/>
      <c r="I263" s="341"/>
      <c r="J263" s="341"/>
      <c r="K263" s="1747"/>
      <c r="L263" s="36"/>
      <c r="M263" s="1"/>
      <c r="N263" s="1"/>
      <c r="O263" s="1"/>
      <c r="P263" s="477"/>
      <c r="Q263" s="477"/>
      <c r="S263" s="477"/>
      <c r="T263" s="477"/>
      <c r="U263" s="477"/>
      <c r="W263" s="544"/>
    </row>
    <row r="264" spans="1:23" ht="15" customHeight="1" x14ac:dyDescent="0.25">
      <c r="A264" s="392"/>
      <c r="B264" s="216" t="s">
        <v>400</v>
      </c>
      <c r="C264" s="25"/>
      <c r="D264" s="2921"/>
      <c r="E264" s="2922"/>
      <c r="F264" s="2923"/>
      <c r="G264" s="2913"/>
      <c r="H264" s="2914"/>
      <c r="I264" s="341"/>
      <c r="J264" s="341"/>
      <c r="K264" s="1747"/>
      <c r="L264" s="36"/>
      <c r="M264" s="1"/>
      <c r="N264" s="1"/>
      <c r="O264" s="1"/>
      <c r="P264" s="477"/>
      <c r="Q264" s="477"/>
      <c r="S264" s="477"/>
      <c r="T264" s="477"/>
      <c r="U264" s="477"/>
      <c r="W264" s="544"/>
    </row>
    <row r="265" spans="1:23" ht="15" customHeight="1" x14ac:dyDescent="0.25">
      <c r="A265" s="392"/>
      <c r="B265" s="216" t="s">
        <v>401</v>
      </c>
      <c r="C265" s="25"/>
      <c r="D265" s="2921"/>
      <c r="E265" s="2922"/>
      <c r="F265" s="2923"/>
      <c r="G265" s="2913"/>
      <c r="H265" s="2914"/>
      <c r="I265" s="341"/>
      <c r="J265" s="341"/>
      <c r="K265" s="1747"/>
      <c r="L265" s="36"/>
      <c r="M265" s="1"/>
      <c r="N265" s="1"/>
      <c r="O265" s="1"/>
      <c r="P265" s="477"/>
      <c r="Q265" s="477"/>
      <c r="S265" s="477"/>
      <c r="T265" s="477"/>
      <c r="U265" s="477"/>
      <c r="W265" s="544"/>
    </row>
    <row r="266" spans="1:23" ht="15" customHeight="1" x14ac:dyDescent="0.25">
      <c r="A266" s="392"/>
      <c r="B266" s="216" t="s">
        <v>402</v>
      </c>
      <c r="C266" s="25"/>
      <c r="D266" s="2921"/>
      <c r="E266" s="2922"/>
      <c r="F266" s="2923"/>
      <c r="G266" s="2913"/>
      <c r="H266" s="2914"/>
      <c r="I266" s="341"/>
      <c r="J266" s="341"/>
      <c r="K266" s="1747"/>
      <c r="L266" s="36"/>
      <c r="M266" s="1"/>
      <c r="N266" s="1"/>
      <c r="O266" s="1"/>
      <c r="P266" s="477"/>
      <c r="Q266" s="477"/>
      <c r="S266" s="477"/>
      <c r="T266" s="477"/>
      <c r="U266" s="477"/>
      <c r="W266" s="544"/>
    </row>
    <row r="267" spans="1:23" ht="15" customHeight="1" x14ac:dyDescent="0.25">
      <c r="A267" s="392"/>
      <c r="B267" s="216" t="s">
        <v>403</v>
      </c>
      <c r="C267" s="25"/>
      <c r="D267" s="2921"/>
      <c r="E267" s="2922"/>
      <c r="F267" s="2923"/>
      <c r="G267" s="2913"/>
      <c r="H267" s="2914"/>
      <c r="I267" s="341"/>
      <c r="J267" s="341"/>
      <c r="K267" s="1747"/>
      <c r="L267" s="36"/>
      <c r="M267" s="1"/>
      <c r="N267" s="1"/>
      <c r="O267" s="1"/>
      <c r="P267" s="477"/>
      <c r="Q267" s="477"/>
      <c r="S267" s="477"/>
      <c r="T267" s="477"/>
      <c r="U267" s="477"/>
      <c r="W267" s="544"/>
    </row>
    <row r="268" spans="1:23" ht="15" customHeight="1" x14ac:dyDescent="0.25">
      <c r="A268" s="392"/>
      <c r="B268" s="216" t="s">
        <v>404</v>
      </c>
      <c r="C268" s="25"/>
      <c r="D268" s="2921"/>
      <c r="E268" s="2922"/>
      <c r="F268" s="2923"/>
      <c r="G268" s="2913"/>
      <c r="H268" s="2914"/>
      <c r="I268" s="341"/>
      <c r="J268" s="341"/>
      <c r="K268" s="1747"/>
      <c r="L268" s="36"/>
      <c r="M268" s="1"/>
      <c r="N268" s="1"/>
      <c r="O268" s="1"/>
      <c r="P268" s="477"/>
      <c r="Q268" s="477"/>
      <c r="S268" s="477"/>
      <c r="T268" s="477"/>
      <c r="U268" s="477"/>
      <c r="W268" s="544"/>
    </row>
    <row r="269" spans="1:23" ht="15" customHeight="1" x14ac:dyDescent="0.25">
      <c r="A269" s="392"/>
      <c r="B269" s="219" t="s">
        <v>405</v>
      </c>
      <c r="C269" s="20"/>
      <c r="D269" s="2924"/>
      <c r="E269" s="2925"/>
      <c r="F269" s="2926"/>
      <c r="G269" s="2919"/>
      <c r="H269" s="2920"/>
      <c r="I269" s="342"/>
      <c r="J269" s="342"/>
      <c r="K269" s="20"/>
      <c r="L269" s="90"/>
      <c r="M269" s="1"/>
      <c r="N269" s="1"/>
      <c r="O269" s="1"/>
      <c r="P269" s="477"/>
      <c r="Q269" s="477"/>
      <c r="S269" s="477"/>
      <c r="T269" s="477"/>
      <c r="U269" s="477"/>
      <c r="W269" s="544"/>
    </row>
    <row r="270" spans="1:23" ht="15" customHeight="1" x14ac:dyDescent="0.25">
      <c r="A270" s="392"/>
      <c r="B270" s="510"/>
      <c r="C270" s="510"/>
      <c r="D270" s="477"/>
      <c r="E270" s="477"/>
      <c r="F270" s="477"/>
      <c r="G270" s="477"/>
      <c r="I270" s="477"/>
      <c r="J270" s="977"/>
      <c r="K270" s="977"/>
      <c r="M270" s="477"/>
      <c r="N270" s="549"/>
      <c r="O270" s="477"/>
      <c r="P270" s="477"/>
      <c r="Q270" s="477"/>
      <c r="R270" s="549"/>
      <c r="S270" s="477"/>
      <c r="T270" s="477"/>
      <c r="U270" s="477"/>
      <c r="V270" s="549"/>
      <c r="W270" s="609"/>
    </row>
    <row r="271" spans="1:23" ht="45" customHeight="1" x14ac:dyDescent="0.35">
      <c r="A271" s="978" t="s">
        <v>2206</v>
      </c>
      <c r="B271" s="1402"/>
      <c r="C271" s="1390"/>
      <c r="D271" s="1390"/>
      <c r="E271" s="1390"/>
      <c r="F271" s="1403"/>
      <c r="G271" s="1390"/>
      <c r="H271" s="1404"/>
      <c r="I271" s="1390"/>
      <c r="J271" s="206"/>
      <c r="K271" s="1390"/>
      <c r="L271" s="1404"/>
      <c r="M271" s="1390"/>
      <c r="N271" s="206"/>
      <c r="O271" s="1390"/>
      <c r="P271" s="1404"/>
      <c r="Q271" s="1390"/>
      <c r="R271" s="206"/>
      <c r="S271" s="1390"/>
      <c r="T271" s="1404"/>
      <c r="U271" s="1390"/>
      <c r="V271" s="206"/>
      <c r="W271" s="979"/>
    </row>
    <row r="272" spans="1:23" ht="15" customHeight="1" x14ac:dyDescent="0.25">
      <c r="A272" s="392"/>
      <c r="B272" s="992" t="s">
        <v>408</v>
      </c>
      <c r="C272" s="2070" t="s">
        <v>409</v>
      </c>
      <c r="D272" s="2786" t="s">
        <v>410</v>
      </c>
      <c r="E272" s="2789"/>
      <c r="F272" s="2789"/>
      <c r="G272" s="2786" t="s">
        <v>1993</v>
      </c>
      <c r="H272" s="2789"/>
      <c r="I272" s="2789"/>
      <c r="J272" s="2789"/>
      <c r="K272" s="2789"/>
      <c r="L272" s="2789"/>
      <c r="M272" s="477"/>
      <c r="O272" s="477"/>
      <c r="Q272" s="477"/>
      <c r="S272" s="477"/>
      <c r="U272" s="477"/>
      <c r="W272" s="544"/>
    </row>
    <row r="273" spans="1:23" ht="60" customHeight="1" x14ac:dyDescent="0.25">
      <c r="A273" s="392"/>
      <c r="B273" s="213" t="str">
        <f>"Q-"&amp;(ROW(B273)-ROW(B$272))</f>
        <v>Q-1</v>
      </c>
      <c r="C273" s="214"/>
      <c r="D273" s="2957"/>
      <c r="E273" s="2958"/>
      <c r="F273" s="2958"/>
      <c r="G273" s="2961" t="s">
        <v>1998</v>
      </c>
      <c r="H273" s="2961"/>
      <c r="I273" s="2961"/>
      <c r="J273" s="2961"/>
      <c r="K273" s="2961"/>
      <c r="L273" s="2961"/>
      <c r="M273" s="477"/>
      <c r="O273" s="477"/>
      <c r="Q273" s="477"/>
      <c r="S273" s="477"/>
      <c r="U273" s="477"/>
      <c r="W273" s="544"/>
    </row>
    <row r="274" spans="1:23" ht="60" customHeight="1" x14ac:dyDescent="0.25">
      <c r="A274" s="392"/>
      <c r="B274" s="213" t="str">
        <f t="shared" ref="B274:B337" si="0">"Q-"&amp;(ROW(B274)-ROW(B$272))</f>
        <v>Q-2</v>
      </c>
      <c r="C274" s="1383"/>
      <c r="D274" s="2959"/>
      <c r="E274" s="2960"/>
      <c r="F274" s="2960"/>
      <c r="G274" s="2962" t="s">
        <v>1999</v>
      </c>
      <c r="H274" s="2962"/>
      <c r="I274" s="2962"/>
      <c r="J274" s="2962"/>
      <c r="K274" s="2962"/>
      <c r="L274" s="2962"/>
      <c r="M274" s="477"/>
      <c r="O274" s="477"/>
      <c r="Q274" s="477"/>
      <c r="S274" s="477"/>
      <c r="U274" s="477"/>
      <c r="W274" s="544"/>
    </row>
    <row r="275" spans="1:23" ht="60" customHeight="1" x14ac:dyDescent="0.25">
      <c r="A275" s="392"/>
      <c r="B275" s="213" t="str">
        <f t="shared" si="0"/>
        <v>Q-3</v>
      </c>
      <c r="C275" s="1383"/>
      <c r="D275" s="2959"/>
      <c r="E275" s="2960"/>
      <c r="F275" s="2960"/>
      <c r="G275" s="2962" t="s">
        <v>2000</v>
      </c>
      <c r="H275" s="2962"/>
      <c r="I275" s="2962"/>
      <c r="J275" s="2962"/>
      <c r="K275" s="2962"/>
      <c r="L275" s="2962"/>
      <c r="M275" s="477"/>
      <c r="O275" s="477"/>
      <c r="Q275" s="477"/>
      <c r="S275" s="477"/>
      <c r="U275" s="477"/>
      <c r="W275" s="544"/>
    </row>
    <row r="276" spans="1:23" ht="60" customHeight="1" x14ac:dyDescent="0.25">
      <c r="A276" s="392"/>
      <c r="B276" s="213" t="str">
        <f t="shared" si="0"/>
        <v>Q-4</v>
      </c>
      <c r="C276" s="1383"/>
      <c r="D276" s="2959"/>
      <c r="E276" s="2960"/>
      <c r="F276" s="2960"/>
      <c r="G276" s="2962" t="s">
        <v>2001</v>
      </c>
      <c r="H276" s="2962"/>
      <c r="I276" s="2962"/>
      <c r="J276" s="2962"/>
      <c r="K276" s="2962"/>
      <c r="L276" s="2962"/>
      <c r="M276" s="477"/>
      <c r="O276" s="477"/>
      <c r="Q276" s="477"/>
      <c r="S276" s="477"/>
      <c r="U276" s="477"/>
      <c r="W276" s="544"/>
    </row>
    <row r="277" spans="1:23" ht="75" customHeight="1" x14ac:dyDescent="0.25">
      <c r="A277" s="392"/>
      <c r="B277" s="213" t="str">
        <f t="shared" si="0"/>
        <v>Q-5</v>
      </c>
      <c r="C277" s="1383"/>
      <c r="D277" s="2959"/>
      <c r="E277" s="2960"/>
      <c r="F277" s="2960"/>
      <c r="G277" s="2962" t="s">
        <v>2002</v>
      </c>
      <c r="H277" s="2962"/>
      <c r="I277" s="2962"/>
      <c r="J277" s="2962"/>
      <c r="K277" s="2962"/>
      <c r="L277" s="2962"/>
      <c r="M277" s="477"/>
      <c r="O277" s="477"/>
      <c r="Q277" s="477"/>
      <c r="S277" s="477"/>
      <c r="U277" s="477"/>
      <c r="W277" s="544"/>
    </row>
    <row r="278" spans="1:23" ht="75" customHeight="1" x14ac:dyDescent="0.25">
      <c r="A278" s="392"/>
      <c r="B278" s="213" t="str">
        <f t="shared" si="0"/>
        <v>Q-6</v>
      </c>
      <c r="C278" s="1383"/>
      <c r="D278" s="2959"/>
      <c r="E278" s="2960"/>
      <c r="F278" s="2960"/>
      <c r="G278" s="2962" t="s">
        <v>2003</v>
      </c>
      <c r="H278" s="2962"/>
      <c r="I278" s="2962"/>
      <c r="J278" s="2962"/>
      <c r="K278" s="2962"/>
      <c r="L278" s="2962"/>
      <c r="M278" s="477"/>
      <c r="O278" s="477"/>
      <c r="Q278" s="477"/>
      <c r="S278" s="477"/>
      <c r="U278" s="477"/>
      <c r="W278" s="544"/>
    </row>
    <row r="279" spans="1:23" ht="60" customHeight="1" x14ac:dyDescent="0.25">
      <c r="A279" s="392"/>
      <c r="B279" s="213" t="str">
        <f t="shared" si="0"/>
        <v>Q-7</v>
      </c>
      <c r="C279" s="1383"/>
      <c r="D279" s="2959"/>
      <c r="E279" s="2960"/>
      <c r="F279" s="2960"/>
      <c r="G279" s="2962" t="s">
        <v>2004</v>
      </c>
      <c r="H279" s="2962"/>
      <c r="I279" s="2962"/>
      <c r="J279" s="2962"/>
      <c r="K279" s="2962"/>
      <c r="L279" s="2962"/>
      <c r="M279" s="477"/>
      <c r="O279" s="477"/>
      <c r="Q279" s="477"/>
      <c r="S279" s="477"/>
      <c r="U279" s="477"/>
      <c r="W279" s="544"/>
    </row>
    <row r="280" spans="1:23" ht="60" customHeight="1" x14ac:dyDescent="0.25">
      <c r="A280" s="392"/>
      <c r="B280" s="213" t="str">
        <f t="shared" si="0"/>
        <v>Q-8</v>
      </c>
      <c r="C280" s="1383"/>
      <c r="D280" s="2959"/>
      <c r="E280" s="2960"/>
      <c r="F280" s="2960"/>
      <c r="G280" s="2962" t="s">
        <v>2005</v>
      </c>
      <c r="H280" s="2962"/>
      <c r="I280" s="2962"/>
      <c r="J280" s="2962"/>
      <c r="K280" s="2962"/>
      <c r="L280" s="2962"/>
      <c r="M280" s="477"/>
      <c r="O280" s="477"/>
      <c r="Q280" s="477"/>
      <c r="S280" s="477"/>
      <c r="U280" s="477"/>
      <c r="W280" s="544"/>
    </row>
    <row r="281" spans="1:23" ht="45" customHeight="1" x14ac:dyDescent="0.25">
      <c r="A281" s="2554"/>
      <c r="B281" s="213" t="str">
        <f t="shared" si="0"/>
        <v>Q-9</v>
      </c>
      <c r="C281" s="1383"/>
      <c r="D281" s="2959"/>
      <c r="E281" s="2960"/>
      <c r="F281" s="2960"/>
      <c r="G281" s="2962" t="s">
        <v>2286</v>
      </c>
      <c r="H281" s="2962"/>
      <c r="I281" s="2962"/>
      <c r="J281" s="2962"/>
      <c r="K281" s="2962"/>
      <c r="L281" s="2962"/>
      <c r="M281" s="477"/>
      <c r="O281" s="477"/>
      <c r="Q281" s="477"/>
      <c r="S281" s="477"/>
      <c r="U281" s="477"/>
      <c r="W281" s="544"/>
    </row>
    <row r="282" spans="1:23" ht="60" customHeight="1" x14ac:dyDescent="0.25">
      <c r="A282" s="392"/>
      <c r="B282" s="213" t="str">
        <f t="shared" si="0"/>
        <v>Q-10</v>
      </c>
      <c r="C282" s="1383"/>
      <c r="D282" s="2959"/>
      <c r="E282" s="2960"/>
      <c r="F282" s="2960"/>
      <c r="G282" s="2962" t="s">
        <v>2006</v>
      </c>
      <c r="H282" s="2962"/>
      <c r="I282" s="2962"/>
      <c r="J282" s="2962"/>
      <c r="K282" s="2962"/>
      <c r="L282" s="2962"/>
      <c r="M282" s="477"/>
      <c r="O282" s="477"/>
      <c r="Q282" s="477"/>
      <c r="S282" s="477"/>
      <c r="U282" s="477"/>
      <c r="W282" s="544"/>
    </row>
    <row r="283" spans="1:23" ht="45" customHeight="1" x14ac:dyDescent="0.25">
      <c r="A283" s="392"/>
      <c r="B283" s="213" t="str">
        <f t="shared" si="0"/>
        <v>Q-11</v>
      </c>
      <c r="C283" s="1383"/>
      <c r="D283" s="2959"/>
      <c r="E283" s="2960"/>
      <c r="F283" s="2960"/>
      <c r="G283" s="2962" t="s">
        <v>2007</v>
      </c>
      <c r="H283" s="2962"/>
      <c r="I283" s="2962"/>
      <c r="J283" s="2962"/>
      <c r="K283" s="2962"/>
      <c r="L283" s="2962"/>
      <c r="M283" s="477"/>
      <c r="O283" s="477"/>
      <c r="Q283" s="477"/>
      <c r="S283" s="477"/>
      <c r="U283" s="477"/>
      <c r="W283" s="544"/>
    </row>
    <row r="284" spans="1:23" ht="60" customHeight="1" x14ac:dyDescent="0.25">
      <c r="A284" s="392"/>
      <c r="B284" s="213" t="str">
        <f t="shared" si="0"/>
        <v>Q-12</v>
      </c>
      <c r="C284" s="1383"/>
      <c r="D284" s="2959"/>
      <c r="E284" s="2960"/>
      <c r="F284" s="2960"/>
      <c r="G284" s="2962" t="s">
        <v>2008</v>
      </c>
      <c r="H284" s="2962"/>
      <c r="I284" s="2962"/>
      <c r="J284" s="2962"/>
      <c r="K284" s="2962"/>
      <c r="L284" s="2962"/>
      <c r="M284" s="477"/>
      <c r="O284" s="477"/>
      <c r="Q284" s="477"/>
      <c r="S284" s="477"/>
      <c r="U284" s="477"/>
      <c r="W284" s="544"/>
    </row>
    <row r="285" spans="1:23" ht="60" customHeight="1" x14ac:dyDescent="0.25">
      <c r="A285" s="392"/>
      <c r="B285" s="213" t="str">
        <f t="shared" si="0"/>
        <v>Q-13</v>
      </c>
      <c r="C285" s="1383"/>
      <c r="D285" s="2959"/>
      <c r="E285" s="2960"/>
      <c r="F285" s="2960"/>
      <c r="G285" s="2962" t="s">
        <v>2009</v>
      </c>
      <c r="H285" s="2962"/>
      <c r="I285" s="2962"/>
      <c r="J285" s="2962"/>
      <c r="K285" s="2962"/>
      <c r="L285" s="2962"/>
      <c r="M285" s="477"/>
      <c r="O285" s="477"/>
      <c r="Q285" s="477"/>
      <c r="S285" s="477"/>
      <c r="U285" s="477"/>
      <c r="W285" s="544"/>
    </row>
    <row r="286" spans="1:23" ht="45" customHeight="1" x14ac:dyDescent="0.25">
      <c r="A286" s="392"/>
      <c r="B286" s="213" t="str">
        <f t="shared" si="0"/>
        <v>Q-14</v>
      </c>
      <c r="C286" s="1383"/>
      <c r="D286" s="2959"/>
      <c r="E286" s="2960"/>
      <c r="F286" s="2960"/>
      <c r="G286" s="2962" t="s">
        <v>2010</v>
      </c>
      <c r="H286" s="2962"/>
      <c r="I286" s="2962"/>
      <c r="J286" s="2962"/>
      <c r="K286" s="2962"/>
      <c r="L286" s="2962"/>
      <c r="M286" s="477"/>
      <c r="O286" s="477"/>
      <c r="Q286" s="477"/>
      <c r="S286" s="477"/>
      <c r="U286" s="477"/>
      <c r="W286" s="544"/>
    </row>
    <row r="287" spans="1:23" ht="45" customHeight="1" x14ac:dyDescent="0.25">
      <c r="A287" s="392"/>
      <c r="B287" s="213" t="str">
        <f t="shared" si="0"/>
        <v>Q-15</v>
      </c>
      <c r="C287" s="1383"/>
      <c r="D287" s="2959"/>
      <c r="E287" s="2960"/>
      <c r="F287" s="2960"/>
      <c r="G287" s="2962" t="s">
        <v>2011</v>
      </c>
      <c r="H287" s="2962"/>
      <c r="I287" s="2962"/>
      <c r="J287" s="2962"/>
      <c r="K287" s="2962"/>
      <c r="L287" s="2962"/>
      <c r="M287" s="477"/>
      <c r="O287" s="477"/>
      <c r="Q287" s="477"/>
      <c r="S287" s="477"/>
      <c r="U287" s="477"/>
      <c r="W287" s="544"/>
    </row>
    <row r="288" spans="1:23" ht="75" customHeight="1" x14ac:dyDescent="0.25">
      <c r="A288" s="392"/>
      <c r="B288" s="213" t="str">
        <f t="shared" si="0"/>
        <v>Q-16</v>
      </c>
      <c r="C288" s="1383"/>
      <c r="D288" s="2959"/>
      <c r="E288" s="2960"/>
      <c r="F288" s="2960"/>
      <c r="G288" s="2962" t="s">
        <v>2012</v>
      </c>
      <c r="H288" s="2962"/>
      <c r="I288" s="2962"/>
      <c r="J288" s="2962"/>
      <c r="K288" s="2962"/>
      <c r="L288" s="2962"/>
      <c r="M288" s="477"/>
      <c r="O288" s="477"/>
      <c r="Q288" s="477"/>
      <c r="S288" s="477"/>
      <c r="U288" s="477"/>
      <c r="W288" s="544"/>
    </row>
    <row r="289" spans="1:23" ht="45" customHeight="1" x14ac:dyDescent="0.25">
      <c r="A289" s="392"/>
      <c r="B289" s="213" t="str">
        <f t="shared" si="0"/>
        <v>Q-17</v>
      </c>
      <c r="C289" s="1383"/>
      <c r="D289" s="2959"/>
      <c r="E289" s="2960"/>
      <c r="F289" s="2960"/>
      <c r="G289" s="2962" t="s">
        <v>2013</v>
      </c>
      <c r="H289" s="2962"/>
      <c r="I289" s="2962"/>
      <c r="J289" s="2962"/>
      <c r="K289" s="2962"/>
      <c r="L289" s="2962"/>
      <c r="M289" s="477"/>
      <c r="O289" s="477"/>
      <c r="Q289" s="477"/>
      <c r="S289" s="477"/>
      <c r="U289" s="477"/>
      <c r="W289" s="544"/>
    </row>
    <row r="290" spans="1:23" ht="45" customHeight="1" x14ac:dyDescent="0.25">
      <c r="A290" s="392"/>
      <c r="B290" s="213" t="str">
        <f t="shared" si="0"/>
        <v>Q-18</v>
      </c>
      <c r="C290" s="1383"/>
      <c r="D290" s="2959"/>
      <c r="E290" s="2960"/>
      <c r="F290" s="2960"/>
      <c r="G290" s="2962" t="s">
        <v>1994</v>
      </c>
      <c r="H290" s="2962"/>
      <c r="I290" s="2962"/>
      <c r="J290" s="2962"/>
      <c r="K290" s="2962"/>
      <c r="L290" s="2962"/>
      <c r="M290" s="477"/>
      <c r="O290" s="477"/>
      <c r="Q290" s="477"/>
      <c r="S290" s="477"/>
      <c r="U290" s="477"/>
      <c r="W290" s="544"/>
    </row>
    <row r="291" spans="1:23" ht="75" customHeight="1" x14ac:dyDescent="0.25">
      <c r="A291" s="392"/>
      <c r="B291" s="213" t="str">
        <f t="shared" si="0"/>
        <v>Q-19</v>
      </c>
      <c r="C291" s="1383"/>
      <c r="D291" s="2959"/>
      <c r="E291" s="2960"/>
      <c r="F291" s="2960"/>
      <c r="G291" s="2962" t="s">
        <v>2014</v>
      </c>
      <c r="H291" s="2962"/>
      <c r="I291" s="2962"/>
      <c r="J291" s="2962"/>
      <c r="K291" s="2962"/>
      <c r="L291" s="2962"/>
      <c r="M291" s="477"/>
      <c r="O291" s="477"/>
      <c r="Q291" s="477"/>
      <c r="S291" s="477"/>
      <c r="U291" s="477"/>
      <c r="W291" s="544"/>
    </row>
    <row r="292" spans="1:23" ht="75" customHeight="1" x14ac:dyDescent="0.25">
      <c r="A292" s="392"/>
      <c r="B292" s="213" t="str">
        <f t="shared" si="0"/>
        <v>Q-20</v>
      </c>
      <c r="C292" s="1383"/>
      <c r="D292" s="2959"/>
      <c r="E292" s="2960"/>
      <c r="F292" s="2960"/>
      <c r="G292" s="2962" t="s">
        <v>2015</v>
      </c>
      <c r="H292" s="2962"/>
      <c r="I292" s="2962"/>
      <c r="J292" s="2962"/>
      <c r="K292" s="2962"/>
      <c r="L292" s="2962"/>
      <c r="M292" s="477"/>
      <c r="O292" s="477"/>
      <c r="Q292" s="477"/>
      <c r="S292" s="477"/>
      <c r="U292" s="477"/>
      <c r="W292" s="544"/>
    </row>
    <row r="293" spans="1:23" ht="75" customHeight="1" x14ac:dyDescent="0.25">
      <c r="A293" s="392"/>
      <c r="B293" s="213" t="str">
        <f t="shared" si="0"/>
        <v>Q-21</v>
      </c>
      <c r="C293" s="1383"/>
      <c r="D293" s="2959"/>
      <c r="E293" s="2960"/>
      <c r="F293" s="2960"/>
      <c r="G293" s="2962" t="s">
        <v>2016</v>
      </c>
      <c r="H293" s="2962"/>
      <c r="I293" s="2962"/>
      <c r="J293" s="2962"/>
      <c r="K293" s="2962"/>
      <c r="L293" s="2962"/>
      <c r="M293" s="477"/>
      <c r="O293" s="477"/>
      <c r="Q293" s="477"/>
      <c r="S293" s="477"/>
      <c r="U293" s="477"/>
      <c r="W293" s="544"/>
    </row>
    <row r="294" spans="1:23" ht="60" customHeight="1" x14ac:dyDescent="0.25">
      <c r="A294" s="392"/>
      <c r="B294" s="213" t="str">
        <f t="shared" si="0"/>
        <v>Q-22</v>
      </c>
      <c r="C294" s="1383"/>
      <c r="D294" s="2959"/>
      <c r="E294" s="2960"/>
      <c r="F294" s="2960"/>
      <c r="G294" s="2962" t="s">
        <v>1995</v>
      </c>
      <c r="H294" s="2962"/>
      <c r="I294" s="2962"/>
      <c r="J294" s="2962"/>
      <c r="K294" s="2962"/>
      <c r="L294" s="2962"/>
      <c r="M294" s="477"/>
      <c r="O294" s="477"/>
      <c r="Q294" s="477"/>
      <c r="S294" s="477"/>
      <c r="U294" s="477"/>
      <c r="W294" s="544"/>
    </row>
    <row r="295" spans="1:23" ht="45" customHeight="1" x14ac:dyDescent="0.25">
      <c r="A295" s="392"/>
      <c r="B295" s="213" t="str">
        <f t="shared" si="0"/>
        <v>Q-23</v>
      </c>
      <c r="C295" s="1383"/>
      <c r="D295" s="2959"/>
      <c r="E295" s="2960"/>
      <c r="F295" s="2960"/>
      <c r="G295" s="2962" t="s">
        <v>2017</v>
      </c>
      <c r="H295" s="2962"/>
      <c r="I295" s="2962"/>
      <c r="J295" s="2962"/>
      <c r="K295" s="2962"/>
      <c r="L295" s="2962"/>
      <c r="M295" s="477"/>
      <c r="O295" s="477"/>
      <c r="Q295" s="477"/>
      <c r="S295" s="477"/>
      <c r="U295" s="477"/>
      <c r="W295" s="544"/>
    </row>
    <row r="296" spans="1:23" ht="60" customHeight="1" x14ac:dyDescent="0.25">
      <c r="A296" s="392"/>
      <c r="B296" s="213" t="str">
        <f t="shared" si="0"/>
        <v>Q-24</v>
      </c>
      <c r="C296" s="1383"/>
      <c r="D296" s="2959"/>
      <c r="E296" s="2960"/>
      <c r="F296" s="2960"/>
      <c r="G296" s="2962" t="s">
        <v>2018</v>
      </c>
      <c r="H296" s="2962"/>
      <c r="I296" s="2962"/>
      <c r="J296" s="2962"/>
      <c r="K296" s="2962"/>
      <c r="L296" s="2962"/>
      <c r="M296" s="477"/>
      <c r="O296" s="477"/>
      <c r="Q296" s="477"/>
      <c r="S296" s="477"/>
      <c r="U296" s="477"/>
      <c r="W296" s="544"/>
    </row>
    <row r="297" spans="1:23" ht="75" customHeight="1" x14ac:dyDescent="0.25">
      <c r="A297" s="392"/>
      <c r="B297" s="213" t="str">
        <f t="shared" si="0"/>
        <v>Q-25</v>
      </c>
      <c r="C297" s="1383"/>
      <c r="D297" s="2959"/>
      <c r="E297" s="2960"/>
      <c r="F297" s="2960"/>
      <c r="G297" s="2962" t="s">
        <v>2019</v>
      </c>
      <c r="H297" s="2962"/>
      <c r="I297" s="2962"/>
      <c r="J297" s="2962"/>
      <c r="K297" s="2962"/>
      <c r="L297" s="2962"/>
      <c r="M297" s="477"/>
      <c r="O297" s="477"/>
      <c r="Q297" s="477"/>
      <c r="S297" s="477"/>
      <c r="U297" s="477"/>
      <c r="W297" s="544"/>
    </row>
    <row r="298" spans="1:23" ht="45" customHeight="1" x14ac:dyDescent="0.25">
      <c r="A298" s="392"/>
      <c r="B298" s="213" t="str">
        <f t="shared" si="0"/>
        <v>Q-26</v>
      </c>
      <c r="C298" s="1383"/>
      <c r="D298" s="2959"/>
      <c r="E298" s="2960"/>
      <c r="F298" s="2960"/>
      <c r="G298" s="2962" t="s">
        <v>1996</v>
      </c>
      <c r="H298" s="2962"/>
      <c r="I298" s="2962"/>
      <c r="J298" s="2962"/>
      <c r="K298" s="2962"/>
      <c r="L298" s="2962"/>
      <c r="M298" s="477"/>
      <c r="O298" s="477"/>
      <c r="Q298" s="477"/>
      <c r="S298" s="477"/>
      <c r="U298" s="477"/>
      <c r="W298" s="544"/>
    </row>
    <row r="299" spans="1:23" ht="60" customHeight="1" x14ac:dyDescent="0.25">
      <c r="A299" s="392"/>
      <c r="B299" s="213" t="str">
        <f t="shared" si="0"/>
        <v>Q-27</v>
      </c>
      <c r="C299" s="1383"/>
      <c r="D299" s="2959"/>
      <c r="E299" s="2960"/>
      <c r="F299" s="2960"/>
      <c r="G299" s="2962" t="s">
        <v>2020</v>
      </c>
      <c r="H299" s="2962"/>
      <c r="I299" s="2962"/>
      <c r="J299" s="2962"/>
      <c r="K299" s="2962"/>
      <c r="L299" s="2962"/>
      <c r="M299" s="477"/>
      <c r="O299" s="477"/>
      <c r="Q299" s="477"/>
      <c r="S299" s="477"/>
      <c r="U299" s="477"/>
      <c r="W299" s="544"/>
    </row>
    <row r="300" spans="1:23" ht="15" customHeight="1" x14ac:dyDescent="0.25">
      <c r="A300" s="392"/>
      <c r="B300" s="213" t="str">
        <f t="shared" si="0"/>
        <v>Q-28</v>
      </c>
      <c r="C300" s="1383"/>
      <c r="D300" s="2959"/>
      <c r="E300" s="2960"/>
      <c r="F300" s="2960"/>
      <c r="G300" s="2965" t="s">
        <v>1997</v>
      </c>
      <c r="H300" s="2965"/>
      <c r="I300" s="2965"/>
      <c r="J300" s="2965"/>
      <c r="K300" s="2965"/>
      <c r="L300" s="2965"/>
      <c r="M300" s="477"/>
      <c r="O300" s="477"/>
      <c r="Q300" s="477"/>
      <c r="S300" s="477"/>
      <c r="U300" s="477"/>
      <c r="W300" s="544"/>
    </row>
    <row r="301" spans="1:23" ht="150" customHeight="1" x14ac:dyDescent="0.25">
      <c r="A301" s="392"/>
      <c r="B301" s="213" t="str">
        <f t="shared" si="0"/>
        <v>Q-29</v>
      </c>
      <c r="C301" s="1383"/>
      <c r="D301" s="2959"/>
      <c r="E301" s="2960"/>
      <c r="F301" s="2960"/>
      <c r="G301" s="2962" t="s">
        <v>2021</v>
      </c>
      <c r="H301" s="2962"/>
      <c r="I301" s="2962"/>
      <c r="J301" s="2962"/>
      <c r="K301" s="2962"/>
      <c r="L301" s="2962"/>
      <c r="M301" s="477"/>
      <c r="O301" s="477"/>
      <c r="Q301" s="477"/>
      <c r="S301" s="477"/>
      <c r="U301" s="477"/>
      <c r="W301" s="544"/>
    </row>
    <row r="302" spans="1:23" ht="150" customHeight="1" x14ac:dyDescent="0.25">
      <c r="A302" s="392"/>
      <c r="B302" s="213" t="str">
        <f t="shared" si="0"/>
        <v>Q-30</v>
      </c>
      <c r="C302" s="1383"/>
      <c r="D302" s="2959"/>
      <c r="E302" s="2960"/>
      <c r="F302" s="2960"/>
      <c r="G302" s="2962" t="s">
        <v>2022</v>
      </c>
      <c r="H302" s="2962"/>
      <c r="I302" s="2962"/>
      <c r="J302" s="2962"/>
      <c r="K302" s="2962"/>
      <c r="L302" s="2962"/>
      <c r="M302" s="477"/>
      <c r="O302" s="477"/>
      <c r="Q302" s="477"/>
      <c r="S302" s="477"/>
      <c r="U302" s="477"/>
      <c r="W302" s="544"/>
    </row>
    <row r="303" spans="1:23" ht="150" customHeight="1" x14ac:dyDescent="0.25">
      <c r="A303" s="392"/>
      <c r="B303" s="213" t="str">
        <f t="shared" si="0"/>
        <v>Q-31</v>
      </c>
      <c r="C303" s="1383"/>
      <c r="D303" s="2959"/>
      <c r="E303" s="2960"/>
      <c r="F303" s="2960"/>
      <c r="G303" s="2962" t="s">
        <v>2051</v>
      </c>
      <c r="H303" s="2962"/>
      <c r="I303" s="2962"/>
      <c r="J303" s="2962"/>
      <c r="K303" s="2962"/>
      <c r="L303" s="2962"/>
      <c r="M303" s="477"/>
      <c r="O303" s="477"/>
      <c r="Q303" s="477"/>
      <c r="S303" s="477"/>
      <c r="U303" s="477"/>
      <c r="W303" s="544"/>
    </row>
    <row r="304" spans="1:23" ht="150" customHeight="1" x14ac:dyDescent="0.25">
      <c r="A304" s="392"/>
      <c r="B304" s="213" t="str">
        <f t="shared" si="0"/>
        <v>Q-32</v>
      </c>
      <c r="C304" s="1383"/>
      <c r="D304" s="2959"/>
      <c r="E304" s="2960"/>
      <c r="F304" s="2960"/>
      <c r="G304" s="2962" t="s">
        <v>2023</v>
      </c>
      <c r="H304" s="2962"/>
      <c r="I304" s="2962"/>
      <c r="J304" s="2962"/>
      <c r="K304" s="2962"/>
      <c r="L304" s="2962"/>
      <c r="M304" s="477"/>
      <c r="O304" s="477"/>
      <c r="Q304" s="477"/>
      <c r="S304" s="477"/>
      <c r="U304" s="477"/>
      <c r="W304" s="544"/>
    </row>
    <row r="305" spans="1:23" ht="150" customHeight="1" x14ac:dyDescent="0.25">
      <c r="A305" s="392"/>
      <c r="B305" s="213" t="str">
        <f t="shared" si="0"/>
        <v>Q-33</v>
      </c>
      <c r="C305" s="1383"/>
      <c r="D305" s="2959"/>
      <c r="E305" s="2960"/>
      <c r="F305" s="2960"/>
      <c r="G305" s="2962" t="s">
        <v>2024</v>
      </c>
      <c r="H305" s="2962"/>
      <c r="I305" s="2962"/>
      <c r="J305" s="2962"/>
      <c r="K305" s="2962"/>
      <c r="L305" s="2962"/>
      <c r="M305" s="477"/>
      <c r="O305" s="477"/>
      <c r="Q305" s="477"/>
      <c r="S305" s="477"/>
      <c r="U305" s="477"/>
      <c r="W305" s="544"/>
    </row>
    <row r="306" spans="1:23" ht="60" customHeight="1" x14ac:dyDescent="0.25">
      <c r="A306" s="392"/>
      <c r="B306" s="213" t="str">
        <f t="shared" si="0"/>
        <v>Q-34</v>
      </c>
      <c r="C306" s="1383"/>
      <c r="D306" s="2959"/>
      <c r="E306" s="2960"/>
      <c r="F306" s="2960"/>
      <c r="G306" s="2962" t="s">
        <v>2025</v>
      </c>
      <c r="H306" s="2962"/>
      <c r="I306" s="2962"/>
      <c r="J306" s="2962"/>
      <c r="K306" s="2962"/>
      <c r="L306" s="2962"/>
      <c r="M306" s="477"/>
      <c r="O306" s="477"/>
      <c r="Q306" s="477"/>
      <c r="S306" s="477"/>
      <c r="U306" s="477"/>
      <c r="W306" s="544"/>
    </row>
    <row r="307" spans="1:23" ht="45" customHeight="1" x14ac:dyDescent="0.25">
      <c r="A307" s="392"/>
      <c r="B307" s="213" t="str">
        <f t="shared" si="0"/>
        <v>Q-35</v>
      </c>
      <c r="C307" s="1383"/>
      <c r="D307" s="2959"/>
      <c r="E307" s="2960"/>
      <c r="F307" s="2960"/>
      <c r="G307" s="2962" t="s">
        <v>2026</v>
      </c>
      <c r="H307" s="2962"/>
      <c r="I307" s="2962"/>
      <c r="J307" s="2962"/>
      <c r="K307" s="2962"/>
      <c r="L307" s="2962"/>
      <c r="M307" s="477"/>
      <c r="O307" s="477"/>
      <c r="Q307" s="477"/>
      <c r="S307" s="477"/>
      <c r="U307" s="477"/>
      <c r="W307" s="544"/>
    </row>
    <row r="308" spans="1:23" ht="45" customHeight="1" x14ac:dyDescent="0.25">
      <c r="A308" s="392"/>
      <c r="B308" s="213" t="str">
        <f t="shared" si="0"/>
        <v>Q-36</v>
      </c>
      <c r="C308" s="1383"/>
      <c r="D308" s="2959"/>
      <c r="E308" s="2960"/>
      <c r="F308" s="2960"/>
      <c r="G308" s="2962" t="s">
        <v>2027</v>
      </c>
      <c r="H308" s="2962"/>
      <c r="I308" s="2962"/>
      <c r="J308" s="2962"/>
      <c r="K308" s="2962"/>
      <c r="L308" s="2962"/>
      <c r="M308" s="477"/>
      <c r="O308" s="477"/>
      <c r="Q308" s="477"/>
      <c r="S308" s="477"/>
      <c r="U308" s="477"/>
      <c r="W308" s="544"/>
    </row>
    <row r="309" spans="1:23" ht="75" customHeight="1" x14ac:dyDescent="0.25">
      <c r="A309" s="392"/>
      <c r="B309" s="213" t="str">
        <f t="shared" si="0"/>
        <v>Q-37</v>
      </c>
      <c r="C309" s="1383"/>
      <c r="D309" s="2959"/>
      <c r="E309" s="2960"/>
      <c r="F309" s="2960"/>
      <c r="G309" s="2962" t="s">
        <v>2028</v>
      </c>
      <c r="H309" s="2962"/>
      <c r="I309" s="2962"/>
      <c r="J309" s="2962"/>
      <c r="K309" s="2962"/>
      <c r="L309" s="2962"/>
      <c r="M309" s="477"/>
      <c r="O309" s="477"/>
      <c r="Q309" s="477"/>
      <c r="S309" s="477"/>
      <c r="U309" s="477"/>
      <c r="W309" s="544"/>
    </row>
    <row r="310" spans="1:23" ht="75" customHeight="1" x14ac:dyDescent="0.25">
      <c r="A310" s="392"/>
      <c r="B310" s="213" t="str">
        <f t="shared" si="0"/>
        <v>Q-38</v>
      </c>
      <c r="C310" s="1383"/>
      <c r="D310" s="2959"/>
      <c r="E310" s="2960"/>
      <c r="F310" s="2960"/>
      <c r="G310" s="2962" t="s">
        <v>2029</v>
      </c>
      <c r="H310" s="2962"/>
      <c r="I310" s="2962"/>
      <c r="J310" s="2962"/>
      <c r="K310" s="2962"/>
      <c r="L310" s="2962"/>
      <c r="M310" s="477"/>
      <c r="O310" s="477"/>
      <c r="Q310" s="477"/>
      <c r="S310" s="477"/>
      <c r="U310" s="477"/>
      <c r="W310" s="544"/>
    </row>
    <row r="311" spans="1:23" ht="75" customHeight="1" x14ac:dyDescent="0.25">
      <c r="A311" s="392"/>
      <c r="B311" s="213" t="str">
        <f t="shared" si="0"/>
        <v>Q-39</v>
      </c>
      <c r="C311" s="1383"/>
      <c r="D311" s="2959"/>
      <c r="E311" s="2960"/>
      <c r="F311" s="2960"/>
      <c r="G311" s="2962" t="s">
        <v>2030</v>
      </c>
      <c r="H311" s="2962"/>
      <c r="I311" s="2962"/>
      <c r="J311" s="2962"/>
      <c r="K311" s="2962"/>
      <c r="L311" s="2962"/>
      <c r="M311" s="477"/>
      <c r="O311" s="477"/>
      <c r="Q311" s="477"/>
      <c r="S311" s="477"/>
      <c r="U311" s="477"/>
      <c r="W311" s="544"/>
    </row>
    <row r="312" spans="1:23" ht="75" customHeight="1" x14ac:dyDescent="0.25">
      <c r="A312" s="392"/>
      <c r="B312" s="213" t="str">
        <f t="shared" si="0"/>
        <v>Q-40</v>
      </c>
      <c r="C312" s="1383"/>
      <c r="D312" s="2959"/>
      <c r="E312" s="2960"/>
      <c r="F312" s="2960"/>
      <c r="G312" s="2962" t="s">
        <v>2050</v>
      </c>
      <c r="H312" s="2962"/>
      <c r="I312" s="2962"/>
      <c r="J312" s="2962"/>
      <c r="K312" s="2962"/>
      <c r="L312" s="2962"/>
      <c r="M312" s="477"/>
      <c r="O312" s="477"/>
      <c r="Q312" s="477"/>
      <c r="S312" s="477"/>
      <c r="U312" s="477"/>
      <c r="W312" s="544"/>
    </row>
    <row r="313" spans="1:23" ht="75" customHeight="1" x14ac:dyDescent="0.25">
      <c r="A313" s="392"/>
      <c r="B313" s="213" t="str">
        <f t="shared" si="0"/>
        <v>Q-41</v>
      </c>
      <c r="C313" s="1383"/>
      <c r="D313" s="2959"/>
      <c r="E313" s="2960"/>
      <c r="F313" s="2960"/>
      <c r="G313" s="2962" t="s">
        <v>2031</v>
      </c>
      <c r="H313" s="2962"/>
      <c r="I313" s="2962"/>
      <c r="J313" s="2962"/>
      <c r="K313" s="2962"/>
      <c r="L313" s="2962"/>
      <c r="M313" s="477"/>
      <c r="O313" s="477"/>
      <c r="Q313" s="477"/>
      <c r="S313" s="477"/>
      <c r="U313" s="477"/>
      <c r="W313" s="544"/>
    </row>
    <row r="314" spans="1:23" ht="75" customHeight="1" x14ac:dyDescent="0.25">
      <c r="A314" s="392"/>
      <c r="B314" s="213" t="str">
        <f t="shared" si="0"/>
        <v>Q-42</v>
      </c>
      <c r="C314" s="1383"/>
      <c r="D314" s="2959"/>
      <c r="E314" s="2960"/>
      <c r="F314" s="2960"/>
      <c r="G314" s="2962" t="s">
        <v>2032</v>
      </c>
      <c r="H314" s="2962"/>
      <c r="I314" s="2962"/>
      <c r="J314" s="2962"/>
      <c r="K314" s="2962"/>
      <c r="L314" s="2962"/>
      <c r="M314" s="477"/>
      <c r="O314" s="477"/>
      <c r="Q314" s="477"/>
      <c r="S314" s="477"/>
      <c r="U314" s="477"/>
      <c r="W314" s="544"/>
    </row>
    <row r="315" spans="1:23" ht="75" customHeight="1" x14ac:dyDescent="0.25">
      <c r="A315" s="392"/>
      <c r="B315" s="213" t="str">
        <f t="shared" si="0"/>
        <v>Q-43</v>
      </c>
      <c r="C315" s="1383"/>
      <c r="D315" s="2959"/>
      <c r="E315" s="2960"/>
      <c r="F315" s="2960"/>
      <c r="G315" s="2962" t="s">
        <v>2033</v>
      </c>
      <c r="H315" s="2962"/>
      <c r="I315" s="2962"/>
      <c r="J315" s="2962"/>
      <c r="K315" s="2962"/>
      <c r="L315" s="2962"/>
      <c r="M315" s="477"/>
      <c r="O315" s="477"/>
      <c r="Q315" s="477"/>
      <c r="S315" s="477"/>
      <c r="U315" s="477"/>
      <c r="W315" s="544"/>
    </row>
    <row r="316" spans="1:23" ht="75" customHeight="1" x14ac:dyDescent="0.25">
      <c r="A316" s="392"/>
      <c r="B316" s="213" t="str">
        <f t="shared" si="0"/>
        <v>Q-44</v>
      </c>
      <c r="C316" s="1383"/>
      <c r="D316" s="2959"/>
      <c r="E316" s="2960"/>
      <c r="F316" s="2960"/>
      <c r="G316" s="2962" t="s">
        <v>2034</v>
      </c>
      <c r="H316" s="2962"/>
      <c r="I316" s="2962"/>
      <c r="J316" s="2962"/>
      <c r="K316" s="2962"/>
      <c r="L316" s="2962"/>
      <c r="M316" s="477"/>
      <c r="O316" s="477"/>
      <c r="Q316" s="477"/>
      <c r="S316" s="477"/>
      <c r="U316" s="477"/>
      <c r="W316" s="544"/>
    </row>
    <row r="317" spans="1:23" ht="135" customHeight="1" x14ac:dyDescent="0.25">
      <c r="A317" s="392"/>
      <c r="B317" s="213" t="str">
        <f t="shared" si="0"/>
        <v>Q-45</v>
      </c>
      <c r="C317" s="1383"/>
      <c r="D317" s="2959"/>
      <c r="E317" s="2960"/>
      <c r="F317" s="2960"/>
      <c r="G317" s="2962" t="s">
        <v>2035</v>
      </c>
      <c r="H317" s="2962"/>
      <c r="I317" s="2962"/>
      <c r="J317" s="2962"/>
      <c r="K317" s="2962"/>
      <c r="L317" s="2962"/>
      <c r="M317" s="477"/>
      <c r="O317" s="477"/>
      <c r="Q317" s="477"/>
      <c r="S317" s="477"/>
      <c r="U317" s="477"/>
      <c r="W317" s="544"/>
    </row>
    <row r="318" spans="1:23" ht="120" customHeight="1" x14ac:dyDescent="0.25">
      <c r="A318" s="392"/>
      <c r="B318" s="213" t="str">
        <f t="shared" si="0"/>
        <v>Q-46</v>
      </c>
      <c r="C318" s="1383"/>
      <c r="D318" s="2959"/>
      <c r="E318" s="2960"/>
      <c r="F318" s="2960"/>
      <c r="G318" s="2962" t="s">
        <v>2036</v>
      </c>
      <c r="H318" s="2962"/>
      <c r="I318" s="2962"/>
      <c r="J318" s="2962"/>
      <c r="K318" s="2962"/>
      <c r="L318" s="2962"/>
      <c r="M318" s="477"/>
      <c r="O318" s="477"/>
      <c r="Q318" s="477"/>
      <c r="S318" s="477"/>
      <c r="U318" s="477"/>
      <c r="W318" s="544"/>
    </row>
    <row r="319" spans="1:23" ht="120" customHeight="1" x14ac:dyDescent="0.25">
      <c r="A319" s="392"/>
      <c r="B319" s="213" t="str">
        <f t="shared" si="0"/>
        <v>Q-47</v>
      </c>
      <c r="C319" s="1383"/>
      <c r="D319" s="2959"/>
      <c r="E319" s="2960"/>
      <c r="F319" s="2960"/>
      <c r="G319" s="2962" t="s">
        <v>2037</v>
      </c>
      <c r="H319" s="2962"/>
      <c r="I319" s="2962"/>
      <c r="J319" s="2962"/>
      <c r="K319" s="2962"/>
      <c r="L319" s="2962"/>
      <c r="M319" s="477"/>
      <c r="O319" s="477"/>
      <c r="Q319" s="477"/>
      <c r="S319" s="477"/>
      <c r="U319" s="477"/>
      <c r="W319" s="544"/>
    </row>
    <row r="320" spans="1:23" ht="120" customHeight="1" x14ac:dyDescent="0.25">
      <c r="A320" s="392"/>
      <c r="B320" s="213" t="str">
        <f t="shared" si="0"/>
        <v>Q-48</v>
      </c>
      <c r="C320" s="1383"/>
      <c r="D320" s="2959"/>
      <c r="E320" s="2960"/>
      <c r="F320" s="2960"/>
      <c r="G320" s="2962" t="s">
        <v>2038</v>
      </c>
      <c r="H320" s="2962"/>
      <c r="I320" s="2962"/>
      <c r="J320" s="2962"/>
      <c r="K320" s="2962"/>
      <c r="L320" s="2962"/>
      <c r="M320" s="477"/>
      <c r="O320" s="477"/>
      <c r="Q320" s="477"/>
      <c r="S320" s="477"/>
      <c r="U320" s="477"/>
      <c r="W320" s="544"/>
    </row>
    <row r="321" spans="1:23" ht="120" customHeight="1" x14ac:dyDescent="0.25">
      <c r="A321" s="392"/>
      <c r="B321" s="213" t="str">
        <f t="shared" si="0"/>
        <v>Q-49</v>
      </c>
      <c r="C321" s="1383"/>
      <c r="D321" s="2959"/>
      <c r="E321" s="2960"/>
      <c r="F321" s="2960"/>
      <c r="G321" s="2962" t="s">
        <v>2039</v>
      </c>
      <c r="H321" s="2962"/>
      <c r="I321" s="2962"/>
      <c r="J321" s="2962"/>
      <c r="K321" s="2962"/>
      <c r="L321" s="2962"/>
      <c r="M321" s="477"/>
      <c r="O321" s="477"/>
      <c r="Q321" s="477"/>
      <c r="S321" s="477"/>
      <c r="U321" s="477"/>
      <c r="W321" s="544"/>
    </row>
    <row r="322" spans="1:23" ht="120" customHeight="1" x14ac:dyDescent="0.25">
      <c r="A322" s="392"/>
      <c r="B322" s="213" t="str">
        <f t="shared" si="0"/>
        <v>Q-50</v>
      </c>
      <c r="C322" s="1383"/>
      <c r="D322" s="2959"/>
      <c r="E322" s="2960"/>
      <c r="F322" s="2960"/>
      <c r="G322" s="2962" t="s">
        <v>2040</v>
      </c>
      <c r="H322" s="2962"/>
      <c r="I322" s="2962"/>
      <c r="J322" s="2962"/>
      <c r="K322" s="2962"/>
      <c r="L322" s="2962"/>
      <c r="M322" s="477"/>
      <c r="O322" s="477"/>
      <c r="Q322" s="477"/>
      <c r="S322" s="477"/>
      <c r="U322" s="477"/>
      <c r="W322" s="544"/>
    </row>
    <row r="323" spans="1:23" ht="120" customHeight="1" x14ac:dyDescent="0.25">
      <c r="A323" s="392"/>
      <c r="B323" s="213" t="str">
        <f t="shared" si="0"/>
        <v>Q-51</v>
      </c>
      <c r="C323" s="1383"/>
      <c r="D323" s="2959"/>
      <c r="E323" s="2960"/>
      <c r="F323" s="2960"/>
      <c r="G323" s="2962" t="s">
        <v>2041</v>
      </c>
      <c r="H323" s="2962"/>
      <c r="I323" s="2962"/>
      <c r="J323" s="2962"/>
      <c r="K323" s="2962"/>
      <c r="L323" s="2962"/>
      <c r="M323" s="477"/>
      <c r="O323" s="477"/>
      <c r="Q323" s="477"/>
      <c r="S323" s="477"/>
      <c r="U323" s="477"/>
      <c r="W323" s="544"/>
    </row>
    <row r="324" spans="1:23" ht="120" customHeight="1" x14ac:dyDescent="0.25">
      <c r="A324" s="392"/>
      <c r="B324" s="213" t="str">
        <f t="shared" si="0"/>
        <v>Q-52</v>
      </c>
      <c r="C324" s="1383"/>
      <c r="D324" s="2959"/>
      <c r="E324" s="2960"/>
      <c r="F324" s="2960"/>
      <c r="G324" s="2962" t="s">
        <v>2042</v>
      </c>
      <c r="H324" s="2962"/>
      <c r="I324" s="2962"/>
      <c r="J324" s="2962"/>
      <c r="K324" s="2962"/>
      <c r="L324" s="2962"/>
      <c r="M324" s="477"/>
      <c r="O324" s="477"/>
      <c r="Q324" s="477"/>
      <c r="S324" s="477"/>
      <c r="U324" s="477"/>
      <c r="W324" s="544"/>
    </row>
    <row r="325" spans="1:23" ht="120" customHeight="1" x14ac:dyDescent="0.25">
      <c r="A325" s="392"/>
      <c r="B325" s="213" t="str">
        <f t="shared" si="0"/>
        <v>Q-53</v>
      </c>
      <c r="C325" s="1383"/>
      <c r="D325" s="2959"/>
      <c r="E325" s="2960"/>
      <c r="F325" s="2960"/>
      <c r="G325" s="2962" t="s">
        <v>2043</v>
      </c>
      <c r="H325" s="2962"/>
      <c r="I325" s="2962"/>
      <c r="J325" s="2962"/>
      <c r="K325" s="2962"/>
      <c r="L325" s="2962"/>
      <c r="M325" s="477"/>
      <c r="O325" s="477"/>
      <c r="Q325" s="477"/>
      <c r="S325" s="477"/>
      <c r="U325" s="477"/>
      <c r="W325" s="544"/>
    </row>
    <row r="326" spans="1:23" ht="15" customHeight="1" x14ac:dyDescent="0.25">
      <c r="A326" s="392"/>
      <c r="B326" s="213" t="str">
        <f t="shared" si="0"/>
        <v>Q-54</v>
      </c>
      <c r="C326" s="1383"/>
      <c r="D326" s="2959"/>
      <c r="E326" s="2960"/>
      <c r="F326" s="2960"/>
      <c r="G326" s="237"/>
      <c r="H326" s="2367"/>
      <c r="I326" s="237"/>
      <c r="J326" s="237"/>
      <c r="K326" s="237"/>
      <c r="L326" s="2367"/>
      <c r="M326" s="477"/>
      <c r="O326" s="477"/>
      <c r="Q326" s="477"/>
      <c r="S326" s="477"/>
      <c r="U326" s="477"/>
      <c r="W326" s="544"/>
    </row>
    <row r="327" spans="1:23" ht="15" customHeight="1" x14ac:dyDescent="0.25">
      <c r="A327" s="392"/>
      <c r="B327" s="213" t="str">
        <f t="shared" si="0"/>
        <v>Q-55</v>
      </c>
      <c r="C327" s="1383"/>
      <c r="D327" s="2959"/>
      <c r="E327" s="2960"/>
      <c r="F327" s="2960"/>
      <c r="G327" s="237"/>
      <c r="H327" s="2367"/>
      <c r="I327" s="237"/>
      <c r="J327" s="237"/>
      <c r="K327" s="237"/>
      <c r="L327" s="2367"/>
      <c r="M327" s="477"/>
      <c r="O327" s="477"/>
      <c r="Q327" s="477"/>
      <c r="S327" s="477"/>
      <c r="U327" s="477"/>
      <c r="W327" s="544"/>
    </row>
    <row r="328" spans="1:23" ht="15" customHeight="1" x14ac:dyDescent="0.25">
      <c r="A328" s="392"/>
      <c r="B328" s="213" t="str">
        <f t="shared" si="0"/>
        <v>Q-56</v>
      </c>
      <c r="C328" s="1383"/>
      <c r="D328" s="2959"/>
      <c r="E328" s="2960"/>
      <c r="F328" s="2960"/>
      <c r="G328" s="237"/>
      <c r="H328" s="2367"/>
      <c r="I328" s="237"/>
      <c r="J328" s="237"/>
      <c r="K328" s="237"/>
      <c r="L328" s="2367"/>
      <c r="M328" s="477"/>
      <c r="O328" s="477"/>
      <c r="Q328" s="477"/>
      <c r="S328" s="477"/>
      <c r="U328" s="477"/>
      <c r="W328" s="544"/>
    </row>
    <row r="329" spans="1:23" ht="15" customHeight="1" x14ac:dyDescent="0.25">
      <c r="A329" s="392"/>
      <c r="B329" s="213" t="str">
        <f t="shared" si="0"/>
        <v>Q-57</v>
      </c>
      <c r="C329" s="1383"/>
      <c r="D329" s="2959"/>
      <c r="E329" s="2960"/>
      <c r="F329" s="2960"/>
      <c r="G329" s="237"/>
      <c r="H329" s="2367"/>
      <c r="I329" s="237"/>
      <c r="J329" s="237"/>
      <c r="K329" s="237"/>
      <c r="L329" s="2367"/>
      <c r="M329" s="477"/>
      <c r="O329" s="477"/>
      <c r="Q329" s="477"/>
      <c r="S329" s="477"/>
      <c r="U329" s="477"/>
      <c r="W329" s="544"/>
    </row>
    <row r="330" spans="1:23" ht="15" customHeight="1" x14ac:dyDescent="0.25">
      <c r="A330" s="392"/>
      <c r="B330" s="213" t="str">
        <f t="shared" si="0"/>
        <v>Q-58</v>
      </c>
      <c r="C330" s="1383"/>
      <c r="D330" s="2959"/>
      <c r="E330" s="2960"/>
      <c r="F330" s="2960"/>
      <c r="G330" s="237"/>
      <c r="H330" s="2367"/>
      <c r="I330" s="237"/>
      <c r="J330" s="237"/>
      <c r="K330" s="237"/>
      <c r="L330" s="2367"/>
      <c r="M330" s="477"/>
      <c r="O330" s="477"/>
      <c r="Q330" s="477"/>
      <c r="S330" s="477"/>
      <c r="U330" s="477"/>
      <c r="W330" s="544"/>
    </row>
    <row r="331" spans="1:23" ht="15" customHeight="1" x14ac:dyDescent="0.25">
      <c r="A331" s="392"/>
      <c r="B331" s="213" t="str">
        <f t="shared" si="0"/>
        <v>Q-59</v>
      </c>
      <c r="C331" s="1383"/>
      <c r="D331" s="2959"/>
      <c r="E331" s="2960"/>
      <c r="F331" s="2960"/>
      <c r="G331" s="237"/>
      <c r="H331" s="2367"/>
      <c r="I331" s="237"/>
      <c r="J331" s="237"/>
      <c r="K331" s="237"/>
      <c r="L331" s="2367"/>
      <c r="M331" s="477"/>
      <c r="O331" s="477"/>
      <c r="Q331" s="477"/>
      <c r="S331" s="477"/>
      <c r="U331" s="477"/>
      <c r="W331" s="544"/>
    </row>
    <row r="332" spans="1:23" ht="15" customHeight="1" x14ac:dyDescent="0.25">
      <c r="A332" s="392"/>
      <c r="B332" s="213" t="str">
        <f t="shared" si="0"/>
        <v>Q-60</v>
      </c>
      <c r="C332" s="1383"/>
      <c r="D332" s="2959"/>
      <c r="E332" s="2960"/>
      <c r="F332" s="2960"/>
      <c r="G332" s="237"/>
      <c r="H332" s="2367"/>
      <c r="I332" s="237"/>
      <c r="J332" s="237"/>
      <c r="K332" s="237"/>
      <c r="L332" s="2367"/>
      <c r="M332" s="477"/>
      <c r="O332" s="477"/>
      <c r="Q332" s="477"/>
      <c r="S332" s="477"/>
      <c r="U332" s="477"/>
      <c r="W332" s="544"/>
    </row>
    <row r="333" spans="1:23" ht="15" customHeight="1" x14ac:dyDescent="0.25">
      <c r="A333" s="392"/>
      <c r="B333" s="213" t="str">
        <f t="shared" si="0"/>
        <v>Q-61</v>
      </c>
      <c r="C333" s="1383"/>
      <c r="D333" s="2959"/>
      <c r="E333" s="2960"/>
      <c r="F333" s="2960"/>
      <c r="G333" s="237"/>
      <c r="H333" s="2367"/>
      <c r="I333" s="237"/>
      <c r="J333" s="237"/>
      <c r="K333" s="237"/>
      <c r="L333" s="2367"/>
      <c r="M333" s="477"/>
      <c r="O333" s="477"/>
      <c r="Q333" s="477"/>
      <c r="S333" s="477"/>
      <c r="U333" s="477"/>
      <c r="W333" s="544"/>
    </row>
    <row r="334" spans="1:23" ht="15" customHeight="1" x14ac:dyDescent="0.25">
      <c r="A334" s="392"/>
      <c r="B334" s="213" t="str">
        <f t="shared" si="0"/>
        <v>Q-62</v>
      </c>
      <c r="C334" s="1383"/>
      <c r="D334" s="2959"/>
      <c r="E334" s="2960"/>
      <c r="F334" s="2960"/>
      <c r="G334" s="237"/>
      <c r="H334" s="2367"/>
      <c r="I334" s="237"/>
      <c r="J334" s="237"/>
      <c r="K334" s="237"/>
      <c r="L334" s="2367"/>
      <c r="M334" s="477"/>
      <c r="O334" s="477"/>
      <c r="Q334" s="477"/>
      <c r="S334" s="477"/>
      <c r="U334" s="477"/>
      <c r="W334" s="544"/>
    </row>
    <row r="335" spans="1:23" ht="15" customHeight="1" x14ac:dyDescent="0.25">
      <c r="A335" s="392"/>
      <c r="B335" s="213" t="str">
        <f t="shared" si="0"/>
        <v>Q-63</v>
      </c>
      <c r="C335" s="1383"/>
      <c r="D335" s="2959"/>
      <c r="E335" s="2960"/>
      <c r="F335" s="2960"/>
      <c r="G335" s="237"/>
      <c r="H335" s="2367"/>
      <c r="I335" s="237"/>
      <c r="J335" s="237"/>
      <c r="K335" s="237"/>
      <c r="L335" s="2367"/>
      <c r="M335" s="477"/>
      <c r="O335" s="477"/>
      <c r="Q335" s="477"/>
      <c r="S335" s="477"/>
      <c r="U335" s="477"/>
      <c r="W335" s="544"/>
    </row>
    <row r="336" spans="1:23" ht="15" customHeight="1" x14ac:dyDescent="0.25">
      <c r="A336" s="392"/>
      <c r="B336" s="213" t="str">
        <f t="shared" si="0"/>
        <v>Q-64</v>
      </c>
      <c r="C336" s="1383"/>
      <c r="D336" s="2959"/>
      <c r="E336" s="2960"/>
      <c r="F336" s="2960"/>
      <c r="G336" s="237"/>
      <c r="H336" s="2367"/>
      <c r="I336" s="237"/>
      <c r="J336" s="237"/>
      <c r="K336" s="237"/>
      <c r="L336" s="2367"/>
      <c r="M336" s="477"/>
      <c r="O336" s="477"/>
      <c r="Q336" s="477"/>
      <c r="S336" s="477"/>
      <c r="U336" s="477"/>
      <c r="W336" s="544"/>
    </row>
    <row r="337" spans="1:23" ht="15" customHeight="1" x14ac:dyDescent="0.25">
      <c r="A337" s="392"/>
      <c r="B337" s="213" t="str">
        <f t="shared" si="0"/>
        <v>Q-65</v>
      </c>
      <c r="C337" s="1383"/>
      <c r="D337" s="2959"/>
      <c r="E337" s="2960"/>
      <c r="F337" s="2960"/>
      <c r="G337" s="237"/>
      <c r="H337" s="2367"/>
      <c r="I337" s="237"/>
      <c r="J337" s="237"/>
      <c r="K337" s="237"/>
      <c r="L337" s="2367"/>
      <c r="M337" s="477"/>
      <c r="O337" s="477"/>
      <c r="Q337" s="477"/>
      <c r="S337" s="477"/>
      <c r="U337" s="477"/>
      <c r="W337" s="544"/>
    </row>
    <row r="338" spans="1:23" ht="15" customHeight="1" x14ac:dyDescent="0.25">
      <c r="A338" s="392"/>
      <c r="B338" s="213" t="str">
        <f t="shared" ref="B338:B372" si="1">"Q-"&amp;(ROW(B338)-ROW(B$272))</f>
        <v>Q-66</v>
      </c>
      <c r="C338" s="1383"/>
      <c r="D338" s="2959"/>
      <c r="E338" s="2960"/>
      <c r="F338" s="2960"/>
      <c r="G338" s="237"/>
      <c r="H338" s="2367"/>
      <c r="I338" s="237"/>
      <c r="J338" s="237"/>
      <c r="K338" s="237"/>
      <c r="L338" s="2367"/>
      <c r="M338" s="477"/>
      <c r="O338" s="477"/>
      <c r="Q338" s="477"/>
      <c r="S338" s="477"/>
      <c r="U338" s="477"/>
      <c r="W338" s="544"/>
    </row>
    <row r="339" spans="1:23" ht="15" customHeight="1" x14ac:dyDescent="0.25">
      <c r="A339" s="392"/>
      <c r="B339" s="213" t="str">
        <f t="shared" si="1"/>
        <v>Q-67</v>
      </c>
      <c r="C339" s="1383"/>
      <c r="D339" s="2959"/>
      <c r="E339" s="2960"/>
      <c r="F339" s="2960"/>
      <c r="G339" s="237"/>
      <c r="H339" s="2367"/>
      <c r="I339" s="237"/>
      <c r="J339" s="237"/>
      <c r="K339" s="237"/>
      <c r="L339" s="2367"/>
      <c r="M339" s="477"/>
      <c r="O339" s="477"/>
      <c r="Q339" s="477"/>
      <c r="S339" s="477"/>
      <c r="U339" s="477"/>
      <c r="W339" s="544"/>
    </row>
    <row r="340" spans="1:23" ht="15" customHeight="1" x14ac:dyDescent="0.25">
      <c r="A340" s="392"/>
      <c r="B340" s="213" t="str">
        <f t="shared" si="1"/>
        <v>Q-68</v>
      </c>
      <c r="C340" s="1383"/>
      <c r="D340" s="2959"/>
      <c r="E340" s="2960"/>
      <c r="F340" s="2960"/>
      <c r="G340" s="237"/>
      <c r="H340" s="2367"/>
      <c r="I340" s="237"/>
      <c r="J340" s="237"/>
      <c r="K340" s="237"/>
      <c r="L340" s="2367"/>
      <c r="M340" s="477"/>
      <c r="O340" s="477"/>
      <c r="Q340" s="477"/>
      <c r="S340" s="477"/>
      <c r="U340" s="477"/>
      <c r="W340" s="544"/>
    </row>
    <row r="341" spans="1:23" ht="15" customHeight="1" x14ac:dyDescent="0.25">
      <c r="A341" s="392"/>
      <c r="B341" s="213" t="str">
        <f t="shared" si="1"/>
        <v>Q-69</v>
      </c>
      <c r="C341" s="1383"/>
      <c r="D341" s="2959"/>
      <c r="E341" s="2960"/>
      <c r="F341" s="2960"/>
      <c r="G341" s="237"/>
      <c r="H341" s="2367"/>
      <c r="I341" s="237"/>
      <c r="J341" s="237"/>
      <c r="K341" s="237"/>
      <c r="L341" s="2367"/>
      <c r="M341" s="477"/>
      <c r="O341" s="477"/>
      <c r="Q341" s="477"/>
      <c r="S341" s="477"/>
      <c r="U341" s="477"/>
      <c r="W341" s="544"/>
    </row>
    <row r="342" spans="1:23" ht="15" customHeight="1" x14ac:dyDescent="0.25">
      <c r="A342" s="392"/>
      <c r="B342" s="213" t="str">
        <f t="shared" si="1"/>
        <v>Q-70</v>
      </c>
      <c r="C342" s="1383"/>
      <c r="D342" s="2959"/>
      <c r="E342" s="2960"/>
      <c r="F342" s="2960"/>
      <c r="G342" s="237"/>
      <c r="H342" s="2367"/>
      <c r="I342" s="237"/>
      <c r="J342" s="237"/>
      <c r="K342" s="237"/>
      <c r="L342" s="2367"/>
      <c r="M342" s="477"/>
      <c r="O342" s="477"/>
      <c r="Q342" s="477"/>
      <c r="S342" s="477"/>
      <c r="U342" s="477"/>
      <c r="W342" s="544"/>
    </row>
    <row r="343" spans="1:23" ht="15" customHeight="1" x14ac:dyDescent="0.25">
      <c r="A343" s="392"/>
      <c r="B343" s="213" t="str">
        <f t="shared" si="1"/>
        <v>Q-71</v>
      </c>
      <c r="C343" s="1383"/>
      <c r="D343" s="2959"/>
      <c r="E343" s="2960"/>
      <c r="F343" s="2960"/>
      <c r="G343" s="237"/>
      <c r="H343" s="2367"/>
      <c r="I343" s="237"/>
      <c r="J343" s="237"/>
      <c r="K343" s="237"/>
      <c r="L343" s="2367"/>
      <c r="M343" s="477"/>
      <c r="O343" s="477"/>
      <c r="Q343" s="477"/>
      <c r="S343" s="477"/>
      <c r="U343" s="477"/>
      <c r="W343" s="544"/>
    </row>
    <row r="344" spans="1:23" ht="15" customHeight="1" x14ac:dyDescent="0.25">
      <c r="A344" s="392"/>
      <c r="B344" s="213" t="str">
        <f t="shared" si="1"/>
        <v>Q-72</v>
      </c>
      <c r="C344" s="1383"/>
      <c r="D344" s="2959"/>
      <c r="E344" s="2960"/>
      <c r="F344" s="2960"/>
      <c r="G344" s="237"/>
      <c r="H344" s="2367"/>
      <c r="I344" s="237"/>
      <c r="J344" s="237"/>
      <c r="K344" s="237"/>
      <c r="L344" s="2367"/>
      <c r="M344" s="477"/>
      <c r="O344" s="477"/>
      <c r="Q344" s="477"/>
      <c r="S344" s="477"/>
      <c r="U344" s="477"/>
      <c r="W344" s="544"/>
    </row>
    <row r="345" spans="1:23" ht="15" customHeight="1" x14ac:dyDescent="0.25">
      <c r="A345" s="392"/>
      <c r="B345" s="213" t="str">
        <f t="shared" si="1"/>
        <v>Q-73</v>
      </c>
      <c r="C345" s="1383"/>
      <c r="D345" s="2959"/>
      <c r="E345" s="2960"/>
      <c r="F345" s="2960"/>
      <c r="G345" s="237"/>
      <c r="H345" s="2367"/>
      <c r="I345" s="237"/>
      <c r="J345" s="237"/>
      <c r="K345" s="237"/>
      <c r="L345" s="2367"/>
      <c r="M345" s="477"/>
      <c r="O345" s="477"/>
      <c r="Q345" s="477"/>
      <c r="S345" s="477"/>
      <c r="U345" s="477"/>
      <c r="W345" s="544"/>
    </row>
    <row r="346" spans="1:23" ht="15" customHeight="1" x14ac:dyDescent="0.25">
      <c r="A346" s="392"/>
      <c r="B346" s="213" t="str">
        <f t="shared" si="1"/>
        <v>Q-74</v>
      </c>
      <c r="C346" s="1383"/>
      <c r="D346" s="2959"/>
      <c r="E346" s="2960"/>
      <c r="F346" s="2960"/>
      <c r="G346" s="237"/>
      <c r="H346" s="2367"/>
      <c r="I346" s="237"/>
      <c r="J346" s="237"/>
      <c r="K346" s="237"/>
      <c r="L346" s="2367"/>
      <c r="M346" s="477"/>
      <c r="O346" s="477"/>
      <c r="Q346" s="477"/>
      <c r="S346" s="477"/>
      <c r="U346" s="477"/>
      <c r="W346" s="544"/>
    </row>
    <row r="347" spans="1:23" ht="15" customHeight="1" x14ac:dyDescent="0.25">
      <c r="A347" s="392"/>
      <c r="B347" s="213" t="str">
        <f t="shared" si="1"/>
        <v>Q-75</v>
      </c>
      <c r="C347" s="1383"/>
      <c r="D347" s="2959"/>
      <c r="E347" s="2960"/>
      <c r="F347" s="2960"/>
      <c r="G347" s="237"/>
      <c r="H347" s="2367"/>
      <c r="I347" s="237"/>
      <c r="J347" s="237"/>
      <c r="K347" s="237"/>
      <c r="L347" s="2367"/>
      <c r="M347" s="477"/>
      <c r="O347" s="477"/>
      <c r="Q347" s="477"/>
      <c r="S347" s="477"/>
      <c r="U347" s="477"/>
      <c r="W347" s="544"/>
    </row>
    <row r="348" spans="1:23" ht="15" customHeight="1" x14ac:dyDescent="0.25">
      <c r="A348" s="392"/>
      <c r="B348" s="213" t="str">
        <f t="shared" si="1"/>
        <v>Q-76</v>
      </c>
      <c r="C348" s="1383"/>
      <c r="D348" s="2959"/>
      <c r="E348" s="2960"/>
      <c r="F348" s="2960"/>
      <c r="G348" s="237"/>
      <c r="H348" s="2367"/>
      <c r="I348" s="237"/>
      <c r="J348" s="237"/>
      <c r="K348" s="237"/>
      <c r="L348" s="2367"/>
      <c r="M348" s="477"/>
      <c r="O348" s="477"/>
      <c r="Q348" s="477"/>
      <c r="S348" s="477"/>
      <c r="U348" s="477"/>
      <c r="W348" s="544"/>
    </row>
    <row r="349" spans="1:23" ht="15" customHeight="1" x14ac:dyDescent="0.25">
      <c r="A349" s="392"/>
      <c r="B349" s="213" t="str">
        <f t="shared" si="1"/>
        <v>Q-77</v>
      </c>
      <c r="C349" s="1383"/>
      <c r="D349" s="2959"/>
      <c r="E349" s="2960"/>
      <c r="F349" s="2960"/>
      <c r="G349" s="237"/>
      <c r="H349" s="2367"/>
      <c r="I349" s="237"/>
      <c r="J349" s="237"/>
      <c r="K349" s="237"/>
      <c r="L349" s="2367"/>
      <c r="M349" s="477"/>
      <c r="O349" s="477"/>
      <c r="Q349" s="477"/>
      <c r="S349" s="477"/>
      <c r="U349" s="477"/>
      <c r="W349" s="544"/>
    </row>
    <row r="350" spans="1:23" ht="15" customHeight="1" x14ac:dyDescent="0.25">
      <c r="A350" s="392"/>
      <c r="B350" s="213" t="str">
        <f t="shared" si="1"/>
        <v>Q-78</v>
      </c>
      <c r="C350" s="1383"/>
      <c r="D350" s="2959"/>
      <c r="E350" s="2960"/>
      <c r="F350" s="2960"/>
      <c r="G350" s="237"/>
      <c r="H350" s="2367"/>
      <c r="I350" s="237"/>
      <c r="J350" s="237"/>
      <c r="K350" s="237"/>
      <c r="L350" s="2367"/>
      <c r="M350" s="477"/>
      <c r="O350" s="477"/>
      <c r="Q350" s="477"/>
      <c r="S350" s="477"/>
      <c r="U350" s="477"/>
      <c r="W350" s="544"/>
    </row>
    <row r="351" spans="1:23" ht="15" customHeight="1" x14ac:dyDescent="0.25">
      <c r="A351" s="392"/>
      <c r="B351" s="213" t="str">
        <f t="shared" si="1"/>
        <v>Q-79</v>
      </c>
      <c r="C351" s="1383"/>
      <c r="D351" s="2959"/>
      <c r="E351" s="2960"/>
      <c r="F351" s="2960"/>
      <c r="G351" s="237"/>
      <c r="H351" s="2367"/>
      <c r="I351" s="237"/>
      <c r="J351" s="237"/>
      <c r="K351" s="237"/>
      <c r="L351" s="2367"/>
      <c r="M351" s="477"/>
      <c r="O351" s="477"/>
      <c r="Q351" s="477"/>
      <c r="S351" s="477"/>
      <c r="U351" s="477"/>
      <c r="W351" s="544"/>
    </row>
    <row r="352" spans="1:23" ht="15" customHeight="1" x14ac:dyDescent="0.25">
      <c r="A352" s="392"/>
      <c r="B352" s="213" t="str">
        <f t="shared" si="1"/>
        <v>Q-80</v>
      </c>
      <c r="C352" s="1383"/>
      <c r="D352" s="2959"/>
      <c r="E352" s="2960"/>
      <c r="F352" s="2960"/>
      <c r="G352" s="237"/>
      <c r="H352" s="2367"/>
      <c r="I352" s="237"/>
      <c r="J352" s="237"/>
      <c r="K352" s="237"/>
      <c r="L352" s="2367"/>
      <c r="M352" s="477"/>
      <c r="O352" s="477"/>
      <c r="Q352" s="477"/>
      <c r="S352" s="477"/>
      <c r="U352" s="477"/>
      <c r="W352" s="544"/>
    </row>
    <row r="353" spans="1:23" ht="15" customHeight="1" x14ac:dyDescent="0.25">
      <c r="A353" s="392"/>
      <c r="B353" s="213" t="str">
        <f t="shared" si="1"/>
        <v>Q-81</v>
      </c>
      <c r="C353" s="1383"/>
      <c r="D353" s="2959"/>
      <c r="E353" s="2960"/>
      <c r="F353" s="2960"/>
      <c r="G353" s="237"/>
      <c r="H353" s="2367"/>
      <c r="I353" s="237"/>
      <c r="J353" s="237"/>
      <c r="K353" s="237"/>
      <c r="L353" s="2367"/>
      <c r="M353" s="477"/>
      <c r="O353" s="477"/>
      <c r="Q353" s="477"/>
      <c r="S353" s="477"/>
      <c r="U353" s="477"/>
      <c r="W353" s="544"/>
    </row>
    <row r="354" spans="1:23" ht="15" customHeight="1" x14ac:dyDescent="0.25">
      <c r="A354" s="392"/>
      <c r="B354" s="213" t="str">
        <f t="shared" si="1"/>
        <v>Q-82</v>
      </c>
      <c r="C354" s="1383"/>
      <c r="D354" s="2959"/>
      <c r="E354" s="2960"/>
      <c r="F354" s="2960"/>
      <c r="G354" s="237"/>
      <c r="H354" s="2367"/>
      <c r="I354" s="237"/>
      <c r="J354" s="237"/>
      <c r="K354" s="237"/>
      <c r="L354" s="2367"/>
      <c r="M354" s="477"/>
      <c r="O354" s="477"/>
      <c r="Q354" s="477"/>
      <c r="S354" s="477"/>
      <c r="U354" s="477"/>
      <c r="W354" s="544"/>
    </row>
    <row r="355" spans="1:23" ht="15" customHeight="1" x14ac:dyDescent="0.25">
      <c r="A355" s="392"/>
      <c r="B355" s="213" t="str">
        <f t="shared" si="1"/>
        <v>Q-83</v>
      </c>
      <c r="C355" s="1383"/>
      <c r="D355" s="2959"/>
      <c r="E355" s="2960"/>
      <c r="F355" s="2960"/>
      <c r="G355" s="237"/>
      <c r="H355" s="2367"/>
      <c r="I355" s="237"/>
      <c r="J355" s="237"/>
      <c r="K355" s="237"/>
      <c r="L355" s="2367"/>
      <c r="M355" s="477"/>
      <c r="O355" s="477"/>
      <c r="Q355" s="477"/>
      <c r="S355" s="477"/>
      <c r="U355" s="477"/>
      <c r="W355" s="544"/>
    </row>
    <row r="356" spans="1:23" ht="15" customHeight="1" x14ac:dyDescent="0.25">
      <c r="A356" s="392"/>
      <c r="B356" s="213" t="str">
        <f t="shared" si="1"/>
        <v>Q-84</v>
      </c>
      <c r="C356" s="1383"/>
      <c r="D356" s="2959"/>
      <c r="E356" s="2960"/>
      <c r="F356" s="2960"/>
      <c r="G356" s="237"/>
      <c r="H356" s="2367"/>
      <c r="I356" s="237"/>
      <c r="J356" s="237"/>
      <c r="K356" s="237"/>
      <c r="L356" s="2367"/>
      <c r="M356" s="477"/>
      <c r="O356" s="477"/>
      <c r="Q356" s="477"/>
      <c r="S356" s="477"/>
      <c r="U356" s="477"/>
      <c r="W356" s="544"/>
    </row>
    <row r="357" spans="1:23" ht="15" customHeight="1" x14ac:dyDescent="0.25">
      <c r="A357" s="392"/>
      <c r="B357" s="213" t="str">
        <f t="shared" si="1"/>
        <v>Q-85</v>
      </c>
      <c r="C357" s="1383"/>
      <c r="D357" s="2959"/>
      <c r="E357" s="2960"/>
      <c r="F357" s="2960"/>
      <c r="G357" s="237"/>
      <c r="H357" s="2367"/>
      <c r="I357" s="237"/>
      <c r="J357" s="237"/>
      <c r="K357" s="237"/>
      <c r="L357" s="2367"/>
      <c r="M357" s="477"/>
      <c r="O357" s="477"/>
      <c r="Q357" s="477"/>
      <c r="S357" s="477"/>
      <c r="U357" s="477"/>
      <c r="W357" s="544"/>
    </row>
    <row r="358" spans="1:23" ht="15" customHeight="1" x14ac:dyDescent="0.25">
      <c r="A358" s="392"/>
      <c r="B358" s="213" t="str">
        <f t="shared" si="1"/>
        <v>Q-86</v>
      </c>
      <c r="C358" s="1383"/>
      <c r="D358" s="2959"/>
      <c r="E358" s="2960"/>
      <c r="F358" s="2960"/>
      <c r="G358" s="237"/>
      <c r="H358" s="2367"/>
      <c r="I358" s="237"/>
      <c r="J358" s="237"/>
      <c r="K358" s="237"/>
      <c r="L358" s="2367"/>
      <c r="M358" s="477"/>
      <c r="O358" s="477"/>
      <c r="Q358" s="477"/>
      <c r="S358" s="477"/>
      <c r="U358" s="477"/>
      <c r="W358" s="544"/>
    </row>
    <row r="359" spans="1:23" ht="15" customHeight="1" x14ac:dyDescent="0.25">
      <c r="A359" s="392"/>
      <c r="B359" s="213" t="str">
        <f t="shared" si="1"/>
        <v>Q-87</v>
      </c>
      <c r="C359" s="1383"/>
      <c r="D359" s="2959"/>
      <c r="E359" s="2960"/>
      <c r="F359" s="2960"/>
      <c r="G359" s="237"/>
      <c r="H359" s="2367"/>
      <c r="I359" s="237"/>
      <c r="J359" s="237"/>
      <c r="K359" s="237"/>
      <c r="L359" s="2367"/>
      <c r="M359" s="477"/>
      <c r="O359" s="477"/>
      <c r="Q359" s="477"/>
      <c r="S359" s="477"/>
      <c r="U359" s="477"/>
      <c r="W359" s="544"/>
    </row>
    <row r="360" spans="1:23" ht="15" customHeight="1" x14ac:dyDescent="0.25">
      <c r="A360" s="392"/>
      <c r="B360" s="213" t="str">
        <f t="shared" si="1"/>
        <v>Q-88</v>
      </c>
      <c r="C360" s="1383"/>
      <c r="D360" s="2959"/>
      <c r="E360" s="2960"/>
      <c r="F360" s="2960"/>
      <c r="G360" s="237"/>
      <c r="H360" s="2367"/>
      <c r="I360" s="237"/>
      <c r="J360" s="237"/>
      <c r="K360" s="237"/>
      <c r="L360" s="2367"/>
      <c r="M360" s="477"/>
      <c r="O360" s="477"/>
      <c r="Q360" s="477"/>
      <c r="S360" s="477"/>
      <c r="U360" s="477"/>
      <c r="W360" s="544"/>
    </row>
    <row r="361" spans="1:23" ht="15" customHeight="1" x14ac:dyDescent="0.25">
      <c r="A361" s="392"/>
      <c r="B361" s="213" t="str">
        <f t="shared" si="1"/>
        <v>Q-89</v>
      </c>
      <c r="C361" s="1383"/>
      <c r="D361" s="2959"/>
      <c r="E361" s="2960"/>
      <c r="F361" s="2960"/>
      <c r="G361" s="237"/>
      <c r="H361" s="2367"/>
      <c r="I361" s="237"/>
      <c r="J361" s="237"/>
      <c r="K361" s="237"/>
      <c r="L361" s="2367"/>
      <c r="M361" s="477"/>
      <c r="O361" s="477"/>
      <c r="Q361" s="477"/>
      <c r="S361" s="477"/>
      <c r="U361" s="477"/>
      <c r="W361" s="544"/>
    </row>
    <row r="362" spans="1:23" ht="15" customHeight="1" x14ac:dyDescent="0.25">
      <c r="A362" s="392"/>
      <c r="B362" s="213" t="str">
        <f t="shared" si="1"/>
        <v>Q-90</v>
      </c>
      <c r="C362" s="1383"/>
      <c r="D362" s="2959"/>
      <c r="E362" s="2960"/>
      <c r="F362" s="2960"/>
      <c r="G362" s="237"/>
      <c r="H362" s="2367"/>
      <c r="I362" s="237"/>
      <c r="J362" s="237"/>
      <c r="K362" s="237"/>
      <c r="L362" s="2367"/>
      <c r="M362" s="477"/>
      <c r="O362" s="477"/>
      <c r="Q362" s="477"/>
      <c r="S362" s="477"/>
      <c r="U362" s="477"/>
      <c r="W362" s="544"/>
    </row>
    <row r="363" spans="1:23" ht="15" customHeight="1" x14ac:dyDescent="0.25">
      <c r="A363" s="392"/>
      <c r="B363" s="213" t="str">
        <f t="shared" si="1"/>
        <v>Q-91</v>
      </c>
      <c r="C363" s="1383"/>
      <c r="D363" s="2959"/>
      <c r="E363" s="2960"/>
      <c r="F363" s="2960"/>
      <c r="G363" s="237"/>
      <c r="H363" s="2367"/>
      <c r="I363" s="237"/>
      <c r="J363" s="237"/>
      <c r="K363" s="237"/>
      <c r="L363" s="2367"/>
      <c r="M363" s="477"/>
      <c r="O363" s="477"/>
      <c r="Q363" s="477"/>
      <c r="S363" s="477"/>
      <c r="U363" s="477"/>
      <c r="W363" s="544"/>
    </row>
    <row r="364" spans="1:23" ht="15" customHeight="1" x14ac:dyDescent="0.25">
      <c r="A364" s="392"/>
      <c r="B364" s="213" t="str">
        <f t="shared" si="1"/>
        <v>Q-92</v>
      </c>
      <c r="C364" s="1383"/>
      <c r="D364" s="2959"/>
      <c r="E364" s="2960"/>
      <c r="F364" s="2960"/>
      <c r="G364" s="237"/>
      <c r="H364" s="2367"/>
      <c r="I364" s="237"/>
      <c r="J364" s="237"/>
      <c r="K364" s="237"/>
      <c r="L364" s="2367"/>
      <c r="M364" s="477"/>
      <c r="O364" s="477"/>
      <c r="Q364" s="477"/>
      <c r="S364" s="477"/>
      <c r="U364" s="477"/>
      <c r="W364" s="544"/>
    </row>
    <row r="365" spans="1:23" ht="15" customHeight="1" x14ac:dyDescent="0.25">
      <c r="A365" s="392"/>
      <c r="B365" s="213" t="str">
        <f t="shared" si="1"/>
        <v>Q-93</v>
      </c>
      <c r="C365" s="1383"/>
      <c r="D365" s="2959"/>
      <c r="E365" s="2960"/>
      <c r="F365" s="2960"/>
      <c r="G365" s="237"/>
      <c r="H365" s="2367"/>
      <c r="I365" s="237"/>
      <c r="J365" s="237"/>
      <c r="K365" s="237"/>
      <c r="L365" s="2367"/>
      <c r="M365" s="477"/>
      <c r="O365" s="477"/>
      <c r="Q365" s="477"/>
      <c r="S365" s="477"/>
      <c r="U365" s="477"/>
      <c r="W365" s="544"/>
    </row>
    <row r="366" spans="1:23" ht="15" customHeight="1" x14ac:dyDescent="0.25">
      <c r="A366" s="392"/>
      <c r="B366" s="213" t="str">
        <f t="shared" si="1"/>
        <v>Q-94</v>
      </c>
      <c r="C366" s="1383"/>
      <c r="D366" s="2959"/>
      <c r="E366" s="2960"/>
      <c r="F366" s="2960"/>
      <c r="G366" s="237"/>
      <c r="H366" s="2367"/>
      <c r="I366" s="237"/>
      <c r="J366" s="237"/>
      <c r="K366" s="237"/>
      <c r="L366" s="2367"/>
      <c r="M366" s="477"/>
      <c r="O366" s="477"/>
      <c r="Q366" s="477"/>
      <c r="S366" s="477"/>
      <c r="U366" s="477"/>
      <c r="W366" s="544"/>
    </row>
    <row r="367" spans="1:23" ht="15" customHeight="1" x14ac:dyDescent="0.25">
      <c r="A367" s="392"/>
      <c r="B367" s="213" t="str">
        <f t="shared" si="1"/>
        <v>Q-95</v>
      </c>
      <c r="C367" s="1383"/>
      <c r="D367" s="2959"/>
      <c r="E367" s="2960"/>
      <c r="F367" s="2960"/>
      <c r="G367" s="237"/>
      <c r="H367" s="2367"/>
      <c r="I367" s="237"/>
      <c r="J367" s="237"/>
      <c r="K367" s="237"/>
      <c r="L367" s="2367"/>
      <c r="M367" s="477"/>
      <c r="O367" s="477"/>
      <c r="Q367" s="477"/>
      <c r="S367" s="477"/>
      <c r="U367" s="477"/>
      <c r="W367" s="544"/>
    </row>
    <row r="368" spans="1:23" ht="15" customHeight="1" x14ac:dyDescent="0.25">
      <c r="A368" s="392"/>
      <c r="B368" s="213" t="str">
        <f t="shared" si="1"/>
        <v>Q-96</v>
      </c>
      <c r="C368" s="1383"/>
      <c r="D368" s="2959"/>
      <c r="E368" s="2960"/>
      <c r="F368" s="2960"/>
      <c r="G368" s="237"/>
      <c r="H368" s="2367"/>
      <c r="I368" s="237"/>
      <c r="J368" s="237"/>
      <c r="K368" s="237"/>
      <c r="L368" s="2367"/>
      <c r="M368" s="477"/>
      <c r="O368" s="477"/>
      <c r="Q368" s="477"/>
      <c r="S368" s="477"/>
      <c r="U368" s="477"/>
      <c r="W368" s="544"/>
    </row>
    <row r="369" spans="1:23" ht="15" customHeight="1" x14ac:dyDescent="0.25">
      <c r="A369" s="392"/>
      <c r="B369" s="213" t="str">
        <f t="shared" si="1"/>
        <v>Q-97</v>
      </c>
      <c r="C369" s="1383"/>
      <c r="D369" s="2959"/>
      <c r="E369" s="2960"/>
      <c r="F369" s="2960"/>
      <c r="G369" s="237"/>
      <c r="H369" s="2367"/>
      <c r="I369" s="237"/>
      <c r="J369" s="237"/>
      <c r="K369" s="237"/>
      <c r="L369" s="2367"/>
      <c r="M369" s="477"/>
      <c r="O369" s="477"/>
      <c r="Q369" s="477"/>
      <c r="S369" s="477"/>
      <c r="U369" s="477"/>
      <c r="W369" s="544"/>
    </row>
    <row r="370" spans="1:23" ht="15" customHeight="1" x14ac:dyDescent="0.25">
      <c r="A370" s="392"/>
      <c r="B370" s="213" t="str">
        <f t="shared" si="1"/>
        <v>Q-98</v>
      </c>
      <c r="C370" s="1383"/>
      <c r="D370" s="2959"/>
      <c r="E370" s="2960"/>
      <c r="F370" s="2960"/>
      <c r="G370" s="237"/>
      <c r="H370" s="2367"/>
      <c r="I370" s="237"/>
      <c r="J370" s="237"/>
      <c r="K370" s="237"/>
      <c r="L370" s="2367"/>
      <c r="M370" s="477"/>
      <c r="O370" s="477"/>
      <c r="Q370" s="477"/>
      <c r="S370" s="477"/>
      <c r="U370" s="477"/>
      <c r="W370" s="544"/>
    </row>
    <row r="371" spans="1:23" ht="15" customHeight="1" x14ac:dyDescent="0.25">
      <c r="A371" s="392"/>
      <c r="B371" s="213" t="str">
        <f t="shared" si="1"/>
        <v>Q-99</v>
      </c>
      <c r="C371" s="1383"/>
      <c r="D371" s="2959"/>
      <c r="E371" s="2960"/>
      <c r="F371" s="2960"/>
      <c r="G371" s="237"/>
      <c r="H371" s="2367"/>
      <c r="I371" s="237"/>
      <c r="J371" s="237"/>
      <c r="K371" s="237"/>
      <c r="L371" s="2367"/>
      <c r="M371" s="477"/>
      <c r="O371" s="477"/>
      <c r="Q371" s="477"/>
      <c r="S371" s="477"/>
      <c r="U371" s="477"/>
      <c r="W371" s="544"/>
    </row>
    <row r="372" spans="1:23" ht="15" customHeight="1" x14ac:dyDescent="0.25">
      <c r="A372" s="392"/>
      <c r="B372" s="215" t="str">
        <f t="shared" si="1"/>
        <v>Q-100</v>
      </c>
      <c r="C372" s="1382"/>
      <c r="D372" s="2963"/>
      <c r="E372" s="2964"/>
      <c r="F372" s="2964"/>
      <c r="G372" s="249"/>
      <c r="H372" s="2368"/>
      <c r="I372" s="249"/>
      <c r="J372" s="249"/>
      <c r="K372" s="249"/>
      <c r="L372" s="2368"/>
      <c r="M372" s="477"/>
      <c r="O372" s="477"/>
      <c r="Q372" s="477"/>
      <c r="S372" s="477"/>
      <c r="U372" s="477"/>
      <c r="W372" s="544"/>
    </row>
    <row r="373" spans="1:23" ht="15" customHeight="1" x14ac:dyDescent="0.25">
      <c r="A373" s="1072"/>
      <c r="B373" s="410"/>
      <c r="C373" s="410"/>
      <c r="D373" s="977"/>
      <c r="E373" s="977"/>
      <c r="F373" s="977"/>
      <c r="G373" s="977"/>
      <c r="H373" s="993"/>
      <c r="I373" s="977"/>
      <c r="J373" s="977"/>
      <c r="K373" s="977"/>
      <c r="L373" s="993"/>
      <c r="M373" s="977"/>
      <c r="N373" s="549"/>
      <c r="O373" s="977"/>
      <c r="P373" s="993"/>
      <c r="Q373" s="977"/>
      <c r="R373" s="549"/>
      <c r="S373" s="977"/>
      <c r="T373" s="993"/>
      <c r="U373" s="977"/>
      <c r="V373" s="549"/>
      <c r="W373" s="609"/>
    </row>
  </sheetData>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2:G35 G37:G39 G41:G42 G44:G45 G63:G67 G69:G73 G75:G80 G82:G86 G89 G118:G123 G28 G47:G48 G50 G52:G55 G135:G139 G141:G145 G147:G153 G158:G159 G161:G162 G164:G165 G125 G91:G116">
    <cfRule type="cellIs" dxfId="61" priority="411" stopIfTrue="1" operator="lessThan">
      <formula>0</formula>
    </cfRule>
  </conditionalFormatting>
  <conditionalFormatting sqref="H47:H55">
    <cfRule type="cellIs" dxfId="60" priority="19" stopIfTrue="1" operator="equal">
      <formula>"Can be left blank for banks using SA only"</formula>
    </cfRule>
  </conditionalFormatting>
  <conditionalFormatting sqref="F28 F30 F32:F35 F37:F39 F41:F42 F44:F45 F47:F48 F50 F52:F55">
    <cfRule type="cellIs" dxfId="59" priority="404" stopIfTrue="1" operator="lessThan">
      <formula>0</formula>
    </cfRule>
  </conditionalFormatting>
  <conditionalFormatting sqref="H118:H122 I119:I120">
    <cfRule type="cellIs" dxfId="58" priority="400" stopIfTrue="1" operator="lessThan">
      <formula>0</formula>
    </cfRule>
  </conditionalFormatting>
  <conditionalFormatting sqref="L118:L122 M119:M120 G126 K147:K153 K118:K126">
    <cfRule type="cellIs" dxfId="57" priority="396" stopIfTrue="1" operator="lessThan">
      <formula>0</formula>
    </cfRule>
  </conditionalFormatting>
  <conditionalFormatting sqref="J135:J153 N135:N153 J89:J123 N89:N124">
    <cfRule type="cellIs" dxfId="56" priority="26" stopIfTrue="1" operator="equal">
      <formula>"Can be left blank for banks without IMA"</formula>
    </cfRule>
  </conditionalFormatting>
  <conditionalFormatting sqref="J63:J86 N63:N86 H28:H45">
    <cfRule type="cellIs" dxfId="55" priority="20" stopIfTrue="1" operator="equal">
      <formula>"Can be left blank for banks without SA"</formula>
    </cfRule>
  </conditionalFormatting>
  <conditionalFormatting sqref="K135:K139 K141:K145">
    <cfRule type="cellIs" dxfId="54" priority="134" stopIfTrue="1" operator="lessThan">
      <formula>0</formula>
    </cfRule>
  </conditionalFormatting>
  <conditionalFormatting sqref="K89">
    <cfRule type="cellIs" dxfId="53" priority="132" stopIfTrue="1" operator="lessThan">
      <formula>0</formula>
    </cfRule>
  </conditionalFormatting>
  <conditionalFormatting sqref="K63:K67 K69:K73 K75:K80 K82:K86">
    <cfRule type="cellIs" dxfId="52" priority="115" stopIfTrue="1" operator="lessThan">
      <formula>0</formula>
    </cfRule>
  </conditionalFormatting>
  <conditionalFormatting sqref="P118:P122 Q119:Q120 O147:O153 O118:O126">
    <cfRule type="cellIs" dxfId="51" priority="18" stopIfTrue="1" operator="lessThan">
      <formula>0</formula>
    </cfRule>
  </conditionalFormatting>
  <conditionalFormatting sqref="R135:R153 R89:R124">
    <cfRule type="cellIs" dxfId="50" priority="14" stopIfTrue="1" operator="equal">
      <formula>"Can be left blank for banks without IMA"</formula>
    </cfRule>
  </conditionalFormatting>
  <conditionalFormatting sqref="O135:O139 O141:O145">
    <cfRule type="cellIs" dxfId="49" priority="17" stopIfTrue="1" operator="lessThan">
      <formula>0</formula>
    </cfRule>
  </conditionalFormatting>
  <conditionalFormatting sqref="O89">
    <cfRule type="cellIs" dxfId="48" priority="16" stopIfTrue="1" operator="lessThan">
      <formula>0</formula>
    </cfRule>
  </conditionalFormatting>
  <conditionalFormatting sqref="O63:O67 O69:O73 O75:O80 O82:O86">
    <cfRule type="cellIs" dxfId="47" priority="15" stopIfTrue="1" operator="lessThan">
      <formula>0</formula>
    </cfRule>
  </conditionalFormatting>
  <conditionalFormatting sqref="T118:T122 U119:U120 S147:S153 S118:S126">
    <cfRule type="cellIs" dxfId="46" priority="12" stopIfTrue="1" operator="lessThan">
      <formula>0</formula>
    </cfRule>
  </conditionalFormatting>
  <conditionalFormatting sqref="V135:V153 V89:V124">
    <cfRule type="cellIs" dxfId="45" priority="8" stopIfTrue="1" operator="equal">
      <formula>"Can be left blank for banks without IMA"</formula>
    </cfRule>
  </conditionalFormatting>
  <conditionalFormatting sqref="V63:V86 R63:R86">
    <cfRule type="cellIs" dxfId="44" priority="7" stopIfTrue="1" operator="equal">
      <formula>"Can be left blank for banks without SA"</formula>
    </cfRule>
  </conditionalFormatting>
  <conditionalFormatting sqref="S135:S139 S141:S145">
    <cfRule type="cellIs" dxfId="43" priority="11" stopIfTrue="1" operator="lessThan">
      <formula>0</formula>
    </cfRule>
  </conditionalFormatting>
  <conditionalFormatting sqref="S89">
    <cfRule type="cellIs" dxfId="42" priority="10" stopIfTrue="1" operator="lessThan">
      <formula>0</formula>
    </cfRule>
  </conditionalFormatting>
  <conditionalFormatting sqref="S63:S67 S69:S73 S75:S80 S82:S86">
    <cfRule type="cellIs" dxfId="41" priority="9" stopIfTrue="1" operator="lessThan">
      <formula>0</formula>
    </cfRule>
  </conditionalFormatting>
  <conditionalFormatting sqref="K91:K116">
    <cfRule type="cellIs" dxfId="40" priority="3" stopIfTrue="1" operator="lessThan">
      <formula>0</formula>
    </cfRule>
  </conditionalFormatting>
  <conditionalFormatting sqref="O91:O116">
    <cfRule type="cellIs" dxfId="39" priority="2" stopIfTrue="1" operator="lessThan">
      <formula>0</formula>
    </cfRule>
  </conditionalFormatting>
  <conditionalFormatting sqref="S91:S116">
    <cfRule type="cellIs" dxfId="38" priority="1" stopIfTrue="1" operator="lessThan">
      <formula>0</formula>
    </cfRule>
  </conditionalFormatting>
  <dataValidations count="6">
    <dataValidation type="list" allowBlank="1" showInputMessage="1" showErrorMessage="1" sqref="C273:C372" xr:uid="{00000000-0002-0000-0E00-000000000000}">
      <formula1>QNumericZ100</formula1>
    </dataValidation>
    <dataValidation type="list" allowBlank="1" showInputMessage="1" showErrorMessage="1" sqref="G170:G269" xr:uid="{00000000-0002-0000-0E00-000001000000}">
      <formula1>RegDesks</formula1>
    </dataValidation>
    <dataValidation type="list" allowBlank="1" showInputMessage="1" showErrorMessage="1" sqref="I170:I269" xr:uid="{00000000-0002-0000-0E00-000002000000}">
      <formula1>YesNo</formula1>
    </dataValidation>
    <dataValidation type="list" allowBlank="1" showInputMessage="1" showErrorMessage="1" sqref="J170:J2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25"/>
  <cols>
    <col min="1" max="1" width="1.7109375" style="510" customWidth="1"/>
    <col min="2" max="2" width="10.7109375" style="155" customWidth="1"/>
    <col min="3" max="4" width="12.7109375" style="155" customWidth="1"/>
    <col min="5" max="5" width="36.7109375" style="155" customWidth="1"/>
    <col min="6" max="12" width="28.7109375" style="155" customWidth="1"/>
    <col min="13" max="15" width="28.85546875" style="155" customWidth="1"/>
    <col min="16" max="16" width="1.7109375" style="155" customWidth="1"/>
    <col min="17" max="16384" width="19.42578125" hidden="1"/>
  </cols>
  <sheetData>
    <row r="1" spans="1:16" ht="30" customHeight="1" x14ac:dyDescent="0.55000000000000004">
      <c r="A1" s="1238" t="s">
        <v>1397</v>
      </c>
      <c r="B1" s="1436"/>
      <c r="C1" s="1436"/>
      <c r="D1" s="1436"/>
      <c r="E1" s="1436"/>
      <c r="F1" s="1436"/>
      <c r="G1" s="1062" t="str">
        <f>CONCATENATE("Reporting unit: ", 'General Info'!$C$7, " ", 'General Info'!$C$5)</f>
        <v xml:space="preserve">Reporting unit: 1 </v>
      </c>
      <c r="H1" s="1436"/>
      <c r="I1" s="1436"/>
      <c r="J1" s="1436"/>
      <c r="K1" s="1436"/>
      <c r="L1" s="1436"/>
      <c r="M1" s="1436"/>
      <c r="N1" s="1436"/>
      <c r="O1" s="1436"/>
      <c r="P1" s="2005"/>
    </row>
    <row r="2" spans="1:16" ht="45" customHeight="1" x14ac:dyDescent="0.25">
      <c r="A2" s="2314" t="s">
        <v>1458</v>
      </c>
      <c r="B2" s="1258"/>
      <c r="C2" s="1505"/>
      <c r="D2" s="1505"/>
      <c r="E2" s="1505"/>
      <c r="F2" s="1505"/>
      <c r="G2" s="1505"/>
      <c r="H2" s="1505"/>
      <c r="I2" s="1505"/>
      <c r="J2" s="1505"/>
      <c r="K2" s="1505"/>
      <c r="L2" s="1252"/>
      <c r="M2" s="1252"/>
      <c r="N2" s="258"/>
      <c r="O2" s="258"/>
      <c r="P2" s="1739"/>
    </row>
    <row r="3" spans="1:16" ht="45" customHeight="1" x14ac:dyDescent="0.25">
      <c r="A3" s="392"/>
      <c r="B3" s="2840" t="s">
        <v>1401</v>
      </c>
      <c r="C3" s="2840"/>
      <c r="D3" s="2840"/>
      <c r="E3" s="2850"/>
      <c r="F3" s="1823" t="s">
        <v>1198</v>
      </c>
      <c r="G3" s="1823" t="s">
        <v>1199</v>
      </c>
      <c r="H3" s="1823" t="s">
        <v>1200</v>
      </c>
      <c r="I3" s="1824" t="s">
        <v>1402</v>
      </c>
      <c r="J3" s="1824" t="s">
        <v>1457</v>
      </c>
      <c r="K3" s="1824" t="s">
        <v>1480</v>
      </c>
      <c r="L3" s="3058" t="s">
        <v>1456</v>
      </c>
      <c r="M3" s="3059"/>
      <c r="N3" s="3059"/>
      <c r="O3" s="258"/>
      <c r="P3" s="791"/>
    </row>
    <row r="4" spans="1:16" ht="15" customHeight="1" x14ac:dyDescent="0.25">
      <c r="A4" s="392"/>
      <c r="B4" s="272" t="str">
        <f>A19</f>
        <v>A. General interest rate risk</v>
      </c>
      <c r="C4" s="272"/>
      <c r="D4" s="272"/>
      <c r="E4" s="1821"/>
      <c r="F4" s="1822" t="str">
        <f>IF(AND(ISNUMBER(F73), ISNUMBER(F77), ISNUMBER(F81)), SUM(F73,F77,F81), "")</f>
        <v/>
      </c>
      <c r="G4" s="1822" t="str">
        <f>IF(AND(ISNUMBER(F74), ISNUMBER(F78), ISNUMBER(F82)), SUM(F74,F78,F82), "")</f>
        <v/>
      </c>
      <c r="H4" s="1822" t="str">
        <f>IF(AND(ISNUMBER(F75), ISNUMBER(F79), ISNUMBER(F83)), SUM(F75,F79,F83), "")</f>
        <v/>
      </c>
      <c r="I4" s="3063" t="str">
        <f>IF(MAX(SUM(F4:F10), SUM(G4:G10), SUM(H4:H10))=SUM(F4:F10), "Medium", IF(MAX(SUM(F4:F10), SUM(G4:G10), SUM(H4:H10))=SUM(G4:G10), "High", IF(MAX(SUM(F4:F10), SUM(G4:G10), SUM(H4:H10))=SUM(H4:H10), "Low", "")))</f>
        <v>Medium</v>
      </c>
      <c r="J4" s="1825" t="str">
        <f>IF(ISNUMBER(F71), F71, "")</f>
        <v/>
      </c>
      <c r="K4" s="805">
        <f>TB!G63+TB!G69+TB!G75</f>
        <v>0</v>
      </c>
      <c r="L4" s="2600" t="str">
        <f>IF(OR(J4="", K4=""), "", IF(AND('General Info'!$D$48="Yes", 'General Info'!$D$49="No"), IF(ABS((J4/K4)-1)&lt;0.001, "Pass", IF(ABS((J4/K4)-1)&lt;0.05, "GIRR SbM discrepancy between TB and TBRC ≥ 0.1%", "Critical: GIRR SbM discrepancy between TB and TBRC ≥ 5%")), IF(K4&gt;=J4, "GIRR SbM for global portfolio &gt; SbM for SA portfolio", "Pass")))</f>
        <v/>
      </c>
      <c r="M4" s="2601"/>
      <c r="N4" s="2601"/>
      <c r="O4" s="258"/>
      <c r="P4" s="791"/>
    </row>
    <row r="5" spans="1:16" ht="15" customHeight="1" x14ac:dyDescent="0.25">
      <c r="A5" s="392"/>
      <c r="B5" s="363" t="str">
        <f>A85</f>
        <v>B. Credit spread risk: non-securitisations</v>
      </c>
      <c r="C5" s="363"/>
      <c r="D5" s="363"/>
      <c r="E5" s="1817"/>
      <c r="F5" s="1818" t="str">
        <f>IF(AND(ISNUMBER(F110), ISNUMBER(F114), ISNUMBER(F118)), SUM(F110,F114,F118), "")</f>
        <v/>
      </c>
      <c r="G5" s="1818" t="str">
        <f>IF(AND(ISNUMBER(F111), ISNUMBER(F115), ISNUMBER(F119)), SUM(F111,F115,F119), "")</f>
        <v/>
      </c>
      <c r="H5" s="1818" t="str">
        <f>IF(AND(ISNUMBER(F112), ISNUMBER(F116), ISNUMBER(F120)), SUM(F112,F116,F120), "")</f>
        <v/>
      </c>
      <c r="I5" s="3064"/>
      <c r="J5" s="1826" t="str">
        <f>IF(ISNUMBER(F108), F108, "")</f>
        <v/>
      </c>
      <c r="K5" s="3057">
        <f>TB!G64+TB!G70+TB!G76</f>
        <v>0</v>
      </c>
      <c r="L5" s="2588"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589"/>
      <c r="N5" s="2589"/>
      <c r="O5" s="258"/>
      <c r="P5" s="791"/>
    </row>
    <row r="6" spans="1:16" ht="15" customHeight="1" x14ac:dyDescent="0.25">
      <c r="A6" s="392"/>
      <c r="B6" s="363" t="str">
        <f>A122</f>
        <v>C. Credit spread risk: securitisations (non-CTP)</v>
      </c>
      <c r="C6" s="363"/>
      <c r="D6" s="363"/>
      <c r="E6" s="1817"/>
      <c r="F6" s="1818" t="str">
        <f>IF(AND(ISNUMBER(F154), ISNUMBER(F158), ISNUMBER(F162)), SUM(F154,F158,F162), "")</f>
        <v/>
      </c>
      <c r="G6" s="1818" t="str">
        <f>IF(AND(ISNUMBER(F155), ISNUMBER(F159), ISNUMBER(F163)), SUM(F155,F159,F163), "")</f>
        <v/>
      </c>
      <c r="H6" s="1818" t="str">
        <f>IF(AND(ISNUMBER(F156), ISNUMBER(F160), ISNUMBER(F164)), SUM(F156,F160,F164), "")</f>
        <v/>
      </c>
      <c r="I6" s="3064"/>
      <c r="J6" s="1826" t="str">
        <f>IF(ISNUMBER(F152), F152, "")</f>
        <v/>
      </c>
      <c r="K6" s="3057"/>
      <c r="L6" s="2588"/>
      <c r="M6" s="2589"/>
      <c r="N6" s="2589"/>
      <c r="O6" s="258"/>
      <c r="P6" s="791"/>
    </row>
    <row r="7" spans="1:16" ht="15" customHeight="1" x14ac:dyDescent="0.25">
      <c r="A7" s="392"/>
      <c r="B7" s="363" t="str">
        <f>A166</f>
        <v>D. Credit spread risk: securitisations (CTP)</v>
      </c>
      <c r="C7" s="363"/>
      <c r="D7" s="363"/>
      <c r="E7" s="1817"/>
      <c r="F7" s="1818" t="str">
        <f>IF($F$169="No", 0, IF(AND(ISNUMBER(F193), ISNUMBER(F197), ISNUMBER(F201)), SUM(F193,F197,F201), ""))</f>
        <v/>
      </c>
      <c r="G7" s="1818" t="str">
        <f>IF($F$169="No", 0, IF(AND(ISNUMBER(F194), ISNUMBER(F198), ISNUMBER(F202)), SUM(F194,F198,F202), ""))</f>
        <v/>
      </c>
      <c r="H7" s="1818" t="str">
        <f>IF($F$169="No", 0, IF(AND(ISNUMBER(F195), ISNUMBER(F199), ISNUMBER(F203)), SUM(F195,F199,F203), ""))</f>
        <v/>
      </c>
      <c r="I7" s="3064"/>
      <c r="J7" s="1826" t="str">
        <f>IF(ISNUMBER(F191), F191, "")</f>
        <v/>
      </c>
      <c r="K7" s="3057"/>
      <c r="L7" s="2588"/>
      <c r="M7" s="2589"/>
      <c r="N7" s="2589"/>
      <c r="O7" s="258"/>
      <c r="P7" s="791"/>
    </row>
    <row r="8" spans="1:16" ht="15" customHeight="1" x14ac:dyDescent="0.25">
      <c r="A8" s="392"/>
      <c r="B8" s="363" t="str">
        <f>A205</f>
        <v>E. Equity risk</v>
      </c>
      <c r="C8" s="363"/>
      <c r="D8" s="363"/>
      <c r="E8" s="1817"/>
      <c r="F8" s="1818" t="str">
        <f>IF(AND(ISNUMBER(F226), ISNUMBER(F230), ISNUMBER(F234)), SUM(F226,F230,F234), "")</f>
        <v/>
      </c>
      <c r="G8" s="1818" t="str">
        <f>IF(AND(ISNUMBER(F227), ISNUMBER(F231), ISNUMBER(F235)), SUM(F227,F231,F235), "")</f>
        <v/>
      </c>
      <c r="H8" s="1818" t="str">
        <f>IF(AND(ISNUMBER(F228), ISNUMBER(F232), ISNUMBER(F236)), SUM(F228,F232,F236), "")</f>
        <v/>
      </c>
      <c r="I8" s="3064"/>
      <c r="J8" s="1826" t="str">
        <f>IF(ISNUMBER(F224), F224, "")</f>
        <v/>
      </c>
      <c r="K8" s="269">
        <f>TB!G65+TB!G71+TB!G77</f>
        <v>0</v>
      </c>
      <c r="L8" s="2588"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589"/>
      <c r="N8" s="2589"/>
      <c r="O8" s="258"/>
      <c r="P8" s="791"/>
    </row>
    <row r="9" spans="1:16" ht="15" customHeight="1" x14ac:dyDescent="0.25">
      <c r="A9" s="392"/>
      <c r="B9" s="363" t="str">
        <f>A238</f>
        <v>F. Commodity risk</v>
      </c>
      <c r="C9" s="363"/>
      <c r="D9" s="363"/>
      <c r="E9" s="1817"/>
      <c r="F9" s="1818" t="str">
        <f>IF(AND(ISNUMBER(F256), ISNUMBER(F260), ISNUMBER(F264)), SUM(F256,F260,F264), "")</f>
        <v/>
      </c>
      <c r="G9" s="1818" t="str">
        <f>IF(AND(ISNUMBER(F257), ISNUMBER(F261), ISNUMBER(F265)), SUM(F257,F261,F265), "")</f>
        <v/>
      </c>
      <c r="H9" s="1818" t="str">
        <f>IF(AND(ISNUMBER(F258), ISNUMBER(F262), ISNUMBER(F266)), SUM(F258,F262,F266), "")</f>
        <v/>
      </c>
      <c r="I9" s="3064"/>
      <c r="J9" s="1826" t="str">
        <f>IF(ISNUMBER(F254), F254, "")</f>
        <v/>
      </c>
      <c r="K9" s="269">
        <f>TB!G66+TB!G72+TB!G78</f>
        <v>0</v>
      </c>
      <c r="L9" s="2588"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589"/>
      <c r="N9" s="2589"/>
      <c r="O9" s="258"/>
      <c r="P9" s="791"/>
    </row>
    <row r="10" spans="1:16" ht="15" customHeight="1" x14ac:dyDescent="0.25">
      <c r="A10" s="392"/>
      <c r="B10" s="268" t="str">
        <f>A268</f>
        <v>G. Foreign exchange risk</v>
      </c>
      <c r="C10" s="268"/>
      <c r="D10" s="268"/>
      <c r="E10" s="1819"/>
      <c r="F10" s="1820" t="str">
        <f>IF(AND(ISNUMBER(F351), ISNUMBER(F355), ISNUMBER(F359)), SUM(F351,F355,F359), "")</f>
        <v/>
      </c>
      <c r="G10" s="1820" t="str">
        <f>IF(AND(ISNUMBER(F352), ISNUMBER(F356), ISNUMBER(F360)), SUM(F352,F356,F360), "")</f>
        <v/>
      </c>
      <c r="H10" s="1820" t="str">
        <f>IF(AND(ISNUMBER(F353), ISNUMBER(F357), ISNUMBER(F361)), SUM(F353,F357,F361), "")</f>
        <v/>
      </c>
      <c r="I10" s="3065"/>
      <c r="J10" s="1827" t="str">
        <f>IF(ISNUMBER(F349), F349, "")</f>
        <v/>
      </c>
      <c r="K10" s="1931">
        <f>TB!G67+TB!G73+TB!G79</f>
        <v>0</v>
      </c>
      <c r="L10" s="2590"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591"/>
      <c r="N10" s="2591"/>
      <c r="O10" s="258"/>
      <c r="P10" s="791"/>
    </row>
    <row r="11" spans="1:16" ht="15" customHeight="1" x14ac:dyDescent="0.25">
      <c r="A11" s="392"/>
      <c r="B11" s="510"/>
      <c r="C11" s="510"/>
      <c r="D11" s="510"/>
      <c r="E11" s="510"/>
      <c r="F11" s="510"/>
      <c r="G11" s="510"/>
      <c r="H11" s="510"/>
      <c r="I11" s="510"/>
      <c r="J11" s="510"/>
      <c r="K11" s="510"/>
      <c r="L11" s="516"/>
      <c r="M11" s="258"/>
      <c r="N11" s="258"/>
      <c r="O11" s="258"/>
      <c r="P11" s="791"/>
    </row>
    <row r="12" spans="1:16" ht="15" customHeight="1" x14ac:dyDescent="0.25">
      <c r="A12" s="392"/>
      <c r="B12" s="703" t="str">
        <f>TB!B11</f>
        <v>Revised market risk capital requirement (assuming SA for the global portfolio)</v>
      </c>
      <c r="C12" s="703"/>
      <c r="D12" s="703"/>
      <c r="E12" s="703"/>
      <c r="F12" s="815" t="str">
        <f>IF(ISNUMBER(TB!G11), TB!G11, "")</f>
        <v/>
      </c>
      <c r="G12" s="870"/>
      <c r="H12" s="870"/>
      <c r="I12" s="870"/>
      <c r="J12" s="870"/>
      <c r="K12" s="510"/>
      <c r="L12" s="516"/>
      <c r="M12" s="258"/>
      <c r="N12" s="258"/>
      <c r="O12" s="258"/>
      <c r="P12" s="791"/>
    </row>
    <row r="13" spans="1:16" ht="15" customHeight="1" x14ac:dyDescent="0.25">
      <c r="A13" s="392"/>
      <c r="B13" s="363" t="s">
        <v>1478</v>
      </c>
      <c r="C13" s="363"/>
      <c r="D13" s="363"/>
      <c r="E13" s="363"/>
      <c r="F13" s="203"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777"/>
      <c r="H13" s="777"/>
      <c r="I13" s="777"/>
      <c r="J13" s="777"/>
      <c r="K13" s="510"/>
      <c r="L13" s="516"/>
      <c r="M13" s="258"/>
      <c r="N13" s="258"/>
      <c r="O13" s="258"/>
      <c r="P13" s="791"/>
    </row>
    <row r="14" spans="1:16" ht="15" customHeight="1" x14ac:dyDescent="0.25">
      <c r="A14" s="392"/>
      <c r="B14" s="1932" t="s">
        <v>1479</v>
      </c>
      <c r="C14" s="268"/>
      <c r="D14" s="268"/>
      <c r="E14" s="268"/>
      <c r="F14" s="2590"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591"/>
      <c r="H14" s="2591"/>
      <c r="I14" s="2591"/>
      <c r="J14" s="2591"/>
      <c r="K14" s="510"/>
      <c r="L14" s="516"/>
      <c r="M14" s="258"/>
      <c r="N14" s="258"/>
      <c r="O14" s="258"/>
      <c r="P14" s="791"/>
    </row>
    <row r="15" spans="1:16" ht="15" customHeight="1" x14ac:dyDescent="0.25">
      <c r="A15" s="392"/>
      <c r="B15" s="510"/>
      <c r="C15" s="510"/>
      <c r="D15" s="510"/>
      <c r="E15" s="510"/>
      <c r="F15" s="510"/>
      <c r="G15" s="510"/>
      <c r="H15" s="510"/>
      <c r="I15" s="510"/>
      <c r="J15" s="510"/>
      <c r="K15" s="510"/>
      <c r="L15" s="516"/>
      <c r="M15" s="258"/>
      <c r="N15" s="258"/>
      <c r="O15" s="258"/>
      <c r="P15" s="791"/>
    </row>
    <row r="16" spans="1:16" ht="15" customHeight="1" x14ac:dyDescent="0.25">
      <c r="A16" s="392"/>
      <c r="B16" s="855" t="s">
        <v>1201</v>
      </c>
      <c r="C16" s="855"/>
      <c r="D16" s="3062" t="s">
        <v>1365</v>
      </c>
      <c r="E16" s="3062"/>
      <c r="F16" s="3062"/>
      <c r="G16" s="3062"/>
      <c r="H16" s="3062"/>
      <c r="I16" s="3062"/>
      <c r="J16" s="3062"/>
      <c r="L16" s="516"/>
      <c r="P16" s="833"/>
    </row>
    <row r="17" spans="1:16" ht="15" customHeight="1" x14ac:dyDescent="0.25">
      <c r="A17" s="392"/>
      <c r="B17" s="2362" t="s">
        <v>632</v>
      </c>
      <c r="C17" s="2362"/>
      <c r="D17" s="3052" t="s">
        <v>2049</v>
      </c>
      <c r="E17" s="3052"/>
      <c r="F17" s="3052"/>
      <c r="G17" s="3052"/>
      <c r="H17" s="3052"/>
      <c r="I17" s="3052"/>
      <c r="J17" s="3052"/>
      <c r="L17" s="516"/>
      <c r="P17" s="833"/>
    </row>
    <row r="18" spans="1:16" ht="15" customHeight="1" x14ac:dyDescent="0.25">
      <c r="A18" s="392"/>
      <c r="B18" s="516"/>
      <c r="C18" s="510"/>
      <c r="D18" s="510"/>
      <c r="E18" s="510"/>
      <c r="F18" s="510"/>
      <c r="G18" s="510"/>
      <c r="H18" s="510"/>
      <c r="I18" s="510"/>
      <c r="J18" s="510"/>
      <c r="K18" s="510"/>
      <c r="L18" s="510"/>
      <c r="M18" s="258"/>
      <c r="N18" s="258"/>
      <c r="O18" s="258"/>
      <c r="P18" s="791"/>
    </row>
    <row r="19" spans="1:16" ht="45" customHeight="1" x14ac:dyDescent="0.25">
      <c r="A19" s="2314" t="s">
        <v>2207</v>
      </c>
      <c r="B19" s="1258"/>
      <c r="C19" s="1505"/>
      <c r="D19" s="1505"/>
      <c r="E19" s="1505"/>
      <c r="F19" s="1505"/>
      <c r="G19" s="1505"/>
      <c r="H19" s="1505"/>
      <c r="I19" s="1505"/>
      <c r="J19" s="1505"/>
      <c r="K19" s="1505"/>
      <c r="L19" s="1252"/>
      <c r="M19" s="1252"/>
      <c r="N19" s="1252"/>
      <c r="O19" s="1252"/>
      <c r="P19" s="1739"/>
    </row>
    <row r="20" spans="1:16" ht="60" customHeight="1" x14ac:dyDescent="0.25">
      <c r="A20" s="392"/>
      <c r="B20" s="1265" t="s">
        <v>1202</v>
      </c>
      <c r="C20" s="1265"/>
      <c r="D20" s="3043"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043"/>
      <c r="F20" s="3043"/>
      <c r="G20" s="3043"/>
      <c r="H20" s="3043"/>
      <c r="I20" s="3043"/>
      <c r="M20" s="258"/>
      <c r="N20" s="258"/>
      <c r="O20" s="258"/>
      <c r="P20" s="791"/>
    </row>
    <row r="21" spans="1:16" ht="15" customHeight="1" x14ac:dyDescent="0.25">
      <c r="A21" s="392"/>
      <c r="B21" s="1084" t="s">
        <v>1203</v>
      </c>
      <c r="C21" s="1265"/>
      <c r="D21" s="1265"/>
      <c r="E21" s="1265"/>
      <c r="F21" s="1738"/>
      <c r="M21" s="258"/>
      <c r="N21" s="258"/>
      <c r="O21" s="258"/>
      <c r="P21" s="791"/>
    </row>
    <row r="22" spans="1:16" ht="15" customHeight="1" x14ac:dyDescent="0.25">
      <c r="A22" s="392"/>
      <c r="B22" s="510"/>
      <c r="C22" s="510"/>
      <c r="D22" s="510"/>
      <c r="E22" s="510"/>
      <c r="F22" s="510"/>
      <c r="G22" s="510"/>
      <c r="H22" s="510"/>
      <c r="I22" s="510"/>
      <c r="J22" s="510"/>
      <c r="K22" s="510"/>
      <c r="L22" s="510"/>
      <c r="M22" s="477"/>
      <c r="N22" s="477"/>
      <c r="O22" s="575"/>
      <c r="P22" s="791"/>
    </row>
    <row r="23" spans="1:16" ht="30" customHeight="1" x14ac:dyDescent="0.25">
      <c r="A23" s="1625"/>
      <c r="B23" s="3001" t="s">
        <v>1204</v>
      </c>
      <c r="C23" s="3001"/>
      <c r="D23" s="3001"/>
      <c r="E23" s="3001"/>
      <c r="F23" s="3047" t="s">
        <v>1366</v>
      </c>
      <c r="G23" s="3047"/>
      <c r="H23" s="3047"/>
      <c r="I23" s="3046" t="s">
        <v>1367</v>
      </c>
      <c r="J23" s="3047"/>
      <c r="K23" s="3048"/>
      <c r="L23" s="2994" t="s">
        <v>1368</v>
      </c>
      <c r="M23" s="2966"/>
      <c r="N23" s="2966"/>
      <c r="O23" s="575"/>
      <c r="P23" s="791"/>
    </row>
    <row r="24" spans="1:16" ht="30" customHeight="1" x14ac:dyDescent="0.25">
      <c r="A24" s="1627"/>
      <c r="B24" s="3002"/>
      <c r="C24" s="3002"/>
      <c r="D24" s="3002"/>
      <c r="E24" s="3002"/>
      <c r="F24" s="1575" t="s">
        <v>1208</v>
      </c>
      <c r="G24" s="1576" t="s">
        <v>1209</v>
      </c>
      <c r="H24" s="1589" t="s">
        <v>1210</v>
      </c>
      <c r="I24" s="1704" t="s">
        <v>1208</v>
      </c>
      <c r="J24" s="1576" t="s">
        <v>1209</v>
      </c>
      <c r="K24" s="1707" t="s">
        <v>1210</v>
      </c>
      <c r="L24" s="1704" t="s">
        <v>1208</v>
      </c>
      <c r="M24" s="1576" t="s">
        <v>1209</v>
      </c>
      <c r="N24" s="1832" t="s">
        <v>1210</v>
      </c>
      <c r="O24" s="575"/>
      <c r="P24" s="791"/>
    </row>
    <row r="25" spans="1:16" ht="15" customHeight="1" x14ac:dyDescent="0.25">
      <c r="A25" s="397"/>
      <c r="B25" s="855" t="s">
        <v>1211</v>
      </c>
      <c r="C25" s="855"/>
      <c r="D25" s="855"/>
      <c r="E25" s="855"/>
      <c r="F25" s="1622"/>
      <c r="G25" s="414"/>
      <c r="H25" s="413"/>
      <c r="I25" s="1635"/>
      <c r="J25" s="414"/>
      <c r="K25" s="1634"/>
      <c r="L25" s="1635"/>
      <c r="M25" s="414"/>
      <c r="N25" s="413"/>
      <c r="O25" s="575"/>
      <c r="P25" s="791"/>
    </row>
    <row r="26" spans="1:16" ht="15" customHeight="1" x14ac:dyDescent="0.25">
      <c r="A26" s="397"/>
      <c r="B26" s="323" t="s">
        <v>1212</v>
      </c>
      <c r="C26" s="323"/>
      <c r="D26" s="323"/>
      <c r="E26" s="323"/>
      <c r="F26" s="1622"/>
      <c r="G26" s="414"/>
      <c r="H26" s="413"/>
      <c r="I26" s="1635"/>
      <c r="J26" s="414"/>
      <c r="K26" s="1634"/>
      <c r="L26" s="1635"/>
      <c r="M26" s="414"/>
      <c r="N26" s="413"/>
      <c r="O26" s="575"/>
      <c r="P26" s="791"/>
    </row>
    <row r="27" spans="1:16" ht="15" customHeight="1" x14ac:dyDescent="0.25">
      <c r="A27" s="397"/>
      <c r="B27" s="323" t="s">
        <v>1213</v>
      </c>
      <c r="C27" s="323"/>
      <c r="D27" s="323"/>
      <c r="E27" s="323"/>
      <c r="F27" s="1622"/>
      <c r="G27" s="414"/>
      <c r="H27" s="413"/>
      <c r="I27" s="1635"/>
      <c r="J27" s="414"/>
      <c r="K27" s="1634"/>
      <c r="L27" s="1635"/>
      <c r="M27" s="414"/>
      <c r="N27" s="413"/>
      <c r="O27" s="575"/>
      <c r="P27" s="791"/>
    </row>
    <row r="28" spans="1:16" ht="15" customHeight="1" x14ac:dyDescent="0.25">
      <c r="A28" s="397"/>
      <c r="B28" s="323" t="s">
        <v>1214</v>
      </c>
      <c r="C28" s="323"/>
      <c r="D28" s="323"/>
      <c r="E28" s="323"/>
      <c r="F28" s="1622"/>
      <c r="G28" s="414"/>
      <c r="H28" s="413"/>
      <c r="I28" s="1635"/>
      <c r="J28" s="414"/>
      <c r="K28" s="1634"/>
      <c r="L28" s="1635"/>
      <c r="M28" s="414"/>
      <c r="N28" s="413"/>
      <c r="O28" s="575"/>
      <c r="P28" s="791"/>
    </row>
    <row r="29" spans="1:16" ht="15" customHeight="1" x14ac:dyDescent="0.25">
      <c r="A29" s="397"/>
      <c r="B29" s="323" t="s">
        <v>1215</v>
      </c>
      <c r="C29" s="323"/>
      <c r="D29" s="323"/>
      <c r="E29" s="323"/>
      <c r="F29" s="1622"/>
      <c r="G29" s="414"/>
      <c r="H29" s="413"/>
      <c r="I29" s="1635"/>
      <c r="J29" s="414"/>
      <c r="K29" s="1634"/>
      <c r="L29" s="1635"/>
      <c r="M29" s="414"/>
      <c r="N29" s="413"/>
      <c r="O29" s="575"/>
      <c r="P29" s="791"/>
    </row>
    <row r="30" spans="1:16" ht="15" customHeight="1" x14ac:dyDescent="0.25">
      <c r="A30" s="397"/>
      <c r="B30" s="323" t="s">
        <v>1216</v>
      </c>
      <c r="C30" s="323"/>
      <c r="D30" s="323"/>
      <c r="E30" s="323"/>
      <c r="F30" s="1622"/>
      <c r="G30" s="414"/>
      <c r="H30" s="413"/>
      <c r="I30" s="1635"/>
      <c r="J30" s="414"/>
      <c r="K30" s="1634"/>
      <c r="L30" s="1635"/>
      <c r="M30" s="414"/>
      <c r="N30" s="413"/>
      <c r="O30" s="575"/>
      <c r="P30" s="791"/>
    </row>
    <row r="31" spans="1:16" ht="15" customHeight="1" x14ac:dyDescent="0.25">
      <c r="A31" s="397"/>
      <c r="B31" s="323" t="s">
        <v>1217</v>
      </c>
      <c r="C31" s="323"/>
      <c r="D31" s="323"/>
      <c r="E31" s="323"/>
      <c r="F31" s="1622"/>
      <c r="G31" s="414"/>
      <c r="H31" s="413"/>
      <c r="I31" s="1635"/>
      <c r="J31" s="414"/>
      <c r="K31" s="1634"/>
      <c r="L31" s="1635"/>
      <c r="M31" s="414"/>
      <c r="N31" s="413"/>
      <c r="O31" s="575"/>
      <c r="P31" s="791"/>
    </row>
    <row r="32" spans="1:16" ht="15" customHeight="1" x14ac:dyDescent="0.25">
      <c r="A32" s="397"/>
      <c r="B32" s="323" t="s">
        <v>1218</v>
      </c>
      <c r="C32" s="323"/>
      <c r="D32" s="323"/>
      <c r="E32" s="323"/>
      <c r="F32" s="1622"/>
      <c r="G32" s="414"/>
      <c r="H32" s="413"/>
      <c r="I32" s="1635"/>
      <c r="J32" s="414"/>
      <c r="K32" s="1634"/>
      <c r="L32" s="1635"/>
      <c r="M32" s="414"/>
      <c r="N32" s="413"/>
      <c r="O32" s="575"/>
      <c r="P32" s="791"/>
    </row>
    <row r="33" spans="1:16" ht="15" customHeight="1" x14ac:dyDescent="0.25">
      <c r="A33" s="397"/>
      <c r="B33" s="323" t="s">
        <v>1219</v>
      </c>
      <c r="C33" s="323"/>
      <c r="D33" s="323"/>
      <c r="E33" s="323"/>
      <c r="F33" s="1622"/>
      <c r="G33" s="414"/>
      <c r="H33" s="413"/>
      <c r="I33" s="1635"/>
      <c r="J33" s="414"/>
      <c r="K33" s="1634"/>
      <c r="L33" s="1635"/>
      <c r="M33" s="414"/>
      <c r="N33" s="413"/>
      <c r="O33" s="575"/>
      <c r="P33" s="791"/>
    </row>
    <row r="34" spans="1:16" ht="15" customHeight="1" x14ac:dyDescent="0.25">
      <c r="A34" s="397"/>
      <c r="B34" s="323" t="s">
        <v>1220</v>
      </c>
      <c r="C34" s="323"/>
      <c r="D34" s="323"/>
      <c r="E34" s="323"/>
      <c r="F34" s="1622"/>
      <c r="G34" s="414"/>
      <c r="H34" s="413"/>
      <c r="I34" s="1635"/>
      <c r="J34" s="414"/>
      <c r="K34" s="1634"/>
      <c r="L34" s="1635"/>
      <c r="M34" s="414"/>
      <c r="N34" s="413"/>
      <c r="O34" s="575"/>
      <c r="P34" s="791"/>
    </row>
    <row r="35" spans="1:16" ht="15" customHeight="1" x14ac:dyDescent="0.25">
      <c r="A35" s="397"/>
      <c r="B35" s="323" t="s">
        <v>1221</v>
      </c>
      <c r="C35" s="323"/>
      <c r="D35" s="323"/>
      <c r="E35" s="323"/>
      <c r="F35" s="1622"/>
      <c r="G35" s="414"/>
      <c r="H35" s="413"/>
      <c r="I35" s="1635"/>
      <c r="J35" s="414"/>
      <c r="K35" s="1634"/>
      <c r="L35" s="1635"/>
      <c r="M35" s="414"/>
      <c r="N35" s="413"/>
      <c r="O35" s="575"/>
      <c r="P35" s="791"/>
    </row>
    <row r="36" spans="1:16" ht="15" customHeight="1" x14ac:dyDescent="0.25">
      <c r="A36" s="397"/>
      <c r="B36" s="323" t="s">
        <v>1222</v>
      </c>
      <c r="C36" s="323"/>
      <c r="D36" s="323"/>
      <c r="E36" s="323"/>
      <c r="F36" s="1622"/>
      <c r="G36" s="414"/>
      <c r="H36" s="413"/>
      <c r="I36" s="1635"/>
      <c r="J36" s="414"/>
      <c r="K36" s="1634"/>
      <c r="L36" s="1635"/>
      <c r="M36" s="414"/>
      <c r="N36" s="413"/>
      <c r="O36" s="575"/>
      <c r="P36" s="791"/>
    </row>
    <row r="37" spans="1:16" ht="15" customHeight="1" x14ac:dyDescent="0.25">
      <c r="A37" s="397"/>
      <c r="B37" s="323" t="s">
        <v>1223</v>
      </c>
      <c r="C37" s="323"/>
      <c r="D37" s="323"/>
      <c r="E37" s="323"/>
      <c r="F37" s="1622"/>
      <c r="G37" s="414"/>
      <c r="H37" s="413"/>
      <c r="I37" s="1635"/>
      <c r="J37" s="414"/>
      <c r="K37" s="1634"/>
      <c r="L37" s="1635"/>
      <c r="M37" s="414"/>
      <c r="N37" s="413"/>
      <c r="O37" s="575"/>
      <c r="P37" s="791"/>
    </row>
    <row r="38" spans="1:16" ht="15" customHeight="1" x14ac:dyDescent="0.25">
      <c r="A38" s="397"/>
      <c r="B38" s="323" t="s">
        <v>1224</v>
      </c>
      <c r="C38" s="323"/>
      <c r="D38" s="323"/>
      <c r="E38" s="323"/>
      <c r="F38" s="1622"/>
      <c r="G38" s="414"/>
      <c r="H38" s="413"/>
      <c r="I38" s="1635"/>
      <c r="J38" s="414"/>
      <c r="K38" s="1634"/>
      <c r="L38" s="1635"/>
      <c r="M38" s="414"/>
      <c r="N38" s="413"/>
      <c r="O38" s="575"/>
      <c r="P38" s="791"/>
    </row>
    <row r="39" spans="1:16" ht="15" customHeight="1" x14ac:dyDescent="0.25">
      <c r="A39" s="397"/>
      <c r="B39" s="323" t="s">
        <v>1225</v>
      </c>
      <c r="C39" s="323"/>
      <c r="D39" s="323"/>
      <c r="E39" s="323"/>
      <c r="F39" s="1622"/>
      <c r="G39" s="414"/>
      <c r="H39" s="413"/>
      <c r="I39" s="1635"/>
      <c r="J39" s="414"/>
      <c r="K39" s="1634"/>
      <c r="L39" s="1635"/>
      <c r="M39" s="414"/>
      <c r="N39" s="413"/>
      <c r="O39" s="575"/>
      <c r="P39" s="791"/>
    </row>
    <row r="40" spans="1:16" ht="15" customHeight="1" x14ac:dyDescent="0.25">
      <c r="A40" s="397"/>
      <c r="B40" s="323" t="s">
        <v>1226</v>
      </c>
      <c r="C40" s="323"/>
      <c r="D40" s="323"/>
      <c r="E40" s="323"/>
      <c r="F40" s="1622"/>
      <c r="G40" s="414"/>
      <c r="H40" s="413"/>
      <c r="I40" s="1635"/>
      <c r="J40" s="414"/>
      <c r="K40" s="1634"/>
      <c r="L40" s="1635"/>
      <c r="M40" s="414"/>
      <c r="N40" s="413"/>
      <c r="O40" s="575"/>
      <c r="P40" s="791"/>
    </row>
    <row r="41" spans="1:16" ht="15" customHeight="1" x14ac:dyDescent="0.25">
      <c r="A41" s="397"/>
      <c r="B41" s="323" t="s">
        <v>1227</v>
      </c>
      <c r="C41" s="323"/>
      <c r="D41" s="323"/>
      <c r="E41" s="323"/>
      <c r="F41" s="1622"/>
      <c r="G41" s="414"/>
      <c r="H41" s="413"/>
      <c r="I41" s="1635"/>
      <c r="J41" s="414"/>
      <c r="K41" s="1634"/>
      <c r="L41" s="1635"/>
      <c r="M41" s="414"/>
      <c r="N41" s="413"/>
      <c r="O41" s="575"/>
      <c r="P41" s="791"/>
    </row>
    <row r="42" spans="1:16" ht="15" customHeight="1" x14ac:dyDescent="0.25">
      <c r="A42" s="397"/>
      <c r="B42" s="323" t="s">
        <v>1228</v>
      </c>
      <c r="C42" s="323"/>
      <c r="D42" s="323"/>
      <c r="E42" s="323"/>
      <c r="F42" s="1622"/>
      <c r="G42" s="414"/>
      <c r="H42" s="413"/>
      <c r="I42" s="1635"/>
      <c r="J42" s="414"/>
      <c r="K42" s="1634"/>
      <c r="L42" s="1635"/>
      <c r="M42" s="414"/>
      <c r="N42" s="413"/>
      <c r="O42" s="575"/>
      <c r="P42" s="791"/>
    </row>
    <row r="43" spans="1:16" ht="15" customHeight="1" x14ac:dyDescent="0.25">
      <c r="A43" s="397"/>
      <c r="B43" s="323" t="s">
        <v>1229</v>
      </c>
      <c r="C43" s="323"/>
      <c r="D43" s="323"/>
      <c r="E43" s="323"/>
      <c r="F43" s="1622"/>
      <c r="G43" s="414"/>
      <c r="H43" s="413"/>
      <c r="I43" s="1635"/>
      <c r="J43" s="414"/>
      <c r="K43" s="1634"/>
      <c r="L43" s="1635"/>
      <c r="M43" s="414"/>
      <c r="N43" s="413"/>
      <c r="O43" s="575"/>
      <c r="P43" s="791"/>
    </row>
    <row r="44" spans="1:16" ht="15" customHeight="1" x14ac:dyDescent="0.25">
      <c r="A44" s="397"/>
      <c r="B44" s="323" t="s">
        <v>1230</v>
      </c>
      <c r="C44" s="323"/>
      <c r="D44" s="323"/>
      <c r="E44" s="323"/>
      <c r="F44" s="1622"/>
      <c r="G44" s="414"/>
      <c r="H44" s="413"/>
      <c r="I44" s="1635"/>
      <c r="J44" s="414"/>
      <c r="K44" s="1634"/>
      <c r="L44" s="1635"/>
      <c r="M44" s="414"/>
      <c r="N44" s="413"/>
      <c r="O44" s="575"/>
      <c r="P44" s="791"/>
    </row>
    <row r="45" spans="1:16" ht="15" customHeight="1" x14ac:dyDescent="0.25">
      <c r="A45" s="397"/>
      <c r="B45" s="222" t="s">
        <v>1231</v>
      </c>
      <c r="C45" s="323"/>
      <c r="D45" s="323"/>
      <c r="E45" s="323"/>
      <c r="F45" s="1622"/>
      <c r="G45" s="414"/>
      <c r="H45" s="413"/>
      <c r="I45" s="1635"/>
      <c r="J45" s="414"/>
      <c r="K45" s="1634"/>
      <c r="L45" s="1635"/>
      <c r="M45" s="414"/>
      <c r="N45" s="413"/>
      <c r="O45" s="575"/>
      <c r="P45" s="791"/>
    </row>
    <row r="46" spans="1:16" ht="15" customHeight="1" x14ac:dyDescent="0.25">
      <c r="A46" s="397"/>
      <c r="B46" s="222" t="s">
        <v>1232</v>
      </c>
      <c r="C46" s="323"/>
      <c r="D46" s="323"/>
      <c r="E46" s="323"/>
      <c r="F46" s="1622"/>
      <c r="G46" s="414"/>
      <c r="H46" s="413"/>
      <c r="I46" s="1635"/>
      <c r="J46" s="414"/>
      <c r="K46" s="1634"/>
      <c r="L46" s="1635"/>
      <c r="M46" s="414"/>
      <c r="N46" s="413"/>
      <c r="O46" s="575"/>
      <c r="P46" s="791"/>
    </row>
    <row r="47" spans="1:16" ht="15" customHeight="1" x14ac:dyDescent="0.25">
      <c r="A47" s="397"/>
      <c r="B47" s="222" t="s">
        <v>1233</v>
      </c>
      <c r="C47" s="323"/>
      <c r="D47" s="323"/>
      <c r="E47" s="323"/>
      <c r="F47" s="1622"/>
      <c r="G47" s="414"/>
      <c r="H47" s="413"/>
      <c r="I47" s="1635"/>
      <c r="J47" s="414"/>
      <c r="K47" s="1634"/>
      <c r="L47" s="1635"/>
      <c r="M47" s="414"/>
      <c r="N47" s="413"/>
      <c r="O47" s="575"/>
      <c r="P47" s="791"/>
    </row>
    <row r="48" spans="1:16" ht="15" customHeight="1" x14ac:dyDescent="0.25">
      <c r="A48" s="397"/>
      <c r="B48" s="222" t="s">
        <v>1234</v>
      </c>
      <c r="C48" s="323"/>
      <c r="D48" s="323"/>
      <c r="E48" s="323"/>
      <c r="F48" s="1622"/>
      <c r="G48" s="414"/>
      <c r="H48" s="413"/>
      <c r="I48" s="1635"/>
      <c r="J48" s="414"/>
      <c r="K48" s="1634"/>
      <c r="L48" s="1635"/>
      <c r="M48" s="414"/>
      <c r="N48" s="413"/>
      <c r="O48" s="575"/>
      <c r="P48" s="791"/>
    </row>
    <row r="49" spans="1:16" ht="15" customHeight="1" x14ac:dyDescent="0.25">
      <c r="A49" s="397"/>
      <c r="B49" s="222" t="s">
        <v>1235</v>
      </c>
      <c r="C49" s="323"/>
      <c r="D49" s="323"/>
      <c r="E49" s="323"/>
      <c r="F49" s="1622"/>
      <c r="G49" s="414"/>
      <c r="H49" s="413"/>
      <c r="I49" s="1635"/>
      <c r="J49" s="414"/>
      <c r="K49" s="1634"/>
      <c r="L49" s="1635"/>
      <c r="M49" s="414"/>
      <c r="N49" s="413"/>
      <c r="O49" s="575"/>
      <c r="P49" s="791"/>
    </row>
    <row r="50" spans="1:16" ht="15" customHeight="1" x14ac:dyDescent="0.25">
      <c r="A50" s="397"/>
      <c r="B50" s="323" t="s">
        <v>1236</v>
      </c>
      <c r="C50" s="323"/>
      <c r="D50" s="323"/>
      <c r="E50" s="323"/>
      <c r="F50" s="1622"/>
      <c r="G50" s="414"/>
      <c r="H50" s="413"/>
      <c r="I50" s="1635"/>
      <c r="J50" s="414"/>
      <c r="K50" s="1634"/>
      <c r="L50" s="1635"/>
      <c r="M50" s="414"/>
      <c r="N50" s="413"/>
      <c r="O50" s="575"/>
      <c r="P50" s="791"/>
    </row>
    <row r="51" spans="1:16" ht="15" customHeight="1" x14ac:dyDescent="0.25">
      <c r="A51" s="397"/>
      <c r="B51" s="323" t="s">
        <v>1237</v>
      </c>
      <c r="C51" s="323"/>
      <c r="D51" s="323"/>
      <c r="E51" s="323"/>
      <c r="F51" s="1622"/>
      <c r="G51" s="414"/>
      <c r="H51" s="413"/>
      <c r="I51" s="1635"/>
      <c r="J51" s="414"/>
      <c r="K51" s="1634"/>
      <c r="L51" s="1635"/>
      <c r="M51" s="414"/>
      <c r="N51" s="413"/>
      <c r="O51" s="575"/>
      <c r="P51" s="791"/>
    </row>
    <row r="52" spans="1:16" ht="15" customHeight="1" x14ac:dyDescent="0.25">
      <c r="A52" s="397"/>
      <c r="B52" s="323" t="s">
        <v>1238</v>
      </c>
      <c r="C52" s="323"/>
      <c r="D52" s="323"/>
      <c r="E52" s="323"/>
      <c r="F52" s="1622"/>
      <c r="G52" s="414"/>
      <c r="H52" s="413"/>
      <c r="I52" s="1635"/>
      <c r="J52" s="414"/>
      <c r="K52" s="1634"/>
      <c r="L52" s="1635"/>
      <c r="M52" s="414"/>
      <c r="N52" s="413"/>
      <c r="O52" s="575"/>
      <c r="P52" s="791"/>
    </row>
    <row r="53" spans="1:16" ht="15" customHeight="1" x14ac:dyDescent="0.25">
      <c r="A53" s="397"/>
      <c r="B53" s="323" t="s">
        <v>1239</v>
      </c>
      <c r="C53" s="323"/>
      <c r="D53" s="323"/>
      <c r="E53" s="323"/>
      <c r="F53" s="1622"/>
      <c r="G53" s="414"/>
      <c r="H53" s="413"/>
      <c r="I53" s="1635"/>
      <c r="J53" s="414"/>
      <c r="K53" s="1634"/>
      <c r="L53" s="1635"/>
      <c r="M53" s="414"/>
      <c r="N53" s="413"/>
      <c r="O53" s="575"/>
      <c r="P53" s="791"/>
    </row>
    <row r="54" spans="1:16" ht="15" customHeight="1" x14ac:dyDescent="0.25">
      <c r="A54" s="397"/>
      <c r="B54" s="323" t="s">
        <v>1240</v>
      </c>
      <c r="C54" s="323"/>
      <c r="D54" s="323"/>
      <c r="E54" s="323"/>
      <c r="F54" s="1622"/>
      <c r="G54" s="414"/>
      <c r="H54" s="413"/>
      <c r="I54" s="1635"/>
      <c r="J54" s="414"/>
      <c r="K54" s="1634"/>
      <c r="L54" s="1635"/>
      <c r="M54" s="414"/>
      <c r="N54" s="413"/>
      <c r="O54" s="575"/>
      <c r="P54" s="791"/>
    </row>
    <row r="55" spans="1:16" ht="15" customHeight="1" x14ac:dyDescent="0.25">
      <c r="A55" s="397"/>
      <c r="B55" s="323" t="s">
        <v>1241</v>
      </c>
      <c r="C55" s="323"/>
      <c r="D55" s="323"/>
      <c r="E55" s="323"/>
      <c r="F55" s="1622"/>
      <c r="G55" s="414"/>
      <c r="H55" s="413"/>
      <c r="I55" s="1635"/>
      <c r="J55" s="414"/>
      <c r="K55" s="1634"/>
      <c r="L55" s="1635"/>
      <c r="M55" s="414"/>
      <c r="N55" s="413"/>
      <c r="O55" s="575"/>
      <c r="P55" s="791"/>
    </row>
    <row r="56" spans="1:16" ht="15" customHeight="1" x14ac:dyDescent="0.25">
      <c r="A56" s="397"/>
      <c r="B56" s="323" t="s">
        <v>1242</v>
      </c>
      <c r="C56" s="323"/>
      <c r="D56" s="323"/>
      <c r="E56" s="323"/>
      <c r="F56" s="1622"/>
      <c r="G56" s="414"/>
      <c r="H56" s="413"/>
      <c r="I56" s="1635"/>
      <c r="J56" s="414"/>
      <c r="K56" s="1634"/>
      <c r="L56" s="1635"/>
      <c r="M56" s="414"/>
      <c r="N56" s="413"/>
      <c r="O56" s="575"/>
      <c r="P56" s="791"/>
    </row>
    <row r="57" spans="1:16" ht="15" customHeight="1" x14ac:dyDescent="0.25">
      <c r="A57" s="397"/>
      <c r="B57" s="323" t="s">
        <v>1243</v>
      </c>
      <c r="C57" s="323"/>
      <c r="D57" s="323"/>
      <c r="E57" s="323"/>
      <c r="F57" s="1622"/>
      <c r="G57" s="414"/>
      <c r="H57" s="413"/>
      <c r="I57" s="1635"/>
      <c r="J57" s="414"/>
      <c r="K57" s="1634"/>
      <c r="L57" s="1635"/>
      <c r="M57" s="414"/>
      <c r="N57" s="413"/>
      <c r="O57" s="575"/>
      <c r="P57" s="791"/>
    </row>
    <row r="58" spans="1:16" ht="15" customHeight="1" x14ac:dyDescent="0.25">
      <c r="A58" s="397"/>
      <c r="B58" s="142" t="s">
        <v>1244</v>
      </c>
      <c r="C58" s="142"/>
      <c r="D58" s="323"/>
      <c r="E58" s="323"/>
      <c r="F58" s="1622"/>
      <c r="G58" s="414"/>
      <c r="H58" s="413"/>
      <c r="I58" s="1635"/>
      <c r="J58" s="414"/>
      <c r="K58" s="1634"/>
      <c r="L58" s="1635"/>
      <c r="M58" s="414"/>
      <c r="N58" s="413"/>
      <c r="O58" s="575"/>
      <c r="P58" s="791"/>
    </row>
    <row r="59" spans="1:16" ht="15" customHeight="1" x14ac:dyDescent="0.25">
      <c r="A59" s="397"/>
      <c r="B59" s="222" t="s">
        <v>1245</v>
      </c>
      <c r="C59" s="1636"/>
      <c r="D59" s="323"/>
      <c r="E59" s="323"/>
      <c r="F59" s="1622"/>
      <c r="G59" s="414"/>
      <c r="H59" s="413"/>
      <c r="I59" s="1635"/>
      <c r="J59" s="414"/>
      <c r="K59" s="1634"/>
      <c r="L59" s="1635"/>
      <c r="M59" s="414"/>
      <c r="N59" s="413"/>
      <c r="O59" s="575"/>
      <c r="P59" s="791"/>
    </row>
    <row r="60" spans="1:16" ht="15" customHeight="1" x14ac:dyDescent="0.25">
      <c r="A60" s="397"/>
      <c r="B60" s="323" t="s">
        <v>1246</v>
      </c>
      <c r="C60" s="1636"/>
      <c r="D60" s="323"/>
      <c r="E60" s="323"/>
      <c r="F60" s="1622"/>
      <c r="G60" s="414"/>
      <c r="H60" s="413"/>
      <c r="I60" s="1635"/>
      <c r="J60" s="414"/>
      <c r="K60" s="1634"/>
      <c r="L60" s="1635"/>
      <c r="M60" s="414"/>
      <c r="N60" s="413"/>
      <c r="O60" s="575"/>
      <c r="P60" s="791"/>
    </row>
    <row r="61" spans="1:16" ht="15" customHeight="1" x14ac:dyDescent="0.25">
      <c r="A61" s="397"/>
      <c r="B61" s="323" t="s">
        <v>1247</v>
      </c>
      <c r="C61" s="1636"/>
      <c r="D61" s="323"/>
      <c r="E61" s="323"/>
      <c r="F61" s="1622"/>
      <c r="G61" s="414"/>
      <c r="H61" s="413"/>
      <c r="I61" s="1635"/>
      <c r="J61" s="414"/>
      <c r="K61" s="1634"/>
      <c r="L61" s="1635"/>
      <c r="M61" s="414"/>
      <c r="N61" s="413"/>
      <c r="O61" s="575"/>
      <c r="P61" s="791"/>
    </row>
    <row r="62" spans="1:16" ht="15" customHeight="1" x14ac:dyDescent="0.25">
      <c r="A62" s="397"/>
      <c r="B62" s="323" t="s">
        <v>1248</v>
      </c>
      <c r="C62" s="1636"/>
      <c r="D62" s="323"/>
      <c r="E62" s="323"/>
      <c r="F62" s="1622"/>
      <c r="G62" s="414"/>
      <c r="H62" s="413"/>
      <c r="I62" s="1635"/>
      <c r="J62" s="414"/>
      <c r="K62" s="1634"/>
      <c r="L62" s="1635"/>
      <c r="M62" s="414"/>
      <c r="N62" s="413"/>
      <c r="O62" s="575"/>
      <c r="P62" s="791"/>
    </row>
    <row r="63" spans="1:16" ht="15" customHeight="1" x14ac:dyDescent="0.25">
      <c r="A63" s="397"/>
      <c r="B63" s="323" t="s">
        <v>1249</v>
      </c>
      <c r="C63" s="1636"/>
      <c r="D63" s="323"/>
      <c r="E63" s="323"/>
      <c r="F63" s="1622"/>
      <c r="G63" s="414"/>
      <c r="H63" s="413"/>
      <c r="I63" s="1635"/>
      <c r="J63" s="414"/>
      <c r="K63" s="1634"/>
      <c r="L63" s="1635"/>
      <c r="M63" s="414"/>
      <c r="N63" s="413"/>
      <c r="O63" s="575"/>
      <c r="P63" s="791"/>
    </row>
    <row r="64" spans="1:16" ht="15" customHeight="1" x14ac:dyDescent="0.25">
      <c r="A64" s="397"/>
      <c r="B64" s="323" t="s">
        <v>1250</v>
      </c>
      <c r="C64" s="1636"/>
      <c r="D64" s="323"/>
      <c r="E64" s="323"/>
      <c r="F64" s="1622"/>
      <c r="G64" s="414"/>
      <c r="H64" s="413"/>
      <c r="I64" s="1635"/>
      <c r="J64" s="414"/>
      <c r="K64" s="1634"/>
      <c r="L64" s="1635"/>
      <c r="M64" s="414"/>
      <c r="N64" s="413"/>
      <c r="O64" s="575"/>
      <c r="P64" s="791"/>
    </row>
    <row r="65" spans="1:16" ht="15" customHeight="1" x14ac:dyDescent="0.25">
      <c r="A65" s="397"/>
      <c r="B65" s="323" t="s">
        <v>1251</v>
      </c>
      <c r="C65" s="1636"/>
      <c r="D65" s="323"/>
      <c r="E65" s="323"/>
      <c r="F65" s="1622"/>
      <c r="G65" s="414"/>
      <c r="H65" s="413"/>
      <c r="I65" s="1635"/>
      <c r="J65" s="414"/>
      <c r="K65" s="1634"/>
      <c r="L65" s="1635"/>
      <c r="M65" s="414"/>
      <c r="N65" s="413"/>
      <c r="O65" s="575"/>
      <c r="P65" s="791"/>
    </row>
    <row r="66" spans="1:16" ht="15" customHeight="1" x14ac:dyDescent="0.25">
      <c r="A66" s="397"/>
      <c r="B66" s="323" t="s">
        <v>1252</v>
      </c>
      <c r="C66" s="1636"/>
      <c r="D66" s="323"/>
      <c r="E66" s="323"/>
      <c r="F66" s="1622"/>
      <c r="G66" s="414"/>
      <c r="H66" s="413"/>
      <c r="I66" s="1635"/>
      <c r="J66" s="414"/>
      <c r="K66" s="1634"/>
      <c r="L66" s="1635"/>
      <c r="M66" s="414"/>
      <c r="N66" s="413"/>
      <c r="O66" s="575"/>
      <c r="P66" s="791"/>
    </row>
    <row r="67" spans="1:16" ht="15" customHeight="1" x14ac:dyDescent="0.25">
      <c r="A67" s="397"/>
      <c r="B67" s="323" t="s">
        <v>1253</v>
      </c>
      <c r="C67" s="1636"/>
      <c r="D67" s="323"/>
      <c r="E67" s="323"/>
      <c r="F67" s="1622"/>
      <c r="G67" s="414"/>
      <c r="H67" s="413"/>
      <c r="I67" s="1635"/>
      <c r="J67" s="414"/>
      <c r="K67" s="1634"/>
      <c r="L67" s="1635"/>
      <c r="M67" s="414"/>
      <c r="N67" s="413"/>
      <c r="O67" s="575"/>
      <c r="P67" s="791"/>
    </row>
    <row r="68" spans="1:16" ht="15" customHeight="1" x14ac:dyDescent="0.25">
      <c r="A68" s="397"/>
      <c r="B68" s="1671" t="s">
        <v>1254</v>
      </c>
      <c r="C68" s="1637"/>
      <c r="D68" s="1671"/>
      <c r="E68" s="1671"/>
      <c r="F68" s="1640"/>
      <c r="G68" s="1623"/>
      <c r="H68" s="1624"/>
      <c r="I68" s="1639"/>
      <c r="J68" s="1623"/>
      <c r="K68" s="1638"/>
      <c r="L68" s="1639"/>
      <c r="M68" s="1623"/>
      <c r="N68" s="1624"/>
      <c r="O68" s="575"/>
      <c r="P68" s="791"/>
    </row>
    <row r="69" spans="1:16" ht="15" customHeight="1" x14ac:dyDescent="0.25">
      <c r="A69" s="415"/>
      <c r="B69" s="1523"/>
      <c r="C69" s="1523"/>
      <c r="D69" s="1523"/>
      <c r="E69" s="1523"/>
      <c r="F69" s="1523"/>
      <c r="G69" s="1523"/>
      <c r="H69" s="1523"/>
      <c r="I69" s="1523"/>
      <c r="J69" s="1523"/>
      <c r="K69" s="1523"/>
      <c r="L69" s="325"/>
      <c r="M69" s="325"/>
      <c r="N69" s="325"/>
      <c r="O69" s="325"/>
      <c r="P69" s="438"/>
    </row>
    <row r="70" spans="1:16" ht="15" customHeight="1" x14ac:dyDescent="0.25">
      <c r="A70" s="397"/>
      <c r="B70" s="2992"/>
      <c r="C70" s="2893"/>
      <c r="D70" s="2893"/>
      <c r="E70" s="2894"/>
      <c r="F70" s="1588" t="s">
        <v>1046</v>
      </c>
      <c r="G70" s="1487"/>
      <c r="H70" s="1487"/>
      <c r="I70" s="1487"/>
      <c r="J70" s="1487"/>
      <c r="K70" s="1487"/>
      <c r="L70" s="325"/>
      <c r="M70" s="325"/>
      <c r="N70" s="325"/>
      <c r="O70" s="325"/>
      <c r="P70" s="441"/>
    </row>
    <row r="71" spans="1:16" ht="15" customHeight="1" x14ac:dyDescent="0.25">
      <c r="A71" s="397"/>
      <c r="B71" s="1814" t="s">
        <v>1404</v>
      </c>
      <c r="C71" s="1815"/>
      <c r="D71" s="1815"/>
      <c r="E71" s="1815"/>
      <c r="F71" s="1816" t="str">
        <f>IF(AND(ISNUMBER(F72), ISNUMBER(F76), ISNUMBER(F80)), SUM(F72, F76, F80), "")</f>
        <v/>
      </c>
      <c r="G71" s="1788"/>
      <c r="H71" s="1788"/>
      <c r="I71" s="1788"/>
      <c r="J71" s="1788"/>
      <c r="K71" s="1788"/>
      <c r="L71" s="325"/>
      <c r="M71" s="325"/>
      <c r="N71" s="1487"/>
      <c r="O71" s="1487"/>
      <c r="P71" s="441"/>
    </row>
    <row r="72" spans="1:16" ht="15" customHeight="1" x14ac:dyDescent="0.25">
      <c r="A72" s="397"/>
      <c r="B72" s="417" t="s">
        <v>477</v>
      </c>
      <c r="C72" s="1641"/>
      <c r="D72" s="1641"/>
      <c r="E72" s="1641"/>
      <c r="F72" s="100" t="str">
        <f>IF(AND(ISNUMBER(F73), ISNUMBER(F74), ISNUMBER(F75)), IF($I$4="Medium", F73, IF($I$4="High", F74, IF($I$4="Low", F75, ""))), "")</f>
        <v/>
      </c>
      <c r="G72" s="477"/>
      <c r="H72" s="477"/>
      <c r="I72" s="477"/>
      <c r="J72" s="477"/>
      <c r="K72" s="477"/>
      <c r="L72" s="258"/>
      <c r="N72" s="325"/>
      <c r="O72" s="325"/>
      <c r="P72" s="441"/>
    </row>
    <row r="73" spans="1:16" ht="15" customHeight="1" x14ac:dyDescent="0.25">
      <c r="A73" s="397"/>
      <c r="B73" s="1812" t="s">
        <v>1198</v>
      </c>
      <c r="C73" s="198"/>
      <c r="D73" s="198"/>
      <c r="E73" s="198"/>
      <c r="F73" s="1705"/>
      <c r="G73" s="477"/>
      <c r="H73" s="477"/>
      <c r="I73" s="477"/>
      <c r="J73" s="477"/>
      <c r="K73" s="477"/>
      <c r="L73" s="258"/>
      <c r="N73" s="325"/>
      <c r="O73" s="325"/>
      <c r="P73" s="441"/>
    </row>
    <row r="74" spans="1:16" ht="15" customHeight="1" x14ac:dyDescent="0.25">
      <c r="A74" s="397"/>
      <c r="B74" s="1812" t="s">
        <v>1199</v>
      </c>
      <c r="C74" s="198"/>
      <c r="D74" s="198"/>
      <c r="E74" s="198"/>
      <c r="F74" s="1705"/>
      <c r="G74" s="477"/>
      <c r="H74" s="477"/>
      <c r="I74" s="477"/>
      <c r="J74" s="477"/>
      <c r="K74" s="477"/>
      <c r="L74" s="258"/>
      <c r="N74" s="325"/>
      <c r="O74" s="325"/>
      <c r="P74" s="441"/>
    </row>
    <row r="75" spans="1:16" ht="15" customHeight="1" x14ac:dyDescent="0.25">
      <c r="A75" s="397"/>
      <c r="B75" s="1812" t="s">
        <v>1200</v>
      </c>
      <c r="C75" s="198"/>
      <c r="D75" s="198"/>
      <c r="E75" s="198"/>
      <c r="F75" s="1705"/>
      <c r="G75" s="477"/>
      <c r="H75" s="477"/>
      <c r="I75" s="477"/>
      <c r="J75" s="477"/>
      <c r="K75" s="477"/>
      <c r="L75" s="258"/>
      <c r="N75" s="325"/>
      <c r="O75" s="325"/>
      <c r="P75" s="441"/>
    </row>
    <row r="76" spans="1:16" ht="15" customHeight="1" x14ac:dyDescent="0.25">
      <c r="A76" s="397"/>
      <c r="B76" s="417" t="s">
        <v>478</v>
      </c>
      <c r="C76" s="1641"/>
      <c r="D76" s="1641"/>
      <c r="E76" s="1641"/>
      <c r="F76" s="100" t="str">
        <f>IF(AND(ISNUMBER(F77), ISNUMBER(F78), ISNUMBER(F79)), IF($I$4="Medium", F77, IF($I$4="High", F78, IF($I$4="Low", F79, ""))), "")</f>
        <v/>
      </c>
      <c r="G76" s="477"/>
      <c r="H76" s="477"/>
      <c r="I76" s="477"/>
      <c r="J76" s="477"/>
      <c r="K76" s="477"/>
      <c r="L76" s="258"/>
      <c r="N76" s="325"/>
      <c r="O76" s="325"/>
      <c r="P76" s="441"/>
    </row>
    <row r="77" spans="1:16" ht="15" customHeight="1" x14ac:dyDescent="0.25">
      <c r="A77" s="397"/>
      <c r="B77" s="1812" t="s">
        <v>1198</v>
      </c>
      <c r="C77" s="198"/>
      <c r="D77" s="198"/>
      <c r="E77" s="198"/>
      <c r="F77" s="1705"/>
      <c r="G77" s="477"/>
      <c r="H77" s="477"/>
      <c r="I77" s="477"/>
      <c r="J77" s="477"/>
      <c r="K77" s="477"/>
      <c r="L77" s="258"/>
      <c r="N77" s="325"/>
      <c r="O77" s="325"/>
      <c r="P77" s="441"/>
    </row>
    <row r="78" spans="1:16" ht="15" customHeight="1" x14ac:dyDescent="0.25">
      <c r="A78" s="397"/>
      <c r="B78" s="1812" t="s">
        <v>1199</v>
      </c>
      <c r="C78" s="198"/>
      <c r="D78" s="198"/>
      <c r="E78" s="198"/>
      <c r="F78" s="1705"/>
      <c r="G78" s="477"/>
      <c r="H78" s="477"/>
      <c r="I78" s="477"/>
      <c r="J78" s="477"/>
      <c r="K78" s="477"/>
      <c r="L78" s="258"/>
      <c r="N78" s="325"/>
      <c r="O78" s="325"/>
      <c r="P78" s="441"/>
    </row>
    <row r="79" spans="1:16" ht="15" customHeight="1" x14ac:dyDescent="0.25">
      <c r="A79" s="397"/>
      <c r="B79" s="1812" t="s">
        <v>1200</v>
      </c>
      <c r="C79" s="198"/>
      <c r="D79" s="198"/>
      <c r="E79" s="198"/>
      <c r="F79" s="1705"/>
      <c r="G79" s="477"/>
      <c r="H79" s="477"/>
      <c r="I79" s="477"/>
      <c r="J79" s="477"/>
      <c r="K79" s="477"/>
      <c r="L79" s="258"/>
      <c r="N79" s="325"/>
      <c r="O79" s="325"/>
      <c r="P79" s="441"/>
    </row>
    <row r="80" spans="1:16" ht="15" customHeight="1" x14ac:dyDescent="0.25">
      <c r="A80" s="397"/>
      <c r="B80" s="417" t="s">
        <v>479</v>
      </c>
      <c r="C80" s="1641"/>
      <c r="D80" s="1641"/>
      <c r="E80" s="1641"/>
      <c r="F80" s="100" t="str">
        <f>IF(AND(ISNUMBER(F81), ISNUMBER(F82), ISNUMBER(F83)), IF($I$4="Medium", F81, IF($I$4="High", F82, IF($I$4="Low", F83, ""))), "")</f>
        <v/>
      </c>
      <c r="G80" s="477"/>
      <c r="H80" s="477"/>
      <c r="I80" s="477"/>
      <c r="J80" s="477"/>
      <c r="K80" s="477"/>
      <c r="L80" s="258"/>
      <c r="N80" s="325"/>
      <c r="O80" s="325"/>
      <c r="P80" s="441"/>
    </row>
    <row r="81" spans="1:16" ht="15" customHeight="1" x14ac:dyDescent="0.25">
      <c r="A81" s="397"/>
      <c r="B81" s="1812" t="s">
        <v>1198</v>
      </c>
      <c r="C81" s="198"/>
      <c r="D81" s="198"/>
      <c r="E81" s="198"/>
      <c r="F81" s="1705"/>
      <c r="G81" s="477"/>
      <c r="H81" s="477"/>
      <c r="I81" s="477"/>
      <c r="J81" s="477"/>
      <c r="K81" s="477"/>
      <c r="L81" s="258"/>
      <c r="N81" s="325"/>
      <c r="O81" s="325"/>
      <c r="P81" s="441"/>
    </row>
    <row r="82" spans="1:16" ht="15" customHeight="1" x14ac:dyDescent="0.25">
      <c r="A82" s="397"/>
      <c r="B82" s="1812" t="s">
        <v>1199</v>
      </c>
      <c r="C82" s="198"/>
      <c r="D82" s="198"/>
      <c r="E82" s="198"/>
      <c r="F82" s="1705"/>
      <c r="G82" s="477"/>
      <c r="H82" s="477"/>
      <c r="I82" s="477"/>
      <c r="J82" s="477"/>
      <c r="K82" s="477"/>
      <c r="L82" s="258"/>
      <c r="N82" s="325"/>
      <c r="O82" s="325"/>
      <c r="P82" s="441"/>
    </row>
    <row r="83" spans="1:16" ht="15" customHeight="1" x14ac:dyDescent="0.25">
      <c r="A83" s="397"/>
      <c r="B83" s="1813" t="s">
        <v>1200</v>
      </c>
      <c r="C83" s="411"/>
      <c r="D83" s="411"/>
      <c r="E83" s="411"/>
      <c r="F83" s="1706"/>
      <c r="G83" s="1487"/>
      <c r="H83" s="1487"/>
      <c r="I83" s="1487"/>
      <c r="J83" s="1487"/>
      <c r="K83" s="1487"/>
      <c r="N83" s="325"/>
      <c r="O83" s="325"/>
      <c r="P83" s="441"/>
    </row>
    <row r="84" spans="1:16" ht="15" customHeight="1" x14ac:dyDescent="0.25">
      <c r="A84" s="1242"/>
      <c r="B84" s="434"/>
      <c r="C84" s="434"/>
      <c r="D84" s="434"/>
      <c r="E84" s="434"/>
      <c r="F84" s="434"/>
      <c r="G84" s="434"/>
      <c r="H84" s="434"/>
      <c r="I84" s="434"/>
      <c r="J84" s="434"/>
      <c r="K84" s="434"/>
      <c r="L84" s="434"/>
      <c r="M84" s="434"/>
      <c r="N84" s="434"/>
      <c r="O84" s="434"/>
      <c r="P84" s="1243"/>
    </row>
    <row r="85" spans="1:16" ht="45" customHeight="1" x14ac:dyDescent="0.25">
      <c r="A85" s="2314" t="s">
        <v>2208</v>
      </c>
      <c r="B85" s="104"/>
      <c r="C85" s="1523"/>
      <c r="D85" s="1523"/>
      <c r="E85" s="1523"/>
      <c r="F85" s="1523"/>
      <c r="G85" s="1523"/>
      <c r="H85" s="1523"/>
      <c r="I85" s="1523"/>
      <c r="J85" s="1523"/>
      <c r="K85" s="1523"/>
      <c r="L85" s="325"/>
      <c r="M85" s="325"/>
      <c r="N85" s="325"/>
      <c r="O85" s="325"/>
      <c r="P85" s="441"/>
    </row>
    <row r="86" spans="1:16" ht="30" customHeight="1" x14ac:dyDescent="0.25">
      <c r="A86" s="1645"/>
      <c r="B86" s="2977" t="s">
        <v>1255</v>
      </c>
      <c r="C86" s="2997" t="s">
        <v>1256</v>
      </c>
      <c r="D86" s="2985" t="s">
        <v>1257</v>
      </c>
      <c r="E86" s="2986"/>
      <c r="F86" s="2966" t="s">
        <v>1366</v>
      </c>
      <c r="G86" s="2966"/>
      <c r="H86" s="2966"/>
      <c r="I86" s="2994" t="s">
        <v>1367</v>
      </c>
      <c r="J86" s="2966"/>
      <c r="K86" s="2993"/>
      <c r="L86" s="2966" t="s">
        <v>1368</v>
      </c>
      <c r="M86" s="2966"/>
      <c r="N86" s="2966"/>
      <c r="O86" s="1839"/>
      <c r="P86" s="1741"/>
    </row>
    <row r="87" spans="1:16" ht="15" customHeight="1" x14ac:dyDescent="0.25">
      <c r="A87" s="1647"/>
      <c r="B87" s="3044"/>
      <c r="C87" s="3040"/>
      <c r="D87" s="2985"/>
      <c r="E87" s="2986"/>
      <c r="F87" s="1575" t="s">
        <v>1208</v>
      </c>
      <c r="G87" s="1576" t="s">
        <v>1209</v>
      </c>
      <c r="H87" s="1589" t="s">
        <v>1210</v>
      </c>
      <c r="I87" s="1591" t="s">
        <v>1208</v>
      </c>
      <c r="J87" s="1708" t="s">
        <v>1209</v>
      </c>
      <c r="K87" s="1592" t="s">
        <v>1210</v>
      </c>
      <c r="L87" s="1709" t="s">
        <v>1208</v>
      </c>
      <c r="M87" s="1708" t="s">
        <v>1209</v>
      </c>
      <c r="N87" s="1589" t="s">
        <v>1210</v>
      </c>
      <c r="O87" s="1840"/>
      <c r="P87" s="1741"/>
    </row>
    <row r="88" spans="1:16" ht="30" customHeight="1" x14ac:dyDescent="0.25">
      <c r="A88" s="1533"/>
      <c r="B88" s="882">
        <v>1</v>
      </c>
      <c r="C88" s="2980" t="s">
        <v>1258</v>
      </c>
      <c r="D88" s="2982" t="s">
        <v>1259</v>
      </c>
      <c r="E88" s="2983"/>
      <c r="F88" s="1631"/>
      <c r="G88" s="1629"/>
      <c r="H88" s="1633"/>
      <c r="I88" s="1632"/>
      <c r="J88" s="1629"/>
      <c r="K88" s="1630"/>
      <c r="L88" s="1631"/>
      <c r="M88" s="1629"/>
      <c r="N88" s="1633"/>
      <c r="O88" s="575"/>
      <c r="P88" s="1741"/>
    </row>
    <row r="89" spans="1:16" ht="30" customHeight="1" x14ac:dyDescent="0.25">
      <c r="A89" s="1533"/>
      <c r="B89" s="128">
        <v>2</v>
      </c>
      <c r="C89" s="2981"/>
      <c r="D89" s="2984" t="s">
        <v>1260</v>
      </c>
      <c r="E89" s="2586"/>
      <c r="F89" s="1622"/>
      <c r="G89" s="414"/>
      <c r="H89" s="413"/>
      <c r="I89" s="1635"/>
      <c r="J89" s="414"/>
      <c r="K89" s="1634"/>
      <c r="L89" s="1622"/>
      <c r="M89" s="414"/>
      <c r="N89" s="413"/>
      <c r="O89" s="575"/>
      <c r="P89" s="1741"/>
    </row>
    <row r="90" spans="1:16" ht="15" customHeight="1" x14ac:dyDescent="0.25">
      <c r="A90" s="1533"/>
      <c r="B90" s="128">
        <v>3</v>
      </c>
      <c r="C90" s="2981"/>
      <c r="D90" s="2984" t="s">
        <v>1261</v>
      </c>
      <c r="E90" s="2972"/>
      <c r="F90" s="1622"/>
      <c r="G90" s="414"/>
      <c r="H90" s="413"/>
      <c r="I90" s="1635"/>
      <c r="J90" s="414"/>
      <c r="K90" s="1634"/>
      <c r="L90" s="1622"/>
      <c r="M90" s="414"/>
      <c r="N90" s="413"/>
      <c r="O90" s="575"/>
      <c r="P90" s="1741"/>
    </row>
    <row r="91" spans="1:16" ht="30" customHeight="1" x14ac:dyDescent="0.25">
      <c r="A91" s="1533"/>
      <c r="B91" s="128">
        <v>4</v>
      </c>
      <c r="C91" s="2981"/>
      <c r="D91" s="2971" t="s">
        <v>1262</v>
      </c>
      <c r="E91" s="2972"/>
      <c r="F91" s="1622"/>
      <c r="G91" s="414"/>
      <c r="H91" s="413"/>
      <c r="I91" s="1635"/>
      <c r="J91" s="414"/>
      <c r="K91" s="1634"/>
      <c r="L91" s="1622"/>
      <c r="M91" s="414"/>
      <c r="N91" s="413"/>
      <c r="O91" s="575"/>
      <c r="P91" s="1741"/>
    </row>
    <row r="92" spans="1:16" ht="30" customHeight="1" x14ac:dyDescent="0.25">
      <c r="A92" s="1533"/>
      <c r="B92" s="128">
        <v>5</v>
      </c>
      <c r="C92" s="2981"/>
      <c r="D92" s="2971" t="s">
        <v>1263</v>
      </c>
      <c r="E92" s="2972"/>
      <c r="F92" s="1622"/>
      <c r="G92" s="414"/>
      <c r="H92" s="413"/>
      <c r="I92" s="1635"/>
      <c r="J92" s="414"/>
      <c r="K92" s="1634"/>
      <c r="L92" s="1622"/>
      <c r="M92" s="414"/>
      <c r="N92" s="413"/>
      <c r="O92" s="575"/>
      <c r="P92" s="1741"/>
    </row>
    <row r="93" spans="1:16" ht="15" customHeight="1" x14ac:dyDescent="0.25">
      <c r="A93" s="1533"/>
      <c r="B93" s="128">
        <v>6</v>
      </c>
      <c r="C93" s="2981"/>
      <c r="D93" s="2971" t="s">
        <v>1264</v>
      </c>
      <c r="E93" s="2972"/>
      <c r="F93" s="1622"/>
      <c r="G93" s="414"/>
      <c r="H93" s="413"/>
      <c r="I93" s="1635"/>
      <c r="J93" s="414"/>
      <c r="K93" s="1634"/>
      <c r="L93" s="1622"/>
      <c r="M93" s="414"/>
      <c r="N93" s="413"/>
      <c r="O93" s="575"/>
      <c r="P93" s="1741"/>
    </row>
    <row r="94" spans="1:16" ht="30" customHeight="1" x14ac:dyDescent="0.25">
      <c r="A94" s="1533"/>
      <c r="B94" s="128">
        <v>7</v>
      </c>
      <c r="C94" s="2981"/>
      <c r="D94" s="2984" t="s">
        <v>1265</v>
      </c>
      <c r="E94" s="2972"/>
      <c r="F94" s="1622"/>
      <c r="G94" s="414"/>
      <c r="H94" s="413"/>
      <c r="I94" s="1635"/>
      <c r="J94" s="414"/>
      <c r="K94" s="1634"/>
      <c r="L94" s="1622"/>
      <c r="M94" s="414"/>
      <c r="N94" s="413"/>
      <c r="O94" s="575"/>
      <c r="P94" s="1741"/>
    </row>
    <row r="95" spans="1:16" ht="15" customHeight="1" x14ac:dyDescent="0.25">
      <c r="A95" s="1533"/>
      <c r="B95" s="128">
        <v>8</v>
      </c>
      <c r="C95" s="2981"/>
      <c r="D95" s="2984" t="s">
        <v>1266</v>
      </c>
      <c r="E95" s="2586"/>
      <c r="F95" s="1622"/>
      <c r="G95" s="414"/>
      <c r="H95" s="413"/>
      <c r="I95" s="1635"/>
      <c r="J95" s="414"/>
      <c r="K95" s="1634"/>
      <c r="L95" s="1622"/>
      <c r="M95" s="414"/>
      <c r="N95" s="413"/>
      <c r="O95" s="575"/>
      <c r="P95" s="1741"/>
    </row>
    <row r="96" spans="1:16" ht="30" customHeight="1" x14ac:dyDescent="0.25">
      <c r="A96" s="1533"/>
      <c r="B96" s="128">
        <v>9</v>
      </c>
      <c r="C96" s="2981" t="s">
        <v>1267</v>
      </c>
      <c r="D96" s="2971" t="s">
        <v>1268</v>
      </c>
      <c r="E96" s="2972"/>
      <c r="F96" s="1622"/>
      <c r="G96" s="414"/>
      <c r="H96" s="413"/>
      <c r="I96" s="1635"/>
      <c r="J96" s="414"/>
      <c r="K96" s="1634"/>
      <c r="L96" s="1622"/>
      <c r="M96" s="414"/>
      <c r="N96" s="413"/>
      <c r="O96" s="575"/>
      <c r="P96" s="1741"/>
    </row>
    <row r="97" spans="1:16" ht="30" customHeight="1" x14ac:dyDescent="0.25">
      <c r="A97" s="1533"/>
      <c r="B97" s="128">
        <v>10</v>
      </c>
      <c r="C97" s="2981"/>
      <c r="D97" s="2984" t="s">
        <v>1260</v>
      </c>
      <c r="E97" s="2586"/>
      <c r="F97" s="1622"/>
      <c r="G97" s="414"/>
      <c r="H97" s="413"/>
      <c r="I97" s="1635"/>
      <c r="J97" s="414"/>
      <c r="K97" s="1634"/>
      <c r="L97" s="1622"/>
      <c r="M97" s="414"/>
      <c r="N97" s="413"/>
      <c r="O97" s="575"/>
      <c r="P97" s="1741"/>
    </row>
    <row r="98" spans="1:16" ht="15" customHeight="1" x14ac:dyDescent="0.25">
      <c r="A98" s="1533"/>
      <c r="B98" s="128">
        <v>11</v>
      </c>
      <c r="C98" s="2981"/>
      <c r="D98" s="2984" t="s">
        <v>1261</v>
      </c>
      <c r="E98" s="2972"/>
      <c r="F98" s="1622"/>
      <c r="G98" s="414"/>
      <c r="H98" s="413"/>
      <c r="I98" s="1635"/>
      <c r="J98" s="414"/>
      <c r="K98" s="1634"/>
      <c r="L98" s="1622"/>
      <c r="M98" s="414"/>
      <c r="N98" s="413"/>
      <c r="O98" s="575"/>
      <c r="P98" s="1741"/>
    </row>
    <row r="99" spans="1:16" ht="30" customHeight="1" x14ac:dyDescent="0.25">
      <c r="A99" s="1533"/>
      <c r="B99" s="128">
        <v>12</v>
      </c>
      <c r="C99" s="2981"/>
      <c r="D99" s="2971" t="s">
        <v>1262</v>
      </c>
      <c r="E99" s="2972"/>
      <c r="F99" s="1622"/>
      <c r="G99" s="414"/>
      <c r="H99" s="413"/>
      <c r="I99" s="1635"/>
      <c r="J99" s="414"/>
      <c r="K99" s="1634"/>
      <c r="L99" s="1622"/>
      <c r="M99" s="414"/>
      <c r="N99" s="413"/>
      <c r="O99" s="575"/>
      <c r="P99" s="1741"/>
    </row>
    <row r="100" spans="1:16" ht="30" customHeight="1" x14ac:dyDescent="0.25">
      <c r="A100" s="1533"/>
      <c r="B100" s="128">
        <v>13</v>
      </c>
      <c r="C100" s="2981"/>
      <c r="D100" s="2971" t="s">
        <v>1263</v>
      </c>
      <c r="E100" s="2972"/>
      <c r="F100" s="1622"/>
      <c r="G100" s="414"/>
      <c r="H100" s="413"/>
      <c r="I100" s="1635"/>
      <c r="J100" s="414"/>
      <c r="K100" s="1634"/>
      <c r="L100" s="1622"/>
      <c r="M100" s="414"/>
      <c r="N100" s="413"/>
      <c r="O100" s="575"/>
      <c r="P100" s="1741"/>
    </row>
    <row r="101" spans="1:16" ht="15" customHeight="1" x14ac:dyDescent="0.25">
      <c r="A101" s="1533"/>
      <c r="B101" s="266">
        <v>14</v>
      </c>
      <c r="C101" s="2981"/>
      <c r="D101" s="2971" t="s">
        <v>1264</v>
      </c>
      <c r="E101" s="2972"/>
      <c r="F101" s="1622"/>
      <c r="G101" s="414"/>
      <c r="H101" s="413"/>
      <c r="I101" s="1635"/>
      <c r="J101" s="414"/>
      <c r="K101" s="1634"/>
      <c r="L101" s="1622"/>
      <c r="M101" s="414"/>
      <c r="N101" s="413"/>
      <c r="O101" s="575"/>
      <c r="P101" s="1741"/>
    </row>
    <row r="102" spans="1:16" ht="45" customHeight="1" x14ac:dyDescent="0.25">
      <c r="A102" s="1533"/>
      <c r="B102" s="266">
        <v>15</v>
      </c>
      <c r="C102" s="2981"/>
      <c r="D102" s="2971" t="s">
        <v>1269</v>
      </c>
      <c r="E102" s="2972"/>
      <c r="F102" s="1622"/>
      <c r="G102" s="414"/>
      <c r="H102" s="413"/>
      <c r="I102" s="1635"/>
      <c r="J102" s="414"/>
      <c r="K102" s="1634"/>
      <c r="L102" s="1622"/>
      <c r="M102" s="414"/>
      <c r="N102" s="413"/>
      <c r="O102" s="575"/>
      <c r="P102" s="1741"/>
    </row>
    <row r="103" spans="1:16" ht="15" customHeight="1" x14ac:dyDescent="0.25">
      <c r="A103" s="1533"/>
      <c r="B103" s="266">
        <v>16</v>
      </c>
      <c r="C103" s="2987" t="s">
        <v>1270</v>
      </c>
      <c r="D103" s="2987"/>
      <c r="E103" s="2988"/>
      <c r="F103" s="1622"/>
      <c r="G103" s="414"/>
      <c r="H103" s="413"/>
      <c r="I103" s="1635"/>
      <c r="J103" s="414"/>
      <c r="K103" s="1634"/>
      <c r="L103" s="1622"/>
      <c r="M103" s="414"/>
      <c r="N103" s="413"/>
      <c r="O103" s="575"/>
      <c r="P103" s="1741"/>
    </row>
    <row r="104" spans="1:16" ht="15" customHeight="1" x14ac:dyDescent="0.25">
      <c r="A104" s="1533"/>
      <c r="B104" s="266">
        <v>17</v>
      </c>
      <c r="C104" s="2987" t="s">
        <v>1369</v>
      </c>
      <c r="D104" s="2987"/>
      <c r="E104" s="2988"/>
      <c r="F104" s="1622"/>
      <c r="G104" s="414"/>
      <c r="H104" s="413"/>
      <c r="I104" s="1635"/>
      <c r="J104" s="414"/>
      <c r="K104" s="1634"/>
      <c r="L104" s="1622"/>
      <c r="M104" s="414"/>
      <c r="N104" s="413"/>
      <c r="O104" s="575"/>
      <c r="P104" s="1741"/>
    </row>
    <row r="105" spans="1:16" ht="15" customHeight="1" x14ac:dyDescent="0.25">
      <c r="A105" s="1533"/>
      <c r="B105" s="254">
        <v>18</v>
      </c>
      <c r="C105" s="2990" t="s">
        <v>1370</v>
      </c>
      <c r="D105" s="2990"/>
      <c r="E105" s="2991"/>
      <c r="F105" s="1640"/>
      <c r="G105" s="1623"/>
      <c r="H105" s="1624"/>
      <c r="I105" s="1639"/>
      <c r="J105" s="1623"/>
      <c r="K105" s="1638"/>
      <c r="L105" s="1640"/>
      <c r="M105" s="1623"/>
      <c r="N105" s="1624"/>
      <c r="O105" s="575"/>
      <c r="P105" s="1741"/>
    </row>
    <row r="106" spans="1:16" ht="15" customHeight="1" x14ac:dyDescent="0.25">
      <c r="A106" s="1533"/>
      <c r="B106" s="1487"/>
      <c r="C106" s="1487"/>
      <c r="D106" s="1487"/>
      <c r="E106" s="1487"/>
      <c r="F106" s="1487"/>
      <c r="G106" s="1487"/>
      <c r="H106" s="1487"/>
      <c r="I106" s="1487"/>
      <c r="J106" s="1487"/>
      <c r="K106" s="1487"/>
      <c r="L106" s="1487"/>
      <c r="M106" s="1487"/>
      <c r="N106" s="1487"/>
      <c r="O106" s="1487"/>
      <c r="P106" s="438"/>
    </row>
    <row r="107" spans="1:16" ht="15" customHeight="1" x14ac:dyDescent="0.25">
      <c r="A107" s="397"/>
      <c r="B107" s="2992"/>
      <c r="C107" s="2893"/>
      <c r="D107" s="2893"/>
      <c r="E107" s="2894"/>
      <c r="F107" s="1588" t="s">
        <v>1046</v>
      </c>
      <c r="G107" s="1678"/>
      <c r="H107" s="1678"/>
      <c r="I107" s="1678"/>
      <c r="J107" s="1678"/>
      <c r="K107" s="1678"/>
      <c r="L107" s="325"/>
      <c r="M107" s="325"/>
      <c r="N107" s="1487"/>
      <c r="O107" s="1487"/>
      <c r="P107" s="441"/>
    </row>
    <row r="108" spans="1:16" ht="15" customHeight="1" x14ac:dyDescent="0.25">
      <c r="A108" s="397"/>
      <c r="B108" s="1814" t="s">
        <v>1405</v>
      </c>
      <c r="C108" s="1815"/>
      <c r="D108" s="1815"/>
      <c r="E108" s="1815"/>
      <c r="F108" s="1816" t="str">
        <f>IF(AND(ISNUMBER(F109), ISNUMBER(F113), ISNUMBER(F117)), SUM(F109, F113, F117), "")</f>
        <v/>
      </c>
      <c r="G108" s="1788"/>
      <c r="H108" s="1788"/>
      <c r="I108" s="1788"/>
      <c r="J108" s="1788"/>
      <c r="K108" s="1788"/>
      <c r="L108" s="325"/>
      <c r="M108" s="325"/>
      <c r="N108" s="1487"/>
      <c r="O108" s="1487"/>
      <c r="P108" s="441"/>
    </row>
    <row r="109" spans="1:16" ht="15" customHeight="1" x14ac:dyDescent="0.25">
      <c r="A109" s="397"/>
      <c r="B109" s="417" t="s">
        <v>477</v>
      </c>
      <c r="C109" s="1641"/>
      <c r="D109" s="1641"/>
      <c r="E109" s="1641"/>
      <c r="F109" s="100" t="str">
        <f>IF(AND(ISNUMBER(F110), ISNUMBER(F111), ISNUMBER(F112)), IF($I$4="Medium", F110, IF($I$4="High", F111, IF($I$4="Low", F112, ""))), "")</f>
        <v/>
      </c>
      <c r="G109" s="1487"/>
      <c r="H109" s="1487"/>
      <c r="I109" s="1487"/>
      <c r="J109" s="1487"/>
      <c r="K109" s="1487"/>
      <c r="L109" s="1487"/>
      <c r="N109" s="1487"/>
      <c r="O109" s="1487"/>
      <c r="P109" s="833"/>
    </row>
    <row r="110" spans="1:16" ht="15" customHeight="1" x14ac:dyDescent="0.25">
      <c r="A110" s="397"/>
      <c r="B110" s="1812" t="s">
        <v>1198</v>
      </c>
      <c r="C110" s="198"/>
      <c r="D110" s="198"/>
      <c r="E110" s="198"/>
      <c r="F110" s="1705"/>
      <c r="G110" s="1487"/>
      <c r="H110" s="1487"/>
      <c r="I110" s="1487"/>
      <c r="J110" s="1487"/>
      <c r="K110" s="1487"/>
      <c r="L110" s="1487"/>
      <c r="N110" s="1487"/>
      <c r="O110" s="1487"/>
      <c r="P110" s="833"/>
    </row>
    <row r="111" spans="1:16" ht="15" customHeight="1" x14ac:dyDescent="0.25">
      <c r="A111" s="397"/>
      <c r="B111" s="1812" t="s">
        <v>1199</v>
      </c>
      <c r="C111" s="198"/>
      <c r="D111" s="198"/>
      <c r="E111" s="198"/>
      <c r="F111" s="1705"/>
      <c r="G111" s="477"/>
      <c r="H111" s="477"/>
      <c r="I111" s="477"/>
      <c r="J111" s="477"/>
      <c r="K111" s="1487"/>
      <c r="L111" s="1487"/>
      <c r="N111" s="1487"/>
      <c r="O111" s="1487"/>
      <c r="P111" s="833"/>
    </row>
    <row r="112" spans="1:16" ht="15" customHeight="1" x14ac:dyDescent="0.25">
      <c r="A112" s="397"/>
      <c r="B112" s="1812" t="s">
        <v>1200</v>
      </c>
      <c r="C112" s="198"/>
      <c r="D112" s="198"/>
      <c r="E112" s="198"/>
      <c r="F112" s="1705"/>
      <c r="G112" s="477"/>
      <c r="H112" s="477"/>
      <c r="I112" s="477"/>
      <c r="J112" s="477"/>
      <c r="K112" s="1487"/>
      <c r="L112" s="1487"/>
      <c r="N112" s="1487"/>
      <c r="O112" s="1487"/>
      <c r="P112" s="833"/>
    </row>
    <row r="113" spans="1:16" ht="15" customHeight="1" x14ac:dyDescent="0.25">
      <c r="A113" s="397"/>
      <c r="B113" s="417" t="s">
        <v>478</v>
      </c>
      <c r="C113" s="1641"/>
      <c r="D113" s="1641"/>
      <c r="E113" s="1641"/>
      <c r="F113" s="100" t="str">
        <f>IF(AND(ISNUMBER(F114), ISNUMBER(F115), ISNUMBER(F116)), IF($I$4="Medium", F114, IF($I$4="High", F115, IF($I$4="Low", F116, ""))), "")</f>
        <v/>
      </c>
      <c r="G113" s="477"/>
      <c r="H113" s="477"/>
      <c r="I113" s="477"/>
      <c r="J113" s="477"/>
      <c r="K113" s="1487"/>
      <c r="L113" s="1487"/>
      <c r="N113" s="1487"/>
      <c r="O113" s="1487"/>
      <c r="P113" s="833"/>
    </row>
    <row r="114" spans="1:16" ht="15" customHeight="1" x14ac:dyDescent="0.25">
      <c r="A114" s="397"/>
      <c r="B114" s="1812" t="s">
        <v>1198</v>
      </c>
      <c r="C114" s="198"/>
      <c r="D114" s="198"/>
      <c r="E114" s="198"/>
      <c r="F114" s="1705"/>
      <c r="G114" s="477"/>
      <c r="H114" s="477"/>
      <c r="I114" s="477"/>
      <c r="J114" s="477"/>
      <c r="K114" s="1487"/>
      <c r="L114" s="1487"/>
      <c r="N114" s="1487"/>
      <c r="O114" s="1487"/>
      <c r="P114" s="833"/>
    </row>
    <row r="115" spans="1:16" ht="15" customHeight="1" x14ac:dyDescent="0.25">
      <c r="A115" s="397"/>
      <c r="B115" s="1812" t="s">
        <v>1199</v>
      </c>
      <c r="C115" s="198"/>
      <c r="D115" s="198"/>
      <c r="E115" s="198"/>
      <c r="F115" s="1705"/>
      <c r="G115" s="477"/>
      <c r="H115" s="477"/>
      <c r="I115" s="477"/>
      <c r="J115" s="477"/>
      <c r="K115" s="1487"/>
      <c r="L115" s="1487"/>
      <c r="N115" s="1487"/>
      <c r="O115" s="1487"/>
      <c r="P115" s="833"/>
    </row>
    <row r="116" spans="1:16" ht="15" customHeight="1" x14ac:dyDescent="0.25">
      <c r="A116" s="397"/>
      <c r="B116" s="1812" t="s">
        <v>1200</v>
      </c>
      <c r="C116" s="198"/>
      <c r="D116" s="198"/>
      <c r="E116" s="198"/>
      <c r="F116" s="1705"/>
      <c r="G116" s="477"/>
      <c r="H116" s="477"/>
      <c r="I116" s="477"/>
      <c r="J116" s="477"/>
      <c r="K116" s="1487"/>
      <c r="L116" s="1487"/>
      <c r="N116" s="1487"/>
      <c r="O116" s="1487"/>
      <c r="P116" s="833"/>
    </row>
    <row r="117" spans="1:16" ht="15" customHeight="1" x14ac:dyDescent="0.25">
      <c r="A117" s="397"/>
      <c r="B117" s="417" t="s">
        <v>479</v>
      </c>
      <c r="C117" s="1641"/>
      <c r="D117" s="1641"/>
      <c r="E117" s="1641"/>
      <c r="F117" s="100" t="str">
        <f>IF(AND(ISNUMBER(F118), ISNUMBER(F119), ISNUMBER(F120)), IF($I$4="Medium", F118, IF($I$4="High", F119, IF($I$4="Low", F120, ""))), "")</f>
        <v/>
      </c>
      <c r="G117" s="477"/>
      <c r="H117" s="477"/>
      <c r="I117" s="477"/>
      <c r="J117" s="477"/>
      <c r="K117" s="1487"/>
      <c r="L117" s="1487"/>
      <c r="N117" s="1487"/>
      <c r="O117" s="1487"/>
      <c r="P117" s="833"/>
    </row>
    <row r="118" spans="1:16" ht="15" customHeight="1" x14ac:dyDescent="0.25">
      <c r="A118" s="397"/>
      <c r="B118" s="1812" t="s">
        <v>1198</v>
      </c>
      <c r="C118" s="198"/>
      <c r="D118" s="198"/>
      <c r="E118" s="198"/>
      <c r="F118" s="1705"/>
      <c r="G118" s="1487"/>
      <c r="H118" s="1487"/>
      <c r="I118" s="1487"/>
      <c r="J118" s="1487"/>
      <c r="K118" s="1487"/>
      <c r="L118" s="1487"/>
      <c r="N118" s="1487"/>
      <c r="O118" s="1487"/>
      <c r="P118" s="833"/>
    </row>
    <row r="119" spans="1:16" ht="15" customHeight="1" x14ac:dyDescent="0.25">
      <c r="A119" s="397"/>
      <c r="B119" s="1812" t="s">
        <v>1199</v>
      </c>
      <c r="C119" s="198"/>
      <c r="D119" s="198"/>
      <c r="E119" s="198"/>
      <c r="F119" s="1705"/>
      <c r="G119" s="1487"/>
      <c r="H119" s="1487"/>
      <c r="I119" s="1487"/>
      <c r="J119" s="1487"/>
      <c r="K119" s="1487"/>
      <c r="L119" s="1487"/>
      <c r="N119" s="1487"/>
      <c r="O119" s="1487"/>
      <c r="P119" s="833"/>
    </row>
    <row r="120" spans="1:16" ht="15" customHeight="1" x14ac:dyDescent="0.25">
      <c r="A120" s="397"/>
      <c r="B120" s="1813" t="s">
        <v>1200</v>
      </c>
      <c r="C120" s="411"/>
      <c r="D120" s="411"/>
      <c r="E120" s="411"/>
      <c r="F120" s="1706"/>
      <c r="G120" s="1487"/>
      <c r="H120" s="1487"/>
      <c r="I120" s="1487"/>
      <c r="J120" s="1487"/>
      <c r="K120" s="1487"/>
      <c r="L120" s="1487"/>
      <c r="N120" s="1487"/>
      <c r="O120" s="1487"/>
      <c r="P120" s="833"/>
    </row>
    <row r="121" spans="1:16" ht="15" customHeight="1" x14ac:dyDescent="0.25">
      <c r="A121" s="1242"/>
      <c r="B121" s="434"/>
      <c r="C121" s="434"/>
      <c r="D121" s="434"/>
      <c r="E121" s="434"/>
      <c r="F121" s="434"/>
      <c r="G121" s="434"/>
      <c r="H121" s="434"/>
      <c r="I121" s="434"/>
      <c r="J121" s="434"/>
      <c r="K121" s="434"/>
      <c r="L121" s="434"/>
      <c r="M121" s="434"/>
      <c r="N121" s="434"/>
      <c r="O121" s="434"/>
      <c r="P121" s="1243"/>
    </row>
    <row r="122" spans="1:16" ht="45" customHeight="1" x14ac:dyDescent="0.25">
      <c r="A122" s="2314" t="s">
        <v>2209</v>
      </c>
      <c r="B122" s="104"/>
      <c r="C122" s="1523"/>
      <c r="D122" s="1523"/>
      <c r="E122" s="1523"/>
      <c r="F122" s="1523"/>
      <c r="G122" s="325"/>
      <c r="H122" s="325"/>
      <c r="I122" s="325"/>
      <c r="J122" s="325"/>
      <c r="K122" s="325"/>
      <c r="L122" s="325"/>
      <c r="M122" s="325"/>
      <c r="N122" s="325"/>
      <c r="O122" s="325"/>
      <c r="P122" s="441"/>
    </row>
    <row r="123" spans="1:16" ht="30" customHeight="1" x14ac:dyDescent="0.25">
      <c r="A123" s="1645"/>
      <c r="B123" s="2977" t="s">
        <v>1255</v>
      </c>
      <c r="C123" s="2997" t="s">
        <v>1256</v>
      </c>
      <c r="D123" s="2999" t="s">
        <v>1257</v>
      </c>
      <c r="E123" s="3041"/>
      <c r="F123" s="2966" t="s">
        <v>1366</v>
      </c>
      <c r="G123" s="2966"/>
      <c r="H123" s="2966"/>
      <c r="I123" s="2994" t="s">
        <v>1367</v>
      </c>
      <c r="J123" s="2966"/>
      <c r="K123" s="2993"/>
      <c r="L123" s="2966" t="s">
        <v>1368</v>
      </c>
      <c r="M123" s="2966"/>
      <c r="N123" s="2966"/>
      <c r="O123" s="1839"/>
      <c r="P123" s="497"/>
    </row>
    <row r="124" spans="1:16" ht="15" customHeight="1" x14ac:dyDescent="0.25">
      <c r="A124" s="1647"/>
      <c r="B124" s="2978"/>
      <c r="C124" s="3040"/>
      <c r="D124" s="3000"/>
      <c r="E124" s="3042"/>
      <c r="F124" s="1703" t="s">
        <v>1208</v>
      </c>
      <c r="G124" s="1621" t="s">
        <v>1209</v>
      </c>
      <c r="H124" s="1628" t="s">
        <v>1210</v>
      </c>
      <c r="I124" s="1712" t="s">
        <v>1208</v>
      </c>
      <c r="J124" s="1621" t="s">
        <v>1209</v>
      </c>
      <c r="K124" s="1713" t="s">
        <v>1210</v>
      </c>
      <c r="L124" s="1659" t="s">
        <v>1208</v>
      </c>
      <c r="M124" s="1658" t="s">
        <v>1209</v>
      </c>
      <c r="N124" s="1626" t="s">
        <v>1210</v>
      </c>
      <c r="O124" s="1841"/>
      <c r="P124" s="497"/>
    </row>
    <row r="125" spans="1:16" ht="15" customHeight="1" x14ac:dyDescent="0.25">
      <c r="A125" s="1533"/>
      <c r="B125" s="136">
        <v>1</v>
      </c>
      <c r="C125" s="3045" t="s">
        <v>1372</v>
      </c>
      <c r="D125" s="3037" t="s">
        <v>1271</v>
      </c>
      <c r="E125" s="3038"/>
      <c r="F125" s="1710"/>
      <c r="G125" s="1651"/>
      <c r="H125" s="1651"/>
      <c r="I125" s="1661"/>
      <c r="J125" s="1650"/>
      <c r="K125" s="1660"/>
      <c r="L125" s="1710"/>
      <c r="M125" s="1651"/>
      <c r="N125" s="1651"/>
      <c r="O125" s="575"/>
      <c r="P125" s="497"/>
    </row>
    <row r="126" spans="1:16" ht="15" customHeight="1" x14ac:dyDescent="0.25">
      <c r="A126" s="1533"/>
      <c r="B126" s="128">
        <v>2</v>
      </c>
      <c r="C126" s="2981"/>
      <c r="D126" s="2972" t="s">
        <v>1272</v>
      </c>
      <c r="E126" s="2979"/>
      <c r="F126" s="630"/>
      <c r="G126" s="1652"/>
      <c r="H126" s="1652"/>
      <c r="I126" s="1664"/>
      <c r="J126" s="1654"/>
      <c r="K126" s="1663"/>
      <c r="L126" s="630"/>
      <c r="M126" s="1652"/>
      <c r="N126" s="1652"/>
      <c r="O126" s="575"/>
      <c r="P126" s="497"/>
    </row>
    <row r="127" spans="1:16" ht="15" customHeight="1" x14ac:dyDescent="0.25">
      <c r="A127" s="1533"/>
      <c r="B127" s="128">
        <v>3</v>
      </c>
      <c r="C127" s="2981"/>
      <c r="D127" s="2972" t="s">
        <v>1273</v>
      </c>
      <c r="E127" s="2979"/>
      <c r="F127" s="630"/>
      <c r="G127" s="1652"/>
      <c r="H127" s="1652"/>
      <c r="I127" s="1664"/>
      <c r="J127" s="1654"/>
      <c r="K127" s="1663"/>
      <c r="L127" s="630"/>
      <c r="M127" s="1652"/>
      <c r="N127" s="1652"/>
      <c r="O127" s="575"/>
      <c r="P127" s="497"/>
    </row>
    <row r="128" spans="1:16" ht="15" customHeight="1" x14ac:dyDescent="0.25">
      <c r="A128" s="1533"/>
      <c r="B128" s="128">
        <v>4</v>
      </c>
      <c r="C128" s="2981"/>
      <c r="D128" s="2972" t="s">
        <v>1274</v>
      </c>
      <c r="E128" s="2979"/>
      <c r="F128" s="630"/>
      <c r="G128" s="1652"/>
      <c r="H128" s="1652"/>
      <c r="I128" s="1664"/>
      <c r="J128" s="1654"/>
      <c r="K128" s="1663"/>
      <c r="L128" s="630"/>
      <c r="M128" s="1652"/>
      <c r="N128" s="1652"/>
      <c r="O128" s="575"/>
      <c r="P128" s="497"/>
    </row>
    <row r="129" spans="1:16" ht="15" customHeight="1" x14ac:dyDescent="0.25">
      <c r="A129" s="1533"/>
      <c r="B129" s="128">
        <v>5</v>
      </c>
      <c r="C129" s="2981"/>
      <c r="D129" s="2972" t="s">
        <v>1275</v>
      </c>
      <c r="E129" s="2979"/>
      <c r="F129" s="630"/>
      <c r="G129" s="1652"/>
      <c r="H129" s="1652"/>
      <c r="I129" s="1664"/>
      <c r="J129" s="1654"/>
      <c r="K129" s="1663"/>
      <c r="L129" s="630"/>
      <c r="M129" s="1652"/>
      <c r="N129" s="1652"/>
      <c r="O129" s="575"/>
      <c r="P129" s="497"/>
    </row>
    <row r="130" spans="1:16" ht="15" customHeight="1" x14ac:dyDescent="0.25">
      <c r="A130" s="1533"/>
      <c r="B130" s="128">
        <v>6</v>
      </c>
      <c r="C130" s="2981"/>
      <c r="D130" s="2972" t="s">
        <v>1276</v>
      </c>
      <c r="E130" s="2979"/>
      <c r="F130" s="1711"/>
      <c r="G130" s="1648"/>
      <c r="H130" s="1648"/>
      <c r="I130" s="1664"/>
      <c r="J130" s="1654"/>
      <c r="K130" s="1663"/>
      <c r="L130" s="1711"/>
      <c r="M130" s="1648"/>
      <c r="N130" s="1648"/>
      <c r="O130" s="575"/>
      <c r="P130" s="497"/>
    </row>
    <row r="131" spans="1:16" ht="15" customHeight="1" x14ac:dyDescent="0.25">
      <c r="A131" s="1533"/>
      <c r="B131" s="128">
        <v>7</v>
      </c>
      <c r="C131" s="2981"/>
      <c r="D131" s="2972" t="s">
        <v>1277</v>
      </c>
      <c r="E131" s="2979"/>
      <c r="F131" s="630"/>
      <c r="G131" s="1652"/>
      <c r="H131" s="1652"/>
      <c r="I131" s="1664"/>
      <c r="J131" s="1654"/>
      <c r="K131" s="1663"/>
      <c r="L131" s="630"/>
      <c r="M131" s="1652"/>
      <c r="N131" s="1652"/>
      <c r="O131" s="575"/>
      <c r="P131" s="497"/>
    </row>
    <row r="132" spans="1:16" ht="15" customHeight="1" x14ac:dyDescent="0.25">
      <c r="A132" s="1533"/>
      <c r="B132" s="128">
        <v>8</v>
      </c>
      <c r="C132" s="2981"/>
      <c r="D132" s="2972" t="s">
        <v>1278</v>
      </c>
      <c r="E132" s="2979"/>
      <c r="F132" s="630"/>
      <c r="G132" s="1652"/>
      <c r="H132" s="1652"/>
      <c r="I132" s="1664"/>
      <c r="J132" s="1654"/>
      <c r="K132" s="1663"/>
      <c r="L132" s="630"/>
      <c r="M132" s="1652"/>
      <c r="N132" s="1652"/>
      <c r="O132" s="575"/>
      <c r="P132" s="497"/>
    </row>
    <row r="133" spans="1:16" ht="15" customHeight="1" x14ac:dyDescent="0.25">
      <c r="A133" s="1533"/>
      <c r="B133" s="128">
        <v>9</v>
      </c>
      <c r="C133" s="3051" t="s">
        <v>1371</v>
      </c>
      <c r="D133" s="2972" t="s">
        <v>1271</v>
      </c>
      <c r="E133" s="2979"/>
      <c r="F133" s="630"/>
      <c r="G133" s="1652"/>
      <c r="H133" s="1652"/>
      <c r="I133" s="1664"/>
      <c r="J133" s="1654"/>
      <c r="K133" s="1663"/>
      <c r="L133" s="630"/>
      <c r="M133" s="1652"/>
      <c r="N133" s="1652"/>
      <c r="O133" s="575"/>
      <c r="P133" s="497"/>
    </row>
    <row r="134" spans="1:16" ht="15" customHeight="1" x14ac:dyDescent="0.25">
      <c r="A134" s="1533"/>
      <c r="B134" s="128">
        <v>10</v>
      </c>
      <c r="C134" s="2981"/>
      <c r="D134" s="2972" t="s">
        <v>1272</v>
      </c>
      <c r="E134" s="2979"/>
      <c r="F134" s="1711"/>
      <c r="G134" s="1648"/>
      <c r="H134" s="1648"/>
      <c r="I134" s="1664"/>
      <c r="J134" s="1654"/>
      <c r="K134" s="1663"/>
      <c r="L134" s="1711"/>
      <c r="M134" s="1648"/>
      <c r="N134" s="1648"/>
      <c r="O134" s="575"/>
      <c r="P134" s="497"/>
    </row>
    <row r="135" spans="1:16" ht="15" customHeight="1" x14ac:dyDescent="0.25">
      <c r="A135" s="1533"/>
      <c r="B135" s="128">
        <v>11</v>
      </c>
      <c r="C135" s="2981"/>
      <c r="D135" s="2972" t="s">
        <v>1273</v>
      </c>
      <c r="E135" s="2979"/>
      <c r="F135" s="630"/>
      <c r="G135" s="1652"/>
      <c r="H135" s="1652"/>
      <c r="I135" s="1664"/>
      <c r="J135" s="1654"/>
      <c r="K135" s="1663"/>
      <c r="L135" s="630"/>
      <c r="M135" s="1652"/>
      <c r="N135" s="1652"/>
      <c r="O135" s="575"/>
      <c r="P135" s="497"/>
    </row>
    <row r="136" spans="1:16" ht="15" customHeight="1" x14ac:dyDescent="0.25">
      <c r="A136" s="1533"/>
      <c r="B136" s="128">
        <v>12</v>
      </c>
      <c r="C136" s="2981"/>
      <c r="D136" s="2972" t="s">
        <v>1274</v>
      </c>
      <c r="E136" s="2979"/>
      <c r="F136" s="630"/>
      <c r="G136" s="1652"/>
      <c r="H136" s="1652"/>
      <c r="I136" s="1664"/>
      <c r="J136" s="1654"/>
      <c r="K136" s="1663"/>
      <c r="L136" s="630"/>
      <c r="M136" s="1652"/>
      <c r="N136" s="1652"/>
      <c r="O136" s="575"/>
      <c r="P136" s="497"/>
    </row>
    <row r="137" spans="1:16" ht="15" customHeight="1" x14ac:dyDescent="0.25">
      <c r="A137" s="1533"/>
      <c r="B137" s="128">
        <v>13</v>
      </c>
      <c r="C137" s="2981"/>
      <c r="D137" s="2972" t="s">
        <v>1275</v>
      </c>
      <c r="E137" s="2979"/>
      <c r="F137" s="630"/>
      <c r="G137" s="1652"/>
      <c r="H137" s="1652"/>
      <c r="I137" s="1664"/>
      <c r="J137" s="1654"/>
      <c r="K137" s="1663"/>
      <c r="L137" s="630"/>
      <c r="M137" s="1652"/>
      <c r="N137" s="1652"/>
      <c r="O137" s="575"/>
      <c r="P137" s="497"/>
    </row>
    <row r="138" spans="1:16" ht="15" customHeight="1" x14ac:dyDescent="0.25">
      <c r="A138" s="1533"/>
      <c r="B138" s="128">
        <v>14</v>
      </c>
      <c r="C138" s="2981"/>
      <c r="D138" s="2972" t="s">
        <v>1276</v>
      </c>
      <c r="E138" s="2979"/>
      <c r="F138" s="1711"/>
      <c r="G138" s="1648"/>
      <c r="H138" s="1648"/>
      <c r="I138" s="1664"/>
      <c r="J138" s="1654"/>
      <c r="K138" s="1663"/>
      <c r="L138" s="1711"/>
      <c r="M138" s="1648"/>
      <c r="N138" s="1648"/>
      <c r="O138" s="575"/>
      <c r="P138" s="497"/>
    </row>
    <row r="139" spans="1:16" ht="15" customHeight="1" x14ac:dyDescent="0.25">
      <c r="A139" s="1533"/>
      <c r="B139" s="128">
        <v>15</v>
      </c>
      <c r="C139" s="2981"/>
      <c r="D139" s="2972" t="s">
        <v>1277</v>
      </c>
      <c r="E139" s="2979"/>
      <c r="F139" s="630"/>
      <c r="G139" s="1652"/>
      <c r="H139" s="1652"/>
      <c r="I139" s="1664"/>
      <c r="J139" s="1654"/>
      <c r="K139" s="1663"/>
      <c r="L139" s="630"/>
      <c r="M139" s="1652"/>
      <c r="N139" s="1652"/>
      <c r="O139" s="575"/>
      <c r="P139" s="497"/>
    </row>
    <row r="140" spans="1:16" ht="15" customHeight="1" x14ac:dyDescent="0.25">
      <c r="A140" s="1533"/>
      <c r="B140" s="128">
        <v>16</v>
      </c>
      <c r="C140" s="2981"/>
      <c r="D140" s="2972" t="s">
        <v>1278</v>
      </c>
      <c r="E140" s="2979"/>
      <c r="F140" s="630"/>
      <c r="G140" s="1652"/>
      <c r="H140" s="1652"/>
      <c r="I140" s="1664"/>
      <c r="J140" s="1654"/>
      <c r="K140" s="1663"/>
      <c r="L140" s="630"/>
      <c r="M140" s="1652"/>
      <c r="N140" s="1652"/>
      <c r="O140" s="575"/>
      <c r="P140" s="497"/>
    </row>
    <row r="141" spans="1:16" ht="15" customHeight="1" x14ac:dyDescent="0.25">
      <c r="A141" s="1533"/>
      <c r="B141" s="128">
        <v>17</v>
      </c>
      <c r="C141" s="2981" t="s">
        <v>1279</v>
      </c>
      <c r="D141" s="2972" t="s">
        <v>1271</v>
      </c>
      <c r="E141" s="2979"/>
      <c r="F141" s="630"/>
      <c r="G141" s="1652"/>
      <c r="H141" s="1652"/>
      <c r="I141" s="1664"/>
      <c r="J141" s="1654"/>
      <c r="K141" s="1663"/>
      <c r="L141" s="630"/>
      <c r="M141" s="1652"/>
      <c r="N141" s="1652"/>
      <c r="O141" s="575"/>
      <c r="P141" s="497"/>
    </row>
    <row r="142" spans="1:16" ht="15" customHeight="1" x14ac:dyDescent="0.25">
      <c r="A142" s="1533"/>
      <c r="B142" s="128">
        <v>18</v>
      </c>
      <c r="C142" s="2981"/>
      <c r="D142" s="2972" t="s">
        <v>1272</v>
      </c>
      <c r="E142" s="2979"/>
      <c r="F142" s="1711"/>
      <c r="G142" s="1648"/>
      <c r="H142" s="1648"/>
      <c r="I142" s="1664"/>
      <c r="J142" s="1654"/>
      <c r="K142" s="1663"/>
      <c r="L142" s="1711"/>
      <c r="M142" s="1648"/>
      <c r="N142" s="1648"/>
      <c r="O142" s="575"/>
      <c r="P142" s="497"/>
    </row>
    <row r="143" spans="1:16" ht="15" customHeight="1" x14ac:dyDescent="0.25">
      <c r="A143" s="1533"/>
      <c r="B143" s="128">
        <v>19</v>
      </c>
      <c r="C143" s="2981"/>
      <c r="D143" s="2972" t="s">
        <v>1273</v>
      </c>
      <c r="E143" s="2979"/>
      <c r="F143" s="630"/>
      <c r="G143" s="1652"/>
      <c r="H143" s="1652"/>
      <c r="I143" s="1664"/>
      <c r="J143" s="1654"/>
      <c r="K143" s="1663"/>
      <c r="L143" s="630"/>
      <c r="M143" s="1652"/>
      <c r="N143" s="1652"/>
      <c r="O143" s="575"/>
      <c r="P143" s="497"/>
    </row>
    <row r="144" spans="1:16" ht="15" customHeight="1" x14ac:dyDescent="0.25">
      <c r="A144" s="1533"/>
      <c r="B144" s="128">
        <v>20</v>
      </c>
      <c r="C144" s="2981"/>
      <c r="D144" s="2972" t="s">
        <v>1274</v>
      </c>
      <c r="E144" s="2979"/>
      <c r="F144" s="630"/>
      <c r="G144" s="1652"/>
      <c r="H144" s="1652"/>
      <c r="I144" s="1664"/>
      <c r="J144" s="1654"/>
      <c r="K144" s="1663"/>
      <c r="L144" s="630"/>
      <c r="M144" s="1652"/>
      <c r="N144" s="1652"/>
      <c r="O144" s="575"/>
      <c r="P144" s="497"/>
    </row>
    <row r="145" spans="1:16" ht="15" customHeight="1" x14ac:dyDescent="0.25">
      <c r="A145" s="1533"/>
      <c r="B145" s="128">
        <v>21</v>
      </c>
      <c r="C145" s="2981"/>
      <c r="D145" s="2972" t="s">
        <v>1275</v>
      </c>
      <c r="E145" s="2979"/>
      <c r="F145" s="630"/>
      <c r="G145" s="1652"/>
      <c r="H145" s="1652"/>
      <c r="I145" s="1664"/>
      <c r="J145" s="1654"/>
      <c r="K145" s="1663"/>
      <c r="L145" s="630"/>
      <c r="M145" s="1652"/>
      <c r="N145" s="1652"/>
      <c r="O145" s="575"/>
      <c r="P145" s="497"/>
    </row>
    <row r="146" spans="1:16" ht="15" customHeight="1" x14ac:dyDescent="0.25">
      <c r="A146" s="1533"/>
      <c r="B146" s="128">
        <v>22</v>
      </c>
      <c r="C146" s="2981"/>
      <c r="D146" s="2972" t="s">
        <v>1276</v>
      </c>
      <c r="E146" s="2979"/>
      <c r="F146" s="1711"/>
      <c r="G146" s="1648"/>
      <c r="H146" s="1648"/>
      <c r="I146" s="1664"/>
      <c r="J146" s="1654"/>
      <c r="K146" s="1663"/>
      <c r="L146" s="1711"/>
      <c r="M146" s="1648"/>
      <c r="N146" s="1648"/>
      <c r="O146" s="575"/>
      <c r="P146" s="497"/>
    </row>
    <row r="147" spans="1:16" ht="15" customHeight="1" x14ac:dyDescent="0.25">
      <c r="A147" s="1533"/>
      <c r="B147" s="128">
        <v>23</v>
      </c>
      <c r="C147" s="2981"/>
      <c r="D147" s="2972" t="s">
        <v>1277</v>
      </c>
      <c r="E147" s="2979"/>
      <c r="F147" s="630"/>
      <c r="G147" s="1652"/>
      <c r="H147" s="1652"/>
      <c r="I147" s="1664"/>
      <c r="J147" s="1654"/>
      <c r="K147" s="1663"/>
      <c r="L147" s="630"/>
      <c r="M147" s="1652"/>
      <c r="N147" s="1652"/>
      <c r="O147" s="575"/>
      <c r="P147" s="497"/>
    </row>
    <row r="148" spans="1:16" ht="15" customHeight="1" x14ac:dyDescent="0.25">
      <c r="A148" s="1533"/>
      <c r="B148" s="128">
        <v>24</v>
      </c>
      <c r="C148" s="2981"/>
      <c r="D148" s="2972" t="s">
        <v>1278</v>
      </c>
      <c r="E148" s="2979"/>
      <c r="F148" s="630"/>
      <c r="G148" s="1652"/>
      <c r="H148" s="1652"/>
      <c r="I148" s="1664"/>
      <c r="J148" s="1654"/>
      <c r="K148" s="1663"/>
      <c r="L148" s="630"/>
      <c r="M148" s="1652"/>
      <c r="N148" s="1652"/>
      <c r="O148" s="575"/>
      <c r="P148" s="497"/>
    </row>
    <row r="149" spans="1:16" ht="15" customHeight="1" x14ac:dyDescent="0.25">
      <c r="A149" s="1533"/>
      <c r="B149" s="254">
        <v>25</v>
      </c>
      <c r="C149" s="3049" t="s">
        <v>1270</v>
      </c>
      <c r="D149" s="3050"/>
      <c r="E149" s="3050"/>
      <c r="F149" s="631"/>
      <c r="G149" s="1656"/>
      <c r="H149" s="1656"/>
      <c r="I149" s="1667"/>
      <c r="J149" s="1655"/>
      <c r="K149" s="1672"/>
      <c r="L149" s="631"/>
      <c r="M149" s="1656"/>
      <c r="N149" s="1656"/>
      <c r="O149" s="575"/>
      <c r="P149" s="497"/>
    </row>
    <row r="150" spans="1:16" ht="15" customHeight="1" x14ac:dyDescent="0.25">
      <c r="A150" s="1533"/>
      <c r="B150" s="1487"/>
      <c r="C150" s="1487"/>
      <c r="D150" s="1487"/>
      <c r="E150" s="1487"/>
      <c r="F150" s="1487"/>
      <c r="G150" s="1487"/>
      <c r="H150" s="1487"/>
      <c r="I150" s="1487"/>
      <c r="J150" s="1487"/>
      <c r="K150" s="1487"/>
      <c r="L150" s="1487"/>
      <c r="M150" s="1487"/>
      <c r="N150" s="1487"/>
      <c r="O150" s="575"/>
      <c r="P150" s="438"/>
    </row>
    <row r="151" spans="1:16" ht="15" customHeight="1" x14ac:dyDescent="0.25">
      <c r="A151" s="397"/>
      <c r="B151" s="2992"/>
      <c r="C151" s="2893"/>
      <c r="D151" s="2893"/>
      <c r="E151" s="2894"/>
      <c r="F151" s="1588" t="s">
        <v>1046</v>
      </c>
      <c r="G151" s="1678"/>
      <c r="H151" s="1678"/>
      <c r="I151" s="1678"/>
      <c r="J151" s="1678"/>
      <c r="K151" s="1678"/>
      <c r="L151" s="325"/>
      <c r="M151" s="325"/>
      <c r="N151" s="1487"/>
      <c r="O151" s="575"/>
      <c r="P151" s="441"/>
    </row>
    <row r="152" spans="1:16" ht="15" customHeight="1" x14ac:dyDescent="0.25">
      <c r="A152" s="397"/>
      <c r="B152" s="1814" t="s">
        <v>1408</v>
      </c>
      <c r="C152" s="1815"/>
      <c r="D152" s="1815"/>
      <c r="E152" s="1815"/>
      <c r="F152" s="1816" t="str">
        <f>IF(AND(ISNUMBER(F153), ISNUMBER(F157), ISNUMBER(F161)), SUM(F153, F157, F161), "")</f>
        <v/>
      </c>
      <c r="G152" s="1788"/>
      <c r="H152" s="1788"/>
      <c r="I152" s="1788"/>
      <c r="J152" s="1788"/>
      <c r="K152" s="1788"/>
      <c r="L152" s="325"/>
      <c r="M152" s="325"/>
      <c r="N152" s="1487"/>
      <c r="O152" s="575"/>
      <c r="P152" s="441"/>
    </row>
    <row r="153" spans="1:16" ht="15" customHeight="1" x14ac:dyDescent="0.25">
      <c r="A153" s="397"/>
      <c r="B153" s="417" t="s">
        <v>477</v>
      </c>
      <c r="C153" s="1641"/>
      <c r="D153" s="1641"/>
      <c r="E153" s="1641"/>
      <c r="F153" s="100" t="str">
        <f>IF(AND(ISNUMBER(F154), ISNUMBER(F155), ISNUMBER(F156)), IF($I$4="Medium", F154, IF($I$4="High", F155, IF($I$4="Low", F156, ""))), "")</f>
        <v/>
      </c>
      <c r="G153" s="1487"/>
      <c r="H153" s="1487"/>
      <c r="I153" s="1487"/>
      <c r="J153" s="1487"/>
      <c r="K153" s="1487"/>
      <c r="L153" s="1487"/>
      <c r="N153" s="1487"/>
      <c r="O153" s="575"/>
      <c r="P153" s="833"/>
    </row>
    <row r="154" spans="1:16" ht="15" customHeight="1" x14ac:dyDescent="0.25">
      <c r="A154" s="397"/>
      <c r="B154" s="1812" t="s">
        <v>1198</v>
      </c>
      <c r="C154" s="198"/>
      <c r="D154" s="198"/>
      <c r="E154" s="198"/>
      <c r="F154" s="1705"/>
      <c r="G154" s="1487"/>
      <c r="H154" s="1487"/>
      <c r="I154" s="1487"/>
      <c r="J154" s="1487"/>
      <c r="K154" s="1487"/>
      <c r="L154" s="1487"/>
      <c r="N154" s="1487"/>
      <c r="O154" s="575"/>
      <c r="P154" s="833"/>
    </row>
    <row r="155" spans="1:16" ht="15" customHeight="1" x14ac:dyDescent="0.25">
      <c r="A155" s="397"/>
      <c r="B155" s="1812" t="s">
        <v>1199</v>
      </c>
      <c r="C155" s="198"/>
      <c r="D155" s="198"/>
      <c r="E155" s="198"/>
      <c r="F155" s="1705"/>
      <c r="G155" s="477"/>
      <c r="H155" s="477"/>
      <c r="I155" s="477"/>
      <c r="J155" s="477"/>
      <c r="K155" s="1487"/>
      <c r="L155" s="1487"/>
      <c r="N155" s="1487"/>
      <c r="O155" s="575"/>
      <c r="P155" s="833"/>
    </row>
    <row r="156" spans="1:16" ht="15" customHeight="1" x14ac:dyDescent="0.25">
      <c r="A156" s="397"/>
      <c r="B156" s="1812" t="s">
        <v>1200</v>
      </c>
      <c r="C156" s="198"/>
      <c r="D156" s="198"/>
      <c r="E156" s="198"/>
      <c r="F156" s="1705"/>
      <c r="G156" s="477"/>
      <c r="H156" s="477"/>
      <c r="I156" s="477"/>
      <c r="J156" s="477"/>
      <c r="K156" s="1487"/>
      <c r="L156" s="1487"/>
      <c r="N156" s="1487"/>
      <c r="O156" s="575"/>
      <c r="P156" s="833"/>
    </row>
    <row r="157" spans="1:16" ht="15" customHeight="1" x14ac:dyDescent="0.25">
      <c r="A157" s="397"/>
      <c r="B157" s="417" t="s">
        <v>478</v>
      </c>
      <c r="C157" s="1641"/>
      <c r="D157" s="1641"/>
      <c r="E157" s="1641"/>
      <c r="F157" s="100" t="str">
        <f>IF(AND(ISNUMBER(F158), ISNUMBER(F159), ISNUMBER(F160)), IF($I$4="Medium", F158, IF($I$4="High", F159, IF($I$4="Low", F160, ""))), "")</f>
        <v/>
      </c>
      <c r="G157" s="477"/>
      <c r="H157" s="477"/>
      <c r="I157" s="477"/>
      <c r="J157" s="477"/>
      <c r="K157" s="1487"/>
      <c r="L157" s="1487"/>
      <c r="N157" s="1487"/>
      <c r="O157" s="575"/>
      <c r="P157" s="833"/>
    </row>
    <row r="158" spans="1:16" ht="15" customHeight="1" x14ac:dyDescent="0.25">
      <c r="A158" s="397"/>
      <c r="B158" s="1812" t="s">
        <v>1198</v>
      </c>
      <c r="C158" s="198"/>
      <c r="D158" s="198"/>
      <c r="E158" s="198"/>
      <c r="F158" s="1705"/>
      <c r="G158" s="477"/>
      <c r="H158" s="477"/>
      <c r="I158" s="477"/>
      <c r="J158" s="477"/>
      <c r="K158" s="1487"/>
      <c r="L158" s="1487"/>
      <c r="N158" s="1487"/>
      <c r="O158" s="575"/>
      <c r="P158" s="833"/>
    </row>
    <row r="159" spans="1:16" ht="15" customHeight="1" x14ac:dyDescent="0.25">
      <c r="A159" s="397"/>
      <c r="B159" s="1812" t="s">
        <v>1199</v>
      </c>
      <c r="C159" s="198"/>
      <c r="D159" s="198"/>
      <c r="E159" s="198"/>
      <c r="F159" s="1705"/>
      <c r="G159" s="477"/>
      <c r="H159" s="477"/>
      <c r="I159" s="477"/>
      <c r="J159" s="477"/>
      <c r="K159" s="1487"/>
      <c r="L159" s="1487"/>
      <c r="N159" s="1487"/>
      <c r="O159" s="575"/>
      <c r="P159" s="833"/>
    </row>
    <row r="160" spans="1:16" ht="15" customHeight="1" x14ac:dyDescent="0.25">
      <c r="A160" s="397"/>
      <c r="B160" s="1812" t="s">
        <v>1200</v>
      </c>
      <c r="C160" s="198"/>
      <c r="D160" s="198"/>
      <c r="E160" s="198"/>
      <c r="F160" s="1705"/>
      <c r="G160" s="477"/>
      <c r="H160" s="477"/>
      <c r="I160" s="477"/>
      <c r="J160" s="477"/>
      <c r="K160" s="1487"/>
      <c r="L160" s="1487"/>
      <c r="N160" s="1487"/>
      <c r="O160" s="575"/>
      <c r="P160" s="833"/>
    </row>
    <row r="161" spans="1:16" ht="15" customHeight="1" x14ac:dyDescent="0.25">
      <c r="A161" s="397"/>
      <c r="B161" s="417" t="s">
        <v>479</v>
      </c>
      <c r="C161" s="1641"/>
      <c r="D161" s="1641"/>
      <c r="E161" s="1641"/>
      <c r="F161" s="100" t="str">
        <f>IF(AND(ISNUMBER(F162), ISNUMBER(F163), ISNUMBER(F164)), IF($I$4="Medium", F162, IF($I$4="High", F163, IF($I$4="Low", F164, ""))), "")</f>
        <v/>
      </c>
      <c r="G161" s="477"/>
      <c r="H161" s="477"/>
      <c r="I161" s="477"/>
      <c r="J161" s="477"/>
      <c r="K161" s="1487"/>
      <c r="L161" s="1487"/>
      <c r="N161" s="1487"/>
      <c r="O161" s="1487"/>
      <c r="P161" s="833"/>
    </row>
    <row r="162" spans="1:16" ht="15" customHeight="1" x14ac:dyDescent="0.25">
      <c r="A162" s="397"/>
      <c r="B162" s="1812" t="s">
        <v>1198</v>
      </c>
      <c r="C162" s="198"/>
      <c r="D162" s="198"/>
      <c r="E162" s="198"/>
      <c r="F162" s="1705"/>
      <c r="G162" s="1487"/>
      <c r="H162" s="1487"/>
      <c r="I162" s="1487"/>
      <c r="J162" s="1487"/>
      <c r="K162" s="1487"/>
      <c r="L162" s="1487"/>
      <c r="N162" s="1487"/>
      <c r="O162" s="1487"/>
      <c r="P162" s="833"/>
    </row>
    <row r="163" spans="1:16" ht="15" customHeight="1" x14ac:dyDescent="0.25">
      <c r="A163" s="397"/>
      <c r="B163" s="1812" t="s">
        <v>1199</v>
      </c>
      <c r="C163" s="198"/>
      <c r="D163" s="198"/>
      <c r="E163" s="198"/>
      <c r="F163" s="1705"/>
      <c r="G163" s="1487"/>
      <c r="H163" s="1487"/>
      <c r="I163" s="1487"/>
      <c r="J163" s="1487"/>
      <c r="K163" s="1487"/>
      <c r="L163" s="1487"/>
      <c r="N163" s="1487"/>
      <c r="O163" s="1487"/>
      <c r="P163" s="833"/>
    </row>
    <row r="164" spans="1:16" ht="15" customHeight="1" x14ac:dyDescent="0.25">
      <c r="A164" s="397"/>
      <c r="B164" s="1813" t="s">
        <v>1200</v>
      </c>
      <c r="C164" s="411"/>
      <c r="D164" s="411"/>
      <c r="E164" s="411"/>
      <c r="F164" s="1706"/>
      <c r="G164" s="1487"/>
      <c r="H164" s="1487"/>
      <c r="I164" s="1487"/>
      <c r="J164" s="1487"/>
      <c r="K164" s="1487"/>
      <c r="L164" s="1487"/>
      <c r="N164" s="1487"/>
      <c r="O164" s="1487"/>
      <c r="P164" s="833"/>
    </row>
    <row r="165" spans="1:16" ht="15" customHeight="1" x14ac:dyDescent="0.25">
      <c r="A165" s="1242"/>
      <c r="B165" s="434"/>
      <c r="C165" s="434"/>
      <c r="D165" s="434"/>
      <c r="E165" s="434"/>
      <c r="F165" s="434"/>
      <c r="G165" s="434"/>
      <c r="H165" s="434"/>
      <c r="I165" s="434"/>
      <c r="J165" s="434"/>
      <c r="K165" s="434"/>
      <c r="L165" s="434"/>
      <c r="M165" s="434"/>
      <c r="N165" s="434"/>
      <c r="O165" s="434"/>
      <c r="P165" s="1243"/>
    </row>
    <row r="166" spans="1:16" ht="45" customHeight="1" x14ac:dyDescent="0.25">
      <c r="A166" s="2314" t="s">
        <v>2210</v>
      </c>
      <c r="B166" s="104"/>
      <c r="C166" s="1523"/>
      <c r="D166" s="1523"/>
      <c r="E166" s="1523"/>
      <c r="F166" s="1523"/>
      <c r="G166" s="1523"/>
      <c r="H166" s="1523"/>
      <c r="I166" s="1523"/>
      <c r="J166" s="1523"/>
      <c r="K166" s="1523"/>
      <c r="L166" s="325"/>
      <c r="M166" s="325"/>
      <c r="N166" s="325"/>
      <c r="O166" s="325"/>
      <c r="P166" s="441"/>
    </row>
    <row r="167" spans="1:16" ht="15" customHeight="1" x14ac:dyDescent="0.25">
      <c r="A167" s="1349"/>
      <c r="B167" s="1842" t="s">
        <v>1017</v>
      </c>
      <c r="C167" s="1204"/>
      <c r="D167" s="1204"/>
      <c r="E167" s="1204"/>
      <c r="F167" s="1204"/>
      <c r="G167" s="193"/>
      <c r="H167" s="193"/>
      <c r="I167" s="193"/>
      <c r="J167" s="193"/>
      <c r="K167" s="193"/>
      <c r="L167" s="193"/>
      <c r="M167" s="193"/>
      <c r="N167" s="193"/>
      <c r="O167" s="193"/>
      <c r="P167" s="193"/>
    </row>
    <row r="168" spans="1:16" ht="15" customHeight="1" x14ac:dyDescent="0.25">
      <c r="A168" s="392"/>
      <c r="B168" s="1843" t="s">
        <v>1411</v>
      </c>
      <c r="C168" s="1753"/>
      <c r="D168" s="1753"/>
      <c r="E168" s="1753"/>
      <c r="F168" s="1844" t="str">
        <f>IF(OR(ISNUMBER(TB!G34), ISNUMBER(TB!G53)), TB!G34+TB!G53, "")</f>
        <v/>
      </c>
      <c r="M168" s="258"/>
      <c r="N168" s="258"/>
      <c r="O168" s="258"/>
      <c r="P168" s="791"/>
    </row>
    <row r="169" spans="1:16" ht="15" customHeight="1" x14ac:dyDescent="0.25">
      <c r="A169" s="392"/>
      <c r="B169" s="1845" t="s">
        <v>1409</v>
      </c>
      <c r="C169" s="1845"/>
      <c r="D169" s="1845"/>
      <c r="E169" s="1845"/>
      <c r="F169" s="1846" t="str">
        <f>IF(ISNUMBER(F168), IF(F168&gt;0, "Yes", "No"), "TB worksheet not filled in.")</f>
        <v>TB worksheet not filled in.</v>
      </c>
      <c r="G169" s="510"/>
      <c r="H169" s="510"/>
      <c r="I169" s="510"/>
      <c r="J169" s="510"/>
      <c r="K169" s="510"/>
      <c r="L169" s="510"/>
      <c r="M169" s="258"/>
      <c r="N169" s="258"/>
      <c r="O169" s="258"/>
      <c r="P169" s="791"/>
    </row>
    <row r="170" spans="1:16" ht="15" customHeight="1" x14ac:dyDescent="0.25">
      <c r="A170" s="1642"/>
      <c r="B170" s="1643"/>
      <c r="C170" s="1643"/>
      <c r="D170" s="1643"/>
      <c r="E170" s="1643"/>
      <c r="F170" s="1643"/>
      <c r="G170" s="1643"/>
      <c r="H170" s="1643"/>
      <c r="I170" s="1643"/>
      <c r="J170" s="1643"/>
      <c r="K170" s="1643"/>
      <c r="L170" s="1643"/>
      <c r="M170" s="1643"/>
      <c r="N170" s="1644"/>
      <c r="O170" s="1644"/>
      <c r="P170" s="1741"/>
    </row>
    <row r="171" spans="1:16" ht="30" customHeight="1" x14ac:dyDescent="0.25">
      <c r="A171" s="1645"/>
      <c r="B171" s="2977" t="s">
        <v>1255</v>
      </c>
      <c r="C171" s="2997" t="s">
        <v>1256</v>
      </c>
      <c r="D171" s="2985" t="s">
        <v>1257</v>
      </c>
      <c r="E171" s="2986"/>
      <c r="F171" s="2966" t="s">
        <v>1366</v>
      </c>
      <c r="G171" s="2966"/>
      <c r="H171" s="2966"/>
      <c r="I171" s="2994" t="s">
        <v>1367</v>
      </c>
      <c r="J171" s="2966"/>
      <c r="K171" s="2993"/>
      <c r="L171" s="2966" t="s">
        <v>1368</v>
      </c>
      <c r="M171" s="2966"/>
      <c r="N171" s="2966"/>
      <c r="O171" s="1839"/>
      <c r="P171" s="1741"/>
    </row>
    <row r="172" spans="1:16" ht="15" customHeight="1" x14ac:dyDescent="0.25">
      <c r="A172" s="1647"/>
      <c r="B172" s="3044"/>
      <c r="C172" s="3040"/>
      <c r="D172" s="2985"/>
      <c r="E172" s="2986"/>
      <c r="F172" s="1575" t="s">
        <v>1208</v>
      </c>
      <c r="G172" s="1576" t="s">
        <v>1209</v>
      </c>
      <c r="H172" s="1832" t="s">
        <v>1210</v>
      </c>
      <c r="I172" s="1833" t="s">
        <v>1208</v>
      </c>
      <c r="J172" s="1708" t="s">
        <v>1209</v>
      </c>
      <c r="K172" s="1834" t="s">
        <v>1210</v>
      </c>
      <c r="L172" s="1709" t="s">
        <v>1208</v>
      </c>
      <c r="M172" s="1708" t="s">
        <v>1209</v>
      </c>
      <c r="N172" s="1832" t="s">
        <v>1210</v>
      </c>
      <c r="O172" s="1840"/>
      <c r="P172" s="1741"/>
    </row>
    <row r="173" spans="1:16" ht="30" customHeight="1" x14ac:dyDescent="0.25">
      <c r="A173" s="1533"/>
      <c r="B173" s="882">
        <v>1</v>
      </c>
      <c r="C173" s="2980" t="s">
        <v>1258</v>
      </c>
      <c r="D173" s="2982" t="s">
        <v>1259</v>
      </c>
      <c r="E173" s="2983"/>
      <c r="F173" s="1631"/>
      <c r="G173" s="1629"/>
      <c r="H173" s="1633"/>
      <c r="I173" s="1632"/>
      <c r="J173" s="1629"/>
      <c r="K173" s="1630"/>
      <c r="L173" s="1631"/>
      <c r="M173" s="1629"/>
      <c r="N173" s="1633"/>
      <c r="O173" s="258"/>
      <c r="P173" s="1741"/>
    </row>
    <row r="174" spans="1:16" ht="30" customHeight="1" x14ac:dyDescent="0.25">
      <c r="A174" s="1533"/>
      <c r="B174" s="128">
        <v>2</v>
      </c>
      <c r="C174" s="2981"/>
      <c r="D174" s="2984" t="s">
        <v>1260</v>
      </c>
      <c r="E174" s="2586"/>
      <c r="F174" s="1622"/>
      <c r="G174" s="414"/>
      <c r="H174" s="413"/>
      <c r="I174" s="1635"/>
      <c r="J174" s="414"/>
      <c r="K174" s="1634"/>
      <c r="L174" s="1622"/>
      <c r="M174" s="414"/>
      <c r="N174" s="413"/>
      <c r="O174" s="258"/>
      <c r="P174" s="1741"/>
    </row>
    <row r="175" spans="1:16" ht="15" customHeight="1" x14ac:dyDescent="0.25">
      <c r="A175" s="1533"/>
      <c r="B175" s="128">
        <v>3</v>
      </c>
      <c r="C175" s="2981"/>
      <c r="D175" s="2984" t="s">
        <v>1261</v>
      </c>
      <c r="E175" s="2972"/>
      <c r="F175" s="1622"/>
      <c r="G175" s="414"/>
      <c r="H175" s="413"/>
      <c r="I175" s="1635"/>
      <c r="J175" s="414"/>
      <c r="K175" s="1634"/>
      <c r="L175" s="1622"/>
      <c r="M175" s="414"/>
      <c r="N175" s="413"/>
      <c r="O175" s="258"/>
      <c r="P175" s="1741"/>
    </row>
    <row r="176" spans="1:16" ht="30" customHeight="1" x14ac:dyDescent="0.25">
      <c r="A176" s="1533"/>
      <c r="B176" s="128">
        <v>4</v>
      </c>
      <c r="C176" s="2981"/>
      <c r="D176" s="2971" t="s">
        <v>1262</v>
      </c>
      <c r="E176" s="2972"/>
      <c r="F176" s="1622"/>
      <c r="G176" s="414"/>
      <c r="H176" s="413"/>
      <c r="I176" s="1635"/>
      <c r="J176" s="414"/>
      <c r="K176" s="1634"/>
      <c r="L176" s="1622"/>
      <c r="M176" s="414"/>
      <c r="N176" s="413"/>
      <c r="O176" s="258"/>
      <c r="P176" s="1741"/>
    </row>
    <row r="177" spans="1:16" ht="30" customHeight="1" x14ac:dyDescent="0.25">
      <c r="A177" s="1533"/>
      <c r="B177" s="128">
        <v>5</v>
      </c>
      <c r="C177" s="2981"/>
      <c r="D177" s="2971" t="s">
        <v>1263</v>
      </c>
      <c r="E177" s="2972"/>
      <c r="F177" s="1622"/>
      <c r="G177" s="414"/>
      <c r="H177" s="413"/>
      <c r="I177" s="1635"/>
      <c r="J177" s="414"/>
      <c r="K177" s="1634"/>
      <c r="L177" s="1622"/>
      <c r="M177" s="414"/>
      <c r="N177" s="413"/>
      <c r="O177" s="258"/>
      <c r="P177" s="1741"/>
    </row>
    <row r="178" spans="1:16" ht="15" customHeight="1" x14ac:dyDescent="0.25">
      <c r="A178" s="1533"/>
      <c r="B178" s="128">
        <v>6</v>
      </c>
      <c r="C178" s="2981"/>
      <c r="D178" s="2971" t="s">
        <v>1264</v>
      </c>
      <c r="E178" s="2972"/>
      <c r="F178" s="1622"/>
      <c r="G178" s="414"/>
      <c r="H178" s="413"/>
      <c r="I178" s="1635"/>
      <c r="J178" s="414"/>
      <c r="K178" s="1634"/>
      <c r="L178" s="1622"/>
      <c r="M178" s="414"/>
      <c r="N178" s="413"/>
      <c r="O178" s="258"/>
      <c r="P178" s="1741"/>
    </row>
    <row r="179" spans="1:16" ht="30" customHeight="1" x14ac:dyDescent="0.25">
      <c r="A179" s="1533"/>
      <c r="B179" s="128">
        <v>7</v>
      </c>
      <c r="C179" s="2981"/>
      <c r="D179" s="2984" t="s">
        <v>1265</v>
      </c>
      <c r="E179" s="2972"/>
      <c r="F179" s="1622"/>
      <c r="G179" s="414"/>
      <c r="H179" s="413"/>
      <c r="I179" s="1635"/>
      <c r="J179" s="414"/>
      <c r="K179" s="1634"/>
      <c r="L179" s="1622"/>
      <c r="M179" s="414"/>
      <c r="N179" s="413"/>
      <c r="O179" s="258"/>
      <c r="P179" s="1741"/>
    </row>
    <row r="180" spans="1:16" ht="15" customHeight="1" x14ac:dyDescent="0.25">
      <c r="A180" s="1533"/>
      <c r="B180" s="128">
        <v>8</v>
      </c>
      <c r="C180" s="2981"/>
      <c r="D180" s="2984" t="s">
        <v>1266</v>
      </c>
      <c r="E180" s="2586"/>
      <c r="F180" s="1622"/>
      <c r="G180" s="414"/>
      <c r="H180" s="413"/>
      <c r="I180" s="1635"/>
      <c r="J180" s="414"/>
      <c r="K180" s="1634"/>
      <c r="L180" s="1622"/>
      <c r="M180" s="414"/>
      <c r="N180" s="413"/>
      <c r="O180" s="258"/>
      <c r="P180" s="1741"/>
    </row>
    <row r="181" spans="1:16" ht="30" customHeight="1" x14ac:dyDescent="0.25">
      <c r="A181" s="1533"/>
      <c r="B181" s="128">
        <v>9</v>
      </c>
      <c r="C181" s="2981" t="s">
        <v>1267</v>
      </c>
      <c r="D181" s="2971" t="s">
        <v>1268</v>
      </c>
      <c r="E181" s="2972"/>
      <c r="F181" s="1622"/>
      <c r="G181" s="414"/>
      <c r="H181" s="413"/>
      <c r="I181" s="1635"/>
      <c r="J181" s="414"/>
      <c r="K181" s="1634"/>
      <c r="L181" s="1622"/>
      <c r="M181" s="414"/>
      <c r="N181" s="413"/>
      <c r="O181" s="258"/>
      <c r="P181" s="1741"/>
    </row>
    <row r="182" spans="1:16" ht="30" customHeight="1" x14ac:dyDescent="0.25">
      <c r="A182" s="1533"/>
      <c r="B182" s="128">
        <v>10</v>
      </c>
      <c r="C182" s="2981"/>
      <c r="D182" s="2984" t="s">
        <v>1260</v>
      </c>
      <c r="E182" s="2586"/>
      <c r="F182" s="1622"/>
      <c r="G182" s="414"/>
      <c r="H182" s="413"/>
      <c r="I182" s="1635"/>
      <c r="J182" s="414"/>
      <c r="K182" s="1634"/>
      <c r="L182" s="1622"/>
      <c r="M182" s="414"/>
      <c r="N182" s="413"/>
      <c r="O182" s="258"/>
      <c r="P182" s="1741"/>
    </row>
    <row r="183" spans="1:16" ht="15" customHeight="1" x14ac:dyDescent="0.25">
      <c r="A183" s="1533"/>
      <c r="B183" s="128">
        <v>11</v>
      </c>
      <c r="C183" s="2981"/>
      <c r="D183" s="2984" t="s">
        <v>1261</v>
      </c>
      <c r="E183" s="2972"/>
      <c r="F183" s="1622"/>
      <c r="G183" s="414"/>
      <c r="H183" s="413"/>
      <c r="I183" s="1635"/>
      <c r="J183" s="414"/>
      <c r="K183" s="1634"/>
      <c r="L183" s="1622"/>
      <c r="M183" s="414"/>
      <c r="N183" s="413"/>
      <c r="O183" s="258"/>
      <c r="P183" s="1741"/>
    </row>
    <row r="184" spans="1:16" ht="30" customHeight="1" x14ac:dyDescent="0.25">
      <c r="A184" s="1533"/>
      <c r="B184" s="128">
        <v>12</v>
      </c>
      <c r="C184" s="2981"/>
      <c r="D184" s="2971" t="s">
        <v>1262</v>
      </c>
      <c r="E184" s="2972"/>
      <c r="F184" s="1622"/>
      <c r="G184" s="414"/>
      <c r="H184" s="413"/>
      <c r="I184" s="1635"/>
      <c r="J184" s="414"/>
      <c r="K184" s="1634"/>
      <c r="L184" s="1622"/>
      <c r="M184" s="414"/>
      <c r="N184" s="413"/>
      <c r="O184" s="258"/>
      <c r="P184" s="1741"/>
    </row>
    <row r="185" spans="1:16" ht="30" customHeight="1" x14ac:dyDescent="0.25">
      <c r="A185" s="1533"/>
      <c r="B185" s="128">
        <v>13</v>
      </c>
      <c r="C185" s="2981"/>
      <c r="D185" s="2971" t="s">
        <v>1263</v>
      </c>
      <c r="E185" s="2972"/>
      <c r="F185" s="1622"/>
      <c r="G185" s="414"/>
      <c r="H185" s="413"/>
      <c r="I185" s="1635"/>
      <c r="J185" s="414"/>
      <c r="K185" s="1634"/>
      <c r="L185" s="1622"/>
      <c r="M185" s="414"/>
      <c r="N185" s="413"/>
      <c r="O185" s="258"/>
      <c r="P185" s="1741"/>
    </row>
    <row r="186" spans="1:16" ht="15" customHeight="1" x14ac:dyDescent="0.25">
      <c r="A186" s="1533"/>
      <c r="B186" s="266">
        <v>14</v>
      </c>
      <c r="C186" s="2981"/>
      <c r="D186" s="2971" t="s">
        <v>1264</v>
      </c>
      <c r="E186" s="2972"/>
      <c r="F186" s="1622"/>
      <c r="G186" s="414"/>
      <c r="H186" s="413"/>
      <c r="I186" s="1635"/>
      <c r="J186" s="414"/>
      <c r="K186" s="1634"/>
      <c r="L186" s="1622"/>
      <c r="M186" s="414"/>
      <c r="N186" s="413"/>
      <c r="O186" s="258"/>
      <c r="P186" s="1741"/>
    </row>
    <row r="187" spans="1:16" ht="45" customHeight="1" x14ac:dyDescent="0.25">
      <c r="A187" s="1533"/>
      <c r="B187" s="266">
        <v>15</v>
      </c>
      <c r="C187" s="2981"/>
      <c r="D187" s="2971" t="s">
        <v>1269</v>
      </c>
      <c r="E187" s="2972"/>
      <c r="F187" s="1622"/>
      <c r="G187" s="414"/>
      <c r="H187" s="413"/>
      <c r="I187" s="1635"/>
      <c r="J187" s="414"/>
      <c r="K187" s="1634"/>
      <c r="L187" s="1622"/>
      <c r="M187" s="414"/>
      <c r="N187" s="413"/>
      <c r="O187" s="258"/>
      <c r="P187" s="1741"/>
    </row>
    <row r="188" spans="1:16" ht="15" customHeight="1" x14ac:dyDescent="0.25">
      <c r="A188" s="1533"/>
      <c r="B188" s="254">
        <v>16</v>
      </c>
      <c r="C188" s="2990" t="s">
        <v>1270</v>
      </c>
      <c r="D188" s="2990"/>
      <c r="E188" s="2991"/>
      <c r="F188" s="1640"/>
      <c r="G188" s="1623"/>
      <c r="H188" s="1624"/>
      <c r="I188" s="1639"/>
      <c r="J188" s="1623"/>
      <c r="K188" s="1638"/>
      <c r="L188" s="1640"/>
      <c r="M188" s="1623"/>
      <c r="N188" s="1624"/>
      <c r="O188" s="258"/>
      <c r="P188" s="1741"/>
    </row>
    <row r="189" spans="1:16" ht="15" customHeight="1" x14ac:dyDescent="0.25">
      <c r="A189" s="1533"/>
      <c r="B189" s="1487"/>
      <c r="C189" s="1487"/>
      <c r="D189" s="1487"/>
      <c r="E189" s="1487"/>
      <c r="F189" s="1487"/>
      <c r="G189" s="1487"/>
      <c r="H189" s="1487"/>
      <c r="I189" s="1487"/>
      <c r="J189" s="1487"/>
      <c r="K189" s="1487"/>
      <c r="L189" s="1487"/>
      <c r="M189" s="1487"/>
      <c r="N189" s="1487"/>
      <c r="O189" s="1487"/>
      <c r="P189" s="438"/>
    </row>
    <row r="190" spans="1:16" ht="15" customHeight="1" x14ac:dyDescent="0.25">
      <c r="A190" s="397"/>
      <c r="B190" s="2992"/>
      <c r="C190" s="2893"/>
      <c r="D190" s="2893"/>
      <c r="E190" s="2894"/>
      <c r="F190" s="1829" t="s">
        <v>1046</v>
      </c>
      <c r="G190" s="1830"/>
      <c r="H190" s="1830"/>
      <c r="I190" s="1830"/>
      <c r="J190" s="1830"/>
      <c r="K190" s="1830"/>
      <c r="L190" s="325"/>
      <c r="M190" s="325"/>
      <c r="N190" s="1487"/>
      <c r="O190" s="1487"/>
      <c r="P190" s="441"/>
    </row>
    <row r="191" spans="1:16" ht="15" customHeight="1" x14ac:dyDescent="0.25">
      <c r="A191" s="397"/>
      <c r="B191" s="1814" t="s">
        <v>1410</v>
      </c>
      <c r="C191" s="1815"/>
      <c r="D191" s="1815"/>
      <c r="E191" s="1815"/>
      <c r="F191" s="1816" t="str">
        <f>IF(AND(ISNUMBER(F192), ISNUMBER(F196), ISNUMBER(F200)), SUM(F192, F196, F200), "")</f>
        <v/>
      </c>
      <c r="G191" s="1830"/>
      <c r="H191" s="1830"/>
      <c r="I191" s="1830"/>
      <c r="J191" s="1830"/>
      <c r="K191" s="1830"/>
      <c r="L191" s="325"/>
      <c r="M191" s="325"/>
      <c r="N191" s="1487"/>
      <c r="O191" s="1487"/>
      <c r="P191" s="441"/>
    </row>
    <row r="192" spans="1:16" ht="15" customHeight="1" x14ac:dyDescent="0.25">
      <c r="A192" s="397"/>
      <c r="B192" s="417" t="s">
        <v>477</v>
      </c>
      <c r="C192" s="1641"/>
      <c r="D192" s="1641"/>
      <c r="E192" s="1641"/>
      <c r="F192" s="100" t="str">
        <f>IF($F$169="No", 0, IF(AND(ISNUMBER(F193), ISNUMBER(F194), ISNUMBER(F195)), IF($I$4="Medium", F193, IF($I$4="High", F194, IF($I$4="Low", F195, ""))), ""))</f>
        <v/>
      </c>
      <c r="G192" s="1487"/>
      <c r="H192" s="1487"/>
      <c r="I192" s="1487"/>
      <c r="J192" s="1487"/>
      <c r="K192" s="1487"/>
      <c r="L192" s="1487"/>
      <c r="N192" s="1487"/>
      <c r="O192" s="1487"/>
      <c r="P192" s="833"/>
    </row>
    <row r="193" spans="1:16" ht="15" customHeight="1" x14ac:dyDescent="0.25">
      <c r="A193" s="397"/>
      <c r="B193" s="1812" t="s">
        <v>1198</v>
      </c>
      <c r="C193" s="198"/>
      <c r="D193" s="198"/>
      <c r="E193" s="198"/>
      <c r="F193" s="1705"/>
      <c r="G193" s="1487"/>
      <c r="H193" s="1487"/>
      <c r="I193" s="1487"/>
      <c r="J193" s="1487"/>
      <c r="K193" s="1487"/>
      <c r="L193" s="1487"/>
      <c r="N193" s="1487"/>
      <c r="O193" s="1487"/>
      <c r="P193" s="833"/>
    </row>
    <row r="194" spans="1:16" ht="15" customHeight="1" x14ac:dyDescent="0.25">
      <c r="A194" s="397"/>
      <c r="B194" s="1812" t="s">
        <v>1199</v>
      </c>
      <c r="C194" s="198"/>
      <c r="D194" s="198"/>
      <c r="E194" s="198"/>
      <c r="F194" s="1705"/>
      <c r="G194" s="477"/>
      <c r="H194" s="477"/>
      <c r="I194" s="477"/>
      <c r="J194" s="477"/>
      <c r="K194" s="1487"/>
      <c r="L194" s="1487"/>
      <c r="N194" s="1487"/>
      <c r="O194" s="1487"/>
      <c r="P194" s="833"/>
    </row>
    <row r="195" spans="1:16" ht="15" customHeight="1" x14ac:dyDescent="0.25">
      <c r="A195" s="397"/>
      <c r="B195" s="1812" t="s">
        <v>1200</v>
      </c>
      <c r="C195" s="198"/>
      <c r="D195" s="198"/>
      <c r="E195" s="198"/>
      <c r="F195" s="1705"/>
      <c r="G195" s="477"/>
      <c r="H195" s="477"/>
      <c r="I195" s="477"/>
      <c r="J195" s="477"/>
      <c r="K195" s="1487"/>
      <c r="L195" s="1487"/>
      <c r="N195" s="1487"/>
      <c r="O195" s="1487"/>
      <c r="P195" s="833"/>
    </row>
    <row r="196" spans="1:16" ht="15" customHeight="1" x14ac:dyDescent="0.25">
      <c r="A196" s="397"/>
      <c r="B196" s="417" t="s">
        <v>478</v>
      </c>
      <c r="C196" s="1641"/>
      <c r="D196" s="1641"/>
      <c r="E196" s="1641"/>
      <c r="F196" s="100" t="str">
        <f>IF($F$169="No", 0, IF(AND(ISNUMBER(F197), ISNUMBER(F198), ISNUMBER(F199)), IF($I$4="Medium", F197, IF($I$4="High", F198, IF($I$4="Low", F199, ""))), ""))</f>
        <v/>
      </c>
      <c r="G196" s="477"/>
      <c r="H196" s="477"/>
      <c r="I196" s="477"/>
      <c r="J196" s="477"/>
      <c r="K196" s="1487"/>
      <c r="L196" s="1487"/>
      <c r="N196" s="1487"/>
      <c r="O196" s="1487"/>
      <c r="P196" s="833"/>
    </row>
    <row r="197" spans="1:16" ht="15" customHeight="1" x14ac:dyDescent="0.25">
      <c r="A197" s="397"/>
      <c r="B197" s="1812" t="s">
        <v>1198</v>
      </c>
      <c r="C197" s="198"/>
      <c r="D197" s="198"/>
      <c r="E197" s="198"/>
      <c r="F197" s="1705"/>
      <c r="G197" s="477"/>
      <c r="H197" s="477"/>
      <c r="I197" s="477"/>
      <c r="J197" s="477"/>
      <c r="K197" s="1487"/>
      <c r="L197" s="1487"/>
      <c r="N197" s="1487"/>
      <c r="O197" s="1487"/>
      <c r="P197" s="833"/>
    </row>
    <row r="198" spans="1:16" ht="15" customHeight="1" x14ac:dyDescent="0.25">
      <c r="A198" s="397"/>
      <c r="B198" s="1812" t="s">
        <v>1199</v>
      </c>
      <c r="C198" s="198"/>
      <c r="D198" s="198"/>
      <c r="E198" s="198"/>
      <c r="F198" s="1705"/>
      <c r="G198" s="477"/>
      <c r="H198" s="477"/>
      <c r="I198" s="477"/>
      <c r="J198" s="477"/>
      <c r="K198" s="1487"/>
      <c r="L198" s="1487"/>
      <c r="N198" s="1487"/>
      <c r="O198" s="1487"/>
      <c r="P198" s="833"/>
    </row>
    <row r="199" spans="1:16" ht="15" customHeight="1" x14ac:dyDescent="0.25">
      <c r="A199" s="397"/>
      <c r="B199" s="1812" t="s">
        <v>1200</v>
      </c>
      <c r="C199" s="198"/>
      <c r="D199" s="198"/>
      <c r="E199" s="198"/>
      <c r="F199" s="1705"/>
      <c r="G199" s="477"/>
      <c r="H199" s="477"/>
      <c r="I199" s="477"/>
      <c r="J199" s="477"/>
      <c r="K199" s="1487"/>
      <c r="L199" s="1487"/>
      <c r="N199" s="1487"/>
      <c r="O199" s="1487"/>
      <c r="P199" s="833"/>
    </row>
    <row r="200" spans="1:16" ht="15" customHeight="1" x14ac:dyDescent="0.25">
      <c r="A200" s="397"/>
      <c r="B200" s="417" t="s">
        <v>479</v>
      </c>
      <c r="C200" s="1641"/>
      <c r="D200" s="1641"/>
      <c r="E200" s="1641"/>
      <c r="F200" s="100" t="str">
        <f>IF($F$169="No", 0, IF(AND(ISNUMBER(F201), ISNUMBER(F202), ISNUMBER(F203)), IF($I$4="Medium", F201, IF($I$4="High", F202, IF($I$4="Low", F203, ""))), ""))</f>
        <v/>
      </c>
      <c r="G200" s="477"/>
      <c r="H200" s="477"/>
      <c r="I200" s="477"/>
      <c r="J200" s="477"/>
      <c r="K200" s="1487"/>
      <c r="L200" s="1487"/>
      <c r="N200" s="1487"/>
      <c r="O200" s="1487"/>
      <c r="P200" s="833"/>
    </row>
    <row r="201" spans="1:16" ht="15" customHeight="1" x14ac:dyDescent="0.25">
      <c r="A201" s="397"/>
      <c r="B201" s="1812" t="s">
        <v>1198</v>
      </c>
      <c r="C201" s="198"/>
      <c r="D201" s="198"/>
      <c r="E201" s="198"/>
      <c r="F201" s="1705"/>
      <c r="G201" s="1487"/>
      <c r="H201" s="1487"/>
      <c r="I201" s="1487"/>
      <c r="J201" s="1487"/>
      <c r="K201" s="1487"/>
      <c r="L201" s="1487"/>
      <c r="N201" s="1487"/>
      <c r="O201" s="1487"/>
      <c r="P201" s="833"/>
    </row>
    <row r="202" spans="1:16" ht="15" customHeight="1" x14ac:dyDescent="0.25">
      <c r="A202" s="397"/>
      <c r="B202" s="1812" t="s">
        <v>1199</v>
      </c>
      <c r="C202" s="198"/>
      <c r="D202" s="198"/>
      <c r="E202" s="198"/>
      <c r="F202" s="1705"/>
      <c r="G202" s="1487"/>
      <c r="H202" s="1487"/>
      <c r="I202" s="1487"/>
      <c r="J202" s="1487"/>
      <c r="K202" s="1487"/>
      <c r="L202" s="1487"/>
      <c r="N202" s="1487"/>
      <c r="O202" s="1487"/>
      <c r="P202" s="833"/>
    </row>
    <row r="203" spans="1:16" ht="15" customHeight="1" x14ac:dyDescent="0.25">
      <c r="A203" s="397"/>
      <c r="B203" s="1813" t="s">
        <v>1200</v>
      </c>
      <c r="C203" s="411"/>
      <c r="D203" s="411"/>
      <c r="E203" s="411"/>
      <c r="F203" s="1706"/>
      <c r="G203" s="1487"/>
      <c r="H203" s="1487"/>
      <c r="I203" s="1487"/>
      <c r="J203" s="1487"/>
      <c r="K203" s="1487"/>
      <c r="L203" s="1487"/>
      <c r="N203" s="1487"/>
      <c r="O203" s="1487"/>
      <c r="P203" s="833"/>
    </row>
    <row r="204" spans="1:16" ht="15" customHeight="1" x14ac:dyDescent="0.25">
      <c r="A204" s="1242"/>
      <c r="B204" s="434"/>
      <c r="C204" s="434"/>
      <c r="D204" s="434"/>
      <c r="E204" s="434"/>
      <c r="F204" s="434"/>
      <c r="G204" s="434"/>
      <c r="H204" s="434"/>
      <c r="I204" s="434"/>
      <c r="J204" s="434"/>
      <c r="K204" s="434"/>
      <c r="L204" s="434"/>
      <c r="M204" s="434"/>
      <c r="N204" s="434"/>
      <c r="O204" s="434"/>
      <c r="P204" s="1243"/>
    </row>
    <row r="205" spans="1:16" ht="45" customHeight="1" x14ac:dyDescent="0.25">
      <c r="A205" s="2314" t="s">
        <v>2211</v>
      </c>
      <c r="B205" s="1487"/>
      <c r="C205" s="1487"/>
      <c r="D205" s="1487"/>
      <c r="E205" s="1487"/>
      <c r="F205" s="1487"/>
      <c r="G205" s="1487"/>
      <c r="H205" s="1487"/>
      <c r="I205" s="1487"/>
      <c r="J205" s="1487"/>
      <c r="K205" s="1487"/>
      <c r="L205" s="1487"/>
      <c r="M205" s="1487"/>
      <c r="N205" s="1487"/>
      <c r="O205" s="1487"/>
      <c r="P205" s="438"/>
    </row>
    <row r="206" spans="1:16" ht="15" customHeight="1" x14ac:dyDescent="0.25">
      <c r="A206" s="1657"/>
      <c r="B206" s="2977" t="s">
        <v>1255</v>
      </c>
      <c r="C206" s="2997" t="s">
        <v>1280</v>
      </c>
      <c r="D206" s="2997" t="s">
        <v>1281</v>
      </c>
      <c r="E206" s="2999" t="s">
        <v>1257</v>
      </c>
      <c r="F206" s="2966" t="s">
        <v>1366</v>
      </c>
      <c r="G206" s="2966"/>
      <c r="H206" s="2966"/>
      <c r="I206" s="2994" t="s">
        <v>1367</v>
      </c>
      <c r="J206" s="2966"/>
      <c r="K206" s="2993"/>
      <c r="L206" s="2966" t="s">
        <v>1368</v>
      </c>
      <c r="M206" s="2966"/>
      <c r="N206" s="2966"/>
      <c r="O206" s="1839"/>
      <c r="P206" s="497"/>
    </row>
    <row r="207" spans="1:16" ht="45" customHeight="1" x14ac:dyDescent="0.25">
      <c r="A207" s="1647"/>
      <c r="B207" s="2978"/>
      <c r="C207" s="2998"/>
      <c r="D207" s="2998"/>
      <c r="E207" s="3000"/>
      <c r="F207" s="1703" t="s">
        <v>1208</v>
      </c>
      <c r="G207" s="1621" t="s">
        <v>1209</v>
      </c>
      <c r="H207" s="1628" t="s">
        <v>1210</v>
      </c>
      <c r="I207" s="1712" t="s">
        <v>1208</v>
      </c>
      <c r="J207" s="1621" t="s">
        <v>1209</v>
      </c>
      <c r="K207" s="1713" t="s">
        <v>1210</v>
      </c>
      <c r="L207" s="1659" t="s">
        <v>1208</v>
      </c>
      <c r="M207" s="1658" t="s">
        <v>1209</v>
      </c>
      <c r="N207" s="1626" t="s">
        <v>1210</v>
      </c>
      <c r="O207" s="1841"/>
      <c r="P207" s="497"/>
    </row>
    <row r="208" spans="1:16" ht="60" customHeight="1" x14ac:dyDescent="0.25">
      <c r="A208" s="1533"/>
      <c r="B208" s="882">
        <v>1</v>
      </c>
      <c r="C208" s="2995" t="s">
        <v>1282</v>
      </c>
      <c r="D208" s="2995" t="s">
        <v>1283</v>
      </c>
      <c r="E208" s="1669" t="s">
        <v>1284</v>
      </c>
      <c r="F208" s="1649"/>
      <c r="G208" s="1650"/>
      <c r="H208" s="1670"/>
      <c r="I208" s="1661"/>
      <c r="J208" s="1650"/>
      <c r="K208" s="1660"/>
      <c r="L208" s="1649"/>
      <c r="M208" s="1650"/>
      <c r="N208" s="1670"/>
      <c r="O208" s="1841"/>
      <c r="P208" s="833"/>
    </row>
    <row r="209" spans="1:16" ht="15" customHeight="1" x14ac:dyDescent="0.25">
      <c r="A209" s="1533"/>
      <c r="B209" s="128">
        <v>2</v>
      </c>
      <c r="C209" s="2996"/>
      <c r="D209" s="2996"/>
      <c r="E209" s="1662" t="s">
        <v>1285</v>
      </c>
      <c r="F209" s="418"/>
      <c r="G209" s="1654"/>
      <c r="H209" s="1652"/>
      <c r="I209" s="1664"/>
      <c r="J209" s="1654"/>
      <c r="K209" s="1663"/>
      <c r="L209" s="418"/>
      <c r="M209" s="1654"/>
      <c r="N209" s="1652"/>
      <c r="O209" s="1841"/>
      <c r="P209" s="833"/>
    </row>
    <row r="210" spans="1:16" ht="30" customHeight="1" x14ac:dyDescent="0.25">
      <c r="A210" s="1533"/>
      <c r="B210" s="128">
        <v>3</v>
      </c>
      <c r="C210" s="2996"/>
      <c r="D210" s="2996"/>
      <c r="E210" s="1662" t="s">
        <v>1286</v>
      </c>
      <c r="F210" s="418"/>
      <c r="G210" s="1654"/>
      <c r="H210" s="1652"/>
      <c r="I210" s="1664"/>
      <c r="J210" s="1654"/>
      <c r="K210" s="1663"/>
      <c r="L210" s="418"/>
      <c r="M210" s="1654"/>
      <c r="N210" s="1652"/>
      <c r="O210" s="1841"/>
      <c r="P210" s="833"/>
    </row>
    <row r="211" spans="1:16" ht="45" customHeight="1" x14ac:dyDescent="0.25">
      <c r="A211" s="1533"/>
      <c r="B211" s="128">
        <v>4</v>
      </c>
      <c r="C211" s="2996"/>
      <c r="D211" s="2974"/>
      <c r="E211" s="1662" t="s">
        <v>1287</v>
      </c>
      <c r="F211" s="418"/>
      <c r="G211" s="1654"/>
      <c r="H211" s="1652"/>
      <c r="I211" s="1664"/>
      <c r="J211" s="1654"/>
      <c r="K211" s="1663"/>
      <c r="L211" s="418"/>
      <c r="M211" s="1654"/>
      <c r="N211" s="1652"/>
      <c r="O211" s="1841"/>
      <c r="P211" s="833"/>
    </row>
    <row r="212" spans="1:16" ht="60" customHeight="1" x14ac:dyDescent="0.25">
      <c r="A212" s="1533"/>
      <c r="B212" s="128">
        <v>5</v>
      </c>
      <c r="C212" s="2996"/>
      <c r="D212" s="2973" t="s">
        <v>1288</v>
      </c>
      <c r="E212" s="1662" t="s">
        <v>1284</v>
      </c>
      <c r="F212" s="418"/>
      <c r="G212" s="1654"/>
      <c r="H212" s="1652"/>
      <c r="I212" s="1664"/>
      <c r="J212" s="1654"/>
      <c r="K212" s="1663"/>
      <c r="L212" s="418"/>
      <c r="M212" s="1654"/>
      <c r="N212" s="1652"/>
      <c r="O212" s="1841"/>
      <c r="P212" s="833"/>
    </row>
    <row r="213" spans="1:16" ht="15" customHeight="1" x14ac:dyDescent="0.25">
      <c r="A213" s="1533"/>
      <c r="B213" s="128">
        <v>6</v>
      </c>
      <c r="C213" s="2996"/>
      <c r="D213" s="2996"/>
      <c r="E213" s="1662" t="s">
        <v>1285</v>
      </c>
      <c r="F213" s="418"/>
      <c r="G213" s="1654"/>
      <c r="H213" s="1652"/>
      <c r="I213" s="1664"/>
      <c r="J213" s="1654"/>
      <c r="K213" s="1663"/>
      <c r="L213" s="418"/>
      <c r="M213" s="1654"/>
      <c r="N213" s="1652"/>
      <c r="O213" s="1841"/>
      <c r="P213" s="833"/>
    </row>
    <row r="214" spans="1:16" ht="30" customHeight="1" x14ac:dyDescent="0.25">
      <c r="A214" s="1533"/>
      <c r="B214" s="136">
        <v>7</v>
      </c>
      <c r="C214" s="2996"/>
      <c r="D214" s="2996"/>
      <c r="E214" s="1662" t="s">
        <v>1286</v>
      </c>
      <c r="F214" s="418"/>
      <c r="G214" s="1654"/>
      <c r="H214" s="1652"/>
      <c r="I214" s="1664"/>
      <c r="J214" s="1654"/>
      <c r="K214" s="1663"/>
      <c r="L214" s="418"/>
      <c r="M214" s="1654"/>
      <c r="N214" s="1652"/>
      <c r="O214" s="1841"/>
      <c r="P214" s="833"/>
    </row>
    <row r="215" spans="1:16" ht="45" customHeight="1" x14ac:dyDescent="0.25">
      <c r="A215" s="1533"/>
      <c r="B215" s="128">
        <v>8</v>
      </c>
      <c r="C215" s="2974"/>
      <c r="D215" s="2974"/>
      <c r="E215" s="1662" t="s">
        <v>1287</v>
      </c>
      <c r="F215" s="418"/>
      <c r="G215" s="1654"/>
      <c r="H215" s="1652"/>
      <c r="I215" s="1664"/>
      <c r="J215" s="1654"/>
      <c r="K215" s="1663"/>
      <c r="L215" s="418"/>
      <c r="M215" s="1654"/>
      <c r="N215" s="1652"/>
      <c r="O215" s="1841"/>
      <c r="P215" s="833"/>
    </row>
    <row r="216" spans="1:16" ht="45" customHeight="1" x14ac:dyDescent="0.25">
      <c r="A216" s="1533"/>
      <c r="B216" s="128">
        <v>9</v>
      </c>
      <c r="C216" s="2973" t="s">
        <v>1289</v>
      </c>
      <c r="D216" s="1665" t="s">
        <v>1283</v>
      </c>
      <c r="E216" s="2031" t="s">
        <v>1290</v>
      </c>
      <c r="F216" s="418"/>
      <c r="G216" s="1654"/>
      <c r="H216" s="1652"/>
      <c r="I216" s="1664"/>
      <c r="J216" s="1654"/>
      <c r="K216" s="1663"/>
      <c r="L216" s="418"/>
      <c r="M216" s="1654"/>
      <c r="N216" s="1652"/>
      <c r="O216" s="1841"/>
      <c r="P216" s="833"/>
    </row>
    <row r="217" spans="1:16" ht="30" customHeight="1" x14ac:dyDescent="0.25">
      <c r="A217" s="1533"/>
      <c r="B217" s="127">
        <v>10</v>
      </c>
      <c r="C217" s="2974"/>
      <c r="D217" s="1665" t="s">
        <v>1288</v>
      </c>
      <c r="E217" s="2031" t="s">
        <v>1291</v>
      </c>
      <c r="F217" s="418"/>
      <c r="G217" s="1654"/>
      <c r="H217" s="1652"/>
      <c r="I217" s="1664"/>
      <c r="J217" s="1654"/>
      <c r="K217" s="1663"/>
      <c r="L217" s="418"/>
      <c r="M217" s="1654"/>
      <c r="N217" s="1652"/>
      <c r="O217" s="1841"/>
      <c r="P217" s="833"/>
    </row>
    <row r="218" spans="1:16" ht="15" customHeight="1" x14ac:dyDescent="0.25">
      <c r="A218" s="1533"/>
      <c r="B218" s="3013">
        <v>11</v>
      </c>
      <c r="C218" s="2586" t="s">
        <v>1536</v>
      </c>
      <c r="D218" s="2979"/>
      <c r="E218" s="3036"/>
      <c r="F218" s="418"/>
      <c r="G218" s="1654"/>
      <c r="H218" s="1652"/>
      <c r="I218" s="1664"/>
      <c r="J218" s="1654"/>
      <c r="K218" s="1663"/>
      <c r="L218" s="418"/>
      <c r="M218" s="1654"/>
      <c r="N218" s="1652"/>
      <c r="O218" s="1841"/>
      <c r="P218" s="833"/>
    </row>
    <row r="219" spans="1:16" ht="15" customHeight="1" x14ac:dyDescent="0.25">
      <c r="A219" s="1533"/>
      <c r="B219" s="3014"/>
      <c r="C219" s="3031" t="s">
        <v>1694</v>
      </c>
      <c r="D219" s="3032"/>
      <c r="E219" s="3033"/>
      <c r="F219" s="418"/>
      <c r="G219" s="1654"/>
      <c r="H219" s="1652"/>
      <c r="I219" s="1664"/>
      <c r="J219" s="1654"/>
      <c r="K219" s="1663"/>
      <c r="L219" s="418"/>
      <c r="M219" s="1654"/>
      <c r="N219" s="1652"/>
      <c r="O219" s="1841"/>
      <c r="P219" s="833"/>
    </row>
    <row r="220" spans="1:16" ht="15" customHeight="1" x14ac:dyDescent="0.25">
      <c r="A220" s="1533"/>
      <c r="B220" s="2032">
        <v>12</v>
      </c>
      <c r="C220" s="3037" t="s">
        <v>1373</v>
      </c>
      <c r="D220" s="3038"/>
      <c r="E220" s="3039"/>
      <c r="F220" s="418"/>
      <c r="G220" s="1654"/>
      <c r="H220" s="1652"/>
      <c r="I220" s="1664"/>
      <c r="J220" s="1654"/>
      <c r="K220" s="1663"/>
      <c r="L220" s="418"/>
      <c r="M220" s="1654"/>
      <c r="N220" s="1652"/>
      <c r="O220" s="1841"/>
      <c r="P220" s="833"/>
    </row>
    <row r="221" spans="1:16" ht="15" customHeight="1" x14ac:dyDescent="0.25">
      <c r="A221" s="1533"/>
      <c r="B221" s="1666">
        <v>13</v>
      </c>
      <c r="C221" s="2975" t="s">
        <v>1374</v>
      </c>
      <c r="D221" s="2976"/>
      <c r="E221" s="2976"/>
      <c r="F221" s="419"/>
      <c r="G221" s="1655"/>
      <c r="H221" s="1656"/>
      <c r="I221" s="1667"/>
      <c r="J221" s="1655"/>
      <c r="K221" s="1672"/>
      <c r="L221" s="419"/>
      <c r="M221" s="1655"/>
      <c r="N221" s="1656"/>
      <c r="O221" s="1841"/>
      <c r="P221" s="833"/>
    </row>
    <row r="222" spans="1:16" ht="15" customHeight="1" x14ac:dyDescent="0.25">
      <c r="A222" s="1533"/>
      <c r="B222" s="1487"/>
      <c r="C222" s="1487"/>
      <c r="D222" s="1487"/>
      <c r="E222" s="1487"/>
      <c r="F222" s="1487"/>
      <c r="G222" s="1487"/>
      <c r="H222" s="1487"/>
      <c r="I222" s="1487"/>
      <c r="J222" s="1487"/>
      <c r="K222" s="1487"/>
      <c r="L222" s="1487"/>
      <c r="M222" s="1487"/>
      <c r="N222" s="1487"/>
      <c r="O222" s="1841"/>
      <c r="P222" s="438"/>
    </row>
    <row r="223" spans="1:16" ht="15" customHeight="1" x14ac:dyDescent="0.25">
      <c r="A223" s="397"/>
      <c r="B223" s="2992"/>
      <c r="C223" s="2893"/>
      <c r="D223" s="2893"/>
      <c r="E223" s="2894"/>
      <c r="F223" s="1588" t="s">
        <v>1046</v>
      </c>
      <c r="G223" s="1678"/>
      <c r="H223" s="1678"/>
      <c r="I223" s="1678"/>
      <c r="J223" s="1678"/>
      <c r="K223" s="1678"/>
      <c r="L223" s="325"/>
      <c r="M223" s="325"/>
      <c r="N223" s="1487"/>
      <c r="O223" s="1841"/>
      <c r="P223" s="441"/>
    </row>
    <row r="224" spans="1:16" ht="15" customHeight="1" x14ac:dyDescent="0.25">
      <c r="A224" s="397"/>
      <c r="B224" s="1814" t="s">
        <v>1406</v>
      </c>
      <c r="C224" s="1815"/>
      <c r="D224" s="1815"/>
      <c r="E224" s="1815"/>
      <c r="F224" s="1816" t="str">
        <f>IF(AND(ISNUMBER(F225), ISNUMBER(F229), ISNUMBER(F233)), SUM(F225, F229, F233), "")</f>
        <v/>
      </c>
      <c r="G224" s="1788"/>
      <c r="H224" s="1788"/>
      <c r="I224" s="1788"/>
      <c r="J224" s="1788"/>
      <c r="K224" s="1788"/>
      <c r="L224" s="325"/>
      <c r="M224" s="325"/>
      <c r="N224" s="1487"/>
      <c r="O224" s="1487"/>
      <c r="P224" s="441"/>
    </row>
    <row r="225" spans="1:16" ht="15" customHeight="1" x14ac:dyDescent="0.25">
      <c r="A225" s="397"/>
      <c r="B225" s="417" t="s">
        <v>477</v>
      </c>
      <c r="C225" s="1641"/>
      <c r="D225" s="1641"/>
      <c r="E225" s="1641"/>
      <c r="F225" s="100" t="str">
        <f>IF(AND(ISNUMBER(F226), ISNUMBER(F227), ISNUMBER(F228)), IF($I$4="Medium", F226, IF($I$4="High", F227, IF($I$4="Low", F228, ""))), "")</f>
        <v/>
      </c>
      <c r="G225" s="1487"/>
      <c r="H225" s="1487"/>
      <c r="I225" s="1487"/>
      <c r="J225" s="1487"/>
      <c r="K225" s="1487"/>
      <c r="L225" s="1487"/>
      <c r="N225" s="1487"/>
      <c r="O225" s="1487"/>
      <c r="P225" s="833"/>
    </row>
    <row r="226" spans="1:16" ht="15" customHeight="1" x14ac:dyDescent="0.25">
      <c r="A226" s="397"/>
      <c r="B226" s="1812" t="s">
        <v>1198</v>
      </c>
      <c r="C226" s="198"/>
      <c r="D226" s="198"/>
      <c r="E226" s="198"/>
      <c r="F226" s="1705"/>
      <c r="G226" s="1487"/>
      <c r="H226" s="1487"/>
      <c r="I226" s="1487"/>
      <c r="J226" s="1487"/>
      <c r="K226" s="1487"/>
      <c r="L226" s="1487"/>
      <c r="N226" s="1487"/>
      <c r="O226" s="1487"/>
      <c r="P226" s="833"/>
    </row>
    <row r="227" spans="1:16" ht="15" customHeight="1" x14ac:dyDescent="0.25">
      <c r="A227" s="397"/>
      <c r="B227" s="1812" t="s">
        <v>1199</v>
      </c>
      <c r="C227" s="198"/>
      <c r="D227" s="198"/>
      <c r="E227" s="198"/>
      <c r="F227" s="1705"/>
      <c r="G227" s="477"/>
      <c r="H227" s="477"/>
      <c r="I227" s="477"/>
      <c r="J227" s="477"/>
      <c r="K227" s="1487"/>
      <c r="L227" s="1487"/>
      <c r="N227" s="1487"/>
      <c r="O227" s="1487"/>
      <c r="P227" s="833"/>
    </row>
    <row r="228" spans="1:16" ht="15" customHeight="1" x14ac:dyDescent="0.25">
      <c r="A228" s="397"/>
      <c r="B228" s="1812" t="s">
        <v>1200</v>
      </c>
      <c r="C228" s="198"/>
      <c r="D228" s="198"/>
      <c r="E228" s="198"/>
      <c r="F228" s="1705"/>
      <c r="G228" s="477"/>
      <c r="H228" s="477"/>
      <c r="I228" s="477"/>
      <c r="J228" s="477"/>
      <c r="K228" s="1487"/>
      <c r="L228" s="1487"/>
      <c r="N228" s="1487"/>
      <c r="O228" s="1487"/>
      <c r="P228" s="833"/>
    </row>
    <row r="229" spans="1:16" ht="15" customHeight="1" x14ac:dyDescent="0.25">
      <c r="A229" s="397"/>
      <c r="B229" s="417" t="s">
        <v>478</v>
      </c>
      <c r="C229" s="1641"/>
      <c r="D229" s="1641"/>
      <c r="E229" s="1641"/>
      <c r="F229" s="100" t="str">
        <f>IF(AND(ISNUMBER(F230), ISNUMBER(F231), ISNUMBER(F232)), IF($I$4="Medium", F230, IF($I$4="High", F231, IF($I$4="Low", F232, ""))), "")</f>
        <v/>
      </c>
      <c r="G229" s="477"/>
      <c r="H229" s="477"/>
      <c r="I229" s="477"/>
      <c r="J229" s="477"/>
      <c r="K229" s="1487"/>
      <c r="L229" s="1487"/>
      <c r="N229" s="1487"/>
      <c r="O229" s="1487"/>
      <c r="P229" s="833"/>
    </row>
    <row r="230" spans="1:16" ht="15" customHeight="1" x14ac:dyDescent="0.25">
      <c r="A230" s="397"/>
      <c r="B230" s="1812" t="s">
        <v>1198</v>
      </c>
      <c r="C230" s="198"/>
      <c r="D230" s="198"/>
      <c r="E230" s="198"/>
      <c r="F230" s="1705"/>
      <c r="G230" s="477"/>
      <c r="H230" s="477"/>
      <c r="I230" s="477"/>
      <c r="J230" s="477"/>
      <c r="K230" s="1487"/>
      <c r="L230" s="1487"/>
      <c r="N230" s="1487"/>
      <c r="O230" s="1487"/>
      <c r="P230" s="833"/>
    </row>
    <row r="231" spans="1:16" ht="15" customHeight="1" x14ac:dyDescent="0.25">
      <c r="A231" s="397"/>
      <c r="B231" s="1812" t="s">
        <v>1199</v>
      </c>
      <c r="C231" s="198"/>
      <c r="D231" s="198"/>
      <c r="E231" s="198"/>
      <c r="F231" s="1705"/>
      <c r="G231" s="477"/>
      <c r="H231" s="477"/>
      <c r="I231" s="477"/>
      <c r="J231" s="477"/>
      <c r="K231" s="1487"/>
      <c r="L231" s="1487"/>
      <c r="N231" s="1487"/>
      <c r="O231" s="1487"/>
      <c r="P231" s="833"/>
    </row>
    <row r="232" spans="1:16" ht="15" customHeight="1" x14ac:dyDescent="0.25">
      <c r="A232" s="397"/>
      <c r="B232" s="1812" t="s">
        <v>1200</v>
      </c>
      <c r="C232" s="198"/>
      <c r="D232" s="198"/>
      <c r="E232" s="198"/>
      <c r="F232" s="1705"/>
      <c r="G232" s="477"/>
      <c r="H232" s="477"/>
      <c r="I232" s="477"/>
      <c r="J232" s="477"/>
      <c r="K232" s="1487"/>
      <c r="L232" s="1487"/>
      <c r="N232" s="1487"/>
      <c r="O232" s="1487"/>
      <c r="P232" s="833"/>
    </row>
    <row r="233" spans="1:16" ht="15" customHeight="1" x14ac:dyDescent="0.25">
      <c r="A233" s="397"/>
      <c r="B233" s="417" t="s">
        <v>479</v>
      </c>
      <c r="C233" s="1641"/>
      <c r="D233" s="1641"/>
      <c r="E233" s="1641"/>
      <c r="F233" s="100" t="str">
        <f>IF(AND(ISNUMBER(F234), ISNUMBER(F235), ISNUMBER(F236)), IF($I$4="Medium", F234, IF($I$4="High", F235, IF($I$4="Low", F236, ""))), "")</f>
        <v/>
      </c>
      <c r="G233" s="477"/>
      <c r="H233" s="477"/>
      <c r="I233" s="477"/>
      <c r="J233" s="477"/>
      <c r="K233" s="1487"/>
      <c r="L233" s="1487"/>
      <c r="N233" s="1487"/>
      <c r="O233" s="1487"/>
      <c r="P233" s="833"/>
    </row>
    <row r="234" spans="1:16" ht="15" customHeight="1" x14ac:dyDescent="0.25">
      <c r="A234" s="397"/>
      <c r="B234" s="1812" t="s">
        <v>1198</v>
      </c>
      <c r="C234" s="198"/>
      <c r="D234" s="198"/>
      <c r="E234" s="198"/>
      <c r="F234" s="1705"/>
      <c r="G234" s="1487"/>
      <c r="H234" s="1487"/>
      <c r="I234" s="1487"/>
      <c r="J234" s="1487"/>
      <c r="K234" s="1487"/>
      <c r="L234" s="1487"/>
      <c r="N234" s="1487"/>
      <c r="O234" s="1487"/>
      <c r="P234" s="833"/>
    </row>
    <row r="235" spans="1:16" ht="15" customHeight="1" x14ac:dyDescent="0.25">
      <c r="A235" s="397"/>
      <c r="B235" s="1812" t="s">
        <v>1199</v>
      </c>
      <c r="C235" s="198"/>
      <c r="D235" s="198"/>
      <c r="E235" s="198"/>
      <c r="F235" s="1705"/>
      <c r="G235" s="1487"/>
      <c r="H235" s="1487"/>
      <c r="I235" s="1487"/>
      <c r="J235" s="1487"/>
      <c r="K235" s="1487"/>
      <c r="L235" s="1487"/>
      <c r="N235" s="1487"/>
      <c r="O235" s="1487"/>
      <c r="P235" s="833"/>
    </row>
    <row r="236" spans="1:16" ht="15" customHeight="1" x14ac:dyDescent="0.25">
      <c r="A236" s="397"/>
      <c r="B236" s="1813" t="s">
        <v>1200</v>
      </c>
      <c r="C236" s="411"/>
      <c r="D236" s="411"/>
      <c r="E236" s="411"/>
      <c r="F236" s="1706"/>
      <c r="G236" s="1487"/>
      <c r="H236" s="1487"/>
      <c r="I236" s="1487"/>
      <c r="J236" s="1487"/>
      <c r="K236" s="1487"/>
      <c r="L236" s="1487"/>
      <c r="N236" s="1487"/>
      <c r="O236" s="1487"/>
      <c r="P236" s="833"/>
    </row>
    <row r="237" spans="1:16" ht="15" customHeight="1" x14ac:dyDescent="0.25">
      <c r="A237" s="1242"/>
      <c r="B237" s="434"/>
      <c r="C237" s="434"/>
      <c r="D237" s="434"/>
      <c r="E237" s="434"/>
      <c r="F237" s="434"/>
      <c r="G237" s="434"/>
      <c r="H237" s="434"/>
      <c r="I237" s="434"/>
      <c r="J237" s="434"/>
      <c r="K237" s="434"/>
      <c r="L237" s="434"/>
      <c r="M237" s="434"/>
      <c r="N237" s="434"/>
      <c r="O237" s="434"/>
      <c r="P237" s="1243"/>
    </row>
    <row r="238" spans="1:16" ht="45" customHeight="1" x14ac:dyDescent="0.25">
      <c r="A238" s="2314" t="s">
        <v>2212</v>
      </c>
      <c r="B238" s="1487"/>
      <c r="C238" s="1487"/>
      <c r="D238" s="1487"/>
      <c r="E238" s="1487"/>
      <c r="F238" s="1487"/>
      <c r="G238" s="1487"/>
      <c r="H238" s="1487"/>
      <c r="I238" s="1487"/>
      <c r="J238" s="1487"/>
      <c r="K238" s="1487"/>
      <c r="L238" s="1487"/>
      <c r="M238" s="1487"/>
      <c r="N238" s="1487"/>
      <c r="O238" s="1487"/>
      <c r="P238" s="438"/>
    </row>
    <row r="239" spans="1:16" ht="30" customHeight="1" x14ac:dyDescent="0.25">
      <c r="A239" s="1668"/>
      <c r="B239" s="3034" t="s">
        <v>1255</v>
      </c>
      <c r="C239" s="2967" t="s">
        <v>1257</v>
      </c>
      <c r="D239" s="2968"/>
      <c r="E239" s="2968"/>
      <c r="F239" s="2966" t="s">
        <v>1366</v>
      </c>
      <c r="G239" s="2966"/>
      <c r="H239" s="2966"/>
      <c r="I239" s="2994" t="s">
        <v>1367</v>
      </c>
      <c r="J239" s="2966"/>
      <c r="K239" s="2993"/>
      <c r="L239" s="2966" t="s">
        <v>1368</v>
      </c>
      <c r="M239" s="2966"/>
      <c r="N239" s="2966"/>
      <c r="O239" s="1839"/>
      <c r="P239" s="1742"/>
    </row>
    <row r="240" spans="1:16" ht="15" customHeight="1" x14ac:dyDescent="0.25">
      <c r="A240" s="1645"/>
      <c r="B240" s="3035"/>
      <c r="C240" s="2969"/>
      <c r="D240" s="2970"/>
      <c r="E240" s="2970"/>
      <c r="F240" s="1703" t="s">
        <v>1208</v>
      </c>
      <c r="G240" s="1621" t="s">
        <v>1209</v>
      </c>
      <c r="H240" s="1628" t="s">
        <v>1210</v>
      </c>
      <c r="I240" s="1712" t="s">
        <v>1208</v>
      </c>
      <c r="J240" s="1621" t="s">
        <v>1209</v>
      </c>
      <c r="K240" s="1713" t="s">
        <v>1210</v>
      </c>
      <c r="L240" s="1659" t="s">
        <v>1208</v>
      </c>
      <c r="M240" s="1658" t="s">
        <v>1209</v>
      </c>
      <c r="N240" s="1626" t="s">
        <v>1210</v>
      </c>
      <c r="O240" s="1841"/>
      <c r="P240" s="1646"/>
    </row>
    <row r="241" spans="1:16" ht="15" customHeight="1" x14ac:dyDescent="0.25">
      <c r="A241" s="1533"/>
      <c r="B241" s="882">
        <v>1</v>
      </c>
      <c r="C241" s="3015" t="s">
        <v>1292</v>
      </c>
      <c r="D241" s="3016"/>
      <c r="E241" s="3016"/>
      <c r="F241" s="1649"/>
      <c r="G241" s="1650"/>
      <c r="H241" s="1670"/>
      <c r="I241" s="1661"/>
      <c r="J241" s="1650"/>
      <c r="K241" s="1660"/>
      <c r="L241" s="1649"/>
      <c r="M241" s="1650"/>
      <c r="N241" s="1670"/>
      <c r="O241" s="1839"/>
      <c r="P241" s="833"/>
    </row>
    <row r="242" spans="1:16" ht="15" customHeight="1" x14ac:dyDescent="0.25">
      <c r="A242" s="1533"/>
      <c r="B242" s="128">
        <v>2</v>
      </c>
      <c r="C242" s="2972" t="s">
        <v>1293</v>
      </c>
      <c r="D242" s="2979"/>
      <c r="E242" s="2979"/>
      <c r="F242" s="418"/>
      <c r="G242" s="1654"/>
      <c r="H242" s="1652"/>
      <c r="I242" s="1664"/>
      <c r="J242" s="1654"/>
      <c r="K242" s="1663"/>
      <c r="L242" s="418"/>
      <c r="M242" s="1654"/>
      <c r="N242" s="1652"/>
      <c r="O242" s="1839"/>
      <c r="P242" s="833"/>
    </row>
    <row r="243" spans="1:16" ht="15" customHeight="1" x14ac:dyDescent="0.25">
      <c r="A243" s="1533"/>
      <c r="B243" s="128">
        <v>3</v>
      </c>
      <c r="C243" s="2972" t="s">
        <v>1294</v>
      </c>
      <c r="D243" s="2979"/>
      <c r="E243" s="2979"/>
      <c r="F243" s="418"/>
      <c r="G243" s="1654"/>
      <c r="H243" s="1652"/>
      <c r="I243" s="1664"/>
      <c r="J243" s="1654"/>
      <c r="K243" s="1663"/>
      <c r="L243" s="418"/>
      <c r="M243" s="1654"/>
      <c r="N243" s="1652"/>
      <c r="O243" s="1839"/>
      <c r="P243" s="833"/>
    </row>
    <row r="244" spans="1:16" ht="15" customHeight="1" x14ac:dyDescent="0.25">
      <c r="A244" s="1533"/>
      <c r="B244" s="128">
        <v>4</v>
      </c>
      <c r="C244" s="2972" t="s">
        <v>1295</v>
      </c>
      <c r="D244" s="2979"/>
      <c r="E244" s="2979"/>
      <c r="F244" s="418"/>
      <c r="G244" s="1654"/>
      <c r="H244" s="1652"/>
      <c r="I244" s="1664"/>
      <c r="J244" s="1654"/>
      <c r="K244" s="1663"/>
      <c r="L244" s="418"/>
      <c r="M244" s="1654"/>
      <c r="N244" s="1652"/>
      <c r="O244" s="1839"/>
      <c r="P244" s="833"/>
    </row>
    <row r="245" spans="1:16" ht="15" customHeight="1" x14ac:dyDescent="0.25">
      <c r="A245" s="1533"/>
      <c r="B245" s="128">
        <v>5</v>
      </c>
      <c r="C245" s="2972" t="s">
        <v>1296</v>
      </c>
      <c r="D245" s="2979"/>
      <c r="E245" s="2979"/>
      <c r="F245" s="418"/>
      <c r="G245" s="1654"/>
      <c r="H245" s="1652"/>
      <c r="I245" s="1664"/>
      <c r="J245" s="1654"/>
      <c r="K245" s="1663"/>
      <c r="L245" s="418"/>
      <c r="M245" s="1654"/>
      <c r="N245" s="1652"/>
      <c r="O245" s="1839"/>
      <c r="P245" s="833"/>
    </row>
    <row r="246" spans="1:16" ht="15" customHeight="1" x14ac:dyDescent="0.25">
      <c r="A246" s="1533"/>
      <c r="B246" s="128">
        <v>6</v>
      </c>
      <c r="C246" s="2972" t="s">
        <v>1297</v>
      </c>
      <c r="D246" s="2979"/>
      <c r="E246" s="2979"/>
      <c r="F246" s="418"/>
      <c r="G246" s="1654"/>
      <c r="H246" s="1652"/>
      <c r="I246" s="1664"/>
      <c r="J246" s="1654"/>
      <c r="K246" s="1663"/>
      <c r="L246" s="418"/>
      <c r="M246" s="1654"/>
      <c r="N246" s="1652"/>
      <c r="O246" s="1839"/>
      <c r="P246" s="833"/>
    </row>
    <row r="247" spans="1:16" ht="15" customHeight="1" x14ac:dyDescent="0.25">
      <c r="A247" s="1533"/>
      <c r="B247" s="136">
        <v>7</v>
      </c>
      <c r="C247" s="2972" t="s">
        <v>1298</v>
      </c>
      <c r="D247" s="2979"/>
      <c r="E247" s="2979"/>
      <c r="F247" s="418"/>
      <c r="G247" s="1654"/>
      <c r="H247" s="1652"/>
      <c r="I247" s="1664"/>
      <c r="J247" s="1654"/>
      <c r="K247" s="1663"/>
      <c r="L247" s="418"/>
      <c r="M247" s="1654"/>
      <c r="N247" s="1652"/>
      <c r="O247" s="1839"/>
      <c r="P247" s="833"/>
    </row>
    <row r="248" spans="1:16" ht="15" customHeight="1" x14ac:dyDescent="0.25">
      <c r="A248" s="1533"/>
      <c r="B248" s="128">
        <v>8</v>
      </c>
      <c r="C248" s="2972" t="s">
        <v>1299</v>
      </c>
      <c r="D248" s="2979"/>
      <c r="E248" s="2979"/>
      <c r="F248" s="418"/>
      <c r="G248" s="1654"/>
      <c r="H248" s="1652"/>
      <c r="I248" s="1664"/>
      <c r="J248" s="1654"/>
      <c r="K248" s="1663"/>
      <c r="L248" s="418"/>
      <c r="M248" s="1654"/>
      <c r="N248" s="1652"/>
      <c r="O248" s="1839"/>
      <c r="P248" s="833"/>
    </row>
    <row r="249" spans="1:16" ht="15" customHeight="1" x14ac:dyDescent="0.25">
      <c r="A249" s="1533"/>
      <c r="B249" s="128">
        <v>9</v>
      </c>
      <c r="C249" s="2972" t="s">
        <v>1300</v>
      </c>
      <c r="D249" s="2989"/>
      <c r="E249" s="2989"/>
      <c r="F249" s="418"/>
      <c r="G249" s="1654"/>
      <c r="H249" s="1652"/>
      <c r="I249" s="1664"/>
      <c r="J249" s="1654"/>
      <c r="K249" s="1663"/>
      <c r="L249" s="418"/>
      <c r="M249" s="1654"/>
      <c r="N249" s="1652"/>
      <c r="O249" s="1839"/>
      <c r="P249" s="833"/>
    </row>
    <row r="250" spans="1:16" ht="15" customHeight="1" x14ac:dyDescent="0.25">
      <c r="A250" s="1533"/>
      <c r="B250" s="128">
        <v>10</v>
      </c>
      <c r="C250" s="3022" t="s">
        <v>1301</v>
      </c>
      <c r="D250" s="3023"/>
      <c r="E250" s="3023"/>
      <c r="F250" s="418"/>
      <c r="G250" s="1654"/>
      <c r="H250" s="1652"/>
      <c r="I250" s="1664"/>
      <c r="J250" s="1654"/>
      <c r="K250" s="1663"/>
      <c r="L250" s="418"/>
      <c r="M250" s="1654"/>
      <c r="N250" s="1652"/>
      <c r="O250" s="1839"/>
      <c r="P250" s="833"/>
    </row>
    <row r="251" spans="1:16" ht="15" customHeight="1" x14ac:dyDescent="0.25">
      <c r="A251" s="1533"/>
      <c r="B251" s="1666">
        <v>11</v>
      </c>
      <c r="C251" s="2991" t="s">
        <v>1302</v>
      </c>
      <c r="D251" s="3024"/>
      <c r="E251" s="3024"/>
      <c r="F251" s="419"/>
      <c r="G251" s="1655"/>
      <c r="H251" s="1656"/>
      <c r="I251" s="1667"/>
      <c r="J251" s="1655"/>
      <c r="K251" s="1672"/>
      <c r="L251" s="419"/>
      <c r="M251" s="1655"/>
      <c r="N251" s="1656"/>
      <c r="O251" s="1839"/>
      <c r="P251" s="833"/>
    </row>
    <row r="252" spans="1:16" ht="15" customHeight="1" x14ac:dyDescent="0.25">
      <c r="A252" s="1533"/>
      <c r="B252" s="1487"/>
      <c r="C252" s="1487"/>
      <c r="D252" s="1487"/>
      <c r="E252" s="1487"/>
      <c r="F252" s="1487"/>
      <c r="G252" s="1487"/>
      <c r="H252" s="1487"/>
      <c r="I252" s="1487"/>
      <c r="J252" s="1487"/>
      <c r="K252" s="1487"/>
      <c r="L252" s="1487"/>
      <c r="M252" s="1487"/>
      <c r="N252" s="325"/>
      <c r="O252" s="1839"/>
      <c r="P252" s="441"/>
    </row>
    <row r="253" spans="1:16" ht="15" customHeight="1" x14ac:dyDescent="0.25">
      <c r="A253" s="397"/>
      <c r="B253" s="2992"/>
      <c r="C253" s="2893"/>
      <c r="D253" s="2893"/>
      <c r="E253" s="2894"/>
      <c r="F253" s="1588" t="s">
        <v>1046</v>
      </c>
      <c r="G253" s="1678"/>
      <c r="H253" s="1678"/>
      <c r="I253" s="1678"/>
      <c r="J253" s="1678"/>
      <c r="K253" s="1678"/>
      <c r="L253" s="325"/>
      <c r="M253" s="325"/>
      <c r="N253" s="1487"/>
      <c r="O253" s="1487"/>
      <c r="P253" s="441"/>
    </row>
    <row r="254" spans="1:16" ht="15" customHeight="1" x14ac:dyDescent="0.25">
      <c r="A254" s="397"/>
      <c r="B254" s="1814" t="s">
        <v>1407</v>
      </c>
      <c r="C254" s="1815"/>
      <c r="D254" s="1815"/>
      <c r="E254" s="1815"/>
      <c r="F254" s="1816" t="str">
        <f>IF(AND(ISNUMBER(F255), ISNUMBER(F259), ISNUMBER(F263)), SUM(F255, F259, F263), "")</f>
        <v/>
      </c>
      <c r="G254" s="1788"/>
      <c r="H254" s="1788"/>
      <c r="I254" s="1788"/>
      <c r="J254" s="1788"/>
      <c r="K254" s="1788"/>
      <c r="L254" s="325"/>
      <c r="M254" s="325"/>
      <c r="N254" s="1487"/>
      <c r="O254" s="1487"/>
      <c r="P254" s="441"/>
    </row>
    <row r="255" spans="1:16" ht="15" customHeight="1" x14ac:dyDescent="0.25">
      <c r="A255" s="397"/>
      <c r="B255" s="417" t="s">
        <v>477</v>
      </c>
      <c r="C255" s="1641"/>
      <c r="D255" s="1641"/>
      <c r="E255" s="1641"/>
      <c r="F255" s="100" t="str">
        <f>IF(AND(ISNUMBER(F256), ISNUMBER(F257), ISNUMBER(F258)), IF($I$4="Medium", F256, IF($I$4="High", F257, IF($I$4="Low", F258, ""))), "")</f>
        <v/>
      </c>
      <c r="G255" s="1487"/>
      <c r="H255" s="1487"/>
      <c r="I255" s="1487"/>
      <c r="J255" s="1487"/>
      <c r="K255" s="1487"/>
      <c r="L255" s="1487"/>
      <c r="N255" s="1487"/>
      <c r="O255" s="1487"/>
      <c r="P255" s="833"/>
    </row>
    <row r="256" spans="1:16" ht="15" customHeight="1" x14ac:dyDescent="0.25">
      <c r="A256" s="397"/>
      <c r="B256" s="1812" t="s">
        <v>1198</v>
      </c>
      <c r="C256" s="198"/>
      <c r="D256" s="198"/>
      <c r="E256" s="198"/>
      <c r="F256" s="1705"/>
      <c r="G256" s="1487"/>
      <c r="H256" s="1487"/>
      <c r="I256" s="1487"/>
      <c r="J256" s="1487"/>
      <c r="K256" s="1487"/>
      <c r="L256" s="1487"/>
      <c r="N256" s="1487"/>
      <c r="O256" s="1487"/>
      <c r="P256" s="833"/>
    </row>
    <row r="257" spans="1:16" ht="15" customHeight="1" x14ac:dyDescent="0.25">
      <c r="A257" s="397"/>
      <c r="B257" s="1812" t="s">
        <v>1199</v>
      </c>
      <c r="C257" s="198"/>
      <c r="D257" s="198"/>
      <c r="E257" s="198"/>
      <c r="F257" s="1705"/>
      <c r="G257" s="477"/>
      <c r="H257" s="477"/>
      <c r="I257" s="477"/>
      <c r="J257" s="477"/>
      <c r="K257" s="1487"/>
      <c r="L257" s="1487"/>
      <c r="N257" s="1487"/>
      <c r="O257" s="1487"/>
      <c r="P257" s="833"/>
    </row>
    <row r="258" spans="1:16" ht="15" customHeight="1" x14ac:dyDescent="0.25">
      <c r="A258" s="397"/>
      <c r="B258" s="1812" t="s">
        <v>1200</v>
      </c>
      <c r="C258" s="198"/>
      <c r="D258" s="198"/>
      <c r="E258" s="198"/>
      <c r="F258" s="1705"/>
      <c r="G258" s="477"/>
      <c r="H258" s="477"/>
      <c r="I258" s="477"/>
      <c r="J258" s="477"/>
      <c r="K258" s="1487"/>
      <c r="L258" s="1487"/>
      <c r="N258" s="1487"/>
      <c r="O258" s="1487"/>
      <c r="P258" s="833"/>
    </row>
    <row r="259" spans="1:16" ht="15" customHeight="1" x14ac:dyDescent="0.25">
      <c r="A259" s="397"/>
      <c r="B259" s="417" t="s">
        <v>478</v>
      </c>
      <c r="C259" s="1641"/>
      <c r="D259" s="1641"/>
      <c r="E259" s="1641"/>
      <c r="F259" s="100" t="str">
        <f>IF(AND(ISNUMBER(F260), ISNUMBER(F261), ISNUMBER(F262)), IF($I$4="Medium", F260, IF($I$4="High", F261, IF($I$4="Low", F262, ""))), "")</f>
        <v/>
      </c>
      <c r="G259" s="477"/>
      <c r="H259" s="477"/>
      <c r="I259" s="477"/>
      <c r="J259" s="477"/>
      <c r="K259" s="1487"/>
      <c r="L259" s="1487"/>
      <c r="N259" s="1487"/>
      <c r="O259" s="1487"/>
      <c r="P259" s="833"/>
    </row>
    <row r="260" spans="1:16" ht="15" customHeight="1" x14ac:dyDescent="0.25">
      <c r="A260" s="397"/>
      <c r="B260" s="1812" t="s">
        <v>1198</v>
      </c>
      <c r="C260" s="198"/>
      <c r="D260" s="198"/>
      <c r="E260" s="198"/>
      <c r="F260" s="1705"/>
      <c r="G260" s="477"/>
      <c r="H260" s="477"/>
      <c r="I260" s="477"/>
      <c r="J260" s="477"/>
      <c r="K260" s="1487"/>
      <c r="L260" s="1487"/>
      <c r="N260" s="1487"/>
      <c r="O260" s="1487"/>
      <c r="P260" s="833"/>
    </row>
    <row r="261" spans="1:16" ht="15" customHeight="1" x14ac:dyDescent="0.25">
      <c r="A261" s="397"/>
      <c r="B261" s="1812" t="s">
        <v>1199</v>
      </c>
      <c r="C261" s="198"/>
      <c r="D261" s="198"/>
      <c r="E261" s="198"/>
      <c r="F261" s="1705"/>
      <c r="G261" s="477"/>
      <c r="H261" s="477"/>
      <c r="I261" s="477"/>
      <c r="J261" s="477"/>
      <c r="K261" s="1487"/>
      <c r="L261" s="1487"/>
      <c r="N261" s="1487"/>
      <c r="O261" s="1487"/>
      <c r="P261" s="833"/>
    </row>
    <row r="262" spans="1:16" ht="15" customHeight="1" x14ac:dyDescent="0.25">
      <c r="A262" s="397"/>
      <c r="B262" s="1812" t="s">
        <v>1200</v>
      </c>
      <c r="C262" s="198"/>
      <c r="D262" s="198"/>
      <c r="E262" s="198"/>
      <c r="F262" s="1705"/>
      <c r="G262" s="477"/>
      <c r="H262" s="477"/>
      <c r="I262" s="477"/>
      <c r="J262" s="477"/>
      <c r="K262" s="1487"/>
      <c r="L262" s="1487"/>
      <c r="N262" s="1487"/>
      <c r="O262" s="1487"/>
      <c r="P262" s="833"/>
    </row>
    <row r="263" spans="1:16" ht="15" customHeight="1" x14ac:dyDescent="0.25">
      <c r="A263" s="397"/>
      <c r="B263" s="417" t="s">
        <v>479</v>
      </c>
      <c r="C263" s="1641"/>
      <c r="D263" s="1641"/>
      <c r="E263" s="1641"/>
      <c r="F263" s="100" t="str">
        <f>IF(AND(ISNUMBER(F264), ISNUMBER(F265), ISNUMBER(F266)), IF($I$4="Medium", F264, IF($I$4="High", F265, IF($I$4="Low", F266, ""))), "")</f>
        <v/>
      </c>
      <c r="G263" s="477"/>
      <c r="H263" s="477"/>
      <c r="I263" s="477"/>
      <c r="J263" s="477"/>
      <c r="K263" s="1487"/>
      <c r="L263" s="1487"/>
      <c r="N263" s="1487"/>
      <c r="O263" s="1487"/>
      <c r="P263" s="833"/>
    </row>
    <row r="264" spans="1:16" ht="15" customHeight="1" x14ac:dyDescent="0.25">
      <c r="A264" s="397"/>
      <c r="B264" s="1812" t="s">
        <v>1198</v>
      </c>
      <c r="C264" s="198"/>
      <c r="D264" s="198"/>
      <c r="E264" s="198"/>
      <c r="F264" s="1705"/>
      <c r="G264" s="1487"/>
      <c r="H264" s="1487"/>
      <c r="I264" s="1487"/>
      <c r="J264" s="1487"/>
      <c r="K264" s="1487"/>
      <c r="L264" s="1487"/>
      <c r="N264" s="1487"/>
      <c r="O264" s="1487"/>
      <c r="P264" s="833"/>
    </row>
    <row r="265" spans="1:16" ht="15" customHeight="1" x14ac:dyDescent="0.25">
      <c r="A265" s="397"/>
      <c r="B265" s="1812" t="s">
        <v>1199</v>
      </c>
      <c r="C265" s="198"/>
      <c r="D265" s="198"/>
      <c r="E265" s="198"/>
      <c r="F265" s="1705"/>
      <c r="G265" s="1487"/>
      <c r="H265" s="1487"/>
      <c r="I265" s="1487"/>
      <c r="J265" s="1487"/>
      <c r="K265" s="1487"/>
      <c r="L265" s="1487"/>
      <c r="N265" s="1487"/>
      <c r="O265" s="1487"/>
      <c r="P265" s="833"/>
    </row>
    <row r="266" spans="1:16" ht="15" customHeight="1" x14ac:dyDescent="0.25">
      <c r="A266" s="397"/>
      <c r="B266" s="1813" t="s">
        <v>1200</v>
      </c>
      <c r="C266" s="411"/>
      <c r="D266" s="411"/>
      <c r="E266" s="411"/>
      <c r="F266" s="1706"/>
      <c r="G266" s="1487"/>
      <c r="H266" s="1487"/>
      <c r="I266" s="1487"/>
      <c r="J266" s="1487"/>
      <c r="K266" s="1487"/>
      <c r="L266" s="1487"/>
      <c r="N266" s="1487"/>
      <c r="O266" s="1487"/>
      <c r="P266" s="833"/>
    </row>
    <row r="267" spans="1:16" ht="15" customHeight="1" x14ac:dyDescent="0.25">
      <c r="A267" s="1242"/>
      <c r="B267" s="434"/>
      <c r="C267" s="434"/>
      <c r="D267" s="434"/>
      <c r="E267" s="434"/>
      <c r="F267" s="434"/>
      <c r="G267" s="434"/>
      <c r="H267" s="434"/>
      <c r="I267" s="434"/>
      <c r="J267" s="434"/>
      <c r="K267" s="434"/>
      <c r="L267" s="434"/>
      <c r="M267" s="434"/>
      <c r="N267" s="434"/>
      <c r="O267" s="434"/>
      <c r="P267" s="1243"/>
    </row>
    <row r="268" spans="1:16" ht="45" customHeight="1" x14ac:dyDescent="0.25">
      <c r="A268" s="2314" t="s">
        <v>2213</v>
      </c>
      <c r="B268" s="1673"/>
      <c r="C268" s="1674"/>
      <c r="D268" s="1674"/>
      <c r="E268" s="1674"/>
      <c r="F268" s="1674"/>
      <c r="G268" s="1674"/>
      <c r="H268" s="1674"/>
      <c r="I268" s="1674"/>
      <c r="J268" s="1674"/>
      <c r="K268" s="1674"/>
      <c r="L268" s="1675"/>
      <c r="M268" s="1675"/>
      <c r="N268" s="1675"/>
      <c r="O268" s="1675"/>
      <c r="P268" s="1743"/>
    </row>
    <row r="269" spans="1:16" ht="105" customHeight="1" x14ac:dyDescent="0.25">
      <c r="A269" s="430"/>
      <c r="B269" s="1067" t="s">
        <v>1303</v>
      </c>
      <c r="C269" s="1067"/>
      <c r="D269" s="3025"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025"/>
      <c r="F269" s="3025"/>
      <c r="G269" s="3025"/>
      <c r="H269" s="3025"/>
      <c r="I269" s="3025"/>
      <c r="J269" s="575"/>
      <c r="K269" s="575"/>
      <c r="L269" s="575"/>
      <c r="M269" s="575"/>
      <c r="N269" s="575"/>
      <c r="O269" s="575"/>
      <c r="P269" s="1740"/>
    </row>
    <row r="270" spans="1:16" ht="15" customHeight="1" x14ac:dyDescent="0.25">
      <c r="A270" s="430"/>
      <c r="B270" s="1702"/>
      <c r="C270" s="575"/>
      <c r="D270" s="575"/>
      <c r="E270" s="575"/>
      <c r="F270" s="575"/>
      <c r="G270" s="575"/>
      <c r="H270" s="575"/>
      <c r="I270" s="575"/>
      <c r="J270" s="575"/>
      <c r="K270" s="575"/>
      <c r="L270" s="575"/>
      <c r="M270" s="575"/>
      <c r="N270" s="575"/>
      <c r="O270" s="575"/>
      <c r="P270" s="1740"/>
    </row>
    <row r="271" spans="1:16" ht="15" customHeight="1" x14ac:dyDescent="0.25">
      <c r="A271" s="430"/>
      <c r="B271" s="3017" t="s">
        <v>1305</v>
      </c>
      <c r="C271" s="3017"/>
      <c r="D271" s="1726"/>
      <c r="E271" s="1726"/>
      <c r="F271" s="1726"/>
      <c r="G271" s="1786" t="str">
        <f>IF('General Info'!C6&lt;&gt;"", 'General Info'!C6, "")</f>
        <v/>
      </c>
      <c r="H271" s="1789"/>
      <c r="I271" s="1789"/>
      <c r="J271" s="575"/>
      <c r="K271" s="575"/>
      <c r="L271" s="575"/>
      <c r="M271" s="575"/>
      <c r="N271" s="575"/>
      <c r="O271" s="575"/>
      <c r="P271" s="1740"/>
    </row>
    <row r="272" spans="1:16" ht="15" customHeight="1" x14ac:dyDescent="0.25">
      <c r="A272" s="1676"/>
      <c r="B272" s="1728" t="s">
        <v>1304</v>
      </c>
      <c r="C272" s="1728"/>
      <c r="D272" s="1727"/>
      <c r="E272" s="1727"/>
      <c r="F272" s="1727"/>
      <c r="G272" s="1790"/>
      <c r="H272" s="633"/>
      <c r="I272" s="633"/>
      <c r="J272" s="1450"/>
      <c r="K272" s="1450"/>
      <c r="L272" s="1450"/>
      <c r="M272" s="1450"/>
      <c r="N272" s="1450"/>
      <c r="O272" s="1450"/>
      <c r="P272" s="1362"/>
    </row>
    <row r="273" spans="1:16" ht="15" customHeight="1" x14ac:dyDescent="0.25">
      <c r="A273" s="392"/>
      <c r="B273" s="222" t="s">
        <v>1375</v>
      </c>
      <c r="C273" s="222"/>
      <c r="D273" s="323"/>
      <c r="E273" s="323"/>
      <c r="F273" s="1727"/>
      <c r="G273" s="1790"/>
      <c r="H273" s="633"/>
      <c r="I273" s="633"/>
      <c r="J273" s="1450"/>
      <c r="K273" s="1450"/>
      <c r="L273" s="1450"/>
      <c r="M273" s="1450"/>
      <c r="N273" s="1450"/>
      <c r="O273" s="1450"/>
      <c r="P273" s="1362"/>
    </row>
    <row r="274" spans="1:16" ht="15" customHeight="1" x14ac:dyDescent="0.25">
      <c r="A274" s="392"/>
      <c r="B274" s="198" t="s">
        <v>1400</v>
      </c>
      <c r="C274" s="198"/>
      <c r="D274" s="142"/>
      <c r="E274" s="142"/>
      <c r="F274" s="1787"/>
      <c r="G274" s="1809"/>
      <c r="H274" s="633"/>
      <c r="I274" s="633"/>
      <c r="J274" s="1450"/>
      <c r="K274" s="1450"/>
      <c r="L274" s="1450"/>
      <c r="M274" s="1450"/>
      <c r="N274" s="1450"/>
      <c r="O274" s="1450"/>
      <c r="P274" s="1362"/>
    </row>
    <row r="275" spans="1:16" ht="15" customHeight="1" x14ac:dyDescent="0.25">
      <c r="A275" s="392"/>
      <c r="B275" s="198" t="s">
        <v>1204</v>
      </c>
      <c r="C275" s="198"/>
      <c r="D275" s="142"/>
      <c r="E275" s="142"/>
      <c r="F275" s="1787"/>
      <c r="G275" s="1810" t="str">
        <f>IF(G273=Parameters!D612, IF(G274&lt;&gt;"", 'TB risk class'!G274, ""), 'TB risk class'!G271)</f>
        <v/>
      </c>
      <c r="H275" s="633"/>
      <c r="I275" s="633"/>
      <c r="J275" s="1450"/>
      <c r="K275" s="1450"/>
      <c r="L275" s="1450"/>
      <c r="M275" s="1450"/>
      <c r="N275" s="1450"/>
      <c r="O275" s="1450"/>
      <c r="P275" s="1362"/>
    </row>
    <row r="276" spans="1:16" ht="15" customHeight="1" x14ac:dyDescent="0.25">
      <c r="A276" s="392"/>
      <c r="B276" s="411" t="s">
        <v>1376</v>
      </c>
      <c r="C276" s="1671"/>
      <c r="D276" s="1671"/>
      <c r="E276" s="1671"/>
      <c r="F276" s="1729"/>
      <c r="G276" s="3012"/>
      <c r="H276" s="3012"/>
      <c r="I276" s="3012"/>
      <c r="J276" s="1450"/>
      <c r="K276" s="1450"/>
      <c r="L276" s="1450"/>
      <c r="M276" s="1450"/>
      <c r="N276" s="1450"/>
      <c r="O276" s="1450"/>
      <c r="P276" s="1362"/>
    </row>
    <row r="277" spans="1:16" ht="15" customHeight="1" x14ac:dyDescent="0.25">
      <c r="A277" s="1533"/>
      <c r="B277" s="1487"/>
      <c r="C277" s="1487"/>
      <c r="D277" s="1487"/>
      <c r="E277" s="1487"/>
      <c r="F277" s="1487"/>
      <c r="G277" s="1487"/>
      <c r="H277" s="1487"/>
      <c r="I277" s="1487"/>
      <c r="J277" s="1487"/>
      <c r="K277" s="1487"/>
      <c r="L277" s="1487"/>
      <c r="M277" s="1487"/>
      <c r="N277" s="1487"/>
      <c r="O277" s="1487"/>
      <c r="P277" s="438"/>
    </row>
    <row r="278" spans="1:16" ht="15" customHeight="1" x14ac:dyDescent="0.25">
      <c r="A278" s="1533"/>
      <c r="B278" s="2671" t="s">
        <v>1204</v>
      </c>
      <c r="C278" s="2671"/>
      <c r="D278" s="2671"/>
      <c r="E278" s="2671"/>
      <c r="F278" s="2596" t="s">
        <v>614</v>
      </c>
      <c r="G278" s="3019"/>
      <c r="H278" s="3007" t="s">
        <v>615</v>
      </c>
      <c r="I278" s="3008"/>
      <c r="J278" s="3008"/>
      <c r="K278" s="3009"/>
      <c r="L278" s="3026" t="s">
        <v>1205</v>
      </c>
      <c r="M278" s="3027"/>
      <c r="N278" s="3027"/>
      <c r="O278" s="3028"/>
      <c r="P278" s="438"/>
    </row>
    <row r="279" spans="1:16" ht="15" customHeight="1" x14ac:dyDescent="0.25">
      <c r="A279" s="1677"/>
      <c r="B279" s="3018"/>
      <c r="C279" s="3018"/>
      <c r="D279" s="3018"/>
      <c r="E279" s="3018"/>
      <c r="F279" s="2755" t="s">
        <v>1207</v>
      </c>
      <c r="G279" s="3020" t="s">
        <v>1306</v>
      </c>
      <c r="H279" s="3010" t="s">
        <v>1307</v>
      </c>
      <c r="I279" s="3029" t="s">
        <v>1206</v>
      </c>
      <c r="J279" s="3029"/>
      <c r="K279" s="3029"/>
      <c r="L279" s="3066" t="s">
        <v>1204</v>
      </c>
      <c r="M279" s="3029" t="s">
        <v>1206</v>
      </c>
      <c r="N279" s="3029"/>
      <c r="O279" s="3030"/>
      <c r="P279" s="1744"/>
    </row>
    <row r="280" spans="1:16" ht="15" customHeight="1" x14ac:dyDescent="0.25">
      <c r="A280" s="1679"/>
      <c r="B280" s="2672"/>
      <c r="C280" s="2672"/>
      <c r="D280" s="2672"/>
      <c r="E280" s="2672"/>
      <c r="F280" s="2756"/>
      <c r="G280" s="3021"/>
      <c r="H280" s="3011"/>
      <c r="I280" s="1680" t="s">
        <v>1208</v>
      </c>
      <c r="J280" s="1680" t="s">
        <v>1209</v>
      </c>
      <c r="K280" s="1680" t="s">
        <v>1210</v>
      </c>
      <c r="L280" s="3066"/>
      <c r="M280" s="1831" t="s">
        <v>1208</v>
      </c>
      <c r="N280" s="1831" t="s">
        <v>1209</v>
      </c>
      <c r="O280" s="1626" t="s">
        <v>1210</v>
      </c>
      <c r="P280" s="1745"/>
    </row>
    <row r="281" spans="1:16" ht="15" customHeight="1" x14ac:dyDescent="0.25">
      <c r="A281" s="397"/>
      <c r="B281" s="822" t="s">
        <v>1212</v>
      </c>
      <c r="C281" s="855"/>
      <c r="D281" s="855"/>
      <c r="E281" s="855"/>
      <c r="F281" s="1670"/>
      <c r="G281" s="1811" t="str">
        <f>IF($G$275&lt;&gt;"", HLOOKUP($G$275, fx_triang!$B$1:$V$38, ROW(B281)-ROW(B$281)+ROW(fx_triang!A$2), FALSE), "")</f>
        <v/>
      </c>
      <c r="H281" s="1681" t="s">
        <v>1308</v>
      </c>
      <c r="I281" s="1682"/>
      <c r="J281" s="1683"/>
      <c r="K281" s="1650"/>
      <c r="L281" s="1684" t="str">
        <f t="shared" ref="L281:L316" si="0">B281</f>
        <v>EUR</v>
      </c>
      <c r="M281" s="1670"/>
      <c r="N281" s="1670"/>
      <c r="O281" s="1670"/>
      <c r="P281" s="441"/>
    </row>
    <row r="282" spans="1:16" ht="15" customHeight="1" x14ac:dyDescent="0.25">
      <c r="A282" s="397"/>
      <c r="B282" s="323" t="s">
        <v>1213</v>
      </c>
      <c r="C282" s="139"/>
      <c r="D282" s="139"/>
      <c r="E282" s="139"/>
      <c r="F282" s="1652"/>
      <c r="G282" s="1811" t="str">
        <f>IF($G$275&lt;&gt;"", HLOOKUP($G$275, fx_triang!$B$1:$V$38, ROW(B282)-ROW(B$281)+ROW(fx_triang!A$2), FALSE), "")</f>
        <v/>
      </c>
      <c r="H282" s="1685" t="s">
        <v>1309</v>
      </c>
      <c r="I282" s="1653"/>
      <c r="J282" s="1686"/>
      <c r="K282" s="1654"/>
      <c r="L282" s="1687" t="str">
        <f t="shared" si="0"/>
        <v>JPY</v>
      </c>
      <c r="M282" s="1652"/>
      <c r="N282" s="1652"/>
      <c r="O282" s="1652"/>
      <c r="P282" s="441"/>
    </row>
    <row r="283" spans="1:16" ht="15" customHeight="1" x14ac:dyDescent="0.25">
      <c r="A283" s="397"/>
      <c r="B283" s="323" t="s">
        <v>1214</v>
      </c>
      <c r="C283" s="323"/>
      <c r="D283" s="323"/>
      <c r="E283" s="323"/>
      <c r="F283" s="1652"/>
      <c r="G283" s="1811" t="str">
        <f>IF($G$275&lt;&gt;"", HLOOKUP($G$275, fx_triang!$B$1:$V$38, ROW(B283)-ROW(B$281)+ROW(fx_triang!A$2), FALSE), "")</f>
        <v/>
      </c>
      <c r="H283" s="1685" t="s">
        <v>1310</v>
      </c>
      <c r="I283" s="1653"/>
      <c r="J283" s="1686"/>
      <c r="K283" s="1654"/>
      <c r="L283" s="1687" t="str">
        <f t="shared" si="0"/>
        <v>GBP</v>
      </c>
      <c r="M283" s="1652"/>
      <c r="N283" s="1652"/>
      <c r="O283" s="1652"/>
      <c r="P283" s="441"/>
    </row>
    <row r="284" spans="1:16" ht="15" customHeight="1" x14ac:dyDescent="0.25">
      <c r="A284" s="397"/>
      <c r="B284" s="323" t="s">
        <v>1215</v>
      </c>
      <c r="C284" s="323"/>
      <c r="D284" s="323"/>
      <c r="E284" s="323"/>
      <c r="F284" s="1652"/>
      <c r="G284" s="1811" t="str">
        <f>IF($G$275&lt;&gt;"", HLOOKUP($G$275, fx_triang!$B$1:$V$38, ROW(B284)-ROW(B$281)+ROW(fx_triang!A$2), FALSE), "")</f>
        <v/>
      </c>
      <c r="H284" s="1685" t="s">
        <v>1311</v>
      </c>
      <c r="I284" s="1653"/>
      <c r="J284" s="1686"/>
      <c r="K284" s="1654"/>
      <c r="L284" s="1687" t="str">
        <f t="shared" si="0"/>
        <v>AUD</v>
      </c>
      <c r="M284" s="1652"/>
      <c r="N284" s="1652"/>
      <c r="O284" s="1652"/>
      <c r="P284" s="441"/>
    </row>
    <row r="285" spans="1:16" ht="15" customHeight="1" x14ac:dyDescent="0.25">
      <c r="A285" s="397"/>
      <c r="B285" s="323" t="s">
        <v>1217</v>
      </c>
      <c r="C285" s="323"/>
      <c r="D285" s="323"/>
      <c r="E285" s="323"/>
      <c r="F285" s="1652"/>
      <c r="G285" s="1811" t="str">
        <f>IF($G$275&lt;&gt;"", HLOOKUP($G$275, fx_triang!$B$1:$V$38, ROW(B285)-ROW(B$281)+ROW(fx_triang!A$2), FALSE), "")</f>
        <v/>
      </c>
      <c r="H285" s="1685" t="s">
        <v>1312</v>
      </c>
      <c r="I285" s="1653"/>
      <c r="J285" s="1686"/>
      <c r="K285" s="1654"/>
      <c r="L285" s="1687" t="str">
        <f t="shared" si="0"/>
        <v>CAD</v>
      </c>
      <c r="M285" s="1652"/>
      <c r="N285" s="1652"/>
      <c r="O285" s="1652"/>
      <c r="P285" s="441"/>
    </row>
    <row r="286" spans="1:16" ht="15" customHeight="1" x14ac:dyDescent="0.25">
      <c r="A286" s="397"/>
      <c r="B286" s="386" t="s">
        <v>1216</v>
      </c>
      <c r="C286" s="323"/>
      <c r="D286" s="323"/>
      <c r="E286" s="323"/>
      <c r="F286" s="1652"/>
      <c r="G286" s="1811" t="str">
        <f>IF($G$275&lt;&gt;"", HLOOKUP($G$275, fx_triang!$B$1:$V$38, ROW(B286)-ROW(B$281)+ROW(fx_triang!A$2), FALSE), "")</f>
        <v/>
      </c>
      <c r="H286" s="1025" t="s">
        <v>1313</v>
      </c>
      <c r="I286" s="1653"/>
      <c r="J286" s="1686"/>
      <c r="K286" s="1654"/>
      <c r="L286" s="1687" t="str">
        <f t="shared" si="0"/>
        <v>CHF</v>
      </c>
      <c r="M286" s="1652"/>
      <c r="N286" s="1652"/>
      <c r="O286" s="1652"/>
      <c r="P286" s="441"/>
    </row>
    <row r="287" spans="1:16" ht="15" customHeight="1" x14ac:dyDescent="0.25">
      <c r="A287" s="397"/>
      <c r="B287" s="222" t="s">
        <v>1223</v>
      </c>
      <c r="C287" s="323"/>
      <c r="D287" s="323"/>
      <c r="E287" s="323"/>
      <c r="F287" s="1652"/>
      <c r="G287" s="1811" t="str">
        <f>IF($G$275&lt;&gt;"", HLOOKUP($G$275, fx_triang!$B$1:$V$38, ROW(B287)-ROW(B$281)+ROW(fx_triang!A$2), FALSE), "")</f>
        <v/>
      </c>
      <c r="H287" s="1688" t="s">
        <v>1314</v>
      </c>
      <c r="I287" s="1653"/>
      <c r="J287" s="1686"/>
      <c r="K287" s="1654"/>
      <c r="L287" s="1687" t="str">
        <f t="shared" si="0"/>
        <v>MXN</v>
      </c>
      <c r="M287" s="1652"/>
      <c r="N287" s="1652"/>
      <c r="O287" s="1652"/>
      <c r="P287" s="441"/>
    </row>
    <row r="288" spans="1:16" ht="15" customHeight="1" x14ac:dyDescent="0.25">
      <c r="A288" s="397"/>
      <c r="B288" s="222" t="s">
        <v>1228</v>
      </c>
      <c r="C288" s="323"/>
      <c r="D288" s="323"/>
      <c r="E288" s="323"/>
      <c r="F288" s="1652"/>
      <c r="G288" s="1811" t="str">
        <f>IF($G$275&lt;&gt;"", HLOOKUP($G$275, fx_triang!$B$1:$V$38, ROW(B288)-ROW(B$281)+ROW(fx_triang!A$2), FALSE), "")</f>
        <v/>
      </c>
      <c r="H288" s="1688" t="s">
        <v>1315</v>
      </c>
      <c r="I288" s="1653"/>
      <c r="J288" s="1686"/>
      <c r="K288" s="1654"/>
      <c r="L288" s="1687" t="str">
        <f t="shared" si="0"/>
        <v>CNY</v>
      </c>
      <c r="M288" s="1652"/>
      <c r="N288" s="1652"/>
      <c r="O288" s="1652"/>
      <c r="P288" s="441"/>
    </row>
    <row r="289" spans="1:16" ht="15" customHeight="1" x14ac:dyDescent="0.25">
      <c r="A289" s="397"/>
      <c r="B289" s="222" t="s">
        <v>1220</v>
      </c>
      <c r="C289" s="323"/>
      <c r="D289" s="323"/>
      <c r="E289" s="323"/>
      <c r="F289" s="1652"/>
      <c r="G289" s="1811" t="str">
        <f>IF($G$275&lt;&gt;"", HLOOKUP($G$275, fx_triang!$B$1:$V$38, ROW(B289)-ROW(B$281)+ROW(fx_triang!A$2), FALSE), "")</f>
        <v/>
      </c>
      <c r="H289" s="1688" t="s">
        <v>1316</v>
      </c>
      <c r="I289" s="1653"/>
      <c r="J289" s="1686"/>
      <c r="K289" s="1654"/>
      <c r="L289" s="1687" t="str">
        <f t="shared" si="0"/>
        <v>NZD</v>
      </c>
      <c r="M289" s="1652"/>
      <c r="N289" s="1652"/>
      <c r="O289" s="1652"/>
      <c r="P289" s="441"/>
    </row>
    <row r="290" spans="1:16" ht="15" customHeight="1" x14ac:dyDescent="0.25">
      <c r="A290" s="397"/>
      <c r="B290" s="222" t="s">
        <v>1229</v>
      </c>
      <c r="C290" s="323"/>
      <c r="D290" s="323"/>
      <c r="E290" s="323"/>
      <c r="F290" s="1652"/>
      <c r="G290" s="1811" t="str">
        <f>IF($G$275&lt;&gt;"", HLOOKUP($G$275, fx_triang!$B$1:$V$38, ROW(B290)-ROW(B$281)+ROW(fx_triang!A$2), FALSE), "")</f>
        <v/>
      </c>
      <c r="H290" s="1688" t="s">
        <v>1317</v>
      </c>
      <c r="I290" s="1653"/>
      <c r="J290" s="1686"/>
      <c r="K290" s="1654"/>
      <c r="L290" s="1687" t="str">
        <f t="shared" si="0"/>
        <v>RUB</v>
      </c>
      <c r="M290" s="1652"/>
      <c r="N290" s="1652"/>
      <c r="O290" s="1652"/>
      <c r="P290" s="441"/>
    </row>
    <row r="291" spans="1:16" ht="15" customHeight="1" x14ac:dyDescent="0.25">
      <c r="A291" s="397"/>
      <c r="B291" s="222" t="s">
        <v>1218</v>
      </c>
      <c r="C291" s="323"/>
      <c r="D291" s="323"/>
      <c r="E291" s="323"/>
      <c r="F291" s="1652"/>
      <c r="G291" s="1811" t="str">
        <f>IF($G$275&lt;&gt;"", HLOOKUP($G$275, fx_triang!$B$1:$V$38, ROW(B291)-ROW(B$281)+ROW(fx_triang!A$2), FALSE), "")</f>
        <v/>
      </c>
      <c r="H291" s="1688" t="s">
        <v>1318</v>
      </c>
      <c r="I291" s="1653"/>
      <c r="J291" s="1686"/>
      <c r="K291" s="1654"/>
      <c r="L291" s="1687" t="str">
        <f t="shared" si="0"/>
        <v>HKD</v>
      </c>
      <c r="M291" s="1652"/>
      <c r="N291" s="1652"/>
      <c r="O291" s="1652"/>
      <c r="P291" s="441"/>
    </row>
    <row r="292" spans="1:16" ht="15" customHeight="1" x14ac:dyDescent="0.25">
      <c r="A292" s="397"/>
      <c r="B292" s="222" t="s">
        <v>1222</v>
      </c>
      <c r="C292" s="323"/>
      <c r="D292" s="323"/>
      <c r="E292" s="323"/>
      <c r="F292" s="1652"/>
      <c r="G292" s="1811" t="str">
        <f>IF($G$275&lt;&gt;"", HLOOKUP($G$275, fx_triang!$B$1:$V$38, ROW(B292)-ROW(B$281)+ROW(fx_triang!A$2), FALSE), "")</f>
        <v/>
      </c>
      <c r="H292" s="1688" t="s">
        <v>1319</v>
      </c>
      <c r="I292" s="1653"/>
      <c r="J292" s="1686"/>
      <c r="K292" s="1654"/>
      <c r="L292" s="1687" t="str">
        <f t="shared" si="0"/>
        <v>SGD</v>
      </c>
      <c r="M292" s="1652"/>
      <c r="N292" s="1652"/>
      <c r="O292" s="1652"/>
      <c r="P292" s="441"/>
    </row>
    <row r="293" spans="1:16" ht="15" customHeight="1" x14ac:dyDescent="0.25">
      <c r="A293" s="397"/>
      <c r="B293" s="222" t="s">
        <v>1230</v>
      </c>
      <c r="C293" s="323"/>
      <c r="D293" s="323"/>
      <c r="E293" s="323"/>
      <c r="F293" s="1652"/>
      <c r="G293" s="1811" t="str">
        <f>IF($G$275&lt;&gt;"", HLOOKUP($G$275, fx_triang!$B$1:$V$38, ROW(B293)-ROW(B$281)+ROW(fx_triang!A$2), FALSE), "")</f>
        <v/>
      </c>
      <c r="H293" s="1688" t="s">
        <v>1320</v>
      </c>
      <c r="I293" s="1653"/>
      <c r="J293" s="1686"/>
      <c r="K293" s="1654"/>
      <c r="L293" s="1687" t="str">
        <f t="shared" si="0"/>
        <v>TRY</v>
      </c>
      <c r="M293" s="1652"/>
      <c r="N293" s="1652"/>
      <c r="O293" s="1652"/>
      <c r="P293" s="441"/>
    </row>
    <row r="294" spans="1:16" ht="15" customHeight="1" x14ac:dyDescent="0.25">
      <c r="A294" s="397"/>
      <c r="B294" s="222" t="s">
        <v>1221</v>
      </c>
      <c r="C294" s="323"/>
      <c r="D294" s="323"/>
      <c r="E294" s="323"/>
      <c r="F294" s="1652"/>
      <c r="G294" s="1811" t="str">
        <f>IF($G$275&lt;&gt;"", HLOOKUP($G$275, fx_triang!$B$1:$V$38, ROW(B294)-ROW(B$281)+ROW(fx_triang!A$2), FALSE), "")</f>
        <v/>
      </c>
      <c r="H294" s="1688" t="s">
        <v>1321</v>
      </c>
      <c r="I294" s="1653"/>
      <c r="J294" s="1686"/>
      <c r="K294" s="1654"/>
      <c r="L294" s="1687" t="str">
        <f t="shared" si="0"/>
        <v>KRW</v>
      </c>
      <c r="M294" s="1652"/>
      <c r="N294" s="1652"/>
      <c r="O294" s="1652"/>
      <c r="P294" s="441"/>
    </row>
    <row r="295" spans="1:16" ht="15" customHeight="1" x14ac:dyDescent="0.25">
      <c r="A295" s="397"/>
      <c r="B295" s="222" t="s">
        <v>1219</v>
      </c>
      <c r="C295" s="323"/>
      <c r="D295" s="323"/>
      <c r="E295" s="323"/>
      <c r="F295" s="1652"/>
      <c r="G295" s="1811" t="str">
        <f>IF($G$275&lt;&gt;"", HLOOKUP($G$275, fx_triang!$B$1:$V$38, ROW(B295)-ROW(B$281)+ROW(fx_triang!A$2), FALSE), "")</f>
        <v/>
      </c>
      <c r="H295" s="1688" t="s">
        <v>1322</v>
      </c>
      <c r="I295" s="1653"/>
      <c r="J295" s="1686"/>
      <c r="K295" s="1654"/>
      <c r="L295" s="1687" t="str">
        <f t="shared" si="0"/>
        <v>SEK</v>
      </c>
      <c r="M295" s="1652"/>
      <c r="N295" s="1652"/>
      <c r="O295" s="1652"/>
      <c r="P295" s="441"/>
    </row>
    <row r="296" spans="1:16" ht="15" customHeight="1" x14ac:dyDescent="0.25">
      <c r="A296" s="397"/>
      <c r="B296" s="222" t="s">
        <v>1225</v>
      </c>
      <c r="C296" s="323"/>
      <c r="D296" s="323"/>
      <c r="E296" s="323"/>
      <c r="F296" s="1652"/>
      <c r="G296" s="1811" t="str">
        <f>IF($G$275&lt;&gt;"", HLOOKUP($G$275, fx_triang!$B$1:$V$38, ROW(B296)-ROW(B$281)+ROW(fx_triang!A$2), FALSE), "")</f>
        <v/>
      </c>
      <c r="H296" s="1688" t="s">
        <v>1323</v>
      </c>
      <c r="I296" s="1653"/>
      <c r="J296" s="1686"/>
      <c r="K296" s="1654"/>
      <c r="L296" s="1687" t="str">
        <f t="shared" si="0"/>
        <v>ZAR</v>
      </c>
      <c r="M296" s="1652"/>
      <c r="N296" s="1652"/>
      <c r="O296" s="1652"/>
      <c r="P296" s="441"/>
    </row>
    <row r="297" spans="1:16" ht="15" customHeight="1" x14ac:dyDescent="0.25">
      <c r="A297" s="397"/>
      <c r="B297" s="222" t="s">
        <v>1236</v>
      </c>
      <c r="C297" s="323"/>
      <c r="D297" s="323"/>
      <c r="E297" s="323"/>
      <c r="F297" s="1652"/>
      <c r="G297" s="1811" t="str">
        <f>IF($G$275&lt;&gt;"", HLOOKUP($G$275, fx_triang!$B$1:$V$38, ROW(B297)-ROW(B$281)+ROW(fx_triang!A$2), FALSE), "")</f>
        <v/>
      </c>
      <c r="H297" s="1688" t="s">
        <v>1324</v>
      </c>
      <c r="I297" s="1653"/>
      <c r="J297" s="1686"/>
      <c r="K297" s="1654"/>
      <c r="L297" s="1687" t="str">
        <f t="shared" si="0"/>
        <v>INR</v>
      </c>
      <c r="M297" s="1652"/>
      <c r="N297" s="1652"/>
      <c r="O297" s="1652"/>
      <c r="P297" s="441"/>
    </row>
    <row r="298" spans="1:16" ht="15" customHeight="1" x14ac:dyDescent="0.25">
      <c r="A298" s="397"/>
      <c r="B298" s="222" t="s">
        <v>1224</v>
      </c>
      <c r="C298" s="323"/>
      <c r="D298" s="323"/>
      <c r="E298" s="323"/>
      <c r="F298" s="1652"/>
      <c r="G298" s="1811" t="str">
        <f>IF($G$275&lt;&gt;"", HLOOKUP($G$275, fx_triang!$B$1:$V$38, ROW(B298)-ROW(B$281)+ROW(fx_triang!A$2), FALSE), "")</f>
        <v/>
      </c>
      <c r="H298" s="1688" t="s">
        <v>1325</v>
      </c>
      <c r="I298" s="1653"/>
      <c r="J298" s="1686"/>
      <c r="K298" s="1654"/>
      <c r="L298" s="1687" t="str">
        <f t="shared" si="0"/>
        <v>NOK</v>
      </c>
      <c r="M298" s="1652"/>
      <c r="N298" s="1652"/>
      <c r="O298" s="1652"/>
      <c r="P298" s="441"/>
    </row>
    <row r="299" spans="1:16" ht="15" customHeight="1" x14ac:dyDescent="0.25">
      <c r="A299" s="397"/>
      <c r="B299" s="233" t="s">
        <v>1231</v>
      </c>
      <c r="C299" s="323"/>
      <c r="D299" s="323"/>
      <c r="E299" s="323"/>
      <c r="F299" s="1652"/>
      <c r="G299" s="1811" t="str">
        <f>IF($G$275&lt;&gt;"", HLOOKUP($G$275, fx_triang!$B$1:$V$38, ROW(B299)-ROW(B$281)+ROW(fx_triang!A$2), FALSE), "")</f>
        <v/>
      </c>
      <c r="H299" s="1689" t="s">
        <v>1326</v>
      </c>
      <c r="I299" s="1653"/>
      <c r="J299" s="1686"/>
      <c r="K299" s="1654"/>
      <c r="L299" s="1687" t="str">
        <f t="shared" si="0"/>
        <v>BRL</v>
      </c>
      <c r="M299" s="1652"/>
      <c r="N299" s="1652"/>
      <c r="O299" s="1652"/>
      <c r="P299" s="441"/>
    </row>
    <row r="300" spans="1:16" ht="15" customHeight="1" x14ac:dyDescent="0.25">
      <c r="A300" s="1690"/>
      <c r="B300" s="575" t="s">
        <v>1232</v>
      </c>
      <c r="C300" s="323"/>
      <c r="D300" s="323"/>
      <c r="E300" s="323"/>
      <c r="F300" s="1691"/>
      <c r="G300" s="1811" t="str">
        <f>IF($G$275&lt;&gt;"", HLOOKUP($G$275, fx_triang!$B$1:$V$38, ROW(B300)-ROW(B$281)+ROW(fx_triang!A$2), FALSE), "")</f>
        <v/>
      </c>
      <c r="H300" s="1692" t="s">
        <v>1327</v>
      </c>
      <c r="I300" s="1693"/>
      <c r="J300" s="1694"/>
      <c r="K300" s="1695"/>
      <c r="L300" s="1687" t="str">
        <f t="shared" si="0"/>
        <v>SAR</v>
      </c>
      <c r="M300" s="1691"/>
      <c r="N300" s="1691"/>
      <c r="O300" s="1691"/>
      <c r="P300" s="1746"/>
    </row>
    <row r="301" spans="1:16" ht="15" customHeight="1" x14ac:dyDescent="0.25">
      <c r="A301" s="1690"/>
      <c r="B301" s="233" t="s">
        <v>1211</v>
      </c>
      <c r="C301" s="323"/>
      <c r="D301" s="323"/>
      <c r="E301" s="323"/>
      <c r="F301" s="1691"/>
      <c r="G301" s="1811" t="str">
        <f>IF($G$275&lt;&gt;"", HLOOKUP($G$275, fx_triang!$B$1:$V$38, ROW(B301)-ROW(B$281)+ROW(fx_triang!A$2), FALSE), "")</f>
        <v/>
      </c>
      <c r="H301" s="1688" t="s">
        <v>1328</v>
      </c>
      <c r="I301" s="1693"/>
      <c r="J301" s="1694"/>
      <c r="K301" s="1695"/>
      <c r="L301" s="1687" t="str">
        <f t="shared" si="0"/>
        <v>USD</v>
      </c>
      <c r="M301" s="1691"/>
      <c r="N301" s="1691"/>
      <c r="O301" s="1691"/>
      <c r="P301" s="1746"/>
    </row>
    <row r="302" spans="1:16" ht="15" customHeight="1" x14ac:dyDescent="0.25">
      <c r="A302" s="1690"/>
      <c r="B302" s="575" t="s">
        <v>1243</v>
      </c>
      <c r="C302" s="323"/>
      <c r="D302" s="323"/>
      <c r="E302" s="323"/>
      <c r="F302" s="1691"/>
      <c r="G302" s="1811" t="str">
        <f>IF($G$275&lt;&gt;"", HLOOKUP($G$275, fx_triang!$B$1:$V$38, ROW(B302)-ROW(B$281)+ROW(fx_triang!A$2), FALSE), "")</f>
        <v/>
      </c>
      <c r="H302" s="1688" t="s">
        <v>1329</v>
      </c>
      <c r="I302" s="1693"/>
      <c r="J302" s="1694"/>
      <c r="K302" s="1695"/>
      <c r="L302" s="1687" t="str">
        <f t="shared" si="0"/>
        <v>CLP</v>
      </c>
      <c r="M302" s="1691"/>
      <c r="N302" s="1691"/>
      <c r="O302" s="1691"/>
      <c r="P302" s="1746"/>
    </row>
    <row r="303" spans="1:16" ht="15" customHeight="1" x14ac:dyDescent="0.25">
      <c r="A303" s="1690"/>
      <c r="B303" s="233" t="s">
        <v>1235</v>
      </c>
      <c r="C303" s="323"/>
      <c r="D303" s="323"/>
      <c r="E303" s="323"/>
      <c r="F303" s="1691"/>
      <c r="G303" s="1811" t="str">
        <f>IF($G$275&lt;&gt;"", HLOOKUP($G$275, fx_triang!$B$1:$V$38, ROW(B303)-ROW(B$281)+ROW(fx_triang!A$2), FALSE), "")</f>
        <v/>
      </c>
      <c r="H303" s="1688" t="s">
        <v>1330</v>
      </c>
      <c r="I303" s="1693"/>
      <c r="J303" s="1694"/>
      <c r="K303" s="1695"/>
      <c r="L303" s="1687" t="str">
        <f t="shared" si="0"/>
        <v>AED</v>
      </c>
      <c r="M303" s="1691"/>
      <c r="N303" s="1691"/>
      <c r="O303" s="1691"/>
      <c r="P303" s="1746"/>
    </row>
    <row r="304" spans="1:16" ht="15" customHeight="1" x14ac:dyDescent="0.25">
      <c r="A304" s="1690"/>
      <c r="B304" s="222" t="s">
        <v>1331</v>
      </c>
      <c r="C304" s="323"/>
      <c r="D304" s="323"/>
      <c r="E304" s="323"/>
      <c r="F304" s="1691"/>
      <c r="G304" s="1811" t="str">
        <f>IF($G$275&lt;&gt;"", HLOOKUP($G$275, fx_triang!$B$1:$V$38, ROW(B304)-ROW(B$281)+ROW(fx_triang!A$2), FALSE), "")</f>
        <v/>
      </c>
      <c r="H304" s="1697" t="s">
        <v>1332</v>
      </c>
      <c r="I304" s="1693"/>
      <c r="J304" s="1694"/>
      <c r="K304" s="1695"/>
      <c r="L304" s="1687" t="str">
        <f t="shared" si="0"/>
        <v>ARS</v>
      </c>
      <c r="M304" s="1691"/>
      <c r="N304" s="1691"/>
      <c r="O304" s="1691"/>
      <c r="P304" s="1746"/>
    </row>
    <row r="305" spans="1:16" ht="15" customHeight="1" x14ac:dyDescent="0.25">
      <c r="A305" s="1690"/>
      <c r="B305" s="233" t="s">
        <v>1333</v>
      </c>
      <c r="C305" s="323"/>
      <c r="D305" s="323"/>
      <c r="E305" s="323"/>
      <c r="F305" s="1691"/>
      <c r="G305" s="1811" t="str">
        <f>IF($G$275&lt;&gt;"", HLOOKUP($G$275, fx_triang!$B$1:$V$38, ROW(B305)-ROW(B$281)+ROW(fx_triang!A$2), FALSE), "")</f>
        <v/>
      </c>
      <c r="H305" s="1688" t="s">
        <v>1334</v>
      </c>
      <c r="I305" s="1693"/>
      <c r="J305" s="1694"/>
      <c r="K305" s="1695"/>
      <c r="L305" s="1687" t="str">
        <f t="shared" si="0"/>
        <v>BGN</v>
      </c>
      <c r="M305" s="1691"/>
      <c r="N305" s="1691"/>
      <c r="O305" s="1691"/>
      <c r="P305" s="1746"/>
    </row>
    <row r="306" spans="1:16" ht="15" customHeight="1" x14ac:dyDescent="0.25">
      <c r="A306" s="1690"/>
      <c r="B306" s="323" t="s">
        <v>1241</v>
      </c>
      <c r="C306" s="323"/>
      <c r="D306" s="323"/>
      <c r="E306" s="323"/>
      <c r="F306" s="1691"/>
      <c r="G306" s="1811" t="str">
        <f>IF($G$275&lt;&gt;"", HLOOKUP($G$275, fx_triang!$B$1:$V$38, ROW(B306)-ROW(B$281)+ROW(fx_triang!A$2), FALSE), "")</f>
        <v/>
      </c>
      <c r="H306" s="1688" t="s">
        <v>1335</v>
      </c>
      <c r="I306" s="1693"/>
      <c r="J306" s="1694"/>
      <c r="K306" s="1695"/>
      <c r="L306" s="1687" t="str">
        <f t="shared" si="0"/>
        <v>CZK</v>
      </c>
      <c r="M306" s="1691"/>
      <c r="N306" s="1691"/>
      <c r="O306" s="1691"/>
      <c r="P306" s="1746"/>
    </row>
    <row r="307" spans="1:16" ht="15" customHeight="1" x14ac:dyDescent="0.25">
      <c r="A307" s="1690"/>
      <c r="B307" s="323" t="s">
        <v>1226</v>
      </c>
      <c r="C307" s="323"/>
      <c r="D307" s="323"/>
      <c r="E307" s="323"/>
      <c r="F307" s="1691"/>
      <c r="G307" s="1811" t="str">
        <f>IF($G$275&lt;&gt;"", HLOOKUP($G$275, fx_triang!$B$1:$V$38, ROW(B307)-ROW(B$281)+ROW(fx_triang!A$2), FALSE), "")</f>
        <v/>
      </c>
      <c r="H307" s="1688" t="s">
        <v>1336</v>
      </c>
      <c r="I307" s="1693"/>
      <c r="J307" s="1694"/>
      <c r="K307" s="1695"/>
      <c r="L307" s="1687" t="str">
        <f t="shared" si="0"/>
        <v>DKK</v>
      </c>
      <c r="M307" s="1691"/>
      <c r="N307" s="1691"/>
      <c r="O307" s="1691"/>
      <c r="P307" s="1746"/>
    </row>
    <row r="308" spans="1:16" ht="15" customHeight="1" x14ac:dyDescent="0.25">
      <c r="A308" s="1690"/>
      <c r="B308" s="222" t="s">
        <v>1239</v>
      </c>
      <c r="C308" s="323"/>
      <c r="D308" s="323"/>
      <c r="E308" s="323"/>
      <c r="F308" s="1691"/>
      <c r="G308" s="1811" t="str">
        <f>IF($G$275&lt;&gt;"", HLOOKUP($G$275, fx_triang!$B$1:$V$38, ROW(B308)-ROW(B$281)+ROW(fx_triang!A$2), FALSE), "")</f>
        <v/>
      </c>
      <c r="H308" s="1688" t="s">
        <v>1337</v>
      </c>
      <c r="I308" s="1693"/>
      <c r="J308" s="1694"/>
      <c r="K308" s="1695"/>
      <c r="L308" s="1687" t="str">
        <f t="shared" si="0"/>
        <v>HUF</v>
      </c>
      <c r="M308" s="1691"/>
      <c r="N308" s="1691"/>
      <c r="O308" s="1691"/>
      <c r="P308" s="1746"/>
    </row>
    <row r="309" spans="1:16" ht="15" customHeight="1" x14ac:dyDescent="0.25">
      <c r="A309" s="1690"/>
      <c r="B309" s="233" t="s">
        <v>1244</v>
      </c>
      <c r="C309" s="323"/>
      <c r="D309" s="323"/>
      <c r="E309" s="323"/>
      <c r="F309" s="1691"/>
      <c r="G309" s="1811" t="str">
        <f>IF($G$275&lt;&gt;"", HLOOKUP($G$275, fx_triang!$B$1:$V$38, ROW(B309)-ROW(B$281)+ROW(fx_triang!A$2), FALSE), "")</f>
        <v/>
      </c>
      <c r="H309" s="1688" t="s">
        <v>1338</v>
      </c>
      <c r="I309" s="1693"/>
      <c r="J309" s="1694"/>
      <c r="K309" s="1695"/>
      <c r="L309" s="1687" t="str">
        <f t="shared" si="0"/>
        <v>IDR</v>
      </c>
      <c r="M309" s="1691"/>
      <c r="N309" s="1691"/>
      <c r="O309" s="1691"/>
      <c r="P309" s="1746"/>
    </row>
    <row r="310" spans="1:16" ht="15" customHeight="1" x14ac:dyDescent="0.25">
      <c r="A310" s="1690"/>
      <c r="B310" s="323" t="s">
        <v>1227</v>
      </c>
      <c r="C310" s="323"/>
      <c r="D310" s="323"/>
      <c r="E310" s="323"/>
      <c r="F310" s="1691"/>
      <c r="G310" s="1811" t="str">
        <f>IF($G$275&lt;&gt;"", HLOOKUP($G$275, fx_triang!$B$1:$V$38, ROW(B310)-ROW(B$281)+ROW(fx_triang!A$2), FALSE), "")</f>
        <v/>
      </c>
      <c r="H310" s="1688" t="s">
        <v>1339</v>
      </c>
      <c r="I310" s="1693"/>
      <c r="J310" s="1694"/>
      <c r="K310" s="1695"/>
      <c r="L310" s="1687" t="str">
        <f t="shared" si="0"/>
        <v>ILS</v>
      </c>
      <c r="M310" s="1691"/>
      <c r="N310" s="1691"/>
      <c r="O310" s="1691"/>
      <c r="P310" s="1746"/>
    </row>
    <row r="311" spans="1:16" ht="15" customHeight="1" x14ac:dyDescent="0.25">
      <c r="A311" s="1690"/>
      <c r="B311" s="222" t="s">
        <v>1340</v>
      </c>
      <c r="C311" s="323"/>
      <c r="D311" s="323"/>
      <c r="E311" s="323"/>
      <c r="F311" s="1691"/>
      <c r="G311" s="1811" t="str">
        <f>IF($G$275&lt;&gt;"", HLOOKUP($G$275, fx_triang!$B$1:$V$38, ROW(B311)-ROW(B$281)+ROW(fx_triang!A$2), FALSE), "")</f>
        <v/>
      </c>
      <c r="H311" s="1688" t="s">
        <v>1341</v>
      </c>
      <c r="I311" s="1693"/>
      <c r="J311" s="1694"/>
      <c r="K311" s="1695"/>
      <c r="L311" s="1687" t="str">
        <f t="shared" si="0"/>
        <v>KWD</v>
      </c>
      <c r="M311" s="1691"/>
      <c r="N311" s="1691"/>
      <c r="O311" s="1691"/>
      <c r="P311" s="1746"/>
    </row>
    <row r="312" spans="1:16" ht="15" customHeight="1" x14ac:dyDescent="0.25">
      <c r="A312" s="1690"/>
      <c r="B312" s="323" t="s">
        <v>1240</v>
      </c>
      <c r="C312" s="323"/>
      <c r="D312" s="323"/>
      <c r="E312" s="323"/>
      <c r="F312" s="1691"/>
      <c r="G312" s="1811" t="str">
        <f>IF($G$275&lt;&gt;"", HLOOKUP($G$275, fx_triang!$B$1:$V$38, ROW(B312)-ROW(B$281)+ROW(fx_triang!A$2), FALSE), "")</f>
        <v/>
      </c>
      <c r="H312" s="1688" t="s">
        <v>1342</v>
      </c>
      <c r="I312" s="1693"/>
      <c r="J312" s="1694"/>
      <c r="K312" s="1695"/>
      <c r="L312" s="1687" t="str">
        <f t="shared" si="0"/>
        <v>MYR</v>
      </c>
      <c r="M312" s="1691"/>
      <c r="N312" s="1691"/>
      <c r="O312" s="1691"/>
      <c r="P312" s="1746"/>
    </row>
    <row r="313" spans="1:16" ht="15" customHeight="1" x14ac:dyDescent="0.25">
      <c r="A313" s="1690"/>
      <c r="B313" s="323" t="s">
        <v>1343</v>
      </c>
      <c r="C313" s="323"/>
      <c r="D313" s="323"/>
      <c r="E313" s="323"/>
      <c r="F313" s="1691"/>
      <c r="G313" s="1811" t="str">
        <f>IF($G$275&lt;&gt;"", HLOOKUP($G$275, fx_triang!$B$1:$V$38, ROW(B313)-ROW(B$281)+ROW(fx_triang!A$2), FALSE), "")</f>
        <v/>
      </c>
      <c r="H313" s="1688" t="s">
        <v>1344</v>
      </c>
      <c r="I313" s="1693"/>
      <c r="J313" s="1694"/>
      <c r="K313" s="1695"/>
      <c r="L313" s="1687" t="str">
        <f t="shared" si="0"/>
        <v>PHP</v>
      </c>
      <c r="M313" s="1691"/>
      <c r="N313" s="1691"/>
      <c r="O313" s="1691"/>
      <c r="P313" s="1746"/>
    </row>
    <row r="314" spans="1:16" ht="15" customHeight="1" x14ac:dyDescent="0.25">
      <c r="A314" s="1690"/>
      <c r="B314" s="222" t="s">
        <v>1237</v>
      </c>
      <c r="C314" s="323"/>
      <c r="D314" s="323"/>
      <c r="E314" s="323"/>
      <c r="F314" s="1691"/>
      <c r="G314" s="1811" t="str">
        <f>IF($G$275&lt;&gt;"", HLOOKUP($G$275, fx_triang!$B$1:$V$38, ROW(B314)-ROW(B$281)+ROW(fx_triang!A$2), FALSE), "")</f>
        <v/>
      </c>
      <c r="H314" s="1590"/>
      <c r="I314" s="461"/>
      <c r="J314" s="461"/>
      <c r="K314" s="461"/>
      <c r="L314" s="1687" t="str">
        <f t="shared" si="0"/>
        <v>PLN</v>
      </c>
      <c r="M314" s="1691"/>
      <c r="N314" s="1691"/>
      <c r="O314" s="1691"/>
      <c r="P314" s="1746"/>
    </row>
    <row r="315" spans="1:16" ht="15" customHeight="1" x14ac:dyDescent="0.25">
      <c r="A315" s="1690"/>
      <c r="B315" s="233" t="s">
        <v>1242</v>
      </c>
      <c r="C315" s="323"/>
      <c r="D315" s="323"/>
      <c r="E315" s="323"/>
      <c r="F315" s="1691"/>
      <c r="G315" s="1811" t="str">
        <f>IF($G$275&lt;&gt;"", HLOOKUP($G$275, fx_triang!$B$1:$V$38, ROW(B315)-ROW(B$281)+ROW(fx_triang!A$2), FALSE), "")</f>
        <v/>
      </c>
      <c r="H315" s="1590"/>
      <c r="I315" s="461"/>
      <c r="J315" s="461"/>
      <c r="K315" s="461"/>
      <c r="L315" s="1687" t="str">
        <f t="shared" si="0"/>
        <v>THB</v>
      </c>
      <c r="M315" s="1691"/>
      <c r="N315" s="1691"/>
      <c r="O315" s="1691"/>
      <c r="P315" s="1746"/>
    </row>
    <row r="316" spans="1:16" ht="15" customHeight="1" x14ac:dyDescent="0.25">
      <c r="A316" s="1690"/>
      <c r="B316" s="323" t="s">
        <v>1238</v>
      </c>
      <c r="C316" s="323"/>
      <c r="D316" s="323"/>
      <c r="E316" s="323"/>
      <c r="F316" s="1691"/>
      <c r="G316" s="1811" t="str">
        <f>IF($G$275&lt;&gt;"", HLOOKUP($G$275, fx_triang!$B$1:$V$38, ROW(B316)-ROW(B$281)+ROW(fx_triang!A$2), FALSE), "")</f>
        <v/>
      </c>
      <c r="H316" s="1590"/>
      <c r="I316" s="461"/>
      <c r="J316" s="461"/>
      <c r="K316" s="461"/>
      <c r="L316" s="1687" t="str">
        <f t="shared" si="0"/>
        <v>TWD</v>
      </c>
      <c r="M316" s="1691"/>
      <c r="N316" s="1691"/>
      <c r="O316" s="1691"/>
      <c r="P316" s="1746"/>
    </row>
    <row r="317" spans="1:16" ht="15" customHeight="1" x14ac:dyDescent="0.25">
      <c r="A317" s="1690"/>
      <c r="B317" s="142" t="s">
        <v>1245</v>
      </c>
      <c r="C317" s="1636"/>
      <c r="D317" s="142"/>
      <c r="E317" s="142"/>
      <c r="F317" s="1698"/>
      <c r="G317" s="1791" t="s">
        <v>43</v>
      </c>
      <c r="H317" s="1732"/>
      <c r="I317" s="1733"/>
      <c r="J317" s="1733"/>
      <c r="K317" s="1733"/>
      <c r="L317" s="1699" t="str">
        <f t="shared" ref="L317:L346" si="1">IF(C317&lt;&gt;"", B317 &amp; "   (" &amp; C317 &amp; ")", B317)</f>
        <v>OTHER 1</v>
      </c>
      <c r="M317" s="1698"/>
      <c r="N317" s="1698"/>
      <c r="O317" s="1698"/>
      <c r="P317" s="1746"/>
    </row>
    <row r="318" spans="1:16" ht="15" customHeight="1" x14ac:dyDescent="0.25">
      <c r="A318" s="1690"/>
      <c r="B318" s="142" t="s">
        <v>1246</v>
      </c>
      <c r="C318" s="1636"/>
      <c r="D318" s="142"/>
      <c r="E318" s="142"/>
      <c r="F318" s="1698"/>
      <c r="G318" s="1791" t="s">
        <v>43</v>
      </c>
      <c r="H318" s="1732"/>
      <c r="I318" s="1733"/>
      <c r="J318" s="1733"/>
      <c r="K318" s="1733"/>
      <c r="L318" s="1699" t="str">
        <f t="shared" si="1"/>
        <v>OTHER 2</v>
      </c>
      <c r="M318" s="1698"/>
      <c r="N318" s="1698"/>
      <c r="O318" s="1698"/>
      <c r="P318" s="1746"/>
    </row>
    <row r="319" spans="1:16" ht="15" customHeight="1" x14ac:dyDescent="0.25">
      <c r="A319" s="1690"/>
      <c r="B319" s="142" t="s">
        <v>1247</v>
      </c>
      <c r="C319" s="1636"/>
      <c r="D319" s="142"/>
      <c r="E319" s="142"/>
      <c r="F319" s="1698"/>
      <c r="G319" s="1791" t="s">
        <v>43</v>
      </c>
      <c r="H319" s="1732"/>
      <c r="I319" s="1733"/>
      <c r="J319" s="1733"/>
      <c r="K319" s="1733"/>
      <c r="L319" s="1699" t="str">
        <f t="shared" si="1"/>
        <v>OTHER 3</v>
      </c>
      <c r="M319" s="1698"/>
      <c r="N319" s="1698"/>
      <c r="O319" s="1698"/>
      <c r="P319" s="1746"/>
    </row>
    <row r="320" spans="1:16" ht="15" customHeight="1" x14ac:dyDescent="0.25">
      <c r="A320" s="1690"/>
      <c r="B320" s="142" t="s">
        <v>1248</v>
      </c>
      <c r="C320" s="1636"/>
      <c r="D320" s="142"/>
      <c r="E320" s="142"/>
      <c r="F320" s="1698"/>
      <c r="G320" s="1791" t="s">
        <v>43</v>
      </c>
      <c r="H320" s="1732"/>
      <c r="I320" s="1733"/>
      <c r="J320" s="1733"/>
      <c r="K320" s="1733"/>
      <c r="L320" s="1699" t="str">
        <f t="shared" si="1"/>
        <v>OTHER 4</v>
      </c>
      <c r="M320" s="1698"/>
      <c r="N320" s="1698"/>
      <c r="O320" s="1698"/>
      <c r="P320" s="1746"/>
    </row>
    <row r="321" spans="1:16" ht="15" customHeight="1" x14ac:dyDescent="0.25">
      <c r="A321" s="1690"/>
      <c r="B321" s="142" t="s">
        <v>1249</v>
      </c>
      <c r="C321" s="1636"/>
      <c r="D321" s="142"/>
      <c r="E321" s="142"/>
      <c r="F321" s="1698"/>
      <c r="G321" s="1791" t="s">
        <v>43</v>
      </c>
      <c r="H321" s="1732"/>
      <c r="I321" s="1733"/>
      <c r="J321" s="1733"/>
      <c r="K321" s="1733"/>
      <c r="L321" s="1699" t="str">
        <f t="shared" si="1"/>
        <v>OTHER 5</v>
      </c>
      <c r="M321" s="1698"/>
      <c r="N321" s="1698"/>
      <c r="O321" s="1698"/>
      <c r="P321" s="1746"/>
    </row>
    <row r="322" spans="1:16" ht="15" customHeight="1" x14ac:dyDescent="0.25">
      <c r="A322" s="1690"/>
      <c r="B322" s="142" t="s">
        <v>1250</v>
      </c>
      <c r="C322" s="1636"/>
      <c r="D322" s="142"/>
      <c r="E322" s="142"/>
      <c r="F322" s="1698"/>
      <c r="G322" s="1791" t="s">
        <v>43</v>
      </c>
      <c r="H322" s="1732"/>
      <c r="I322" s="1733"/>
      <c r="J322" s="1733"/>
      <c r="K322" s="1733"/>
      <c r="L322" s="1699" t="str">
        <f t="shared" si="1"/>
        <v>OTHER 6</v>
      </c>
      <c r="M322" s="1698"/>
      <c r="N322" s="1698"/>
      <c r="O322" s="1698"/>
      <c r="P322" s="1746"/>
    </row>
    <row r="323" spans="1:16" ht="15" customHeight="1" x14ac:dyDescent="0.25">
      <c r="A323" s="1690"/>
      <c r="B323" s="142" t="s">
        <v>1251</v>
      </c>
      <c r="C323" s="1636"/>
      <c r="D323" s="142"/>
      <c r="E323" s="142"/>
      <c r="F323" s="1698"/>
      <c r="G323" s="1791" t="s">
        <v>43</v>
      </c>
      <c r="H323" s="1732"/>
      <c r="I323" s="1733"/>
      <c r="J323" s="1733"/>
      <c r="K323" s="1733"/>
      <c r="L323" s="1699" t="str">
        <f t="shared" si="1"/>
        <v>OTHER 7</v>
      </c>
      <c r="M323" s="1698"/>
      <c r="N323" s="1698"/>
      <c r="O323" s="1698"/>
      <c r="P323" s="1746"/>
    </row>
    <row r="324" spans="1:16" ht="15" customHeight="1" x14ac:dyDescent="0.25">
      <c r="A324" s="1690"/>
      <c r="B324" s="142" t="s">
        <v>1252</v>
      </c>
      <c r="C324" s="1636"/>
      <c r="D324" s="142"/>
      <c r="E324" s="142"/>
      <c r="F324" s="1698"/>
      <c r="G324" s="1791" t="s">
        <v>43</v>
      </c>
      <c r="H324" s="1732"/>
      <c r="I324" s="1733"/>
      <c r="J324" s="1733"/>
      <c r="K324" s="1733"/>
      <c r="L324" s="1699" t="str">
        <f t="shared" si="1"/>
        <v>OTHER 8</v>
      </c>
      <c r="M324" s="1698"/>
      <c r="N324" s="1698"/>
      <c r="O324" s="1698"/>
      <c r="P324" s="1746"/>
    </row>
    <row r="325" spans="1:16" ht="15" customHeight="1" x14ac:dyDescent="0.25">
      <c r="A325" s="1690"/>
      <c r="B325" s="142" t="s">
        <v>1253</v>
      </c>
      <c r="C325" s="1636"/>
      <c r="D325" s="142"/>
      <c r="E325" s="142"/>
      <c r="F325" s="1698"/>
      <c r="G325" s="1791" t="s">
        <v>43</v>
      </c>
      <c r="H325" s="1732"/>
      <c r="I325" s="1733"/>
      <c r="J325" s="1733"/>
      <c r="K325" s="1733"/>
      <c r="L325" s="1699" t="str">
        <f t="shared" si="1"/>
        <v>OTHER 9</v>
      </c>
      <c r="M325" s="1698"/>
      <c r="N325" s="1698"/>
      <c r="O325" s="1698"/>
      <c r="P325" s="1746"/>
    </row>
    <row r="326" spans="1:16" ht="15" customHeight="1" x14ac:dyDescent="0.25">
      <c r="A326" s="1690"/>
      <c r="B326" s="142" t="s">
        <v>1254</v>
      </c>
      <c r="C326" s="1636"/>
      <c r="D326" s="142"/>
      <c r="E326" s="142"/>
      <c r="F326" s="1698"/>
      <c r="G326" s="1791" t="s">
        <v>43</v>
      </c>
      <c r="H326" s="1732"/>
      <c r="I326" s="1733"/>
      <c r="J326" s="1733"/>
      <c r="K326" s="1733"/>
      <c r="L326" s="1699" t="str">
        <f t="shared" si="1"/>
        <v>OTHER 10</v>
      </c>
      <c r="M326" s="1698"/>
      <c r="N326" s="1698"/>
      <c r="O326" s="1698"/>
      <c r="P326" s="1746"/>
    </row>
    <row r="327" spans="1:16" ht="15" customHeight="1" x14ac:dyDescent="0.25">
      <c r="A327" s="1690"/>
      <c r="B327" s="142" t="s">
        <v>1345</v>
      </c>
      <c r="C327" s="1636"/>
      <c r="D327" s="142"/>
      <c r="E327" s="142"/>
      <c r="F327" s="1698"/>
      <c r="G327" s="1791" t="s">
        <v>43</v>
      </c>
      <c r="H327" s="1732"/>
      <c r="I327" s="1733"/>
      <c r="J327" s="1733"/>
      <c r="K327" s="1733"/>
      <c r="L327" s="1699" t="str">
        <f t="shared" si="1"/>
        <v>OTHER 11</v>
      </c>
      <c r="M327" s="1698"/>
      <c r="N327" s="1698"/>
      <c r="O327" s="1698"/>
      <c r="P327" s="1746"/>
    </row>
    <row r="328" spans="1:16" ht="15" customHeight="1" x14ac:dyDescent="0.25">
      <c r="A328" s="1690"/>
      <c r="B328" s="142" t="s">
        <v>1346</v>
      </c>
      <c r="C328" s="1636"/>
      <c r="D328" s="142"/>
      <c r="E328" s="142"/>
      <c r="F328" s="1698"/>
      <c r="G328" s="1791" t="s">
        <v>43</v>
      </c>
      <c r="H328" s="1732"/>
      <c r="I328" s="1733"/>
      <c r="J328" s="1733"/>
      <c r="K328" s="1733"/>
      <c r="L328" s="1699" t="str">
        <f t="shared" si="1"/>
        <v>OTHER 12</v>
      </c>
      <c r="M328" s="1698"/>
      <c r="N328" s="1698"/>
      <c r="O328" s="1698"/>
      <c r="P328" s="1746"/>
    </row>
    <row r="329" spans="1:16" ht="15" customHeight="1" x14ac:dyDescent="0.25">
      <c r="A329" s="1690"/>
      <c r="B329" s="142" t="s">
        <v>1347</v>
      </c>
      <c r="C329" s="1636"/>
      <c r="D329" s="142"/>
      <c r="E329" s="142"/>
      <c r="F329" s="1698"/>
      <c r="G329" s="1791" t="s">
        <v>43</v>
      </c>
      <c r="H329" s="1732"/>
      <c r="I329" s="1733"/>
      <c r="J329" s="1733"/>
      <c r="K329" s="1733"/>
      <c r="L329" s="1699" t="str">
        <f t="shared" si="1"/>
        <v>OTHER 13</v>
      </c>
      <c r="M329" s="1698"/>
      <c r="N329" s="1698"/>
      <c r="O329" s="1698"/>
      <c r="P329" s="1746"/>
    </row>
    <row r="330" spans="1:16" ht="15" customHeight="1" x14ac:dyDescent="0.25">
      <c r="A330" s="1690"/>
      <c r="B330" s="142" t="s">
        <v>1348</v>
      </c>
      <c r="C330" s="1636"/>
      <c r="D330" s="142"/>
      <c r="E330" s="142"/>
      <c r="F330" s="1698"/>
      <c r="G330" s="1791" t="s">
        <v>43</v>
      </c>
      <c r="H330" s="1732"/>
      <c r="I330" s="1733"/>
      <c r="J330" s="1733"/>
      <c r="K330" s="1733"/>
      <c r="L330" s="1699" t="str">
        <f t="shared" si="1"/>
        <v>OTHER 14</v>
      </c>
      <c r="M330" s="1698"/>
      <c r="N330" s="1698"/>
      <c r="O330" s="1698"/>
      <c r="P330" s="1746"/>
    </row>
    <row r="331" spans="1:16" ht="15" customHeight="1" x14ac:dyDescent="0.25">
      <c r="A331" s="1690"/>
      <c r="B331" s="142" t="s">
        <v>1349</v>
      </c>
      <c r="C331" s="1636"/>
      <c r="D331" s="142"/>
      <c r="E331" s="142"/>
      <c r="F331" s="1698"/>
      <c r="G331" s="1791" t="s">
        <v>43</v>
      </c>
      <c r="H331" s="1732"/>
      <c r="I331" s="1733"/>
      <c r="J331" s="1733"/>
      <c r="K331" s="1733"/>
      <c r="L331" s="1699" t="str">
        <f t="shared" si="1"/>
        <v>OTHER 15</v>
      </c>
      <c r="M331" s="1698"/>
      <c r="N331" s="1698"/>
      <c r="O331" s="1698"/>
      <c r="P331" s="1746"/>
    </row>
    <row r="332" spans="1:16" ht="15" customHeight="1" x14ac:dyDescent="0.25">
      <c r="A332" s="1690"/>
      <c r="B332" s="142" t="s">
        <v>1350</v>
      </c>
      <c r="C332" s="1636"/>
      <c r="D332" s="142"/>
      <c r="E332" s="142"/>
      <c r="F332" s="1698"/>
      <c r="G332" s="1791" t="s">
        <v>43</v>
      </c>
      <c r="H332" s="1732"/>
      <c r="I332" s="1733"/>
      <c r="J332" s="1733"/>
      <c r="K332" s="1733"/>
      <c r="L332" s="1699" t="str">
        <f t="shared" si="1"/>
        <v>OTHER 16</v>
      </c>
      <c r="M332" s="1698"/>
      <c r="N332" s="1698"/>
      <c r="O332" s="1698"/>
      <c r="P332" s="1746"/>
    </row>
    <row r="333" spans="1:16" ht="15" customHeight="1" x14ac:dyDescent="0.25">
      <c r="A333" s="1690"/>
      <c r="B333" s="142" t="s">
        <v>1351</v>
      </c>
      <c r="C333" s="1636"/>
      <c r="D333" s="142"/>
      <c r="E333" s="142"/>
      <c r="F333" s="1698"/>
      <c r="G333" s="1791" t="s">
        <v>43</v>
      </c>
      <c r="H333" s="1732"/>
      <c r="I333" s="1733"/>
      <c r="J333" s="1733"/>
      <c r="K333" s="1733"/>
      <c r="L333" s="1699" t="str">
        <f t="shared" si="1"/>
        <v>OTHER 17</v>
      </c>
      <c r="M333" s="1698"/>
      <c r="N333" s="1698"/>
      <c r="O333" s="1698"/>
      <c r="P333" s="1746"/>
    </row>
    <row r="334" spans="1:16" ht="15" customHeight="1" x14ac:dyDescent="0.25">
      <c r="A334" s="1690"/>
      <c r="B334" s="142" t="s">
        <v>1352</v>
      </c>
      <c r="C334" s="1636"/>
      <c r="D334" s="142"/>
      <c r="E334" s="142"/>
      <c r="F334" s="1698"/>
      <c r="G334" s="1791" t="s">
        <v>43</v>
      </c>
      <c r="H334" s="1732"/>
      <c r="I334" s="1733"/>
      <c r="J334" s="1733"/>
      <c r="K334" s="1733"/>
      <c r="L334" s="1699" t="str">
        <f t="shared" si="1"/>
        <v>OTHER 18</v>
      </c>
      <c r="M334" s="1698"/>
      <c r="N334" s="1698"/>
      <c r="O334" s="1698"/>
      <c r="P334" s="1746"/>
    </row>
    <row r="335" spans="1:16" ht="15" customHeight="1" x14ac:dyDescent="0.25">
      <c r="A335" s="1690"/>
      <c r="B335" s="142" t="s">
        <v>1353</v>
      </c>
      <c r="C335" s="1636"/>
      <c r="D335" s="142"/>
      <c r="E335" s="142"/>
      <c r="F335" s="1698"/>
      <c r="G335" s="1791" t="s">
        <v>43</v>
      </c>
      <c r="H335" s="1732"/>
      <c r="I335" s="1733"/>
      <c r="J335" s="1733"/>
      <c r="K335" s="1733"/>
      <c r="L335" s="1699" t="str">
        <f t="shared" si="1"/>
        <v>OTHER 19</v>
      </c>
      <c r="M335" s="1698"/>
      <c r="N335" s="1698"/>
      <c r="O335" s="1698"/>
      <c r="P335" s="1746"/>
    </row>
    <row r="336" spans="1:16" ht="15" customHeight="1" x14ac:dyDescent="0.25">
      <c r="A336" s="1690"/>
      <c r="B336" s="142" t="s">
        <v>1354</v>
      </c>
      <c r="C336" s="1636"/>
      <c r="D336" s="142"/>
      <c r="E336" s="142"/>
      <c r="F336" s="1698"/>
      <c r="G336" s="1791" t="s">
        <v>43</v>
      </c>
      <c r="H336" s="1732"/>
      <c r="I336" s="1733"/>
      <c r="J336" s="1733"/>
      <c r="K336" s="1733"/>
      <c r="L336" s="1699" t="str">
        <f t="shared" si="1"/>
        <v>OTHER 20</v>
      </c>
      <c r="M336" s="1698"/>
      <c r="N336" s="1698"/>
      <c r="O336" s="1698"/>
      <c r="P336" s="1746"/>
    </row>
    <row r="337" spans="1:16" ht="15" customHeight="1" x14ac:dyDescent="0.25">
      <c r="A337" s="1690"/>
      <c r="B337" s="142" t="s">
        <v>1355</v>
      </c>
      <c r="C337" s="1636"/>
      <c r="D337" s="142"/>
      <c r="E337" s="142"/>
      <c r="F337" s="1698"/>
      <c r="G337" s="1791" t="s">
        <v>43</v>
      </c>
      <c r="H337" s="1732"/>
      <c r="I337" s="1733"/>
      <c r="J337" s="1733"/>
      <c r="K337" s="1733"/>
      <c r="L337" s="1699" t="str">
        <f t="shared" si="1"/>
        <v>OTHER 21</v>
      </c>
      <c r="M337" s="1698"/>
      <c r="N337" s="1698"/>
      <c r="O337" s="1698"/>
      <c r="P337" s="1746"/>
    </row>
    <row r="338" spans="1:16" ht="15" customHeight="1" x14ac:dyDescent="0.25">
      <c r="A338" s="1690"/>
      <c r="B338" s="142" t="s">
        <v>1356</v>
      </c>
      <c r="C338" s="1636"/>
      <c r="D338" s="142"/>
      <c r="E338" s="142"/>
      <c r="F338" s="1698"/>
      <c r="G338" s="1791" t="s">
        <v>43</v>
      </c>
      <c r="H338" s="1732"/>
      <c r="I338" s="1733"/>
      <c r="J338" s="1733"/>
      <c r="K338" s="1733"/>
      <c r="L338" s="1699" t="str">
        <f t="shared" si="1"/>
        <v>OTHER 22</v>
      </c>
      <c r="M338" s="1698"/>
      <c r="N338" s="1698"/>
      <c r="O338" s="1698"/>
      <c r="P338" s="1746"/>
    </row>
    <row r="339" spans="1:16" ht="15" customHeight="1" x14ac:dyDescent="0.25">
      <c r="A339" s="1690"/>
      <c r="B339" s="142" t="s">
        <v>1357</v>
      </c>
      <c r="C339" s="1636"/>
      <c r="D339" s="142"/>
      <c r="E339" s="142"/>
      <c r="F339" s="1698"/>
      <c r="G339" s="1791" t="s">
        <v>43</v>
      </c>
      <c r="H339" s="1732"/>
      <c r="I339" s="1733"/>
      <c r="J339" s="1733"/>
      <c r="K339" s="1733"/>
      <c r="L339" s="1699" t="str">
        <f t="shared" si="1"/>
        <v>OTHER 23</v>
      </c>
      <c r="M339" s="1698"/>
      <c r="N339" s="1698"/>
      <c r="O339" s="1698"/>
      <c r="P339" s="1746"/>
    </row>
    <row r="340" spans="1:16" ht="15" customHeight="1" x14ac:dyDescent="0.25">
      <c r="A340" s="1690"/>
      <c r="B340" s="142" t="s">
        <v>1358</v>
      </c>
      <c r="C340" s="1636"/>
      <c r="D340" s="142"/>
      <c r="E340" s="142"/>
      <c r="F340" s="1698"/>
      <c r="G340" s="1791" t="s">
        <v>43</v>
      </c>
      <c r="H340" s="1732"/>
      <c r="I340" s="1733"/>
      <c r="J340" s="1733"/>
      <c r="K340" s="1733"/>
      <c r="L340" s="1699" t="str">
        <f t="shared" si="1"/>
        <v>OTHER 24</v>
      </c>
      <c r="M340" s="1698"/>
      <c r="N340" s="1698"/>
      <c r="O340" s="1698"/>
      <c r="P340" s="1746"/>
    </row>
    <row r="341" spans="1:16" ht="15" customHeight="1" x14ac:dyDescent="0.25">
      <c r="A341" s="1690"/>
      <c r="B341" s="142" t="s">
        <v>1359</v>
      </c>
      <c r="C341" s="1636"/>
      <c r="D341" s="142"/>
      <c r="E341" s="142"/>
      <c r="F341" s="1698"/>
      <c r="G341" s="1791" t="s">
        <v>43</v>
      </c>
      <c r="H341" s="1732"/>
      <c r="I341" s="1733"/>
      <c r="J341" s="1733"/>
      <c r="K341" s="1733"/>
      <c r="L341" s="1699" t="str">
        <f t="shared" si="1"/>
        <v>OTHER 25</v>
      </c>
      <c r="M341" s="1698"/>
      <c r="N341" s="1698"/>
      <c r="O341" s="1698"/>
      <c r="P341" s="1746"/>
    </row>
    <row r="342" spans="1:16" ht="15" customHeight="1" x14ac:dyDescent="0.25">
      <c r="A342" s="1690"/>
      <c r="B342" s="142" t="s">
        <v>1360</v>
      </c>
      <c r="C342" s="1636"/>
      <c r="D342" s="142"/>
      <c r="E342" s="142"/>
      <c r="F342" s="1698"/>
      <c r="G342" s="1791" t="s">
        <v>43</v>
      </c>
      <c r="H342" s="1732"/>
      <c r="I342" s="1733"/>
      <c r="J342" s="1733"/>
      <c r="K342" s="1733"/>
      <c r="L342" s="1699" t="str">
        <f t="shared" si="1"/>
        <v>OTHER 26</v>
      </c>
      <c r="M342" s="1698"/>
      <c r="N342" s="1698"/>
      <c r="O342" s="1698"/>
      <c r="P342" s="1746"/>
    </row>
    <row r="343" spans="1:16" ht="15" customHeight="1" x14ac:dyDescent="0.25">
      <c r="A343" s="1690"/>
      <c r="B343" s="142" t="s">
        <v>1361</v>
      </c>
      <c r="C343" s="1636"/>
      <c r="D343" s="142"/>
      <c r="E343" s="142"/>
      <c r="F343" s="1698"/>
      <c r="G343" s="1791" t="s">
        <v>43</v>
      </c>
      <c r="H343" s="1732"/>
      <c r="I343" s="1733"/>
      <c r="J343" s="1733"/>
      <c r="K343" s="1733"/>
      <c r="L343" s="1699" t="str">
        <f t="shared" si="1"/>
        <v>OTHER 27</v>
      </c>
      <c r="M343" s="1698"/>
      <c r="N343" s="1698"/>
      <c r="O343" s="1698"/>
      <c r="P343" s="1746"/>
    </row>
    <row r="344" spans="1:16" ht="15" customHeight="1" x14ac:dyDescent="0.25">
      <c r="A344" s="1690"/>
      <c r="B344" s="142" t="s">
        <v>1362</v>
      </c>
      <c r="C344" s="1636"/>
      <c r="D344" s="142"/>
      <c r="E344" s="142"/>
      <c r="F344" s="1698"/>
      <c r="G344" s="1791" t="s">
        <v>43</v>
      </c>
      <c r="H344" s="1732"/>
      <c r="I344" s="1733"/>
      <c r="J344" s="1733"/>
      <c r="K344" s="1733"/>
      <c r="L344" s="1699" t="str">
        <f t="shared" si="1"/>
        <v>OTHER 28</v>
      </c>
      <c r="M344" s="1698"/>
      <c r="N344" s="1698"/>
      <c r="O344" s="1698"/>
      <c r="P344" s="1746"/>
    </row>
    <row r="345" spans="1:16" ht="15" customHeight="1" x14ac:dyDescent="0.25">
      <c r="A345" s="1690"/>
      <c r="B345" s="142" t="s">
        <v>1363</v>
      </c>
      <c r="C345" s="1636"/>
      <c r="D345" s="142"/>
      <c r="E345" s="142"/>
      <c r="F345" s="1698"/>
      <c r="G345" s="1791" t="s">
        <v>43</v>
      </c>
      <c r="H345" s="1732"/>
      <c r="I345" s="1733"/>
      <c r="J345" s="1733"/>
      <c r="K345" s="1733"/>
      <c r="L345" s="1699" t="str">
        <f t="shared" si="1"/>
        <v>OTHER 29</v>
      </c>
      <c r="M345" s="1698"/>
      <c r="N345" s="1698"/>
      <c r="O345" s="1698"/>
      <c r="P345" s="1746"/>
    </row>
    <row r="346" spans="1:16" ht="15" customHeight="1" x14ac:dyDescent="0.25">
      <c r="A346" s="1690"/>
      <c r="B346" s="234" t="s">
        <v>1364</v>
      </c>
      <c r="C346" s="1637"/>
      <c r="D346" s="1671"/>
      <c r="E346" s="1671"/>
      <c r="F346" s="1700"/>
      <c r="G346" s="1792" t="s">
        <v>43</v>
      </c>
      <c r="H346" s="1734"/>
      <c r="I346" s="1735"/>
      <c r="J346" s="1735"/>
      <c r="K346" s="1735"/>
      <c r="L346" s="1701" t="str">
        <f t="shared" si="1"/>
        <v>OTHER 30</v>
      </c>
      <c r="M346" s="1700"/>
      <c r="N346" s="1700"/>
      <c r="O346" s="1700"/>
      <c r="P346" s="1746"/>
    </row>
    <row r="347" spans="1:16" ht="15" customHeight="1" x14ac:dyDescent="0.25">
      <c r="A347" s="415"/>
      <c r="B347" s="1620"/>
      <c r="C347" s="458"/>
      <c r="D347" s="458"/>
      <c r="E347" s="458"/>
      <c r="F347" s="458"/>
      <c r="G347" s="1523"/>
      <c r="H347" s="1523"/>
      <c r="I347" s="1523"/>
      <c r="J347" s="1523"/>
      <c r="K347" s="1523"/>
      <c r="L347" s="325"/>
      <c r="M347" s="325"/>
      <c r="N347" s="325"/>
      <c r="O347" s="325"/>
      <c r="P347" s="438"/>
    </row>
    <row r="348" spans="1:16" ht="15" customHeight="1" x14ac:dyDescent="0.25">
      <c r="A348" s="397"/>
      <c r="B348" s="2992"/>
      <c r="C348" s="2893"/>
      <c r="D348" s="2893"/>
      <c r="E348" s="2894"/>
      <c r="F348" s="1588" t="s">
        <v>1046</v>
      </c>
      <c r="G348" s="1678"/>
      <c r="H348" s="1678"/>
      <c r="I348" s="1678"/>
      <c r="J348" s="1678"/>
      <c r="K348" s="1678"/>
      <c r="L348" s="325"/>
      <c r="M348" s="325"/>
      <c r="N348" s="1487"/>
      <c r="O348" s="1487"/>
      <c r="P348" s="441"/>
    </row>
    <row r="349" spans="1:16" ht="15" customHeight="1" x14ac:dyDescent="0.25">
      <c r="A349" s="397"/>
      <c r="B349" s="1814" t="s">
        <v>1403</v>
      </c>
      <c r="C349" s="1815"/>
      <c r="D349" s="1815"/>
      <c r="E349" s="1815"/>
      <c r="F349" s="1816" t="str">
        <f>IF(AND(ISNUMBER(F350), ISNUMBER(F354), ISNUMBER(F358)), SUM(F350, F354, F358), "")</f>
        <v/>
      </c>
      <c r="G349" s="1788"/>
      <c r="H349" s="1788"/>
      <c r="I349" s="1788"/>
      <c r="J349" s="1788"/>
      <c r="K349" s="1788"/>
      <c r="L349" s="325"/>
      <c r="M349" s="325"/>
      <c r="N349" s="1487"/>
      <c r="O349" s="1487"/>
      <c r="P349" s="441"/>
    </row>
    <row r="350" spans="1:16" ht="15" customHeight="1" x14ac:dyDescent="0.25">
      <c r="A350" s="397"/>
      <c r="B350" s="240" t="s">
        <v>477</v>
      </c>
      <c r="C350" s="1737"/>
      <c r="D350" s="1737"/>
      <c r="E350" s="1737"/>
      <c r="F350" s="100" t="str">
        <f>IF(AND(ISNUMBER(F351), ISNUMBER(F352), ISNUMBER(F353)), IF($I$4="Medium", F351, IF($I$4="High", F352, IF($I$4="Low", F353, ""))), "")</f>
        <v/>
      </c>
      <c r="G350" s="1487"/>
      <c r="H350" s="1487"/>
      <c r="I350" s="1487"/>
      <c r="J350" s="1487"/>
      <c r="K350" s="1487"/>
      <c r="L350" s="1487"/>
      <c r="N350" s="1487"/>
      <c r="O350" s="1487"/>
      <c r="P350" s="833"/>
    </row>
    <row r="351" spans="1:16" ht="15" customHeight="1" x14ac:dyDescent="0.25">
      <c r="A351" s="397"/>
      <c r="B351" s="1812" t="s">
        <v>1198</v>
      </c>
      <c r="C351" s="198"/>
      <c r="D351" s="198"/>
      <c r="E351" s="198"/>
      <c r="F351" s="1705"/>
      <c r="G351" s="1487"/>
      <c r="H351" s="1487"/>
      <c r="I351" s="1487"/>
      <c r="J351" s="1487"/>
      <c r="K351" s="1487"/>
      <c r="L351" s="1487"/>
      <c r="N351" s="1487"/>
      <c r="O351" s="1487"/>
      <c r="P351" s="833"/>
    </row>
    <row r="352" spans="1:16" ht="15" customHeight="1" x14ac:dyDescent="0.25">
      <c r="A352" s="397"/>
      <c r="B352" s="1812" t="s">
        <v>1199</v>
      </c>
      <c r="C352" s="198"/>
      <c r="D352" s="198"/>
      <c r="E352" s="198"/>
      <c r="F352" s="1705"/>
      <c r="G352" s="477"/>
      <c r="H352" s="477"/>
      <c r="I352" s="477"/>
      <c r="J352" s="477"/>
      <c r="K352" s="1487"/>
      <c r="L352" s="1487"/>
      <c r="N352" s="1487"/>
      <c r="O352" s="1487"/>
      <c r="P352" s="833"/>
    </row>
    <row r="353" spans="1:16" ht="15" customHeight="1" x14ac:dyDescent="0.25">
      <c r="A353" s="397"/>
      <c r="B353" s="1812" t="s">
        <v>1200</v>
      </c>
      <c r="C353" s="198"/>
      <c r="D353" s="198"/>
      <c r="E353" s="198"/>
      <c r="F353" s="1705"/>
      <c r="G353" s="477"/>
      <c r="H353" s="477"/>
      <c r="I353" s="477"/>
      <c r="J353" s="477"/>
      <c r="K353" s="1487"/>
      <c r="L353" s="1487"/>
      <c r="N353" s="1487"/>
      <c r="O353" s="1487"/>
      <c r="P353" s="833"/>
    </row>
    <row r="354" spans="1:16" ht="15" customHeight="1" x14ac:dyDescent="0.25">
      <c r="A354" s="397"/>
      <c r="B354" s="417" t="s">
        <v>478</v>
      </c>
      <c r="C354" s="1641"/>
      <c r="D354" s="1641"/>
      <c r="E354" s="1641"/>
      <c r="F354" s="100" t="str">
        <f>IF(AND(ISNUMBER(F355), ISNUMBER(F356), ISNUMBER(F357)), IF($I$4="Medium", F355, IF($I$4="High", F356, IF($I$4="Low", F357, ""))), "")</f>
        <v/>
      </c>
      <c r="G354" s="477"/>
      <c r="H354" s="477"/>
      <c r="I354" s="477"/>
      <c r="J354" s="477"/>
      <c r="K354" s="1487"/>
      <c r="L354" s="1487"/>
      <c r="N354" s="1487"/>
      <c r="O354" s="1487"/>
      <c r="P354" s="833"/>
    </row>
    <row r="355" spans="1:16" ht="15" customHeight="1" x14ac:dyDescent="0.25">
      <c r="A355" s="397"/>
      <c r="B355" s="1812" t="s">
        <v>1198</v>
      </c>
      <c r="C355" s="198"/>
      <c r="D355" s="198"/>
      <c r="E355" s="198"/>
      <c r="F355" s="1705"/>
      <c r="G355" s="477"/>
      <c r="H355" s="477"/>
      <c r="I355" s="477"/>
      <c r="J355" s="477"/>
      <c r="K355" s="1487"/>
      <c r="L355" s="1487"/>
      <c r="N355" s="1487"/>
      <c r="O355" s="1487"/>
      <c r="P355" s="833"/>
    </row>
    <row r="356" spans="1:16" ht="15" customHeight="1" x14ac:dyDescent="0.25">
      <c r="A356" s="397"/>
      <c r="B356" s="1812" t="s">
        <v>1199</v>
      </c>
      <c r="C356" s="198"/>
      <c r="D356" s="198"/>
      <c r="E356" s="198"/>
      <c r="F356" s="1705"/>
      <c r="G356" s="477"/>
      <c r="H356" s="477"/>
      <c r="I356" s="477"/>
      <c r="J356" s="477"/>
      <c r="K356" s="1487"/>
      <c r="L356" s="1487"/>
      <c r="N356" s="1487"/>
      <c r="O356" s="1487"/>
      <c r="P356" s="833"/>
    </row>
    <row r="357" spans="1:16" ht="15" customHeight="1" x14ac:dyDescent="0.25">
      <c r="A357" s="397"/>
      <c r="B357" s="1812" t="s">
        <v>1200</v>
      </c>
      <c r="C357" s="198"/>
      <c r="D357" s="198"/>
      <c r="E357" s="198"/>
      <c r="F357" s="1705"/>
      <c r="G357" s="477"/>
      <c r="H357" s="477"/>
      <c r="I357" s="477"/>
      <c r="J357" s="477"/>
      <c r="K357" s="1487"/>
      <c r="L357" s="1487"/>
      <c r="N357" s="1487"/>
      <c r="O357" s="1487"/>
      <c r="P357" s="833"/>
    </row>
    <row r="358" spans="1:16" ht="15" customHeight="1" x14ac:dyDescent="0.25">
      <c r="A358" s="397"/>
      <c r="B358" s="417" t="s">
        <v>479</v>
      </c>
      <c r="C358" s="1641"/>
      <c r="D358" s="1641"/>
      <c r="E358" s="1641"/>
      <c r="F358" s="100" t="str">
        <f>IF(AND(ISNUMBER(F359), ISNUMBER(F360), ISNUMBER(F361)), IF($I$4="Medium", F359, IF($I$4="High", F360, IF($I$4="Low", F361, ""))), "")</f>
        <v/>
      </c>
      <c r="G358" s="477"/>
      <c r="H358" s="477"/>
      <c r="I358" s="477"/>
      <c r="J358" s="477"/>
      <c r="K358" s="1487"/>
      <c r="L358" s="1487"/>
      <c r="N358" s="1487"/>
      <c r="O358" s="1487"/>
      <c r="P358" s="833"/>
    </row>
    <row r="359" spans="1:16" ht="15" customHeight="1" x14ac:dyDescent="0.25">
      <c r="A359" s="397"/>
      <c r="B359" s="1812" t="s">
        <v>1198</v>
      </c>
      <c r="C359" s="198"/>
      <c r="D359" s="198"/>
      <c r="E359" s="198"/>
      <c r="F359" s="1705"/>
      <c r="G359" s="1487"/>
      <c r="H359" s="477"/>
      <c r="I359" s="1487"/>
      <c r="J359" s="1487"/>
      <c r="K359" s="1487"/>
      <c r="L359" s="1487"/>
      <c r="N359" s="1487"/>
      <c r="O359" s="1487"/>
      <c r="P359" s="833"/>
    </row>
    <row r="360" spans="1:16" ht="15" customHeight="1" x14ac:dyDescent="0.25">
      <c r="A360" s="397"/>
      <c r="B360" s="1812" t="s">
        <v>1199</v>
      </c>
      <c r="C360" s="198"/>
      <c r="D360" s="198"/>
      <c r="E360" s="198"/>
      <c r="F360" s="1705"/>
      <c r="G360" s="1487"/>
      <c r="H360" s="477"/>
      <c r="I360" s="1487"/>
      <c r="J360" s="1487"/>
      <c r="K360" s="1487"/>
      <c r="L360" s="1487"/>
      <c r="N360" s="1487"/>
      <c r="O360" s="1487"/>
      <c r="P360" s="833"/>
    </row>
    <row r="361" spans="1:16" ht="15" customHeight="1" x14ac:dyDescent="0.25">
      <c r="A361" s="397"/>
      <c r="B361" s="1813" t="s">
        <v>1200</v>
      </c>
      <c r="C361" s="411"/>
      <c r="D361" s="411"/>
      <c r="E361" s="411"/>
      <c r="F361" s="1706"/>
      <c r="G361" s="1487"/>
      <c r="H361" s="1487"/>
      <c r="I361" s="1487"/>
      <c r="J361" s="1487"/>
      <c r="K361" s="1487"/>
      <c r="L361" s="1487"/>
      <c r="N361" s="1487"/>
      <c r="O361" s="1487"/>
      <c r="P361" s="833"/>
    </row>
    <row r="362" spans="1:16" ht="15" customHeight="1" x14ac:dyDescent="0.25">
      <c r="A362" s="1242"/>
      <c r="B362" s="434"/>
      <c r="C362" s="434"/>
      <c r="D362" s="434"/>
      <c r="E362" s="434"/>
      <c r="F362" s="434"/>
      <c r="G362" s="434"/>
      <c r="H362" s="434"/>
      <c r="I362" s="434"/>
      <c r="J362" s="434"/>
      <c r="K362" s="434"/>
      <c r="L362" s="434"/>
      <c r="M362" s="434"/>
      <c r="N362" s="434"/>
      <c r="O362" s="434"/>
      <c r="P362" s="1243"/>
    </row>
    <row r="363" spans="1:16" ht="45" customHeight="1" x14ac:dyDescent="0.25">
      <c r="A363" s="2314" t="s">
        <v>2214</v>
      </c>
      <c r="B363" s="1673"/>
      <c r="C363" s="1674"/>
      <c r="D363" s="1674"/>
      <c r="E363" s="1674"/>
      <c r="F363" s="1674"/>
      <c r="G363" s="1674"/>
      <c r="H363" s="1674"/>
      <c r="I363" s="1674"/>
      <c r="J363" s="1674"/>
      <c r="K363" s="1674"/>
      <c r="L363" s="1675"/>
      <c r="M363" s="1675"/>
      <c r="N363" s="1675"/>
      <c r="O363" s="1675"/>
      <c r="P363" s="1743"/>
    </row>
    <row r="364" spans="1:16" ht="15" customHeight="1" x14ac:dyDescent="0.25">
      <c r="A364" s="397"/>
      <c r="B364" s="2992"/>
      <c r="C364" s="2893"/>
      <c r="D364" s="2893"/>
      <c r="E364" s="2894"/>
      <c r="F364" s="1588" t="s">
        <v>1046</v>
      </c>
      <c r="G364" s="1918" t="s">
        <v>1459</v>
      </c>
      <c r="H364" s="3061" t="s">
        <v>1460</v>
      </c>
      <c r="I364" s="3061"/>
      <c r="J364" s="3061"/>
      <c r="K364" s="3061"/>
      <c r="L364" s="3061"/>
      <c r="M364" s="325"/>
      <c r="N364" s="1487"/>
      <c r="O364" s="1487"/>
      <c r="P364" s="441"/>
    </row>
    <row r="365" spans="1:16" ht="15" customHeight="1" x14ac:dyDescent="0.25">
      <c r="A365" s="397"/>
      <c r="B365" s="198" t="s">
        <v>1380</v>
      </c>
      <c r="C365" s="1641"/>
      <c r="D365" s="1641"/>
      <c r="E365" s="1641"/>
      <c r="F365" s="668"/>
      <c r="G365" s="1755"/>
      <c r="H365" s="767"/>
      <c r="I365" s="1828"/>
      <c r="J365" s="1828"/>
      <c r="K365" s="1828"/>
      <c r="L365" s="1828"/>
      <c r="N365" s="1487"/>
      <c r="O365" s="1487"/>
      <c r="P365" s="833"/>
    </row>
    <row r="366" spans="1:16" ht="15" customHeight="1" x14ac:dyDescent="0.25">
      <c r="A366" s="397"/>
      <c r="B366" s="417" t="s">
        <v>1381</v>
      </c>
      <c r="C366" s="198"/>
      <c r="D366" s="198"/>
      <c r="E366" s="198"/>
      <c r="F366" s="1705"/>
      <c r="G366" s="1755"/>
      <c r="H366" s="259"/>
      <c r="I366" s="777"/>
      <c r="J366" s="92"/>
      <c r="K366" s="92"/>
      <c r="L366" s="92"/>
      <c r="N366" s="1487"/>
      <c r="O366" s="1487"/>
      <c r="P366" s="833"/>
    </row>
    <row r="367" spans="1:16" ht="15" customHeight="1" x14ac:dyDescent="0.25">
      <c r="A367" s="397"/>
      <c r="B367" s="417" t="s">
        <v>699</v>
      </c>
      <c r="C367" s="198"/>
      <c r="D367" s="198"/>
      <c r="E367" s="198"/>
      <c r="F367" s="1705"/>
      <c r="G367" s="1755"/>
      <c r="H367" s="259"/>
      <c r="I367" s="777"/>
      <c r="J367" s="92"/>
      <c r="K367" s="92"/>
      <c r="L367" s="92"/>
      <c r="N367" s="1487"/>
      <c r="O367" s="1487"/>
      <c r="P367" s="833"/>
    </row>
    <row r="368" spans="1:16" ht="15" customHeight="1" x14ac:dyDescent="0.25">
      <c r="A368" s="397"/>
      <c r="B368" s="417" t="s">
        <v>1382</v>
      </c>
      <c r="C368" s="198"/>
      <c r="D368" s="198"/>
      <c r="E368" s="198"/>
      <c r="F368" s="1705"/>
      <c r="G368" s="1755"/>
      <c r="H368" s="259"/>
      <c r="I368" s="777"/>
      <c r="J368" s="92"/>
      <c r="K368" s="92"/>
      <c r="L368" s="92"/>
      <c r="N368" s="1487"/>
      <c r="O368" s="1487"/>
      <c r="P368" s="833"/>
    </row>
    <row r="369" spans="1:16" ht="15" customHeight="1" x14ac:dyDescent="0.25">
      <c r="A369" s="397"/>
      <c r="B369" s="198" t="s">
        <v>1383</v>
      </c>
      <c r="C369" s="1641"/>
      <c r="D369" s="1641"/>
      <c r="E369" s="1641"/>
      <c r="F369" s="1705"/>
      <c r="G369" s="1755"/>
      <c r="H369" s="259"/>
      <c r="I369" s="777"/>
      <c r="J369" s="92"/>
      <c r="K369" s="92"/>
      <c r="L369" s="92"/>
      <c r="N369" s="1487"/>
      <c r="O369" s="1487"/>
      <c r="P369" s="833"/>
    </row>
    <row r="370" spans="1:16" ht="15" customHeight="1" x14ac:dyDescent="0.25">
      <c r="A370" s="397"/>
      <c r="B370" s="411" t="s">
        <v>1384</v>
      </c>
      <c r="C370" s="411"/>
      <c r="D370" s="411"/>
      <c r="E370" s="411"/>
      <c r="F370" s="1706"/>
      <c r="G370" s="1755"/>
      <c r="H370" s="356"/>
      <c r="I370" s="370"/>
      <c r="J370" s="1298"/>
      <c r="K370" s="1298"/>
      <c r="L370" s="1298"/>
      <c r="N370" s="1487"/>
      <c r="O370" s="1487"/>
      <c r="P370" s="833"/>
    </row>
    <row r="371" spans="1:16" ht="15" customHeight="1" x14ac:dyDescent="0.25">
      <c r="A371" s="1977"/>
      <c r="B371" s="1933" t="s">
        <v>116</v>
      </c>
      <c r="C371" s="1933"/>
      <c r="D371" s="1933"/>
      <c r="E371" s="1933"/>
      <c r="F371" s="1934" t="str">
        <f>IF(AND(ISNUMBER(F366), ISNUMBER(F367), ISNUMBER(F368), ISNUMBER(F369), ISNUMBER(F370)), F366+F367+F368+F369+F370, "")</f>
        <v/>
      </c>
      <c r="G371" s="1935" t="str">
        <f>IF(ISNUMBER(TB!G86), TB!G86, "")</f>
        <v/>
      </c>
      <c r="H371" s="3060"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060"/>
      <c r="J371" s="3060"/>
      <c r="K371" s="3060"/>
      <c r="L371" s="3060"/>
      <c r="N371" s="1487"/>
      <c r="O371" s="1487"/>
      <c r="P371" s="833"/>
    </row>
    <row r="372" spans="1:16" ht="45" customHeight="1" x14ac:dyDescent="0.25">
      <c r="A372" s="2314" t="s">
        <v>2215</v>
      </c>
      <c r="B372" s="1702"/>
      <c r="C372" s="1523"/>
      <c r="D372" s="1523"/>
      <c r="E372" s="1523"/>
      <c r="F372" s="1523"/>
      <c r="G372" s="1523"/>
      <c r="H372" s="1523"/>
      <c r="I372" s="1523"/>
      <c r="J372" s="1523"/>
      <c r="K372" s="1523"/>
      <c r="L372" s="325"/>
      <c r="M372" s="325"/>
      <c r="N372" s="325"/>
      <c r="O372" s="325"/>
      <c r="P372" s="438"/>
    </row>
    <row r="373" spans="1:16" ht="15" customHeight="1" x14ac:dyDescent="0.25">
      <c r="A373" s="2314"/>
      <c r="B373" s="739" t="str">
        <f>Parameters!B396</f>
        <v>Are claims on sovereigns, public sector entities and multilateral development banks expected to be subject to a zero default risk weight per the national discretion in MAR22.7?</v>
      </c>
      <c r="C373" s="705"/>
      <c r="D373" s="705"/>
      <c r="E373" s="705"/>
      <c r="F373" s="705"/>
      <c r="G373" s="705"/>
      <c r="H373" s="705"/>
      <c r="I373" s="2073" t="str">
        <f>Parameters!F396</f>
        <v>No</v>
      </c>
      <c r="J373" s="1523"/>
      <c r="K373" s="1523"/>
      <c r="L373" s="325"/>
      <c r="M373" s="325"/>
      <c r="N373" s="325"/>
      <c r="O373" s="325"/>
      <c r="P373" s="438"/>
    </row>
    <row r="374" spans="1:16" ht="15" customHeight="1" x14ac:dyDescent="0.25">
      <c r="A374" s="2314"/>
      <c r="B374" s="234" t="s">
        <v>1560</v>
      </c>
      <c r="C374" s="141"/>
      <c r="D374" s="141"/>
      <c r="E374" s="141"/>
      <c r="F374" s="141"/>
      <c r="G374" s="141"/>
      <c r="H374" s="141"/>
      <c r="I374" s="1075"/>
      <c r="J374" s="1523"/>
      <c r="K374" s="1523"/>
      <c r="L374" s="325"/>
      <c r="M374" s="325"/>
      <c r="N374" s="325"/>
      <c r="O374" s="325"/>
      <c r="P374" s="438"/>
    </row>
    <row r="375" spans="1:16" ht="15" customHeight="1" x14ac:dyDescent="0.25">
      <c r="A375" s="2314"/>
      <c r="B375" s="1702"/>
      <c r="C375" s="1523"/>
      <c r="D375" s="1523"/>
      <c r="E375" s="1523"/>
      <c r="F375" s="458"/>
      <c r="G375" s="1523"/>
      <c r="H375" s="1523"/>
      <c r="I375" s="1523"/>
      <c r="J375" s="1523"/>
      <c r="K375" s="1523"/>
      <c r="L375" s="325"/>
      <c r="M375" s="325"/>
      <c r="N375" s="325"/>
      <c r="O375" s="325"/>
      <c r="P375" s="438"/>
    </row>
    <row r="376" spans="1:16" ht="15" customHeight="1" x14ac:dyDescent="0.25">
      <c r="A376" s="397"/>
      <c r="B376" s="3001" t="s">
        <v>1385</v>
      </c>
      <c r="C376" s="3001"/>
      <c r="D376" s="3001"/>
      <c r="E376" s="3001"/>
      <c r="F376" s="3003" t="s">
        <v>859</v>
      </c>
      <c r="G376" s="3004"/>
      <c r="H376" s="3005" t="s">
        <v>699</v>
      </c>
      <c r="I376" s="3004"/>
      <c r="J376" s="3005" t="s">
        <v>1382</v>
      </c>
      <c r="K376" s="3006"/>
      <c r="L376" s="1487"/>
      <c r="N376" s="1487"/>
      <c r="O376" s="1487"/>
      <c r="P376" s="833"/>
    </row>
    <row r="377" spans="1:16" ht="15" customHeight="1" x14ac:dyDescent="0.25">
      <c r="A377" s="397"/>
      <c r="B377" s="3002"/>
      <c r="C377" s="3002"/>
      <c r="D377" s="3002"/>
      <c r="E377" s="3002"/>
      <c r="F377" s="1703" t="s">
        <v>1386</v>
      </c>
      <c r="G377" s="1713" t="s">
        <v>1387</v>
      </c>
      <c r="H377" s="1712" t="s">
        <v>1386</v>
      </c>
      <c r="I377" s="1713" t="s">
        <v>1387</v>
      </c>
      <c r="J377" s="1712" t="s">
        <v>1386</v>
      </c>
      <c r="K377" s="1628" t="s">
        <v>1387</v>
      </c>
      <c r="L377" s="1487"/>
      <c r="N377" s="1487"/>
      <c r="O377" s="1487"/>
      <c r="P377" s="833"/>
    </row>
    <row r="378" spans="1:16" ht="15" customHeight="1" x14ac:dyDescent="0.25">
      <c r="A378" s="397"/>
      <c r="B378" s="822" t="s">
        <v>1388</v>
      </c>
      <c r="C378" s="822"/>
      <c r="D378" s="822"/>
      <c r="E378" s="822"/>
      <c r="F378" s="1631"/>
      <c r="G378" s="1630"/>
      <c r="H378" s="1632"/>
      <c r="I378" s="1630"/>
      <c r="J378" s="1632"/>
      <c r="K378" s="1633"/>
      <c r="L378" s="1487"/>
      <c r="P378" s="833"/>
    </row>
    <row r="379" spans="1:16" ht="15" customHeight="1" x14ac:dyDescent="0.25">
      <c r="A379" s="397"/>
      <c r="B379" s="222" t="s">
        <v>1389</v>
      </c>
      <c r="C379" s="222"/>
      <c r="D379" s="222"/>
      <c r="E379" s="222"/>
      <c r="F379" s="1622"/>
      <c r="G379" s="1634"/>
      <c r="H379" s="1635"/>
      <c r="I379" s="1634"/>
      <c r="J379" s="1635"/>
      <c r="K379" s="413"/>
      <c r="L379" s="1487"/>
      <c r="P379" s="833"/>
    </row>
    <row r="380" spans="1:16" ht="15" customHeight="1" x14ac:dyDescent="0.25">
      <c r="A380" s="397"/>
      <c r="B380" s="222" t="s">
        <v>636</v>
      </c>
      <c r="C380" s="1737"/>
      <c r="D380" s="1737"/>
      <c r="E380" s="1737"/>
      <c r="F380" s="1622"/>
      <c r="G380" s="1634"/>
      <c r="H380" s="1635"/>
      <c r="I380" s="1634"/>
      <c r="J380" s="1635"/>
      <c r="K380" s="413"/>
      <c r="L380" s="1487"/>
      <c r="P380" s="833"/>
    </row>
    <row r="381" spans="1:16" ht="15" customHeight="1" x14ac:dyDescent="0.25">
      <c r="A381" s="397"/>
      <c r="B381" s="222" t="s">
        <v>1390</v>
      </c>
      <c r="C381" s="222"/>
      <c r="D381" s="222"/>
      <c r="E381" s="222"/>
      <c r="F381" s="1622"/>
      <c r="G381" s="1634"/>
      <c r="H381" s="1635"/>
      <c r="I381" s="1634"/>
      <c r="J381" s="1635"/>
      <c r="K381" s="413"/>
      <c r="L381" s="1487"/>
      <c r="N381" s="1487"/>
      <c r="O381" s="1487"/>
      <c r="P381" s="833"/>
    </row>
    <row r="382" spans="1:16" ht="15" customHeight="1" x14ac:dyDescent="0.25">
      <c r="A382" s="397"/>
      <c r="B382" s="222" t="s">
        <v>1391</v>
      </c>
      <c r="C382" s="222"/>
      <c r="D382" s="222"/>
      <c r="E382" s="222"/>
      <c r="F382" s="1622"/>
      <c r="G382" s="1634"/>
      <c r="H382" s="1635"/>
      <c r="I382" s="1634"/>
      <c r="J382" s="1635"/>
      <c r="K382" s="413"/>
      <c r="L382" s="1487"/>
      <c r="N382" s="1487"/>
      <c r="O382" s="1487"/>
      <c r="P382" s="833"/>
    </row>
    <row r="383" spans="1:16" ht="15" customHeight="1" x14ac:dyDescent="0.25">
      <c r="A383" s="397"/>
      <c r="B383" s="222" t="s">
        <v>634</v>
      </c>
      <c r="C383" s="222"/>
      <c r="D383" s="222"/>
      <c r="E383" s="222"/>
      <c r="F383" s="1622"/>
      <c r="G383" s="1634"/>
      <c r="H383" s="1635"/>
      <c r="I383" s="1634"/>
      <c r="J383" s="1635"/>
      <c r="K383" s="413"/>
      <c r="L383" s="1487"/>
      <c r="N383" s="1487"/>
      <c r="O383" s="1487"/>
      <c r="P383" s="833"/>
    </row>
    <row r="384" spans="1:16" ht="15" customHeight="1" x14ac:dyDescent="0.25">
      <c r="A384" s="397"/>
      <c r="B384" s="222" t="s">
        <v>1392</v>
      </c>
      <c r="C384" s="1737"/>
      <c r="D384" s="1737"/>
      <c r="E384" s="1737"/>
      <c r="F384" s="1622"/>
      <c r="G384" s="1634"/>
      <c r="H384" s="1635"/>
      <c r="I384" s="1634"/>
      <c r="J384" s="1635"/>
      <c r="K384" s="413"/>
      <c r="L384" s="1487"/>
      <c r="N384" s="1487"/>
      <c r="O384" s="1487"/>
      <c r="P384" s="833"/>
    </row>
    <row r="385" spans="1:16" ht="15" customHeight="1" x14ac:dyDescent="0.25">
      <c r="A385" s="397"/>
      <c r="B385" s="222" t="s">
        <v>1141</v>
      </c>
      <c r="C385" s="222"/>
      <c r="D385" s="222"/>
      <c r="E385" s="222"/>
      <c r="F385" s="1622"/>
      <c r="G385" s="1634"/>
      <c r="H385" s="1635"/>
      <c r="I385" s="1634"/>
      <c r="J385" s="1635"/>
      <c r="K385" s="413"/>
      <c r="L385" s="1487"/>
      <c r="N385" s="1487"/>
      <c r="O385" s="1487"/>
      <c r="P385" s="833"/>
    </row>
    <row r="386" spans="1:16" ht="15" customHeight="1" x14ac:dyDescent="0.25">
      <c r="A386" s="397"/>
      <c r="B386" s="411" t="s">
        <v>1393</v>
      </c>
      <c r="C386" s="411"/>
      <c r="D386" s="411"/>
      <c r="E386" s="411"/>
      <c r="F386" s="1640"/>
      <c r="G386" s="1638"/>
      <c r="H386" s="1639"/>
      <c r="I386" s="1638"/>
      <c r="J386" s="1639"/>
      <c r="K386" s="1624"/>
      <c r="L386" s="1487"/>
      <c r="N386" s="1487"/>
      <c r="O386" s="1487"/>
      <c r="P386" s="833"/>
    </row>
    <row r="387" spans="1:16" ht="15" customHeight="1" x14ac:dyDescent="0.25">
      <c r="A387" s="397"/>
      <c r="B387" s="386"/>
      <c r="C387" s="386"/>
      <c r="D387" s="386"/>
      <c r="E387" s="386"/>
      <c r="F387" s="2305"/>
      <c r="G387" s="2305"/>
      <c r="H387" s="2305"/>
      <c r="I387" s="2305"/>
      <c r="J387" s="2305"/>
      <c r="K387" s="2305"/>
      <c r="L387" s="1487"/>
      <c r="N387" s="1487"/>
      <c r="O387" s="1487"/>
      <c r="P387" s="833"/>
    </row>
    <row r="388" spans="1:16" ht="45" customHeight="1" x14ac:dyDescent="0.25">
      <c r="A388" s="978" t="s">
        <v>2216</v>
      </c>
      <c r="B388" s="1673"/>
      <c r="C388" s="1674"/>
      <c r="D388" s="1674"/>
      <c r="E388" s="1674"/>
      <c r="F388" s="1674"/>
      <c r="G388" s="1674"/>
      <c r="H388" s="1674"/>
      <c r="I388" s="1674"/>
      <c r="J388" s="1674"/>
      <c r="K388" s="1674"/>
      <c r="L388" s="1675"/>
      <c r="M388" s="1675"/>
      <c r="N388" s="1675"/>
      <c r="O388" s="1675"/>
      <c r="P388" s="1743"/>
    </row>
    <row r="389" spans="1:16" ht="15" customHeight="1" x14ac:dyDescent="0.25">
      <c r="A389" s="1657"/>
      <c r="B389" s="3001"/>
      <c r="C389" s="3001"/>
      <c r="D389" s="3001"/>
      <c r="E389" s="3001"/>
      <c r="F389" s="2966" t="s">
        <v>1366</v>
      </c>
      <c r="G389" s="2966"/>
      <c r="H389" s="2993"/>
      <c r="I389" s="2994" t="s">
        <v>1367</v>
      </c>
      <c r="J389" s="2966"/>
      <c r="K389" s="2993"/>
      <c r="L389" s="2966" t="s">
        <v>1368</v>
      </c>
      <c r="M389" s="2966"/>
      <c r="N389" s="2966"/>
      <c r="O389" s="1839"/>
      <c r="P389" s="497"/>
    </row>
    <row r="390" spans="1:16" ht="45" customHeight="1" x14ac:dyDescent="0.25">
      <c r="A390" s="1647"/>
      <c r="B390" s="3002"/>
      <c r="C390" s="3002"/>
      <c r="D390" s="3002"/>
      <c r="E390" s="3002"/>
      <c r="F390" s="1703" t="s">
        <v>1208</v>
      </c>
      <c r="G390" s="1621" t="s">
        <v>1209</v>
      </c>
      <c r="H390" s="1628" t="s">
        <v>1210</v>
      </c>
      <c r="I390" s="1712" t="s">
        <v>1208</v>
      </c>
      <c r="J390" s="1621" t="s">
        <v>1209</v>
      </c>
      <c r="K390" s="1713" t="s">
        <v>1210</v>
      </c>
      <c r="L390" s="1659" t="s">
        <v>1208</v>
      </c>
      <c r="M390" s="2186" t="s">
        <v>1209</v>
      </c>
      <c r="N390" s="2187" t="s">
        <v>1210</v>
      </c>
      <c r="O390" s="1841"/>
      <c r="P390" s="497"/>
    </row>
    <row r="391" spans="1:16" ht="15" customHeight="1" x14ac:dyDescent="0.25">
      <c r="A391" s="1533"/>
      <c r="B391" s="3055" t="s">
        <v>1695</v>
      </c>
      <c r="C391" s="3055"/>
      <c r="D391" s="3055"/>
      <c r="E391" s="3056"/>
      <c r="F391" s="418"/>
      <c r="G391" s="1654"/>
      <c r="H391" s="1652"/>
      <c r="I391" s="1664"/>
      <c r="J391" s="1654"/>
      <c r="K391" s="1663"/>
      <c r="L391" s="418"/>
      <c r="M391" s="1654"/>
      <c r="N391" s="1652"/>
      <c r="O391" s="1841"/>
      <c r="P391" s="833"/>
    </row>
    <row r="392" spans="1:16" ht="15" customHeight="1" x14ac:dyDescent="0.25">
      <c r="A392" s="1533"/>
      <c r="B392" s="2587" t="s">
        <v>1696</v>
      </c>
      <c r="C392" s="2587"/>
      <c r="D392" s="2587"/>
      <c r="E392" s="2587"/>
      <c r="F392" s="418"/>
      <c r="G392" s="1654"/>
      <c r="H392" s="1652"/>
      <c r="I392" s="1664"/>
      <c r="J392" s="1654"/>
      <c r="K392" s="1663"/>
      <c r="L392" s="418"/>
      <c r="M392" s="1654"/>
      <c r="N392" s="1652"/>
      <c r="O392" s="1841"/>
      <c r="P392" s="833"/>
    </row>
    <row r="393" spans="1:16" ht="15" customHeight="1" x14ac:dyDescent="0.25">
      <c r="A393" s="1533"/>
      <c r="B393" s="2587" t="s">
        <v>1697</v>
      </c>
      <c r="C393" s="2587"/>
      <c r="D393" s="2587"/>
      <c r="E393" s="2587"/>
      <c r="F393" s="418"/>
      <c r="G393" s="1654"/>
      <c r="H393" s="1652"/>
      <c r="I393" s="1664"/>
      <c r="J393" s="1654"/>
      <c r="K393" s="1663"/>
      <c r="L393" s="418"/>
      <c r="M393" s="1654"/>
      <c r="N393" s="1652"/>
      <c r="O393" s="1841"/>
      <c r="P393" s="833"/>
    </row>
    <row r="394" spans="1:16" ht="30" customHeight="1" x14ac:dyDescent="0.25">
      <c r="A394" s="397"/>
      <c r="B394" s="3053" t="s">
        <v>1698</v>
      </c>
      <c r="C394" s="3054"/>
      <c r="D394" s="3054"/>
      <c r="E394" s="3054"/>
      <c r="F394" s="2188"/>
      <c r="G394" s="26"/>
      <c r="H394" s="188"/>
      <c r="I394" s="2303"/>
      <c r="J394" s="26"/>
      <c r="K394" s="2304"/>
      <c r="L394" s="2188"/>
      <c r="M394" s="26"/>
      <c r="N394" s="188"/>
      <c r="O394" s="1487"/>
      <c r="P394" s="833"/>
    </row>
    <row r="395" spans="1:16" ht="15" customHeight="1" x14ac:dyDescent="0.25">
      <c r="A395" s="1242"/>
      <c r="B395" s="434"/>
      <c r="C395" s="434"/>
      <c r="D395" s="434"/>
      <c r="E395" s="434"/>
      <c r="F395" s="434"/>
      <c r="G395" s="434"/>
      <c r="H395" s="434"/>
      <c r="I395" s="434"/>
      <c r="J395" s="434"/>
      <c r="K395" s="434"/>
      <c r="L395" s="434"/>
      <c r="M395" s="434"/>
      <c r="N395" s="434"/>
      <c r="O395" s="434"/>
      <c r="P395" s="1243"/>
    </row>
  </sheetData>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F83 F88:N105 F109:F120 F125:N149 F153:F164 F173:N188 F192:F203 F225:F236 F241:N251 F255:F266 I281:K313 M281:O346 F350:F361 F366:F371 F208:N221 F391:N394 F378:F394 H378:H394 J378:J394 F25:N68">
    <cfRule type="cellIs" dxfId="37" priority="63" stopIfTrue="1" operator="lessThan">
      <formula>0</formula>
    </cfRule>
  </conditionalFormatting>
  <conditionalFormatting sqref="A220:P373 A219 F219:P219 C219 A395:P1048576 A393:B394 A391:D391 A392 F391:P394 A375:P390 A1:P16 A18:P218 A17:D17 K17:P17">
    <cfRule type="cellIs" dxfId="36" priority="17" stopIfTrue="1" operator="equal">
      <formula>"Pass"</formula>
    </cfRule>
  </conditionalFormatting>
  <conditionalFormatting sqref="C219:P219 A219 A395:P395 A393:B394 A391:D391 A392 F391:P394 A220:P390 A1:P16 A18:P218 A17:D17 K17:P17">
    <cfRule type="containsText" dxfId="35" priority="30" stopIfTrue="1" operator="containsText" text="&gt;">
      <formula>NOT(ISERROR(SEARCH("&gt;",A1)))</formula>
    </cfRule>
  </conditionalFormatting>
  <conditionalFormatting sqref="I25:K68 I88:K105 I125:K149 I173:K188 I208:K221 I241:K251">
    <cfRule type="expression" dxfId="34" priority="4">
      <formula>AND(F25&gt;0,ISNUMBER(I25),I25=0)</formula>
    </cfRule>
  </conditionalFormatting>
  <conditionalFormatting sqref="L25:N68 L88:N105 L125:N149 L173:N188 L208:N221 L241:N251">
    <cfRule type="expression" dxfId="33" priority="2">
      <formula>AND(F25&gt;0,ISNUMBER(L25),L25=0)</formula>
    </cfRule>
  </conditionalFormatting>
  <conditionalFormatting sqref="F25:H68 F88:H105 F125:H149 F173:H188 F208:H221 F241:H251">
    <cfRule type="expression" dxfId="32" priority="1">
      <formula>AND(F25=0,OR($F25&gt;0,$G25&gt;0,$H25&gt;0))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A1:P16 A18:P218 A17:D17 K17:P17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732"/>
  <sheetViews>
    <sheetView showGridLines="0" zoomScale="75" zoomScaleNormal="75" zoomScaleSheetLayoutView="75" workbookViewId="0">
      <pane xSplit="4" ySplit="6" topLeftCell="E7" activePane="bottomRight" state="frozen"/>
      <selection pane="topRight"/>
      <selection pane="bottomLeft"/>
      <selection pane="bottomRight"/>
    </sheetView>
  </sheetViews>
  <sheetFormatPr defaultColWidth="0" defaultRowHeight="14.25" zeroHeight="1" x14ac:dyDescent="0.25"/>
  <cols>
    <col min="1" max="1" width="1.7109375" style="387" customWidth="1"/>
    <col min="2" max="2" width="10.7109375" style="185" customWidth="1"/>
    <col min="3" max="3" width="12.7109375" style="185" customWidth="1"/>
    <col min="4" max="4" width="50.7109375" style="212" customWidth="1"/>
    <col min="5" max="5" width="40.7109375" style="212" customWidth="1"/>
    <col min="6" max="6" width="14.7109375" style="212" customWidth="1"/>
    <col min="7" max="7" width="14.7109375" style="182" customWidth="1"/>
    <col min="8" max="287" width="16.7109375" style="185" customWidth="1"/>
    <col min="288" max="288" width="16.7109375" style="1487" customWidth="1"/>
    <col min="289" max="289" width="1.7109375" style="438" customWidth="1"/>
    <col min="290" max="16384" width="16.85546875" hidden="1"/>
  </cols>
  <sheetData>
    <row r="1" spans="1:289" ht="30" customHeight="1" x14ac:dyDescent="0.55000000000000004">
      <c r="A1" s="1333" t="s">
        <v>407</v>
      </c>
      <c r="B1" s="1334"/>
      <c r="C1" s="1334"/>
      <c r="D1" s="1335"/>
      <c r="E1" s="1335"/>
      <c r="F1" s="1335"/>
      <c r="G1" s="1334"/>
      <c r="H1" s="1336" t="str">
        <f>CONCATENATE("Reporting unit: ", 'General Info'!$C$7, " ", 'General Info'!$C$5)</f>
        <v xml:space="preserve">Reporting unit: 1 </v>
      </c>
      <c r="I1" s="1337"/>
      <c r="J1" s="1337"/>
      <c r="K1" s="1336"/>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37"/>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c r="BU1" s="1337"/>
      <c r="BV1" s="1337"/>
      <c r="BW1" s="1337"/>
      <c r="BX1" s="1337"/>
      <c r="BY1" s="1337"/>
      <c r="BZ1" s="1337"/>
      <c r="CA1" s="1337"/>
      <c r="CB1" s="1337"/>
      <c r="CC1" s="1337"/>
      <c r="CD1" s="1337"/>
      <c r="CE1" s="1337"/>
      <c r="CF1" s="1337"/>
      <c r="CG1" s="1337"/>
      <c r="CH1" s="1337"/>
      <c r="CI1" s="1337"/>
      <c r="CJ1" s="1337"/>
      <c r="CK1" s="1337"/>
      <c r="CL1" s="1337"/>
      <c r="CM1" s="1337"/>
      <c r="CN1" s="1337"/>
      <c r="CO1" s="1337"/>
      <c r="CP1" s="1337"/>
      <c r="CQ1" s="1337"/>
      <c r="CR1" s="1337"/>
      <c r="CS1" s="1337"/>
      <c r="CT1" s="1337"/>
      <c r="CU1" s="1337"/>
      <c r="CV1" s="1337"/>
      <c r="CW1" s="1337"/>
      <c r="CX1" s="1337"/>
      <c r="CY1" s="1337"/>
      <c r="CZ1" s="1337"/>
      <c r="DA1" s="1337"/>
      <c r="DB1" s="1337"/>
      <c r="DC1" s="1337"/>
      <c r="DD1" s="1337"/>
      <c r="DE1" s="1337"/>
      <c r="DF1" s="1337"/>
      <c r="DG1" s="1337"/>
      <c r="DH1" s="1337"/>
      <c r="DI1" s="1337"/>
      <c r="DJ1" s="1337"/>
      <c r="DK1" s="1337"/>
      <c r="DL1" s="1337"/>
      <c r="DM1" s="1337"/>
      <c r="DN1" s="1337"/>
      <c r="DO1" s="1337"/>
      <c r="DP1" s="1337"/>
      <c r="DQ1" s="1337"/>
      <c r="DR1" s="1337"/>
      <c r="DS1" s="1337"/>
      <c r="DT1" s="1337"/>
      <c r="DU1" s="1337"/>
      <c r="DV1" s="1337"/>
      <c r="DW1" s="1337"/>
      <c r="DX1" s="1337"/>
      <c r="DY1" s="1337"/>
      <c r="DZ1" s="1337"/>
      <c r="EA1" s="1337"/>
      <c r="EB1" s="1337"/>
      <c r="EC1" s="1337"/>
      <c r="ED1" s="1337"/>
      <c r="EE1" s="1337"/>
      <c r="EF1" s="1337"/>
      <c r="EG1" s="1337"/>
      <c r="EH1" s="1337"/>
      <c r="EI1" s="1337"/>
      <c r="EJ1" s="1337"/>
      <c r="EK1" s="1337"/>
      <c r="EL1" s="1337"/>
      <c r="EM1" s="1337"/>
      <c r="EN1" s="1337"/>
      <c r="EO1" s="1337"/>
      <c r="EP1" s="1337"/>
      <c r="EQ1" s="1337"/>
      <c r="ER1" s="1337"/>
      <c r="ES1" s="1337"/>
      <c r="ET1" s="1337"/>
      <c r="EU1" s="1336"/>
      <c r="EV1" s="1337"/>
      <c r="EW1" s="1337"/>
      <c r="EX1" s="1337"/>
      <c r="EY1" s="1337"/>
      <c r="EZ1" s="1337"/>
      <c r="FA1" s="1337"/>
      <c r="FB1" s="1337"/>
      <c r="FC1" s="1337"/>
      <c r="FD1" s="1337"/>
      <c r="FE1" s="1337"/>
      <c r="FF1" s="1337"/>
      <c r="FG1" s="1337"/>
      <c r="FH1" s="1337"/>
      <c r="FI1" s="1337"/>
      <c r="FJ1" s="1337"/>
      <c r="FK1" s="1337"/>
      <c r="FL1" s="1337"/>
      <c r="FM1" s="1337"/>
      <c r="FN1" s="1337"/>
      <c r="FO1" s="1337"/>
      <c r="FP1" s="1337"/>
      <c r="FQ1" s="1337"/>
      <c r="FR1" s="1337"/>
      <c r="FS1" s="1337"/>
      <c r="FT1" s="1337"/>
      <c r="FU1" s="1337"/>
      <c r="FV1" s="1337"/>
      <c r="FW1" s="1337"/>
      <c r="FX1" s="1337"/>
      <c r="FY1" s="1337"/>
      <c r="FZ1" s="1337"/>
      <c r="GA1" s="1337"/>
      <c r="GB1" s="1337"/>
      <c r="GC1" s="1337"/>
      <c r="GD1" s="1337"/>
      <c r="GE1" s="1337"/>
      <c r="GF1" s="1337"/>
      <c r="GG1" s="1337"/>
      <c r="GH1" s="1337"/>
      <c r="GI1" s="1337"/>
      <c r="GJ1" s="1337"/>
      <c r="GK1" s="1337"/>
      <c r="GL1" s="1337"/>
      <c r="GM1" s="1337"/>
      <c r="GN1" s="1337"/>
      <c r="GO1" s="1337"/>
      <c r="GP1" s="1337"/>
      <c r="GQ1" s="1337"/>
      <c r="GR1" s="1337"/>
      <c r="GS1" s="1337"/>
      <c r="GT1" s="1337"/>
      <c r="GU1" s="1337"/>
      <c r="GV1" s="1337"/>
      <c r="GW1" s="1337"/>
      <c r="GX1" s="1337"/>
      <c r="GY1" s="1337"/>
      <c r="GZ1" s="1337"/>
      <c r="HA1" s="1337"/>
      <c r="HB1" s="1337"/>
      <c r="HC1" s="1337"/>
      <c r="HD1" s="1337"/>
      <c r="HE1" s="1337"/>
      <c r="HF1" s="1337"/>
      <c r="HG1" s="1337"/>
      <c r="HH1" s="1337"/>
      <c r="HI1" s="1337"/>
      <c r="HJ1" s="1337"/>
      <c r="HK1" s="1337"/>
      <c r="HL1" s="1337"/>
      <c r="HM1" s="1337"/>
      <c r="HN1" s="1337"/>
      <c r="HO1" s="1337"/>
      <c r="HP1" s="1337"/>
      <c r="HQ1" s="1337"/>
      <c r="HR1" s="1337"/>
      <c r="HS1" s="1337"/>
      <c r="HT1" s="1337"/>
      <c r="HU1" s="1337"/>
      <c r="HV1" s="1337"/>
      <c r="HW1" s="1337"/>
      <c r="HX1" s="1337"/>
      <c r="HY1" s="1337"/>
      <c r="HZ1" s="1337"/>
      <c r="IA1" s="1337"/>
      <c r="IB1" s="1337"/>
      <c r="IC1" s="1337"/>
      <c r="ID1" s="1337"/>
      <c r="IE1" s="1337"/>
      <c r="IF1" s="1337"/>
      <c r="IG1" s="1337"/>
      <c r="IH1" s="1337"/>
      <c r="II1" s="1337"/>
      <c r="IJ1" s="1337"/>
      <c r="IK1" s="1337"/>
      <c r="IL1" s="1337"/>
      <c r="IM1" s="1337"/>
      <c r="IN1" s="1337"/>
      <c r="IO1" s="1337"/>
      <c r="IP1" s="1337"/>
      <c r="IQ1" s="1337"/>
      <c r="IR1" s="1337"/>
      <c r="IS1" s="1337"/>
      <c r="IT1" s="1337"/>
      <c r="IU1" s="1337"/>
      <c r="IV1" s="1337"/>
      <c r="IW1" s="1337"/>
      <c r="IX1" s="1337"/>
      <c r="IY1" s="1337"/>
      <c r="IZ1" s="1337"/>
      <c r="JA1" s="1337"/>
      <c r="JB1" s="1337"/>
      <c r="JC1" s="1337"/>
      <c r="JD1" s="1337"/>
      <c r="JE1" s="1337"/>
      <c r="JF1" s="1337"/>
      <c r="JG1" s="1337"/>
      <c r="JH1" s="1337"/>
      <c r="JI1" s="1337"/>
      <c r="JJ1" s="1337"/>
      <c r="JK1" s="1337"/>
      <c r="JL1" s="1337"/>
      <c r="JM1" s="1337"/>
      <c r="JN1" s="1337"/>
      <c r="JO1" s="1337"/>
      <c r="JP1" s="1337"/>
      <c r="JQ1" s="1337"/>
      <c r="JR1" s="1337"/>
      <c r="JS1" s="1337"/>
      <c r="JT1" s="1337"/>
      <c r="JU1" s="1337"/>
      <c r="JV1" s="1337"/>
      <c r="JW1" s="1337"/>
      <c r="JX1" s="1337"/>
      <c r="JY1" s="1337"/>
      <c r="JZ1" s="1337"/>
      <c r="KA1" s="1337"/>
      <c r="KB1" s="1594"/>
      <c r="KC1" s="1338"/>
    </row>
    <row r="2" spans="1:289" ht="15" customHeight="1" x14ac:dyDescent="0.25">
      <c r="A2" s="407"/>
      <c r="B2" s="408"/>
      <c r="C2" s="408"/>
      <c r="D2" s="404"/>
      <c r="E2" s="404"/>
      <c r="F2" s="404"/>
      <c r="G2" s="409"/>
      <c r="H2" s="409"/>
      <c r="I2" s="409"/>
      <c r="J2" s="409"/>
      <c r="K2" s="409"/>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ES2" s="409"/>
      <c r="ET2" s="409"/>
      <c r="EU2" s="409"/>
      <c r="EV2" s="406"/>
      <c r="EW2" s="406"/>
      <c r="EX2" s="406"/>
      <c r="EY2" s="406"/>
      <c r="EZ2" s="406"/>
      <c r="FA2" s="406"/>
      <c r="FB2" s="406"/>
      <c r="FC2" s="406"/>
      <c r="FD2" s="406"/>
      <c r="FE2" s="406"/>
      <c r="FF2" s="406"/>
      <c r="FG2" s="406"/>
      <c r="FH2" s="406"/>
      <c r="FI2" s="406"/>
      <c r="FJ2" s="406"/>
      <c r="FK2" s="406"/>
      <c r="FL2" s="406"/>
      <c r="FM2" s="406"/>
      <c r="FN2" s="406"/>
      <c r="FO2" s="406"/>
      <c r="FP2" s="406"/>
      <c r="FQ2" s="406"/>
      <c r="FR2" s="406"/>
      <c r="FS2" s="406"/>
      <c r="FT2" s="406"/>
      <c r="FU2" s="406"/>
      <c r="FV2" s="406"/>
      <c r="FW2" s="406"/>
      <c r="FX2" s="406"/>
      <c r="FY2" s="406"/>
      <c r="FZ2" s="406"/>
      <c r="GA2" s="406"/>
      <c r="GB2" s="406"/>
      <c r="GC2" s="406"/>
      <c r="GD2" s="406"/>
      <c r="GE2" s="406"/>
      <c r="GF2" s="406"/>
      <c r="GG2" s="406"/>
      <c r="GH2" s="406"/>
      <c r="GI2" s="406"/>
      <c r="GJ2" s="406"/>
      <c r="GK2" s="406"/>
      <c r="GL2" s="406"/>
      <c r="GM2" s="406"/>
      <c r="GN2" s="406"/>
      <c r="GO2" s="406"/>
      <c r="GP2" s="406"/>
      <c r="GQ2" s="406"/>
      <c r="GR2" s="406"/>
      <c r="GS2" s="406"/>
      <c r="GT2" s="406"/>
      <c r="GU2" s="406"/>
      <c r="GV2" s="406"/>
      <c r="GW2" s="406"/>
      <c r="GX2" s="406"/>
      <c r="GY2" s="406"/>
      <c r="GZ2" s="406"/>
    </row>
    <row r="3" spans="1:289" ht="75" customHeight="1" x14ac:dyDescent="0.25">
      <c r="B3" s="3067" t="s">
        <v>1525</v>
      </c>
      <c r="C3" s="3067"/>
      <c r="D3" s="3067"/>
      <c r="E3" s="3067"/>
      <c r="F3" s="3067"/>
      <c r="G3" s="3067"/>
      <c r="H3" s="3067"/>
      <c r="I3" s="3067"/>
      <c r="J3" s="3067"/>
      <c r="K3" s="3067"/>
      <c r="L3" s="3067"/>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3"/>
      <c r="HM3" s="193"/>
      <c r="HN3" s="193"/>
      <c r="HO3" s="193"/>
      <c r="HP3" s="193"/>
      <c r="HQ3" s="193"/>
      <c r="HR3" s="193"/>
      <c r="HS3" s="193"/>
      <c r="HT3" s="193"/>
      <c r="HU3" s="193"/>
      <c r="HV3" s="193"/>
      <c r="HW3" s="193"/>
      <c r="HX3" s="193"/>
      <c r="HY3" s="193"/>
      <c r="HZ3" s="193"/>
      <c r="IA3" s="193"/>
      <c r="IB3" s="193"/>
      <c r="IC3" s="193"/>
      <c r="ID3" s="193"/>
      <c r="IE3" s="193"/>
      <c r="IF3" s="193"/>
      <c r="IG3" s="193"/>
      <c r="IH3" s="193"/>
      <c r="II3" s="193"/>
      <c r="IJ3" s="193"/>
      <c r="IK3" s="193"/>
      <c r="IL3" s="193"/>
      <c r="IM3" s="193"/>
      <c r="IN3" s="193"/>
      <c r="IO3" s="193"/>
      <c r="IP3" s="193"/>
      <c r="IQ3" s="193"/>
      <c r="IR3" s="193"/>
      <c r="IS3" s="193"/>
      <c r="IT3" s="193"/>
      <c r="IU3" s="193"/>
      <c r="IV3" s="193"/>
      <c r="IW3" s="193"/>
      <c r="IX3" s="193"/>
      <c r="IY3" s="193"/>
      <c r="IZ3" s="193"/>
      <c r="JA3" s="193"/>
      <c r="JB3" s="193"/>
      <c r="JC3" s="193"/>
      <c r="JD3" s="193"/>
      <c r="JE3" s="193"/>
      <c r="JF3" s="193"/>
      <c r="JG3" s="193"/>
      <c r="JH3" s="193"/>
      <c r="JI3" s="193"/>
      <c r="JJ3" s="193"/>
      <c r="JK3" s="193"/>
      <c r="JL3" s="193"/>
      <c r="JM3" s="193"/>
      <c r="JN3" s="193"/>
      <c r="JO3" s="193"/>
      <c r="JP3" s="193"/>
      <c r="JQ3" s="193"/>
      <c r="JR3" s="193"/>
      <c r="JS3" s="193"/>
      <c r="JT3" s="193"/>
      <c r="JU3" s="193"/>
      <c r="JV3" s="193"/>
      <c r="JW3" s="193"/>
      <c r="JX3" s="193"/>
      <c r="JY3" s="193"/>
      <c r="JZ3" s="193"/>
      <c r="KA3" s="193"/>
      <c r="KB3" s="193"/>
      <c r="KC3" s="439"/>
    </row>
    <row r="4" spans="1:289" ht="15" customHeight="1" x14ac:dyDescent="0.25">
      <c r="A4" s="440"/>
      <c r="B4" s="104"/>
      <c r="C4" s="104"/>
      <c r="D4" s="143"/>
      <c r="E4" s="143"/>
      <c r="F4" s="143"/>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25"/>
      <c r="ET4" s="325"/>
      <c r="EU4" s="325"/>
      <c r="EV4" s="325"/>
      <c r="EW4" s="325"/>
      <c r="EX4" s="325"/>
      <c r="EY4" s="325"/>
      <c r="EZ4" s="325"/>
      <c r="FA4" s="325"/>
      <c r="FB4" s="325"/>
      <c r="FC4" s="325"/>
      <c r="FD4" s="325"/>
      <c r="FE4" s="325"/>
      <c r="FF4" s="325"/>
      <c r="FG4" s="325"/>
      <c r="FH4" s="325"/>
      <c r="FI4" s="325"/>
      <c r="FJ4" s="325"/>
      <c r="FK4" s="325"/>
      <c r="FL4" s="325"/>
      <c r="FM4" s="325"/>
      <c r="FN4" s="325"/>
      <c r="FO4" s="325"/>
      <c r="FP4" s="325"/>
      <c r="FQ4" s="325"/>
      <c r="FR4" s="325"/>
      <c r="FS4" s="325"/>
      <c r="FT4" s="325"/>
      <c r="FU4" s="325"/>
      <c r="FV4" s="325"/>
      <c r="FW4" s="325"/>
      <c r="FX4" s="325"/>
      <c r="FY4" s="325"/>
      <c r="FZ4" s="325"/>
      <c r="GA4" s="325"/>
      <c r="GB4" s="325"/>
      <c r="GC4" s="325"/>
      <c r="GD4" s="325"/>
      <c r="GE4" s="325"/>
      <c r="GF4" s="325"/>
      <c r="GG4" s="325"/>
      <c r="GH4" s="325"/>
      <c r="GI4" s="325"/>
      <c r="GJ4" s="325"/>
      <c r="GK4" s="325"/>
      <c r="GL4" s="325"/>
      <c r="GM4" s="325"/>
      <c r="GN4" s="325"/>
      <c r="GO4" s="325"/>
      <c r="GP4" s="325"/>
      <c r="GQ4" s="325"/>
      <c r="GR4" s="325"/>
      <c r="GS4" s="325"/>
      <c r="GT4" s="325"/>
      <c r="GU4" s="325"/>
      <c r="GV4" s="325"/>
      <c r="GW4" s="325"/>
      <c r="GX4" s="325"/>
      <c r="GY4" s="325"/>
      <c r="GZ4" s="325"/>
      <c r="HA4" s="325"/>
      <c r="HB4" s="325"/>
      <c r="HC4" s="325"/>
      <c r="HD4" s="325"/>
      <c r="HE4" s="325"/>
      <c r="HF4" s="325"/>
      <c r="HG4" s="325"/>
      <c r="HH4" s="325"/>
      <c r="HI4" s="325"/>
      <c r="HJ4" s="325"/>
      <c r="HK4" s="325"/>
      <c r="HL4" s="325"/>
      <c r="HM4" s="325"/>
      <c r="HN4" s="325"/>
      <c r="HO4" s="325"/>
      <c r="HP4" s="325"/>
      <c r="HQ4" s="325"/>
      <c r="HR4" s="325"/>
      <c r="HS4" s="325"/>
      <c r="HT4" s="325"/>
      <c r="HU4" s="325"/>
      <c r="HV4" s="325"/>
      <c r="HW4" s="325"/>
      <c r="HX4" s="325"/>
      <c r="HY4" s="325"/>
      <c r="HZ4" s="325"/>
      <c r="IA4" s="325"/>
      <c r="IB4" s="325"/>
      <c r="IC4" s="325"/>
      <c r="ID4" s="325"/>
      <c r="IE4" s="325"/>
      <c r="IF4" s="325"/>
      <c r="IG4" s="325"/>
      <c r="IH4" s="325"/>
      <c r="II4" s="325"/>
      <c r="IJ4" s="325"/>
      <c r="IK4" s="325"/>
      <c r="IL4" s="325"/>
      <c r="IM4" s="325"/>
      <c r="IN4" s="325"/>
      <c r="IO4" s="325"/>
      <c r="IP4" s="325"/>
      <c r="IQ4" s="325"/>
      <c r="IR4" s="325"/>
      <c r="IS4" s="325"/>
      <c r="IT4" s="325"/>
      <c r="IU4" s="325"/>
      <c r="IV4" s="325"/>
      <c r="IW4" s="325"/>
      <c r="IX4" s="325"/>
      <c r="IY4" s="325"/>
      <c r="IZ4" s="325"/>
      <c r="JA4" s="325"/>
      <c r="JB4" s="325"/>
      <c r="JC4" s="325"/>
      <c r="JD4" s="325"/>
      <c r="JE4" s="325"/>
      <c r="JF4" s="325"/>
      <c r="JG4" s="325"/>
      <c r="JH4" s="325"/>
      <c r="JI4" s="325"/>
      <c r="JJ4" s="325"/>
      <c r="JK4" s="325"/>
      <c r="JL4" s="325"/>
      <c r="JM4" s="325"/>
      <c r="JN4" s="325"/>
      <c r="JO4" s="325"/>
      <c r="JP4" s="325"/>
      <c r="JQ4" s="325"/>
      <c r="JR4" s="325"/>
      <c r="JS4" s="325"/>
      <c r="JT4" s="325"/>
      <c r="JU4" s="325"/>
      <c r="JV4" s="325"/>
      <c r="JW4" s="325"/>
      <c r="JX4" s="325"/>
      <c r="JY4" s="325"/>
      <c r="JZ4" s="325"/>
      <c r="KA4" s="325"/>
      <c r="KB4" s="325"/>
      <c r="KC4" s="441"/>
    </row>
    <row r="5" spans="1:289" ht="60" customHeight="1" x14ac:dyDescent="0.25">
      <c r="B5" s="442"/>
      <c r="C5" s="400" t="s">
        <v>454</v>
      </c>
      <c r="D5" s="443" t="s">
        <v>432</v>
      </c>
      <c r="E5" s="400" t="s">
        <v>433</v>
      </c>
      <c r="F5" s="2018" t="s">
        <v>1192</v>
      </c>
      <c r="G5" s="2018" t="s">
        <v>1526</v>
      </c>
      <c r="H5" s="400" t="s">
        <v>303</v>
      </c>
      <c r="I5" s="400" t="str">
        <f t="shared" ref="I5:BT5" si="0">"T+" &amp; (COLUMN(I5)-COLUMN($H5))</f>
        <v>T+1</v>
      </c>
      <c r="J5" s="400" t="str">
        <f t="shared" si="0"/>
        <v>T+2</v>
      </c>
      <c r="K5" s="400" t="str">
        <f t="shared" si="0"/>
        <v>T+3</v>
      </c>
      <c r="L5" s="400" t="str">
        <f t="shared" si="0"/>
        <v>T+4</v>
      </c>
      <c r="M5" s="400" t="str">
        <f t="shared" si="0"/>
        <v>T+5</v>
      </c>
      <c r="N5" s="400" t="str">
        <f t="shared" si="0"/>
        <v>T+6</v>
      </c>
      <c r="O5" s="400" t="str">
        <f t="shared" si="0"/>
        <v>T+7</v>
      </c>
      <c r="P5" s="400" t="str">
        <f t="shared" si="0"/>
        <v>T+8</v>
      </c>
      <c r="Q5" s="400" t="str">
        <f t="shared" si="0"/>
        <v>T+9</v>
      </c>
      <c r="R5" s="400" t="str">
        <f t="shared" si="0"/>
        <v>T+10</v>
      </c>
      <c r="S5" s="400" t="str">
        <f t="shared" si="0"/>
        <v>T+11</v>
      </c>
      <c r="T5" s="400" t="str">
        <f t="shared" si="0"/>
        <v>T+12</v>
      </c>
      <c r="U5" s="400" t="str">
        <f t="shared" si="0"/>
        <v>T+13</v>
      </c>
      <c r="V5" s="400" t="str">
        <f t="shared" si="0"/>
        <v>T+14</v>
      </c>
      <c r="W5" s="400" t="str">
        <f t="shared" si="0"/>
        <v>T+15</v>
      </c>
      <c r="X5" s="400" t="str">
        <f t="shared" si="0"/>
        <v>T+16</v>
      </c>
      <c r="Y5" s="400" t="str">
        <f t="shared" si="0"/>
        <v>T+17</v>
      </c>
      <c r="Z5" s="400" t="str">
        <f t="shared" si="0"/>
        <v>T+18</v>
      </c>
      <c r="AA5" s="400" t="str">
        <f t="shared" si="0"/>
        <v>T+19</v>
      </c>
      <c r="AB5" s="400" t="str">
        <f t="shared" si="0"/>
        <v>T+20</v>
      </c>
      <c r="AC5" s="400" t="str">
        <f t="shared" si="0"/>
        <v>T+21</v>
      </c>
      <c r="AD5" s="400" t="str">
        <f t="shared" si="0"/>
        <v>T+22</v>
      </c>
      <c r="AE5" s="400" t="str">
        <f t="shared" si="0"/>
        <v>T+23</v>
      </c>
      <c r="AF5" s="400" t="str">
        <f t="shared" si="0"/>
        <v>T+24</v>
      </c>
      <c r="AG5" s="400" t="str">
        <f t="shared" si="0"/>
        <v>T+25</v>
      </c>
      <c r="AH5" s="400" t="str">
        <f t="shared" si="0"/>
        <v>T+26</v>
      </c>
      <c r="AI5" s="400" t="str">
        <f t="shared" si="0"/>
        <v>T+27</v>
      </c>
      <c r="AJ5" s="400" t="str">
        <f t="shared" si="0"/>
        <v>T+28</v>
      </c>
      <c r="AK5" s="400" t="str">
        <f t="shared" si="0"/>
        <v>T+29</v>
      </c>
      <c r="AL5" s="400" t="str">
        <f t="shared" si="0"/>
        <v>T+30</v>
      </c>
      <c r="AM5" s="400" t="str">
        <f t="shared" si="0"/>
        <v>T+31</v>
      </c>
      <c r="AN5" s="400" t="str">
        <f t="shared" si="0"/>
        <v>T+32</v>
      </c>
      <c r="AO5" s="400" t="str">
        <f t="shared" si="0"/>
        <v>T+33</v>
      </c>
      <c r="AP5" s="400" t="str">
        <f t="shared" si="0"/>
        <v>T+34</v>
      </c>
      <c r="AQ5" s="400" t="str">
        <f t="shared" si="0"/>
        <v>T+35</v>
      </c>
      <c r="AR5" s="400" t="str">
        <f t="shared" si="0"/>
        <v>T+36</v>
      </c>
      <c r="AS5" s="400" t="str">
        <f t="shared" si="0"/>
        <v>T+37</v>
      </c>
      <c r="AT5" s="400" t="str">
        <f t="shared" si="0"/>
        <v>T+38</v>
      </c>
      <c r="AU5" s="400" t="str">
        <f t="shared" si="0"/>
        <v>T+39</v>
      </c>
      <c r="AV5" s="400" t="str">
        <f t="shared" si="0"/>
        <v>T+40</v>
      </c>
      <c r="AW5" s="400" t="str">
        <f t="shared" si="0"/>
        <v>T+41</v>
      </c>
      <c r="AX5" s="400" t="str">
        <f t="shared" si="0"/>
        <v>T+42</v>
      </c>
      <c r="AY5" s="400" t="str">
        <f t="shared" si="0"/>
        <v>T+43</v>
      </c>
      <c r="AZ5" s="400" t="str">
        <f t="shared" si="0"/>
        <v>T+44</v>
      </c>
      <c r="BA5" s="400" t="str">
        <f t="shared" si="0"/>
        <v>T+45</v>
      </c>
      <c r="BB5" s="400" t="str">
        <f t="shared" si="0"/>
        <v>T+46</v>
      </c>
      <c r="BC5" s="400" t="str">
        <f t="shared" si="0"/>
        <v>T+47</v>
      </c>
      <c r="BD5" s="400" t="str">
        <f t="shared" si="0"/>
        <v>T+48</v>
      </c>
      <c r="BE5" s="400" t="str">
        <f t="shared" si="0"/>
        <v>T+49</v>
      </c>
      <c r="BF5" s="400" t="str">
        <f t="shared" si="0"/>
        <v>T+50</v>
      </c>
      <c r="BG5" s="400" t="str">
        <f t="shared" si="0"/>
        <v>T+51</v>
      </c>
      <c r="BH5" s="400" t="str">
        <f t="shared" si="0"/>
        <v>T+52</v>
      </c>
      <c r="BI5" s="400" t="str">
        <f t="shared" si="0"/>
        <v>T+53</v>
      </c>
      <c r="BJ5" s="400" t="str">
        <f t="shared" si="0"/>
        <v>T+54</v>
      </c>
      <c r="BK5" s="400" t="str">
        <f t="shared" si="0"/>
        <v>T+55</v>
      </c>
      <c r="BL5" s="400" t="str">
        <f t="shared" si="0"/>
        <v>T+56</v>
      </c>
      <c r="BM5" s="400" t="str">
        <f t="shared" si="0"/>
        <v>T+57</v>
      </c>
      <c r="BN5" s="400" t="str">
        <f t="shared" si="0"/>
        <v>T+58</v>
      </c>
      <c r="BO5" s="400" t="str">
        <f t="shared" si="0"/>
        <v>T+59</v>
      </c>
      <c r="BP5" s="400" t="str">
        <f t="shared" si="0"/>
        <v>T+60</v>
      </c>
      <c r="BQ5" s="400" t="str">
        <f t="shared" si="0"/>
        <v>T+61</v>
      </c>
      <c r="BR5" s="400" t="str">
        <f t="shared" si="0"/>
        <v>T+62</v>
      </c>
      <c r="BS5" s="400" t="str">
        <f t="shared" si="0"/>
        <v>T+63</v>
      </c>
      <c r="BT5" s="400" t="str">
        <f t="shared" si="0"/>
        <v>T+64</v>
      </c>
      <c r="BU5" s="400" t="str">
        <f t="shared" ref="BU5:EF5" si="1">"T+" &amp; (COLUMN(BU5)-COLUMN($H5))</f>
        <v>T+65</v>
      </c>
      <c r="BV5" s="400" t="str">
        <f t="shared" si="1"/>
        <v>T+66</v>
      </c>
      <c r="BW5" s="400" t="str">
        <f t="shared" si="1"/>
        <v>T+67</v>
      </c>
      <c r="BX5" s="400" t="str">
        <f t="shared" si="1"/>
        <v>T+68</v>
      </c>
      <c r="BY5" s="400" t="str">
        <f t="shared" si="1"/>
        <v>T+69</v>
      </c>
      <c r="BZ5" s="400" t="str">
        <f t="shared" si="1"/>
        <v>T+70</v>
      </c>
      <c r="CA5" s="400" t="str">
        <f t="shared" si="1"/>
        <v>T+71</v>
      </c>
      <c r="CB5" s="400" t="str">
        <f t="shared" si="1"/>
        <v>T+72</v>
      </c>
      <c r="CC5" s="400" t="str">
        <f t="shared" si="1"/>
        <v>T+73</v>
      </c>
      <c r="CD5" s="400" t="str">
        <f t="shared" si="1"/>
        <v>T+74</v>
      </c>
      <c r="CE5" s="400" t="str">
        <f t="shared" si="1"/>
        <v>T+75</v>
      </c>
      <c r="CF5" s="400" t="str">
        <f t="shared" si="1"/>
        <v>T+76</v>
      </c>
      <c r="CG5" s="400" t="str">
        <f t="shared" si="1"/>
        <v>T+77</v>
      </c>
      <c r="CH5" s="400" t="str">
        <f t="shared" si="1"/>
        <v>T+78</v>
      </c>
      <c r="CI5" s="400" t="str">
        <f t="shared" si="1"/>
        <v>T+79</v>
      </c>
      <c r="CJ5" s="400" t="str">
        <f t="shared" si="1"/>
        <v>T+80</v>
      </c>
      <c r="CK5" s="400" t="str">
        <f t="shared" si="1"/>
        <v>T+81</v>
      </c>
      <c r="CL5" s="400" t="str">
        <f t="shared" si="1"/>
        <v>T+82</v>
      </c>
      <c r="CM5" s="400" t="str">
        <f t="shared" si="1"/>
        <v>T+83</v>
      </c>
      <c r="CN5" s="400" t="str">
        <f t="shared" si="1"/>
        <v>T+84</v>
      </c>
      <c r="CO5" s="400" t="str">
        <f t="shared" si="1"/>
        <v>T+85</v>
      </c>
      <c r="CP5" s="400" t="str">
        <f t="shared" si="1"/>
        <v>T+86</v>
      </c>
      <c r="CQ5" s="400" t="str">
        <f t="shared" si="1"/>
        <v>T+87</v>
      </c>
      <c r="CR5" s="400" t="str">
        <f t="shared" si="1"/>
        <v>T+88</v>
      </c>
      <c r="CS5" s="400" t="str">
        <f t="shared" si="1"/>
        <v>T+89</v>
      </c>
      <c r="CT5" s="400" t="str">
        <f t="shared" si="1"/>
        <v>T+90</v>
      </c>
      <c r="CU5" s="400" t="str">
        <f t="shared" si="1"/>
        <v>T+91</v>
      </c>
      <c r="CV5" s="400" t="str">
        <f t="shared" si="1"/>
        <v>T+92</v>
      </c>
      <c r="CW5" s="400" t="str">
        <f t="shared" si="1"/>
        <v>T+93</v>
      </c>
      <c r="CX5" s="400" t="str">
        <f t="shared" si="1"/>
        <v>T+94</v>
      </c>
      <c r="CY5" s="400" t="str">
        <f t="shared" si="1"/>
        <v>T+95</v>
      </c>
      <c r="CZ5" s="400" t="str">
        <f t="shared" si="1"/>
        <v>T+96</v>
      </c>
      <c r="DA5" s="400" t="str">
        <f t="shared" si="1"/>
        <v>T+97</v>
      </c>
      <c r="DB5" s="400" t="str">
        <f t="shared" si="1"/>
        <v>T+98</v>
      </c>
      <c r="DC5" s="400" t="str">
        <f t="shared" si="1"/>
        <v>T+99</v>
      </c>
      <c r="DD5" s="400" t="str">
        <f t="shared" si="1"/>
        <v>T+100</v>
      </c>
      <c r="DE5" s="400" t="str">
        <f t="shared" si="1"/>
        <v>T+101</v>
      </c>
      <c r="DF5" s="400" t="str">
        <f t="shared" si="1"/>
        <v>T+102</v>
      </c>
      <c r="DG5" s="400" t="str">
        <f t="shared" si="1"/>
        <v>T+103</v>
      </c>
      <c r="DH5" s="400" t="str">
        <f t="shared" si="1"/>
        <v>T+104</v>
      </c>
      <c r="DI5" s="400" t="str">
        <f t="shared" si="1"/>
        <v>T+105</v>
      </c>
      <c r="DJ5" s="400" t="str">
        <f t="shared" si="1"/>
        <v>T+106</v>
      </c>
      <c r="DK5" s="400" t="str">
        <f t="shared" si="1"/>
        <v>T+107</v>
      </c>
      <c r="DL5" s="400" t="str">
        <f t="shared" si="1"/>
        <v>T+108</v>
      </c>
      <c r="DM5" s="400" t="str">
        <f t="shared" si="1"/>
        <v>T+109</v>
      </c>
      <c r="DN5" s="400" t="str">
        <f t="shared" si="1"/>
        <v>T+110</v>
      </c>
      <c r="DO5" s="400" t="str">
        <f t="shared" si="1"/>
        <v>T+111</v>
      </c>
      <c r="DP5" s="400" t="str">
        <f t="shared" si="1"/>
        <v>T+112</v>
      </c>
      <c r="DQ5" s="400" t="str">
        <f t="shared" si="1"/>
        <v>T+113</v>
      </c>
      <c r="DR5" s="400" t="str">
        <f t="shared" si="1"/>
        <v>T+114</v>
      </c>
      <c r="DS5" s="400" t="str">
        <f t="shared" si="1"/>
        <v>T+115</v>
      </c>
      <c r="DT5" s="400" t="str">
        <f t="shared" si="1"/>
        <v>T+116</v>
      </c>
      <c r="DU5" s="400" t="str">
        <f t="shared" si="1"/>
        <v>T+117</v>
      </c>
      <c r="DV5" s="400" t="str">
        <f t="shared" si="1"/>
        <v>T+118</v>
      </c>
      <c r="DW5" s="400" t="str">
        <f t="shared" si="1"/>
        <v>T+119</v>
      </c>
      <c r="DX5" s="400" t="str">
        <f t="shared" si="1"/>
        <v>T+120</v>
      </c>
      <c r="DY5" s="400" t="str">
        <f t="shared" si="1"/>
        <v>T+121</v>
      </c>
      <c r="DZ5" s="400" t="str">
        <f t="shared" si="1"/>
        <v>T+122</v>
      </c>
      <c r="EA5" s="400" t="str">
        <f t="shared" si="1"/>
        <v>T+123</v>
      </c>
      <c r="EB5" s="400" t="str">
        <f t="shared" si="1"/>
        <v>T+124</v>
      </c>
      <c r="EC5" s="400" t="str">
        <f t="shared" si="1"/>
        <v>T+125</v>
      </c>
      <c r="ED5" s="400" t="str">
        <f t="shared" si="1"/>
        <v>T+126</v>
      </c>
      <c r="EE5" s="400" t="str">
        <f t="shared" si="1"/>
        <v>T+127</v>
      </c>
      <c r="EF5" s="400" t="str">
        <f t="shared" si="1"/>
        <v>T+128</v>
      </c>
      <c r="EG5" s="400" t="str">
        <f t="shared" ref="EG5:GR5" si="2">"T+" &amp; (COLUMN(EG5)-COLUMN($H5))</f>
        <v>T+129</v>
      </c>
      <c r="EH5" s="400" t="str">
        <f t="shared" si="2"/>
        <v>T+130</v>
      </c>
      <c r="EI5" s="400" t="str">
        <f t="shared" si="2"/>
        <v>T+131</v>
      </c>
      <c r="EJ5" s="400" t="str">
        <f t="shared" si="2"/>
        <v>T+132</v>
      </c>
      <c r="EK5" s="400" t="str">
        <f t="shared" si="2"/>
        <v>T+133</v>
      </c>
      <c r="EL5" s="400" t="str">
        <f t="shared" si="2"/>
        <v>T+134</v>
      </c>
      <c r="EM5" s="400" t="str">
        <f t="shared" si="2"/>
        <v>T+135</v>
      </c>
      <c r="EN5" s="400" t="str">
        <f t="shared" si="2"/>
        <v>T+136</v>
      </c>
      <c r="EO5" s="400" t="str">
        <f t="shared" si="2"/>
        <v>T+137</v>
      </c>
      <c r="EP5" s="400" t="str">
        <f t="shared" si="2"/>
        <v>T+138</v>
      </c>
      <c r="EQ5" s="400" t="str">
        <f t="shared" si="2"/>
        <v>T+139</v>
      </c>
      <c r="ER5" s="400" t="str">
        <f t="shared" si="2"/>
        <v>T+140</v>
      </c>
      <c r="ES5" s="400" t="str">
        <f t="shared" si="2"/>
        <v>T+141</v>
      </c>
      <c r="ET5" s="400" t="str">
        <f t="shared" si="2"/>
        <v>T+142</v>
      </c>
      <c r="EU5" s="400" t="str">
        <f t="shared" si="2"/>
        <v>T+143</v>
      </c>
      <c r="EV5" s="400" t="str">
        <f t="shared" si="2"/>
        <v>T+144</v>
      </c>
      <c r="EW5" s="400" t="str">
        <f t="shared" si="2"/>
        <v>T+145</v>
      </c>
      <c r="EX5" s="400" t="str">
        <f t="shared" si="2"/>
        <v>T+146</v>
      </c>
      <c r="EY5" s="400" t="str">
        <f t="shared" si="2"/>
        <v>T+147</v>
      </c>
      <c r="EZ5" s="400" t="str">
        <f t="shared" si="2"/>
        <v>T+148</v>
      </c>
      <c r="FA5" s="400" t="str">
        <f t="shared" si="2"/>
        <v>T+149</v>
      </c>
      <c r="FB5" s="400" t="str">
        <f t="shared" si="2"/>
        <v>T+150</v>
      </c>
      <c r="FC5" s="400" t="str">
        <f t="shared" si="2"/>
        <v>T+151</v>
      </c>
      <c r="FD5" s="400" t="str">
        <f t="shared" si="2"/>
        <v>T+152</v>
      </c>
      <c r="FE5" s="400" t="str">
        <f t="shared" si="2"/>
        <v>T+153</v>
      </c>
      <c r="FF5" s="400" t="str">
        <f t="shared" si="2"/>
        <v>T+154</v>
      </c>
      <c r="FG5" s="400" t="str">
        <f t="shared" si="2"/>
        <v>T+155</v>
      </c>
      <c r="FH5" s="400" t="str">
        <f t="shared" si="2"/>
        <v>T+156</v>
      </c>
      <c r="FI5" s="400" t="str">
        <f t="shared" si="2"/>
        <v>T+157</v>
      </c>
      <c r="FJ5" s="400" t="str">
        <f t="shared" si="2"/>
        <v>T+158</v>
      </c>
      <c r="FK5" s="400" t="str">
        <f t="shared" si="2"/>
        <v>T+159</v>
      </c>
      <c r="FL5" s="400" t="str">
        <f t="shared" si="2"/>
        <v>T+160</v>
      </c>
      <c r="FM5" s="400" t="str">
        <f t="shared" si="2"/>
        <v>T+161</v>
      </c>
      <c r="FN5" s="400" t="str">
        <f t="shared" si="2"/>
        <v>T+162</v>
      </c>
      <c r="FO5" s="400" t="str">
        <f t="shared" si="2"/>
        <v>T+163</v>
      </c>
      <c r="FP5" s="400" t="str">
        <f t="shared" si="2"/>
        <v>T+164</v>
      </c>
      <c r="FQ5" s="400" t="str">
        <f t="shared" si="2"/>
        <v>T+165</v>
      </c>
      <c r="FR5" s="400" t="str">
        <f t="shared" si="2"/>
        <v>T+166</v>
      </c>
      <c r="FS5" s="400" t="str">
        <f t="shared" si="2"/>
        <v>T+167</v>
      </c>
      <c r="FT5" s="400" t="str">
        <f t="shared" si="2"/>
        <v>T+168</v>
      </c>
      <c r="FU5" s="400" t="str">
        <f t="shared" si="2"/>
        <v>T+169</v>
      </c>
      <c r="FV5" s="400" t="str">
        <f t="shared" si="2"/>
        <v>T+170</v>
      </c>
      <c r="FW5" s="400" t="str">
        <f t="shared" si="2"/>
        <v>T+171</v>
      </c>
      <c r="FX5" s="400" t="str">
        <f t="shared" si="2"/>
        <v>T+172</v>
      </c>
      <c r="FY5" s="400" t="str">
        <f t="shared" si="2"/>
        <v>T+173</v>
      </c>
      <c r="FZ5" s="400" t="str">
        <f t="shared" si="2"/>
        <v>T+174</v>
      </c>
      <c r="GA5" s="400" t="str">
        <f t="shared" si="2"/>
        <v>T+175</v>
      </c>
      <c r="GB5" s="400" t="str">
        <f t="shared" si="2"/>
        <v>T+176</v>
      </c>
      <c r="GC5" s="400" t="str">
        <f t="shared" si="2"/>
        <v>T+177</v>
      </c>
      <c r="GD5" s="400" t="str">
        <f t="shared" si="2"/>
        <v>T+178</v>
      </c>
      <c r="GE5" s="400" t="str">
        <f t="shared" si="2"/>
        <v>T+179</v>
      </c>
      <c r="GF5" s="400" t="str">
        <f t="shared" si="2"/>
        <v>T+180</v>
      </c>
      <c r="GG5" s="400" t="str">
        <f t="shared" si="2"/>
        <v>T+181</v>
      </c>
      <c r="GH5" s="400" t="str">
        <f t="shared" si="2"/>
        <v>T+182</v>
      </c>
      <c r="GI5" s="400" t="str">
        <f t="shared" si="2"/>
        <v>T+183</v>
      </c>
      <c r="GJ5" s="400" t="str">
        <f t="shared" si="2"/>
        <v>T+184</v>
      </c>
      <c r="GK5" s="400" t="str">
        <f t="shared" si="2"/>
        <v>T+185</v>
      </c>
      <c r="GL5" s="400" t="str">
        <f t="shared" si="2"/>
        <v>T+186</v>
      </c>
      <c r="GM5" s="400" t="str">
        <f t="shared" si="2"/>
        <v>T+187</v>
      </c>
      <c r="GN5" s="400" t="str">
        <f t="shared" si="2"/>
        <v>T+188</v>
      </c>
      <c r="GO5" s="400" t="str">
        <f t="shared" si="2"/>
        <v>T+189</v>
      </c>
      <c r="GP5" s="400" t="str">
        <f t="shared" si="2"/>
        <v>T+190</v>
      </c>
      <c r="GQ5" s="400" t="str">
        <f t="shared" si="2"/>
        <v>T+191</v>
      </c>
      <c r="GR5" s="400" t="str">
        <f t="shared" si="2"/>
        <v>T+192</v>
      </c>
      <c r="GS5" s="400" t="str">
        <f t="shared" ref="GS5:JD5" si="3">"T+" &amp; (COLUMN(GS5)-COLUMN($H5))</f>
        <v>T+193</v>
      </c>
      <c r="GT5" s="400" t="str">
        <f t="shared" si="3"/>
        <v>T+194</v>
      </c>
      <c r="GU5" s="400" t="str">
        <f t="shared" si="3"/>
        <v>T+195</v>
      </c>
      <c r="GV5" s="400" t="str">
        <f t="shared" si="3"/>
        <v>T+196</v>
      </c>
      <c r="GW5" s="400" t="str">
        <f t="shared" si="3"/>
        <v>T+197</v>
      </c>
      <c r="GX5" s="400" t="str">
        <f t="shared" si="3"/>
        <v>T+198</v>
      </c>
      <c r="GY5" s="400" t="str">
        <f t="shared" si="3"/>
        <v>T+199</v>
      </c>
      <c r="GZ5" s="400" t="str">
        <f t="shared" si="3"/>
        <v>T+200</v>
      </c>
      <c r="HA5" s="400" t="str">
        <f t="shared" si="3"/>
        <v>T+201</v>
      </c>
      <c r="HB5" s="400" t="str">
        <f t="shared" si="3"/>
        <v>T+202</v>
      </c>
      <c r="HC5" s="400" t="str">
        <f t="shared" si="3"/>
        <v>T+203</v>
      </c>
      <c r="HD5" s="400" t="str">
        <f t="shared" si="3"/>
        <v>T+204</v>
      </c>
      <c r="HE5" s="400" t="str">
        <f t="shared" si="3"/>
        <v>T+205</v>
      </c>
      <c r="HF5" s="400" t="str">
        <f t="shared" si="3"/>
        <v>T+206</v>
      </c>
      <c r="HG5" s="400" t="str">
        <f t="shared" si="3"/>
        <v>T+207</v>
      </c>
      <c r="HH5" s="400" t="str">
        <f t="shared" si="3"/>
        <v>T+208</v>
      </c>
      <c r="HI5" s="400" t="str">
        <f t="shared" si="3"/>
        <v>T+209</v>
      </c>
      <c r="HJ5" s="400" t="str">
        <f t="shared" si="3"/>
        <v>T+210</v>
      </c>
      <c r="HK5" s="400" t="str">
        <f t="shared" si="3"/>
        <v>T+211</v>
      </c>
      <c r="HL5" s="400" t="str">
        <f t="shared" si="3"/>
        <v>T+212</v>
      </c>
      <c r="HM5" s="400" t="str">
        <f t="shared" si="3"/>
        <v>T+213</v>
      </c>
      <c r="HN5" s="400" t="str">
        <f t="shared" si="3"/>
        <v>T+214</v>
      </c>
      <c r="HO5" s="400" t="str">
        <f t="shared" si="3"/>
        <v>T+215</v>
      </c>
      <c r="HP5" s="400" t="str">
        <f t="shared" si="3"/>
        <v>T+216</v>
      </c>
      <c r="HQ5" s="400" t="str">
        <f t="shared" si="3"/>
        <v>T+217</v>
      </c>
      <c r="HR5" s="400" t="str">
        <f t="shared" si="3"/>
        <v>T+218</v>
      </c>
      <c r="HS5" s="400" t="str">
        <f t="shared" si="3"/>
        <v>T+219</v>
      </c>
      <c r="HT5" s="400" t="str">
        <f t="shared" si="3"/>
        <v>T+220</v>
      </c>
      <c r="HU5" s="400" t="str">
        <f t="shared" si="3"/>
        <v>T+221</v>
      </c>
      <c r="HV5" s="400" t="str">
        <f t="shared" si="3"/>
        <v>T+222</v>
      </c>
      <c r="HW5" s="400" t="str">
        <f t="shared" si="3"/>
        <v>T+223</v>
      </c>
      <c r="HX5" s="400" t="str">
        <f t="shared" si="3"/>
        <v>T+224</v>
      </c>
      <c r="HY5" s="400" t="str">
        <f t="shared" si="3"/>
        <v>T+225</v>
      </c>
      <c r="HZ5" s="400" t="str">
        <f t="shared" si="3"/>
        <v>T+226</v>
      </c>
      <c r="IA5" s="400" t="str">
        <f t="shared" si="3"/>
        <v>T+227</v>
      </c>
      <c r="IB5" s="400" t="str">
        <f t="shared" si="3"/>
        <v>T+228</v>
      </c>
      <c r="IC5" s="400" t="str">
        <f t="shared" si="3"/>
        <v>T+229</v>
      </c>
      <c r="ID5" s="400" t="str">
        <f t="shared" si="3"/>
        <v>T+230</v>
      </c>
      <c r="IE5" s="400" t="str">
        <f t="shared" si="3"/>
        <v>T+231</v>
      </c>
      <c r="IF5" s="400" t="str">
        <f t="shared" si="3"/>
        <v>T+232</v>
      </c>
      <c r="IG5" s="400" t="str">
        <f t="shared" si="3"/>
        <v>T+233</v>
      </c>
      <c r="IH5" s="400" t="str">
        <f t="shared" si="3"/>
        <v>T+234</v>
      </c>
      <c r="II5" s="400" t="str">
        <f t="shared" si="3"/>
        <v>T+235</v>
      </c>
      <c r="IJ5" s="400" t="str">
        <f t="shared" si="3"/>
        <v>T+236</v>
      </c>
      <c r="IK5" s="400" t="str">
        <f t="shared" si="3"/>
        <v>T+237</v>
      </c>
      <c r="IL5" s="400" t="str">
        <f t="shared" si="3"/>
        <v>T+238</v>
      </c>
      <c r="IM5" s="400" t="str">
        <f t="shared" si="3"/>
        <v>T+239</v>
      </c>
      <c r="IN5" s="400" t="str">
        <f t="shared" si="3"/>
        <v>T+240</v>
      </c>
      <c r="IO5" s="400" t="str">
        <f t="shared" si="3"/>
        <v>T+241</v>
      </c>
      <c r="IP5" s="400" t="str">
        <f t="shared" si="3"/>
        <v>T+242</v>
      </c>
      <c r="IQ5" s="400" t="str">
        <f t="shared" si="3"/>
        <v>T+243</v>
      </c>
      <c r="IR5" s="400" t="str">
        <f t="shared" si="3"/>
        <v>T+244</v>
      </c>
      <c r="IS5" s="400" t="str">
        <f t="shared" si="3"/>
        <v>T+245</v>
      </c>
      <c r="IT5" s="400" t="str">
        <f t="shared" si="3"/>
        <v>T+246</v>
      </c>
      <c r="IU5" s="400" t="str">
        <f t="shared" si="3"/>
        <v>T+247</v>
      </c>
      <c r="IV5" s="400" t="str">
        <f t="shared" si="3"/>
        <v>T+248</v>
      </c>
      <c r="IW5" s="400" t="str">
        <f t="shared" si="3"/>
        <v>T+249</v>
      </c>
      <c r="IX5" s="400" t="str">
        <f t="shared" si="3"/>
        <v>T+250</v>
      </c>
      <c r="IY5" s="400" t="str">
        <f t="shared" si="3"/>
        <v>T+251</v>
      </c>
      <c r="IZ5" s="400" t="str">
        <f t="shared" si="3"/>
        <v>T+252</v>
      </c>
      <c r="JA5" s="400" t="str">
        <f t="shared" si="3"/>
        <v>T+253</v>
      </c>
      <c r="JB5" s="400" t="str">
        <f t="shared" si="3"/>
        <v>T+254</v>
      </c>
      <c r="JC5" s="400" t="str">
        <f t="shared" si="3"/>
        <v>T+255</v>
      </c>
      <c r="JD5" s="400" t="str">
        <f t="shared" si="3"/>
        <v>T+256</v>
      </c>
      <c r="JE5" s="400" t="str">
        <f t="shared" ref="JE5:KB5" si="4">"T+" &amp; (COLUMN(JE5)-COLUMN($H5))</f>
        <v>T+257</v>
      </c>
      <c r="JF5" s="400" t="str">
        <f t="shared" si="4"/>
        <v>T+258</v>
      </c>
      <c r="JG5" s="400" t="str">
        <f t="shared" si="4"/>
        <v>T+259</v>
      </c>
      <c r="JH5" s="400" t="str">
        <f t="shared" si="4"/>
        <v>T+260</v>
      </c>
      <c r="JI5" s="400" t="str">
        <f t="shared" si="4"/>
        <v>T+261</v>
      </c>
      <c r="JJ5" s="400" t="str">
        <f t="shared" si="4"/>
        <v>T+262</v>
      </c>
      <c r="JK5" s="400" t="str">
        <f t="shared" si="4"/>
        <v>T+263</v>
      </c>
      <c r="JL5" s="400" t="str">
        <f t="shared" si="4"/>
        <v>T+264</v>
      </c>
      <c r="JM5" s="400" t="str">
        <f t="shared" si="4"/>
        <v>T+265</v>
      </c>
      <c r="JN5" s="400" t="str">
        <f t="shared" si="4"/>
        <v>T+266</v>
      </c>
      <c r="JO5" s="400" t="str">
        <f t="shared" si="4"/>
        <v>T+267</v>
      </c>
      <c r="JP5" s="400" t="str">
        <f t="shared" si="4"/>
        <v>T+268</v>
      </c>
      <c r="JQ5" s="400" t="str">
        <f t="shared" si="4"/>
        <v>T+269</v>
      </c>
      <c r="JR5" s="400" t="str">
        <f t="shared" si="4"/>
        <v>T+270</v>
      </c>
      <c r="JS5" s="400" t="str">
        <f t="shared" si="4"/>
        <v>T+271</v>
      </c>
      <c r="JT5" s="400" t="str">
        <f t="shared" si="4"/>
        <v>T+272</v>
      </c>
      <c r="JU5" s="400" t="str">
        <f t="shared" si="4"/>
        <v>T+273</v>
      </c>
      <c r="JV5" s="400" t="str">
        <f t="shared" si="4"/>
        <v>T+274</v>
      </c>
      <c r="JW5" s="400" t="str">
        <f t="shared" si="4"/>
        <v>T+275</v>
      </c>
      <c r="JX5" s="400" t="str">
        <f t="shared" si="4"/>
        <v>T+276</v>
      </c>
      <c r="JY5" s="400" t="str">
        <f t="shared" si="4"/>
        <v>T+277</v>
      </c>
      <c r="JZ5" s="400" t="str">
        <f t="shared" si="4"/>
        <v>T+278</v>
      </c>
      <c r="KA5" s="400" t="str">
        <f t="shared" si="4"/>
        <v>T+279</v>
      </c>
      <c r="KB5" s="1585" t="str">
        <f t="shared" si="4"/>
        <v>T+280</v>
      </c>
    </row>
    <row r="6" spans="1:289" ht="15" customHeight="1" x14ac:dyDescent="0.25">
      <c r="B6" s="444" t="s">
        <v>304</v>
      </c>
      <c r="C6" s="401"/>
      <c r="D6" s="401"/>
      <c r="E6" s="401"/>
      <c r="F6" s="401"/>
      <c r="G6" s="401"/>
      <c r="H6" s="445"/>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c r="IT6" s="433"/>
      <c r="IU6" s="433"/>
      <c r="IV6" s="433"/>
      <c r="IW6" s="433"/>
      <c r="IX6" s="433"/>
      <c r="IY6" s="433"/>
      <c r="IZ6" s="433"/>
      <c r="JA6" s="433"/>
      <c r="JB6" s="433"/>
      <c r="JC6" s="433"/>
      <c r="JD6" s="433"/>
      <c r="JE6" s="433"/>
      <c r="JF6" s="433"/>
      <c r="JG6" s="433"/>
      <c r="JH6" s="433"/>
      <c r="JI6" s="433"/>
      <c r="JJ6" s="433"/>
      <c r="JK6" s="433"/>
      <c r="JL6" s="433"/>
      <c r="JM6" s="433"/>
      <c r="JN6" s="433"/>
      <c r="JO6" s="433"/>
      <c r="JP6" s="433"/>
      <c r="JQ6" s="433"/>
      <c r="JR6" s="433"/>
      <c r="JS6" s="433"/>
      <c r="JT6" s="433"/>
      <c r="JU6" s="433"/>
      <c r="JV6" s="433"/>
      <c r="JW6" s="433"/>
      <c r="JX6" s="433"/>
      <c r="JY6" s="433"/>
      <c r="JZ6" s="433"/>
      <c r="KA6" s="433"/>
      <c r="KB6" s="1595"/>
    </row>
    <row r="7" spans="1:289" ht="15" customHeight="1" x14ac:dyDescent="0.25">
      <c r="A7" s="333"/>
      <c r="B7" s="434"/>
      <c r="C7" s="434"/>
      <c r="D7" s="446"/>
      <c r="E7" s="446"/>
      <c r="F7" s="446"/>
      <c r="G7" s="446"/>
      <c r="H7" s="434"/>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22"/>
    </row>
    <row r="8" spans="1:289" ht="45" customHeight="1" x14ac:dyDescent="0.25">
      <c r="A8" s="440" t="s">
        <v>2217</v>
      </c>
      <c r="B8" s="104"/>
      <c r="C8" s="104"/>
      <c r="D8" s="143"/>
      <c r="E8" s="143"/>
      <c r="F8" s="143"/>
      <c r="G8" s="143"/>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5"/>
      <c r="EP8" s="325"/>
      <c r="EQ8" s="325"/>
      <c r="ER8" s="325"/>
      <c r="ES8" s="325"/>
      <c r="ET8" s="325"/>
      <c r="EU8" s="325"/>
      <c r="EV8" s="325"/>
      <c r="EW8" s="325"/>
      <c r="EX8" s="325"/>
      <c r="EY8" s="325"/>
      <c r="EZ8" s="325"/>
      <c r="FA8" s="325"/>
      <c r="FB8" s="325"/>
      <c r="FC8" s="325"/>
      <c r="FD8" s="325"/>
      <c r="FE8" s="325"/>
      <c r="FF8" s="325"/>
      <c r="FG8" s="325"/>
      <c r="FH8" s="325"/>
      <c r="FI8" s="325"/>
      <c r="FJ8" s="325"/>
      <c r="FK8" s="325"/>
      <c r="FL8" s="325"/>
      <c r="FM8" s="325"/>
      <c r="FN8" s="325"/>
      <c r="FO8" s="325"/>
      <c r="FP8" s="325"/>
      <c r="FQ8" s="325"/>
      <c r="FR8" s="325"/>
      <c r="FS8" s="325"/>
      <c r="FT8" s="325"/>
      <c r="FU8" s="325"/>
      <c r="FV8" s="325"/>
      <c r="FW8" s="325"/>
      <c r="FX8" s="325"/>
      <c r="FY8" s="325"/>
      <c r="FZ8" s="325"/>
      <c r="GA8" s="325"/>
      <c r="GB8" s="325"/>
      <c r="GC8" s="325"/>
      <c r="GD8" s="325"/>
      <c r="GE8" s="325"/>
      <c r="GF8" s="325"/>
      <c r="GG8" s="325"/>
      <c r="GH8" s="325"/>
      <c r="GI8" s="325"/>
      <c r="GJ8" s="325"/>
      <c r="GK8" s="325"/>
      <c r="GL8" s="325"/>
      <c r="GM8" s="325"/>
      <c r="GN8" s="325"/>
      <c r="GO8" s="325"/>
      <c r="GP8" s="325"/>
      <c r="GQ8" s="325"/>
      <c r="GR8" s="325"/>
      <c r="GS8" s="325"/>
      <c r="GT8" s="325"/>
      <c r="GU8" s="325"/>
      <c r="GV8" s="325"/>
      <c r="GW8" s="325"/>
      <c r="GX8" s="325"/>
      <c r="GY8" s="325"/>
      <c r="GZ8" s="325"/>
      <c r="HA8" s="325"/>
      <c r="HB8" s="325"/>
      <c r="HC8" s="325"/>
      <c r="HD8" s="325"/>
      <c r="HE8" s="325"/>
      <c r="HF8" s="325"/>
      <c r="HG8" s="325"/>
      <c r="HH8" s="325"/>
      <c r="HI8" s="325"/>
      <c r="HJ8" s="325"/>
      <c r="HK8" s="325"/>
      <c r="HL8" s="325"/>
      <c r="HM8" s="325"/>
      <c r="HN8" s="325"/>
      <c r="HO8" s="325"/>
      <c r="HP8" s="325"/>
      <c r="HQ8" s="325"/>
      <c r="HR8" s="325"/>
      <c r="HS8" s="325"/>
      <c r="HT8" s="325"/>
      <c r="HU8" s="325"/>
      <c r="HV8" s="325"/>
      <c r="HW8" s="325"/>
      <c r="HX8" s="325"/>
      <c r="HY8" s="325"/>
      <c r="HZ8" s="325"/>
      <c r="IA8" s="325"/>
      <c r="IB8" s="325"/>
      <c r="IC8" s="325"/>
      <c r="ID8" s="325"/>
      <c r="IE8" s="325"/>
      <c r="IF8" s="325"/>
      <c r="IG8" s="325"/>
      <c r="IH8" s="325"/>
      <c r="II8" s="325"/>
      <c r="IJ8" s="325"/>
      <c r="IK8" s="325"/>
      <c r="IL8" s="325"/>
      <c r="IM8" s="325"/>
      <c r="IN8" s="325"/>
      <c r="IO8" s="325"/>
      <c r="IP8" s="325"/>
      <c r="IQ8" s="325"/>
      <c r="IR8" s="325"/>
      <c r="IS8" s="325"/>
      <c r="IT8" s="325"/>
      <c r="IU8" s="325"/>
      <c r="IV8" s="325"/>
      <c r="IW8" s="325"/>
      <c r="IX8" s="325"/>
      <c r="IY8" s="325"/>
      <c r="IZ8" s="325"/>
      <c r="JA8" s="325"/>
      <c r="JB8" s="325"/>
      <c r="JC8" s="325"/>
      <c r="JD8" s="325"/>
      <c r="JE8" s="325"/>
      <c r="JF8" s="325"/>
      <c r="JG8" s="325"/>
      <c r="JH8" s="325"/>
      <c r="JI8" s="325"/>
      <c r="JJ8" s="325"/>
      <c r="JK8" s="325"/>
      <c r="JL8" s="325"/>
      <c r="JM8" s="325"/>
      <c r="JN8" s="325"/>
      <c r="JO8" s="325"/>
      <c r="JP8" s="325"/>
      <c r="JQ8" s="325"/>
      <c r="JR8" s="325"/>
      <c r="JS8" s="325"/>
      <c r="JT8" s="325"/>
      <c r="JU8" s="325"/>
      <c r="JV8" s="325"/>
      <c r="JW8" s="325"/>
      <c r="JX8" s="325"/>
      <c r="JY8" s="325"/>
      <c r="JZ8" s="325"/>
      <c r="KA8" s="325"/>
      <c r="KB8" s="325"/>
      <c r="KC8" s="441"/>
    </row>
    <row r="9" spans="1:289" ht="45" customHeight="1" x14ac:dyDescent="0.25">
      <c r="A9" s="440" t="s">
        <v>2218</v>
      </c>
      <c r="B9" s="104"/>
      <c r="C9" s="104"/>
      <c r="D9" s="143"/>
      <c r="E9" s="143"/>
      <c r="F9" s="143"/>
      <c r="G9" s="143"/>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c r="DH9" s="325"/>
      <c r="DI9" s="325"/>
      <c r="DJ9" s="325"/>
      <c r="DK9" s="325"/>
      <c r="DL9" s="325"/>
      <c r="DM9" s="325"/>
      <c r="DN9" s="325"/>
      <c r="DO9" s="325"/>
      <c r="DP9" s="325"/>
      <c r="DQ9" s="325"/>
      <c r="DR9" s="325"/>
      <c r="DS9" s="325"/>
      <c r="DT9" s="325"/>
      <c r="DU9" s="325"/>
      <c r="DV9" s="325"/>
      <c r="DW9" s="325"/>
      <c r="DX9" s="325"/>
      <c r="DY9" s="325"/>
      <c r="DZ9" s="325"/>
      <c r="EA9" s="325"/>
      <c r="EB9" s="325"/>
      <c r="EC9" s="325"/>
      <c r="ED9" s="325"/>
      <c r="EE9" s="325"/>
      <c r="EF9" s="325"/>
      <c r="EG9" s="325"/>
      <c r="EH9" s="325"/>
      <c r="EI9" s="325"/>
      <c r="EJ9" s="325"/>
      <c r="EK9" s="325"/>
      <c r="EL9" s="325"/>
      <c r="EM9" s="325"/>
      <c r="EN9" s="325"/>
      <c r="EO9" s="325"/>
      <c r="EP9" s="325"/>
      <c r="EQ9" s="325"/>
      <c r="ER9" s="325"/>
      <c r="ES9" s="325"/>
      <c r="ET9" s="325"/>
      <c r="EU9" s="325"/>
      <c r="EV9" s="325"/>
      <c r="EW9" s="325"/>
      <c r="EX9" s="325"/>
      <c r="EY9" s="325"/>
      <c r="EZ9" s="325"/>
      <c r="FA9" s="325"/>
      <c r="FB9" s="325"/>
      <c r="FC9" s="325"/>
      <c r="FD9" s="325"/>
      <c r="FE9" s="325"/>
      <c r="FF9" s="325"/>
      <c r="FG9" s="325"/>
      <c r="FH9" s="325"/>
      <c r="FI9" s="325"/>
      <c r="FJ9" s="325"/>
      <c r="FK9" s="325"/>
      <c r="FL9" s="325"/>
      <c r="FM9" s="325"/>
      <c r="FN9" s="325"/>
      <c r="FO9" s="325"/>
      <c r="FP9" s="325"/>
      <c r="FQ9" s="325"/>
      <c r="FR9" s="325"/>
      <c r="FS9" s="325"/>
      <c r="FT9" s="325"/>
      <c r="FU9" s="325"/>
      <c r="FV9" s="325"/>
      <c r="FW9" s="325"/>
      <c r="FX9" s="325"/>
      <c r="FY9" s="325"/>
      <c r="FZ9" s="325"/>
      <c r="GA9" s="325"/>
      <c r="GB9" s="325"/>
      <c r="GC9" s="325"/>
      <c r="GD9" s="325"/>
      <c r="GE9" s="325"/>
      <c r="GF9" s="325"/>
      <c r="GG9" s="325"/>
      <c r="GH9" s="325"/>
      <c r="GI9" s="325"/>
      <c r="GJ9" s="325"/>
      <c r="GK9" s="325"/>
      <c r="GL9" s="325"/>
      <c r="GM9" s="325"/>
      <c r="GN9" s="325"/>
      <c r="GO9" s="325"/>
      <c r="GP9" s="325"/>
      <c r="GQ9" s="325"/>
      <c r="GR9" s="325"/>
      <c r="GS9" s="325"/>
      <c r="GT9" s="325"/>
      <c r="GU9" s="325"/>
      <c r="GV9" s="325"/>
      <c r="GW9" s="325"/>
      <c r="GX9" s="325"/>
      <c r="GY9" s="325"/>
      <c r="GZ9" s="325"/>
      <c r="HA9" s="325"/>
      <c r="HB9" s="325"/>
      <c r="HC9" s="325"/>
      <c r="HD9" s="325"/>
      <c r="HE9" s="325"/>
      <c r="HF9" s="325"/>
      <c r="HG9" s="325"/>
      <c r="HH9" s="325"/>
      <c r="HI9" s="325"/>
      <c r="HJ9" s="325"/>
      <c r="HK9" s="325"/>
      <c r="HL9" s="325"/>
      <c r="HM9" s="325"/>
      <c r="HN9" s="325"/>
      <c r="HO9" s="325"/>
      <c r="HP9" s="325"/>
      <c r="HQ9" s="325"/>
      <c r="HR9" s="325"/>
      <c r="HS9" s="325"/>
      <c r="HT9" s="325"/>
      <c r="HU9" s="325"/>
      <c r="HV9" s="325"/>
      <c r="HW9" s="325"/>
      <c r="HX9" s="325"/>
      <c r="HY9" s="325"/>
      <c r="HZ9" s="325"/>
      <c r="IA9" s="325"/>
      <c r="IB9" s="325"/>
      <c r="IC9" s="325"/>
      <c r="ID9" s="325"/>
      <c r="IE9" s="325"/>
      <c r="IF9" s="325"/>
      <c r="IG9" s="325"/>
      <c r="IH9" s="325"/>
      <c r="II9" s="325"/>
      <c r="IJ9" s="325"/>
      <c r="IK9" s="325"/>
      <c r="IL9" s="325"/>
      <c r="IM9" s="325"/>
      <c r="IN9" s="325"/>
      <c r="IO9" s="325"/>
      <c r="IP9" s="325"/>
      <c r="IQ9" s="325"/>
      <c r="IR9" s="325"/>
      <c r="IS9" s="325"/>
      <c r="IT9" s="325"/>
      <c r="IU9" s="325"/>
      <c r="IV9" s="325"/>
      <c r="IW9" s="325"/>
      <c r="IX9" s="325"/>
      <c r="IY9" s="325"/>
      <c r="IZ9" s="325"/>
      <c r="JA9" s="325"/>
      <c r="JB9" s="325"/>
      <c r="JC9" s="325"/>
      <c r="JD9" s="325"/>
      <c r="JE9" s="325"/>
      <c r="JF9" s="325"/>
      <c r="JG9" s="325"/>
      <c r="JH9" s="325"/>
      <c r="JI9" s="325"/>
      <c r="JJ9" s="325"/>
      <c r="JK9" s="325"/>
      <c r="JL9" s="325"/>
      <c r="JM9" s="325"/>
      <c r="JN9" s="325"/>
      <c r="JO9" s="325"/>
      <c r="JP9" s="325"/>
      <c r="JQ9" s="325"/>
      <c r="JR9" s="325"/>
      <c r="JS9" s="325"/>
      <c r="JT9" s="325"/>
      <c r="JU9" s="325"/>
      <c r="JV9" s="325"/>
      <c r="JW9" s="325"/>
      <c r="JX9" s="325"/>
      <c r="JY9" s="325"/>
      <c r="JZ9" s="325"/>
      <c r="KA9" s="325"/>
      <c r="KB9" s="325"/>
      <c r="KC9" s="441"/>
    </row>
    <row r="10" spans="1:289" ht="60" customHeight="1" x14ac:dyDescent="0.25">
      <c r="B10" s="442" t="s">
        <v>305</v>
      </c>
      <c r="C10" s="400" t="s">
        <v>454</v>
      </c>
      <c r="D10" s="443" t="s">
        <v>432</v>
      </c>
      <c r="E10" s="400" t="s">
        <v>433</v>
      </c>
      <c r="F10" s="2018" t="s">
        <v>1192</v>
      </c>
      <c r="G10" s="2018" t="s">
        <v>1526</v>
      </c>
      <c r="H10" s="400" t="s">
        <v>303</v>
      </c>
      <c r="I10" s="400" t="str">
        <f t="shared" ref="I10:BT10" si="5">"T+" &amp; (COLUMN(I10)-COLUMN($H10))</f>
        <v>T+1</v>
      </c>
      <c r="J10" s="400" t="str">
        <f t="shared" si="5"/>
        <v>T+2</v>
      </c>
      <c r="K10" s="400" t="str">
        <f t="shared" si="5"/>
        <v>T+3</v>
      </c>
      <c r="L10" s="400" t="str">
        <f t="shared" si="5"/>
        <v>T+4</v>
      </c>
      <c r="M10" s="400" t="str">
        <f t="shared" si="5"/>
        <v>T+5</v>
      </c>
      <c r="N10" s="400" t="str">
        <f t="shared" si="5"/>
        <v>T+6</v>
      </c>
      <c r="O10" s="400" t="str">
        <f t="shared" si="5"/>
        <v>T+7</v>
      </c>
      <c r="P10" s="400" t="str">
        <f t="shared" si="5"/>
        <v>T+8</v>
      </c>
      <c r="Q10" s="400" t="str">
        <f t="shared" si="5"/>
        <v>T+9</v>
      </c>
      <c r="R10" s="400" t="str">
        <f t="shared" si="5"/>
        <v>T+10</v>
      </c>
      <c r="S10" s="400" t="str">
        <f t="shared" si="5"/>
        <v>T+11</v>
      </c>
      <c r="T10" s="400" t="str">
        <f t="shared" si="5"/>
        <v>T+12</v>
      </c>
      <c r="U10" s="400" t="str">
        <f t="shared" si="5"/>
        <v>T+13</v>
      </c>
      <c r="V10" s="400" t="str">
        <f t="shared" si="5"/>
        <v>T+14</v>
      </c>
      <c r="W10" s="400" t="str">
        <f t="shared" si="5"/>
        <v>T+15</v>
      </c>
      <c r="X10" s="400" t="str">
        <f t="shared" si="5"/>
        <v>T+16</v>
      </c>
      <c r="Y10" s="400" t="str">
        <f t="shared" si="5"/>
        <v>T+17</v>
      </c>
      <c r="Z10" s="400" t="str">
        <f t="shared" si="5"/>
        <v>T+18</v>
      </c>
      <c r="AA10" s="400" t="str">
        <f t="shared" si="5"/>
        <v>T+19</v>
      </c>
      <c r="AB10" s="400" t="str">
        <f t="shared" si="5"/>
        <v>T+20</v>
      </c>
      <c r="AC10" s="400" t="str">
        <f t="shared" si="5"/>
        <v>T+21</v>
      </c>
      <c r="AD10" s="400" t="str">
        <f t="shared" si="5"/>
        <v>T+22</v>
      </c>
      <c r="AE10" s="400" t="str">
        <f t="shared" si="5"/>
        <v>T+23</v>
      </c>
      <c r="AF10" s="400" t="str">
        <f t="shared" si="5"/>
        <v>T+24</v>
      </c>
      <c r="AG10" s="400" t="str">
        <f t="shared" si="5"/>
        <v>T+25</v>
      </c>
      <c r="AH10" s="400" t="str">
        <f t="shared" si="5"/>
        <v>T+26</v>
      </c>
      <c r="AI10" s="400" t="str">
        <f t="shared" si="5"/>
        <v>T+27</v>
      </c>
      <c r="AJ10" s="400" t="str">
        <f t="shared" si="5"/>
        <v>T+28</v>
      </c>
      <c r="AK10" s="400" t="str">
        <f t="shared" si="5"/>
        <v>T+29</v>
      </c>
      <c r="AL10" s="400" t="str">
        <f t="shared" si="5"/>
        <v>T+30</v>
      </c>
      <c r="AM10" s="400" t="str">
        <f t="shared" si="5"/>
        <v>T+31</v>
      </c>
      <c r="AN10" s="400" t="str">
        <f t="shared" si="5"/>
        <v>T+32</v>
      </c>
      <c r="AO10" s="400" t="str">
        <f t="shared" si="5"/>
        <v>T+33</v>
      </c>
      <c r="AP10" s="400" t="str">
        <f t="shared" si="5"/>
        <v>T+34</v>
      </c>
      <c r="AQ10" s="400" t="str">
        <f t="shared" si="5"/>
        <v>T+35</v>
      </c>
      <c r="AR10" s="400" t="str">
        <f t="shared" si="5"/>
        <v>T+36</v>
      </c>
      <c r="AS10" s="400" t="str">
        <f t="shared" si="5"/>
        <v>T+37</v>
      </c>
      <c r="AT10" s="400" t="str">
        <f t="shared" si="5"/>
        <v>T+38</v>
      </c>
      <c r="AU10" s="400" t="str">
        <f t="shared" si="5"/>
        <v>T+39</v>
      </c>
      <c r="AV10" s="400" t="str">
        <f t="shared" si="5"/>
        <v>T+40</v>
      </c>
      <c r="AW10" s="400" t="str">
        <f t="shared" si="5"/>
        <v>T+41</v>
      </c>
      <c r="AX10" s="400" t="str">
        <f t="shared" si="5"/>
        <v>T+42</v>
      </c>
      <c r="AY10" s="400" t="str">
        <f t="shared" si="5"/>
        <v>T+43</v>
      </c>
      <c r="AZ10" s="400" t="str">
        <f t="shared" si="5"/>
        <v>T+44</v>
      </c>
      <c r="BA10" s="400" t="str">
        <f t="shared" si="5"/>
        <v>T+45</v>
      </c>
      <c r="BB10" s="400" t="str">
        <f t="shared" si="5"/>
        <v>T+46</v>
      </c>
      <c r="BC10" s="400" t="str">
        <f t="shared" si="5"/>
        <v>T+47</v>
      </c>
      <c r="BD10" s="400" t="str">
        <f t="shared" si="5"/>
        <v>T+48</v>
      </c>
      <c r="BE10" s="400" t="str">
        <f t="shared" si="5"/>
        <v>T+49</v>
      </c>
      <c r="BF10" s="400" t="str">
        <f t="shared" si="5"/>
        <v>T+50</v>
      </c>
      <c r="BG10" s="400" t="str">
        <f t="shared" si="5"/>
        <v>T+51</v>
      </c>
      <c r="BH10" s="400" t="str">
        <f t="shared" si="5"/>
        <v>T+52</v>
      </c>
      <c r="BI10" s="400" t="str">
        <f t="shared" si="5"/>
        <v>T+53</v>
      </c>
      <c r="BJ10" s="400" t="str">
        <f t="shared" si="5"/>
        <v>T+54</v>
      </c>
      <c r="BK10" s="400" t="str">
        <f t="shared" si="5"/>
        <v>T+55</v>
      </c>
      <c r="BL10" s="400" t="str">
        <f t="shared" si="5"/>
        <v>T+56</v>
      </c>
      <c r="BM10" s="400" t="str">
        <f t="shared" si="5"/>
        <v>T+57</v>
      </c>
      <c r="BN10" s="400" t="str">
        <f t="shared" si="5"/>
        <v>T+58</v>
      </c>
      <c r="BO10" s="400" t="str">
        <f t="shared" si="5"/>
        <v>T+59</v>
      </c>
      <c r="BP10" s="400" t="str">
        <f t="shared" si="5"/>
        <v>T+60</v>
      </c>
      <c r="BQ10" s="400" t="str">
        <f t="shared" si="5"/>
        <v>T+61</v>
      </c>
      <c r="BR10" s="400" t="str">
        <f t="shared" si="5"/>
        <v>T+62</v>
      </c>
      <c r="BS10" s="400" t="str">
        <f t="shared" si="5"/>
        <v>T+63</v>
      </c>
      <c r="BT10" s="400" t="str">
        <f t="shared" si="5"/>
        <v>T+64</v>
      </c>
      <c r="BU10" s="400" t="str">
        <f t="shared" ref="BU10:EF10" si="6">"T+" &amp; (COLUMN(BU10)-COLUMN($H10))</f>
        <v>T+65</v>
      </c>
      <c r="BV10" s="400" t="str">
        <f t="shared" si="6"/>
        <v>T+66</v>
      </c>
      <c r="BW10" s="400" t="str">
        <f t="shared" si="6"/>
        <v>T+67</v>
      </c>
      <c r="BX10" s="400" t="str">
        <f t="shared" si="6"/>
        <v>T+68</v>
      </c>
      <c r="BY10" s="400" t="str">
        <f t="shared" si="6"/>
        <v>T+69</v>
      </c>
      <c r="BZ10" s="400" t="str">
        <f t="shared" si="6"/>
        <v>T+70</v>
      </c>
      <c r="CA10" s="400" t="str">
        <f t="shared" si="6"/>
        <v>T+71</v>
      </c>
      <c r="CB10" s="400" t="str">
        <f t="shared" si="6"/>
        <v>T+72</v>
      </c>
      <c r="CC10" s="400" t="str">
        <f t="shared" si="6"/>
        <v>T+73</v>
      </c>
      <c r="CD10" s="400" t="str">
        <f t="shared" si="6"/>
        <v>T+74</v>
      </c>
      <c r="CE10" s="400" t="str">
        <f t="shared" si="6"/>
        <v>T+75</v>
      </c>
      <c r="CF10" s="400" t="str">
        <f t="shared" si="6"/>
        <v>T+76</v>
      </c>
      <c r="CG10" s="400" t="str">
        <f t="shared" si="6"/>
        <v>T+77</v>
      </c>
      <c r="CH10" s="400" t="str">
        <f t="shared" si="6"/>
        <v>T+78</v>
      </c>
      <c r="CI10" s="400" t="str">
        <f t="shared" si="6"/>
        <v>T+79</v>
      </c>
      <c r="CJ10" s="400" t="str">
        <f t="shared" si="6"/>
        <v>T+80</v>
      </c>
      <c r="CK10" s="400" t="str">
        <f t="shared" si="6"/>
        <v>T+81</v>
      </c>
      <c r="CL10" s="400" t="str">
        <f t="shared" si="6"/>
        <v>T+82</v>
      </c>
      <c r="CM10" s="400" t="str">
        <f t="shared" si="6"/>
        <v>T+83</v>
      </c>
      <c r="CN10" s="400" t="str">
        <f t="shared" si="6"/>
        <v>T+84</v>
      </c>
      <c r="CO10" s="400" t="str">
        <f t="shared" si="6"/>
        <v>T+85</v>
      </c>
      <c r="CP10" s="400" t="str">
        <f t="shared" si="6"/>
        <v>T+86</v>
      </c>
      <c r="CQ10" s="400" t="str">
        <f t="shared" si="6"/>
        <v>T+87</v>
      </c>
      <c r="CR10" s="400" t="str">
        <f t="shared" si="6"/>
        <v>T+88</v>
      </c>
      <c r="CS10" s="400" t="str">
        <f t="shared" si="6"/>
        <v>T+89</v>
      </c>
      <c r="CT10" s="400" t="str">
        <f t="shared" si="6"/>
        <v>T+90</v>
      </c>
      <c r="CU10" s="400" t="str">
        <f t="shared" si="6"/>
        <v>T+91</v>
      </c>
      <c r="CV10" s="400" t="str">
        <f t="shared" si="6"/>
        <v>T+92</v>
      </c>
      <c r="CW10" s="400" t="str">
        <f t="shared" si="6"/>
        <v>T+93</v>
      </c>
      <c r="CX10" s="400" t="str">
        <f t="shared" si="6"/>
        <v>T+94</v>
      </c>
      <c r="CY10" s="400" t="str">
        <f t="shared" si="6"/>
        <v>T+95</v>
      </c>
      <c r="CZ10" s="400" t="str">
        <f t="shared" si="6"/>
        <v>T+96</v>
      </c>
      <c r="DA10" s="400" t="str">
        <f t="shared" si="6"/>
        <v>T+97</v>
      </c>
      <c r="DB10" s="400" t="str">
        <f t="shared" si="6"/>
        <v>T+98</v>
      </c>
      <c r="DC10" s="400" t="str">
        <f t="shared" si="6"/>
        <v>T+99</v>
      </c>
      <c r="DD10" s="400" t="str">
        <f t="shared" si="6"/>
        <v>T+100</v>
      </c>
      <c r="DE10" s="400" t="str">
        <f t="shared" si="6"/>
        <v>T+101</v>
      </c>
      <c r="DF10" s="400" t="str">
        <f t="shared" si="6"/>
        <v>T+102</v>
      </c>
      <c r="DG10" s="400" t="str">
        <f t="shared" si="6"/>
        <v>T+103</v>
      </c>
      <c r="DH10" s="400" t="str">
        <f t="shared" si="6"/>
        <v>T+104</v>
      </c>
      <c r="DI10" s="400" t="str">
        <f t="shared" si="6"/>
        <v>T+105</v>
      </c>
      <c r="DJ10" s="400" t="str">
        <f t="shared" si="6"/>
        <v>T+106</v>
      </c>
      <c r="DK10" s="400" t="str">
        <f t="shared" si="6"/>
        <v>T+107</v>
      </c>
      <c r="DL10" s="400" t="str">
        <f t="shared" si="6"/>
        <v>T+108</v>
      </c>
      <c r="DM10" s="400" t="str">
        <f t="shared" si="6"/>
        <v>T+109</v>
      </c>
      <c r="DN10" s="400" t="str">
        <f t="shared" si="6"/>
        <v>T+110</v>
      </c>
      <c r="DO10" s="400" t="str">
        <f t="shared" si="6"/>
        <v>T+111</v>
      </c>
      <c r="DP10" s="400" t="str">
        <f t="shared" si="6"/>
        <v>T+112</v>
      </c>
      <c r="DQ10" s="400" t="str">
        <f t="shared" si="6"/>
        <v>T+113</v>
      </c>
      <c r="DR10" s="400" t="str">
        <f t="shared" si="6"/>
        <v>T+114</v>
      </c>
      <c r="DS10" s="400" t="str">
        <f t="shared" si="6"/>
        <v>T+115</v>
      </c>
      <c r="DT10" s="400" t="str">
        <f t="shared" si="6"/>
        <v>T+116</v>
      </c>
      <c r="DU10" s="400" t="str">
        <f t="shared" si="6"/>
        <v>T+117</v>
      </c>
      <c r="DV10" s="400" t="str">
        <f t="shared" si="6"/>
        <v>T+118</v>
      </c>
      <c r="DW10" s="400" t="str">
        <f t="shared" si="6"/>
        <v>T+119</v>
      </c>
      <c r="DX10" s="400" t="str">
        <f t="shared" si="6"/>
        <v>T+120</v>
      </c>
      <c r="DY10" s="400" t="str">
        <f t="shared" si="6"/>
        <v>T+121</v>
      </c>
      <c r="DZ10" s="400" t="str">
        <f t="shared" si="6"/>
        <v>T+122</v>
      </c>
      <c r="EA10" s="400" t="str">
        <f t="shared" si="6"/>
        <v>T+123</v>
      </c>
      <c r="EB10" s="400" t="str">
        <f t="shared" si="6"/>
        <v>T+124</v>
      </c>
      <c r="EC10" s="400" t="str">
        <f t="shared" si="6"/>
        <v>T+125</v>
      </c>
      <c r="ED10" s="400" t="str">
        <f t="shared" si="6"/>
        <v>T+126</v>
      </c>
      <c r="EE10" s="400" t="str">
        <f t="shared" si="6"/>
        <v>T+127</v>
      </c>
      <c r="EF10" s="400" t="str">
        <f t="shared" si="6"/>
        <v>T+128</v>
      </c>
      <c r="EG10" s="400" t="str">
        <f t="shared" ref="EG10:GR10" si="7">"T+" &amp; (COLUMN(EG10)-COLUMN($H10))</f>
        <v>T+129</v>
      </c>
      <c r="EH10" s="400" t="str">
        <f t="shared" si="7"/>
        <v>T+130</v>
      </c>
      <c r="EI10" s="400" t="str">
        <f t="shared" si="7"/>
        <v>T+131</v>
      </c>
      <c r="EJ10" s="400" t="str">
        <f t="shared" si="7"/>
        <v>T+132</v>
      </c>
      <c r="EK10" s="400" t="str">
        <f t="shared" si="7"/>
        <v>T+133</v>
      </c>
      <c r="EL10" s="400" t="str">
        <f t="shared" si="7"/>
        <v>T+134</v>
      </c>
      <c r="EM10" s="400" t="str">
        <f t="shared" si="7"/>
        <v>T+135</v>
      </c>
      <c r="EN10" s="400" t="str">
        <f t="shared" si="7"/>
        <v>T+136</v>
      </c>
      <c r="EO10" s="400" t="str">
        <f t="shared" si="7"/>
        <v>T+137</v>
      </c>
      <c r="EP10" s="400" t="str">
        <f t="shared" si="7"/>
        <v>T+138</v>
      </c>
      <c r="EQ10" s="400" t="str">
        <f t="shared" si="7"/>
        <v>T+139</v>
      </c>
      <c r="ER10" s="400" t="str">
        <f t="shared" si="7"/>
        <v>T+140</v>
      </c>
      <c r="ES10" s="400" t="str">
        <f t="shared" si="7"/>
        <v>T+141</v>
      </c>
      <c r="ET10" s="400" t="str">
        <f t="shared" si="7"/>
        <v>T+142</v>
      </c>
      <c r="EU10" s="400" t="str">
        <f t="shared" si="7"/>
        <v>T+143</v>
      </c>
      <c r="EV10" s="400" t="str">
        <f t="shared" si="7"/>
        <v>T+144</v>
      </c>
      <c r="EW10" s="400" t="str">
        <f t="shared" si="7"/>
        <v>T+145</v>
      </c>
      <c r="EX10" s="400" t="str">
        <f t="shared" si="7"/>
        <v>T+146</v>
      </c>
      <c r="EY10" s="400" t="str">
        <f t="shared" si="7"/>
        <v>T+147</v>
      </c>
      <c r="EZ10" s="400" t="str">
        <f t="shared" si="7"/>
        <v>T+148</v>
      </c>
      <c r="FA10" s="400" t="str">
        <f t="shared" si="7"/>
        <v>T+149</v>
      </c>
      <c r="FB10" s="400" t="str">
        <f t="shared" si="7"/>
        <v>T+150</v>
      </c>
      <c r="FC10" s="400" t="str">
        <f t="shared" si="7"/>
        <v>T+151</v>
      </c>
      <c r="FD10" s="400" t="str">
        <f t="shared" si="7"/>
        <v>T+152</v>
      </c>
      <c r="FE10" s="400" t="str">
        <f t="shared" si="7"/>
        <v>T+153</v>
      </c>
      <c r="FF10" s="400" t="str">
        <f t="shared" si="7"/>
        <v>T+154</v>
      </c>
      <c r="FG10" s="400" t="str">
        <f t="shared" si="7"/>
        <v>T+155</v>
      </c>
      <c r="FH10" s="400" t="str">
        <f t="shared" si="7"/>
        <v>T+156</v>
      </c>
      <c r="FI10" s="400" t="str">
        <f t="shared" si="7"/>
        <v>T+157</v>
      </c>
      <c r="FJ10" s="400" t="str">
        <f t="shared" si="7"/>
        <v>T+158</v>
      </c>
      <c r="FK10" s="400" t="str">
        <f t="shared" si="7"/>
        <v>T+159</v>
      </c>
      <c r="FL10" s="400" t="str">
        <f t="shared" si="7"/>
        <v>T+160</v>
      </c>
      <c r="FM10" s="400" t="str">
        <f t="shared" si="7"/>
        <v>T+161</v>
      </c>
      <c r="FN10" s="400" t="str">
        <f t="shared" si="7"/>
        <v>T+162</v>
      </c>
      <c r="FO10" s="400" t="str">
        <f t="shared" si="7"/>
        <v>T+163</v>
      </c>
      <c r="FP10" s="400" t="str">
        <f t="shared" si="7"/>
        <v>T+164</v>
      </c>
      <c r="FQ10" s="400" t="str">
        <f t="shared" si="7"/>
        <v>T+165</v>
      </c>
      <c r="FR10" s="400" t="str">
        <f t="shared" si="7"/>
        <v>T+166</v>
      </c>
      <c r="FS10" s="400" t="str">
        <f t="shared" si="7"/>
        <v>T+167</v>
      </c>
      <c r="FT10" s="400" t="str">
        <f t="shared" si="7"/>
        <v>T+168</v>
      </c>
      <c r="FU10" s="400" t="str">
        <f t="shared" si="7"/>
        <v>T+169</v>
      </c>
      <c r="FV10" s="400" t="str">
        <f t="shared" si="7"/>
        <v>T+170</v>
      </c>
      <c r="FW10" s="400" t="str">
        <f t="shared" si="7"/>
        <v>T+171</v>
      </c>
      <c r="FX10" s="400" t="str">
        <f t="shared" si="7"/>
        <v>T+172</v>
      </c>
      <c r="FY10" s="400" t="str">
        <f t="shared" si="7"/>
        <v>T+173</v>
      </c>
      <c r="FZ10" s="400" t="str">
        <f t="shared" si="7"/>
        <v>T+174</v>
      </c>
      <c r="GA10" s="400" t="str">
        <f t="shared" si="7"/>
        <v>T+175</v>
      </c>
      <c r="GB10" s="400" t="str">
        <f t="shared" si="7"/>
        <v>T+176</v>
      </c>
      <c r="GC10" s="400" t="str">
        <f t="shared" si="7"/>
        <v>T+177</v>
      </c>
      <c r="GD10" s="400" t="str">
        <f t="shared" si="7"/>
        <v>T+178</v>
      </c>
      <c r="GE10" s="400" t="str">
        <f t="shared" si="7"/>
        <v>T+179</v>
      </c>
      <c r="GF10" s="400" t="str">
        <f t="shared" si="7"/>
        <v>T+180</v>
      </c>
      <c r="GG10" s="400" t="str">
        <f t="shared" si="7"/>
        <v>T+181</v>
      </c>
      <c r="GH10" s="400" t="str">
        <f t="shared" si="7"/>
        <v>T+182</v>
      </c>
      <c r="GI10" s="400" t="str">
        <f t="shared" si="7"/>
        <v>T+183</v>
      </c>
      <c r="GJ10" s="400" t="str">
        <f t="shared" si="7"/>
        <v>T+184</v>
      </c>
      <c r="GK10" s="400" t="str">
        <f t="shared" si="7"/>
        <v>T+185</v>
      </c>
      <c r="GL10" s="400" t="str">
        <f t="shared" si="7"/>
        <v>T+186</v>
      </c>
      <c r="GM10" s="400" t="str">
        <f t="shared" si="7"/>
        <v>T+187</v>
      </c>
      <c r="GN10" s="400" t="str">
        <f t="shared" si="7"/>
        <v>T+188</v>
      </c>
      <c r="GO10" s="400" t="str">
        <f t="shared" si="7"/>
        <v>T+189</v>
      </c>
      <c r="GP10" s="400" t="str">
        <f t="shared" si="7"/>
        <v>T+190</v>
      </c>
      <c r="GQ10" s="400" t="str">
        <f t="shared" si="7"/>
        <v>T+191</v>
      </c>
      <c r="GR10" s="400" t="str">
        <f t="shared" si="7"/>
        <v>T+192</v>
      </c>
      <c r="GS10" s="400" t="str">
        <f t="shared" ref="GS10:JD10" si="8">"T+" &amp; (COLUMN(GS10)-COLUMN($H10))</f>
        <v>T+193</v>
      </c>
      <c r="GT10" s="400" t="str">
        <f t="shared" si="8"/>
        <v>T+194</v>
      </c>
      <c r="GU10" s="400" t="str">
        <f t="shared" si="8"/>
        <v>T+195</v>
      </c>
      <c r="GV10" s="400" t="str">
        <f t="shared" si="8"/>
        <v>T+196</v>
      </c>
      <c r="GW10" s="400" t="str">
        <f t="shared" si="8"/>
        <v>T+197</v>
      </c>
      <c r="GX10" s="400" t="str">
        <f t="shared" si="8"/>
        <v>T+198</v>
      </c>
      <c r="GY10" s="400" t="str">
        <f t="shared" si="8"/>
        <v>T+199</v>
      </c>
      <c r="GZ10" s="400" t="str">
        <f t="shared" si="8"/>
        <v>T+200</v>
      </c>
      <c r="HA10" s="400" t="str">
        <f t="shared" si="8"/>
        <v>T+201</v>
      </c>
      <c r="HB10" s="400" t="str">
        <f t="shared" si="8"/>
        <v>T+202</v>
      </c>
      <c r="HC10" s="400" t="str">
        <f t="shared" si="8"/>
        <v>T+203</v>
      </c>
      <c r="HD10" s="400" t="str">
        <f t="shared" si="8"/>
        <v>T+204</v>
      </c>
      <c r="HE10" s="400" t="str">
        <f t="shared" si="8"/>
        <v>T+205</v>
      </c>
      <c r="HF10" s="400" t="str">
        <f t="shared" si="8"/>
        <v>T+206</v>
      </c>
      <c r="HG10" s="400" t="str">
        <f t="shared" si="8"/>
        <v>T+207</v>
      </c>
      <c r="HH10" s="400" t="str">
        <f t="shared" si="8"/>
        <v>T+208</v>
      </c>
      <c r="HI10" s="400" t="str">
        <f t="shared" si="8"/>
        <v>T+209</v>
      </c>
      <c r="HJ10" s="400" t="str">
        <f t="shared" si="8"/>
        <v>T+210</v>
      </c>
      <c r="HK10" s="400" t="str">
        <f t="shared" si="8"/>
        <v>T+211</v>
      </c>
      <c r="HL10" s="400" t="str">
        <f t="shared" si="8"/>
        <v>T+212</v>
      </c>
      <c r="HM10" s="400" t="str">
        <f t="shared" si="8"/>
        <v>T+213</v>
      </c>
      <c r="HN10" s="400" t="str">
        <f t="shared" si="8"/>
        <v>T+214</v>
      </c>
      <c r="HO10" s="400" t="str">
        <f t="shared" si="8"/>
        <v>T+215</v>
      </c>
      <c r="HP10" s="400" t="str">
        <f t="shared" si="8"/>
        <v>T+216</v>
      </c>
      <c r="HQ10" s="400" t="str">
        <f t="shared" si="8"/>
        <v>T+217</v>
      </c>
      <c r="HR10" s="400" t="str">
        <f t="shared" si="8"/>
        <v>T+218</v>
      </c>
      <c r="HS10" s="400" t="str">
        <f t="shared" si="8"/>
        <v>T+219</v>
      </c>
      <c r="HT10" s="400" t="str">
        <f t="shared" si="8"/>
        <v>T+220</v>
      </c>
      <c r="HU10" s="400" t="str">
        <f t="shared" si="8"/>
        <v>T+221</v>
      </c>
      <c r="HV10" s="400" t="str">
        <f t="shared" si="8"/>
        <v>T+222</v>
      </c>
      <c r="HW10" s="400" t="str">
        <f t="shared" si="8"/>
        <v>T+223</v>
      </c>
      <c r="HX10" s="400" t="str">
        <f t="shared" si="8"/>
        <v>T+224</v>
      </c>
      <c r="HY10" s="400" t="str">
        <f t="shared" si="8"/>
        <v>T+225</v>
      </c>
      <c r="HZ10" s="400" t="str">
        <f t="shared" si="8"/>
        <v>T+226</v>
      </c>
      <c r="IA10" s="400" t="str">
        <f t="shared" si="8"/>
        <v>T+227</v>
      </c>
      <c r="IB10" s="400" t="str">
        <f t="shared" si="8"/>
        <v>T+228</v>
      </c>
      <c r="IC10" s="400" t="str">
        <f t="shared" si="8"/>
        <v>T+229</v>
      </c>
      <c r="ID10" s="400" t="str">
        <f t="shared" si="8"/>
        <v>T+230</v>
      </c>
      <c r="IE10" s="400" t="str">
        <f t="shared" si="8"/>
        <v>T+231</v>
      </c>
      <c r="IF10" s="400" t="str">
        <f t="shared" si="8"/>
        <v>T+232</v>
      </c>
      <c r="IG10" s="400" t="str">
        <f t="shared" si="8"/>
        <v>T+233</v>
      </c>
      <c r="IH10" s="400" t="str">
        <f t="shared" si="8"/>
        <v>T+234</v>
      </c>
      <c r="II10" s="400" t="str">
        <f t="shared" si="8"/>
        <v>T+235</v>
      </c>
      <c r="IJ10" s="400" t="str">
        <f t="shared" si="8"/>
        <v>T+236</v>
      </c>
      <c r="IK10" s="400" t="str">
        <f t="shared" si="8"/>
        <v>T+237</v>
      </c>
      <c r="IL10" s="400" t="str">
        <f t="shared" si="8"/>
        <v>T+238</v>
      </c>
      <c r="IM10" s="400" t="str">
        <f t="shared" si="8"/>
        <v>T+239</v>
      </c>
      <c r="IN10" s="400" t="str">
        <f t="shared" si="8"/>
        <v>T+240</v>
      </c>
      <c r="IO10" s="400" t="str">
        <f t="shared" si="8"/>
        <v>T+241</v>
      </c>
      <c r="IP10" s="400" t="str">
        <f t="shared" si="8"/>
        <v>T+242</v>
      </c>
      <c r="IQ10" s="400" t="str">
        <f t="shared" si="8"/>
        <v>T+243</v>
      </c>
      <c r="IR10" s="400" t="str">
        <f t="shared" si="8"/>
        <v>T+244</v>
      </c>
      <c r="IS10" s="400" t="str">
        <f t="shared" si="8"/>
        <v>T+245</v>
      </c>
      <c r="IT10" s="400" t="str">
        <f t="shared" si="8"/>
        <v>T+246</v>
      </c>
      <c r="IU10" s="400" t="str">
        <f t="shared" si="8"/>
        <v>T+247</v>
      </c>
      <c r="IV10" s="400" t="str">
        <f t="shared" si="8"/>
        <v>T+248</v>
      </c>
      <c r="IW10" s="400" t="str">
        <f t="shared" si="8"/>
        <v>T+249</v>
      </c>
      <c r="IX10" s="400" t="str">
        <f t="shared" si="8"/>
        <v>T+250</v>
      </c>
      <c r="IY10" s="400" t="str">
        <f t="shared" si="8"/>
        <v>T+251</v>
      </c>
      <c r="IZ10" s="400" t="str">
        <f t="shared" si="8"/>
        <v>T+252</v>
      </c>
      <c r="JA10" s="400" t="str">
        <f t="shared" si="8"/>
        <v>T+253</v>
      </c>
      <c r="JB10" s="400" t="str">
        <f t="shared" si="8"/>
        <v>T+254</v>
      </c>
      <c r="JC10" s="400" t="str">
        <f t="shared" si="8"/>
        <v>T+255</v>
      </c>
      <c r="JD10" s="400" t="str">
        <f t="shared" si="8"/>
        <v>T+256</v>
      </c>
      <c r="JE10" s="400" t="str">
        <f t="shared" ref="JE10:KB10" si="9">"T+" &amp; (COLUMN(JE10)-COLUMN($H10))</f>
        <v>T+257</v>
      </c>
      <c r="JF10" s="400" t="str">
        <f t="shared" si="9"/>
        <v>T+258</v>
      </c>
      <c r="JG10" s="400" t="str">
        <f t="shared" si="9"/>
        <v>T+259</v>
      </c>
      <c r="JH10" s="400" t="str">
        <f t="shared" si="9"/>
        <v>T+260</v>
      </c>
      <c r="JI10" s="400" t="str">
        <f t="shared" si="9"/>
        <v>T+261</v>
      </c>
      <c r="JJ10" s="400" t="str">
        <f t="shared" si="9"/>
        <v>T+262</v>
      </c>
      <c r="JK10" s="400" t="str">
        <f t="shared" si="9"/>
        <v>T+263</v>
      </c>
      <c r="JL10" s="400" t="str">
        <f t="shared" si="9"/>
        <v>T+264</v>
      </c>
      <c r="JM10" s="400" t="str">
        <f t="shared" si="9"/>
        <v>T+265</v>
      </c>
      <c r="JN10" s="400" t="str">
        <f t="shared" si="9"/>
        <v>T+266</v>
      </c>
      <c r="JO10" s="400" t="str">
        <f t="shared" si="9"/>
        <v>T+267</v>
      </c>
      <c r="JP10" s="400" t="str">
        <f t="shared" si="9"/>
        <v>T+268</v>
      </c>
      <c r="JQ10" s="400" t="str">
        <f t="shared" si="9"/>
        <v>T+269</v>
      </c>
      <c r="JR10" s="400" t="str">
        <f t="shared" si="9"/>
        <v>T+270</v>
      </c>
      <c r="JS10" s="400" t="str">
        <f t="shared" si="9"/>
        <v>T+271</v>
      </c>
      <c r="JT10" s="400" t="str">
        <f t="shared" si="9"/>
        <v>T+272</v>
      </c>
      <c r="JU10" s="400" t="str">
        <f t="shared" si="9"/>
        <v>T+273</v>
      </c>
      <c r="JV10" s="400" t="str">
        <f t="shared" si="9"/>
        <v>T+274</v>
      </c>
      <c r="JW10" s="400" t="str">
        <f t="shared" si="9"/>
        <v>T+275</v>
      </c>
      <c r="JX10" s="400" t="str">
        <f t="shared" si="9"/>
        <v>T+276</v>
      </c>
      <c r="JY10" s="400" t="str">
        <f t="shared" si="9"/>
        <v>T+277</v>
      </c>
      <c r="JZ10" s="400" t="str">
        <f t="shared" si="9"/>
        <v>T+278</v>
      </c>
      <c r="KA10" s="400" t="str">
        <f t="shared" si="9"/>
        <v>T+279</v>
      </c>
      <c r="KB10" s="1585" t="str">
        <f t="shared" si="9"/>
        <v>T+280</v>
      </c>
    </row>
    <row r="11" spans="1:289" ht="15" customHeight="1" x14ac:dyDescent="0.25">
      <c r="B11" s="447" t="s">
        <v>306</v>
      </c>
      <c r="C11" s="448" t="str">
        <f t="array" ref="C11:D110" xml:space="preserve"> IF(ISBLANK(TB!C$170:'TB'!D$269), "", TB!C$170:'TB'!D$269)</f>
        <v/>
      </c>
      <c r="D11" s="448" t="str">
        <v/>
      </c>
      <c r="E11" s="448" t="str">
        <f t="array" ref="E11:E110" xml:space="preserve"> IF(ISBLANK(TB!G$170:'TB'!G$269), "", TB!G$170:'TB'!G$269)</f>
        <v/>
      </c>
      <c r="F11" s="448" t="str">
        <f t="array" ref="F11:F110" xml:space="preserve"> IF(ISBLANK(TB!I$170:'TB'!I$269), "", TB!I$170:'TB'!I$269)</f>
        <v/>
      </c>
      <c r="G11" s="402" t="str">
        <f t="array" ref="G11:G110" xml:space="preserve"> IF(ISBLANK(TB!J$170:'TB'!J$269), "", TB!J$170:'TB'!J$269)</f>
        <v/>
      </c>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36"/>
      <c r="DX11" s="25"/>
      <c r="DY11" s="25"/>
      <c r="DZ11" s="25"/>
      <c r="EA11" s="25"/>
      <c r="EB11" s="25"/>
      <c r="EC11" s="25"/>
      <c r="ED11" s="25"/>
      <c r="EE11" s="25"/>
      <c r="EF11" s="25"/>
      <c r="EG11" s="25"/>
      <c r="EH11" s="25"/>
      <c r="EI11" s="25"/>
      <c r="EJ11" s="25"/>
      <c r="EK11" s="25"/>
      <c r="EL11" s="25"/>
      <c r="EM11" s="25"/>
      <c r="EN11" s="25"/>
      <c r="EO11" s="25"/>
      <c r="EP11" s="25"/>
      <c r="EQ11" s="25"/>
      <c r="ER11" s="36"/>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36"/>
      <c r="JH11" s="25"/>
      <c r="JI11" s="25"/>
      <c r="JJ11" s="25"/>
      <c r="JK11" s="25"/>
      <c r="JL11" s="25"/>
      <c r="JM11" s="25"/>
      <c r="JN11" s="25"/>
      <c r="JO11" s="25"/>
      <c r="JP11" s="25"/>
      <c r="JQ11" s="25"/>
      <c r="JR11" s="25"/>
      <c r="JS11" s="25"/>
      <c r="JT11" s="25"/>
      <c r="JU11" s="25"/>
      <c r="JV11" s="25"/>
      <c r="JW11" s="25"/>
      <c r="JX11" s="25"/>
      <c r="JY11" s="25"/>
      <c r="JZ11" s="25"/>
      <c r="KA11" s="25"/>
      <c r="KB11" s="36"/>
    </row>
    <row r="12" spans="1:289" ht="15" customHeight="1" x14ac:dyDescent="0.25">
      <c r="B12" s="216" t="s">
        <v>307</v>
      </c>
      <c r="C12" s="218" t="str">
        <v/>
      </c>
      <c r="D12" s="218" t="str">
        <v/>
      </c>
      <c r="E12" s="218" t="str">
        <v/>
      </c>
      <c r="F12" s="218" t="str">
        <v/>
      </c>
      <c r="G12" s="402" t="str">
        <v/>
      </c>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36"/>
      <c r="DX12" s="25"/>
      <c r="DY12" s="25"/>
      <c r="DZ12" s="25"/>
      <c r="EA12" s="25"/>
      <c r="EB12" s="25"/>
      <c r="EC12" s="25"/>
      <c r="ED12" s="25"/>
      <c r="EE12" s="25"/>
      <c r="EF12" s="25"/>
      <c r="EG12" s="25"/>
      <c r="EH12" s="25"/>
      <c r="EI12" s="25"/>
      <c r="EJ12" s="25"/>
      <c r="EK12" s="25"/>
      <c r="EL12" s="25"/>
      <c r="EM12" s="25"/>
      <c r="EN12" s="25"/>
      <c r="EO12" s="25"/>
      <c r="EP12" s="25"/>
      <c r="EQ12" s="25"/>
      <c r="ER12" s="36"/>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36"/>
      <c r="JH12" s="25"/>
      <c r="JI12" s="25"/>
      <c r="JJ12" s="25"/>
      <c r="JK12" s="25"/>
      <c r="JL12" s="25"/>
      <c r="JM12" s="25"/>
      <c r="JN12" s="25"/>
      <c r="JO12" s="25"/>
      <c r="JP12" s="25"/>
      <c r="JQ12" s="25"/>
      <c r="JR12" s="25"/>
      <c r="JS12" s="25"/>
      <c r="JT12" s="25"/>
      <c r="JU12" s="25"/>
      <c r="JV12" s="25"/>
      <c r="JW12" s="25"/>
      <c r="JX12" s="25"/>
      <c r="JY12" s="25"/>
      <c r="JZ12" s="25"/>
      <c r="KA12" s="25"/>
      <c r="KB12" s="36"/>
    </row>
    <row r="13" spans="1:289" ht="15" customHeight="1" x14ac:dyDescent="0.25">
      <c r="B13" s="216" t="s">
        <v>308</v>
      </c>
      <c r="C13" s="218" t="str">
        <v/>
      </c>
      <c r="D13" s="218" t="str">
        <v/>
      </c>
      <c r="E13" s="218" t="str">
        <v/>
      </c>
      <c r="F13" s="218" t="str">
        <v/>
      </c>
      <c r="G13" s="402" t="str">
        <v/>
      </c>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36"/>
      <c r="DX13" s="25"/>
      <c r="DY13" s="25"/>
      <c r="DZ13" s="25"/>
      <c r="EA13" s="25"/>
      <c r="EB13" s="25"/>
      <c r="EC13" s="25"/>
      <c r="ED13" s="25"/>
      <c r="EE13" s="25"/>
      <c r="EF13" s="25"/>
      <c r="EG13" s="25"/>
      <c r="EH13" s="25"/>
      <c r="EI13" s="25"/>
      <c r="EJ13" s="25"/>
      <c r="EK13" s="25"/>
      <c r="EL13" s="25"/>
      <c r="EM13" s="25"/>
      <c r="EN13" s="25"/>
      <c r="EO13" s="25"/>
      <c r="EP13" s="25"/>
      <c r="EQ13" s="25"/>
      <c r="ER13" s="36"/>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36"/>
      <c r="JH13" s="25"/>
      <c r="JI13" s="25"/>
      <c r="JJ13" s="25"/>
      <c r="JK13" s="25"/>
      <c r="JL13" s="25"/>
      <c r="JM13" s="25"/>
      <c r="JN13" s="25"/>
      <c r="JO13" s="25"/>
      <c r="JP13" s="25"/>
      <c r="JQ13" s="25"/>
      <c r="JR13" s="25"/>
      <c r="JS13" s="25"/>
      <c r="JT13" s="25"/>
      <c r="JU13" s="25"/>
      <c r="JV13" s="25"/>
      <c r="JW13" s="25"/>
      <c r="JX13" s="25"/>
      <c r="JY13" s="25"/>
      <c r="JZ13" s="25"/>
      <c r="KA13" s="25"/>
      <c r="KB13" s="36"/>
    </row>
    <row r="14" spans="1:289" ht="15" customHeight="1" x14ac:dyDescent="0.25">
      <c r="B14" s="216" t="s">
        <v>309</v>
      </c>
      <c r="C14" s="218" t="str">
        <v/>
      </c>
      <c r="D14" s="218" t="str">
        <v/>
      </c>
      <c r="E14" s="218" t="str">
        <v/>
      </c>
      <c r="F14" s="218" t="str">
        <v/>
      </c>
      <c r="G14" s="402" t="str">
        <v/>
      </c>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36"/>
      <c r="DX14" s="25"/>
      <c r="DY14" s="25"/>
      <c r="DZ14" s="25"/>
      <c r="EA14" s="25"/>
      <c r="EB14" s="25"/>
      <c r="EC14" s="25"/>
      <c r="ED14" s="25"/>
      <c r="EE14" s="25"/>
      <c r="EF14" s="25"/>
      <c r="EG14" s="25"/>
      <c r="EH14" s="25"/>
      <c r="EI14" s="25"/>
      <c r="EJ14" s="25"/>
      <c r="EK14" s="25"/>
      <c r="EL14" s="25"/>
      <c r="EM14" s="25"/>
      <c r="EN14" s="25"/>
      <c r="EO14" s="25"/>
      <c r="EP14" s="25"/>
      <c r="EQ14" s="25"/>
      <c r="ER14" s="36"/>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36"/>
      <c r="JH14" s="25"/>
      <c r="JI14" s="25"/>
      <c r="JJ14" s="25"/>
      <c r="JK14" s="25"/>
      <c r="JL14" s="25"/>
      <c r="JM14" s="25"/>
      <c r="JN14" s="25"/>
      <c r="JO14" s="25"/>
      <c r="JP14" s="25"/>
      <c r="JQ14" s="25"/>
      <c r="JR14" s="25"/>
      <c r="JS14" s="25"/>
      <c r="JT14" s="25"/>
      <c r="JU14" s="25"/>
      <c r="JV14" s="25"/>
      <c r="JW14" s="25"/>
      <c r="JX14" s="25"/>
      <c r="JY14" s="25"/>
      <c r="JZ14" s="25"/>
      <c r="KA14" s="25"/>
      <c r="KB14" s="36"/>
    </row>
    <row r="15" spans="1:289" ht="15" customHeight="1" x14ac:dyDescent="0.25">
      <c r="B15" s="216" t="s">
        <v>310</v>
      </c>
      <c r="C15" s="218" t="str">
        <v/>
      </c>
      <c r="D15" s="218" t="str">
        <v/>
      </c>
      <c r="E15" s="218" t="str">
        <v/>
      </c>
      <c r="F15" s="218" t="str">
        <v/>
      </c>
      <c r="G15" s="402" t="str">
        <v/>
      </c>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36"/>
      <c r="DX15" s="25"/>
      <c r="DY15" s="25"/>
      <c r="DZ15" s="25"/>
      <c r="EA15" s="25"/>
      <c r="EB15" s="25"/>
      <c r="EC15" s="25"/>
      <c r="ED15" s="25"/>
      <c r="EE15" s="25"/>
      <c r="EF15" s="25"/>
      <c r="EG15" s="25"/>
      <c r="EH15" s="25"/>
      <c r="EI15" s="25"/>
      <c r="EJ15" s="25"/>
      <c r="EK15" s="25"/>
      <c r="EL15" s="25"/>
      <c r="EM15" s="25"/>
      <c r="EN15" s="25"/>
      <c r="EO15" s="25"/>
      <c r="EP15" s="25"/>
      <c r="EQ15" s="25"/>
      <c r="ER15" s="36"/>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36"/>
      <c r="JH15" s="25"/>
      <c r="JI15" s="25"/>
      <c r="JJ15" s="25"/>
      <c r="JK15" s="25"/>
      <c r="JL15" s="25"/>
      <c r="JM15" s="25"/>
      <c r="JN15" s="25"/>
      <c r="JO15" s="25"/>
      <c r="JP15" s="25"/>
      <c r="JQ15" s="25"/>
      <c r="JR15" s="25"/>
      <c r="JS15" s="25"/>
      <c r="JT15" s="25"/>
      <c r="JU15" s="25"/>
      <c r="JV15" s="25"/>
      <c r="JW15" s="25"/>
      <c r="JX15" s="25"/>
      <c r="JY15" s="25"/>
      <c r="JZ15" s="25"/>
      <c r="KA15" s="25"/>
      <c r="KB15" s="36"/>
    </row>
    <row r="16" spans="1:289" ht="15" customHeight="1" x14ac:dyDescent="0.25">
      <c r="B16" s="216" t="s">
        <v>311</v>
      </c>
      <c r="C16" s="218" t="str">
        <v/>
      </c>
      <c r="D16" s="218" t="str">
        <v/>
      </c>
      <c r="E16" s="218" t="str">
        <v/>
      </c>
      <c r="F16" s="218" t="str">
        <v/>
      </c>
      <c r="G16" s="402" t="str">
        <v/>
      </c>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36"/>
      <c r="DX16" s="25"/>
      <c r="DY16" s="25"/>
      <c r="DZ16" s="25"/>
      <c r="EA16" s="25"/>
      <c r="EB16" s="25"/>
      <c r="EC16" s="25"/>
      <c r="ED16" s="25"/>
      <c r="EE16" s="25"/>
      <c r="EF16" s="25"/>
      <c r="EG16" s="25"/>
      <c r="EH16" s="25"/>
      <c r="EI16" s="25"/>
      <c r="EJ16" s="25"/>
      <c r="EK16" s="25"/>
      <c r="EL16" s="25"/>
      <c r="EM16" s="25"/>
      <c r="EN16" s="25"/>
      <c r="EO16" s="25"/>
      <c r="EP16" s="25"/>
      <c r="EQ16" s="25"/>
      <c r="ER16" s="36"/>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36"/>
      <c r="JH16" s="25"/>
      <c r="JI16" s="25"/>
      <c r="JJ16" s="25"/>
      <c r="JK16" s="25"/>
      <c r="JL16" s="25"/>
      <c r="JM16" s="25"/>
      <c r="JN16" s="25"/>
      <c r="JO16" s="25"/>
      <c r="JP16" s="25"/>
      <c r="JQ16" s="25"/>
      <c r="JR16" s="25"/>
      <c r="JS16" s="25"/>
      <c r="JT16" s="25"/>
      <c r="JU16" s="25"/>
      <c r="JV16" s="25"/>
      <c r="JW16" s="25"/>
      <c r="JX16" s="25"/>
      <c r="JY16" s="25"/>
      <c r="JZ16" s="25"/>
      <c r="KA16" s="25"/>
      <c r="KB16" s="36"/>
    </row>
    <row r="17" spans="2:288" ht="15" customHeight="1" x14ac:dyDescent="0.25">
      <c r="B17" s="216" t="s">
        <v>312</v>
      </c>
      <c r="C17" s="218" t="str">
        <v/>
      </c>
      <c r="D17" s="218" t="str">
        <v/>
      </c>
      <c r="E17" s="218" t="str">
        <v/>
      </c>
      <c r="F17" s="218" t="str">
        <v/>
      </c>
      <c r="G17" s="402" t="str">
        <v/>
      </c>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36"/>
      <c r="DX17" s="25"/>
      <c r="DY17" s="25"/>
      <c r="DZ17" s="25"/>
      <c r="EA17" s="25"/>
      <c r="EB17" s="25"/>
      <c r="EC17" s="25"/>
      <c r="ED17" s="25"/>
      <c r="EE17" s="25"/>
      <c r="EF17" s="25"/>
      <c r="EG17" s="25"/>
      <c r="EH17" s="25"/>
      <c r="EI17" s="25"/>
      <c r="EJ17" s="25"/>
      <c r="EK17" s="25"/>
      <c r="EL17" s="25"/>
      <c r="EM17" s="25"/>
      <c r="EN17" s="25"/>
      <c r="EO17" s="25"/>
      <c r="EP17" s="25"/>
      <c r="EQ17" s="25"/>
      <c r="ER17" s="36"/>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36"/>
      <c r="JH17" s="25"/>
      <c r="JI17" s="25"/>
      <c r="JJ17" s="25"/>
      <c r="JK17" s="25"/>
      <c r="JL17" s="25"/>
      <c r="JM17" s="25"/>
      <c r="JN17" s="25"/>
      <c r="JO17" s="25"/>
      <c r="JP17" s="25"/>
      <c r="JQ17" s="25"/>
      <c r="JR17" s="25"/>
      <c r="JS17" s="25"/>
      <c r="JT17" s="25"/>
      <c r="JU17" s="25"/>
      <c r="JV17" s="25"/>
      <c r="JW17" s="25"/>
      <c r="JX17" s="25"/>
      <c r="JY17" s="25"/>
      <c r="JZ17" s="25"/>
      <c r="KA17" s="25"/>
      <c r="KB17" s="36"/>
    </row>
    <row r="18" spans="2:288" ht="15" customHeight="1" x14ac:dyDescent="0.25">
      <c r="B18" s="216" t="s">
        <v>313</v>
      </c>
      <c r="C18" s="218" t="str">
        <v/>
      </c>
      <c r="D18" s="218" t="str">
        <v/>
      </c>
      <c r="E18" s="218" t="str">
        <v/>
      </c>
      <c r="F18" s="218" t="str">
        <v/>
      </c>
      <c r="G18" s="402" t="str">
        <v/>
      </c>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36"/>
      <c r="DX18" s="25"/>
      <c r="DY18" s="25"/>
      <c r="DZ18" s="25"/>
      <c r="EA18" s="25"/>
      <c r="EB18" s="25"/>
      <c r="EC18" s="25"/>
      <c r="ED18" s="25"/>
      <c r="EE18" s="25"/>
      <c r="EF18" s="25"/>
      <c r="EG18" s="25"/>
      <c r="EH18" s="25"/>
      <c r="EI18" s="25"/>
      <c r="EJ18" s="25"/>
      <c r="EK18" s="25"/>
      <c r="EL18" s="25"/>
      <c r="EM18" s="25"/>
      <c r="EN18" s="25"/>
      <c r="EO18" s="25"/>
      <c r="EP18" s="25"/>
      <c r="EQ18" s="25"/>
      <c r="ER18" s="36"/>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36"/>
      <c r="JH18" s="25"/>
      <c r="JI18" s="25"/>
      <c r="JJ18" s="25"/>
      <c r="JK18" s="25"/>
      <c r="JL18" s="25"/>
      <c r="JM18" s="25"/>
      <c r="JN18" s="25"/>
      <c r="JO18" s="25"/>
      <c r="JP18" s="25"/>
      <c r="JQ18" s="25"/>
      <c r="JR18" s="25"/>
      <c r="JS18" s="25"/>
      <c r="JT18" s="25"/>
      <c r="JU18" s="25"/>
      <c r="JV18" s="25"/>
      <c r="JW18" s="25"/>
      <c r="JX18" s="25"/>
      <c r="JY18" s="25"/>
      <c r="JZ18" s="25"/>
      <c r="KA18" s="25"/>
      <c r="KB18" s="36"/>
    </row>
    <row r="19" spans="2:288" ht="15" customHeight="1" x14ac:dyDescent="0.25">
      <c r="B19" s="216" t="s">
        <v>314</v>
      </c>
      <c r="C19" s="218" t="str">
        <v/>
      </c>
      <c r="D19" s="218" t="str">
        <v/>
      </c>
      <c r="E19" s="218" t="str">
        <v/>
      </c>
      <c r="F19" s="218" t="str">
        <v/>
      </c>
      <c r="G19" s="402" t="str">
        <v/>
      </c>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36"/>
      <c r="DX19" s="25"/>
      <c r="DY19" s="25"/>
      <c r="DZ19" s="25"/>
      <c r="EA19" s="25"/>
      <c r="EB19" s="25"/>
      <c r="EC19" s="25"/>
      <c r="ED19" s="25"/>
      <c r="EE19" s="25"/>
      <c r="EF19" s="25"/>
      <c r="EG19" s="25"/>
      <c r="EH19" s="25"/>
      <c r="EI19" s="25"/>
      <c r="EJ19" s="25"/>
      <c r="EK19" s="25"/>
      <c r="EL19" s="25"/>
      <c r="EM19" s="25"/>
      <c r="EN19" s="25"/>
      <c r="EO19" s="25"/>
      <c r="EP19" s="25"/>
      <c r="EQ19" s="25"/>
      <c r="ER19" s="36"/>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36"/>
      <c r="JH19" s="25"/>
      <c r="JI19" s="25"/>
      <c r="JJ19" s="25"/>
      <c r="JK19" s="25"/>
      <c r="JL19" s="25"/>
      <c r="JM19" s="25"/>
      <c r="JN19" s="25"/>
      <c r="JO19" s="25"/>
      <c r="JP19" s="25"/>
      <c r="JQ19" s="25"/>
      <c r="JR19" s="25"/>
      <c r="JS19" s="25"/>
      <c r="JT19" s="25"/>
      <c r="JU19" s="25"/>
      <c r="JV19" s="25"/>
      <c r="JW19" s="25"/>
      <c r="JX19" s="25"/>
      <c r="JY19" s="25"/>
      <c r="JZ19" s="25"/>
      <c r="KA19" s="25"/>
      <c r="KB19" s="36"/>
    </row>
    <row r="20" spans="2:288" ht="15" customHeight="1" x14ac:dyDescent="0.25">
      <c r="B20" s="216" t="s">
        <v>315</v>
      </c>
      <c r="C20" s="218" t="str">
        <v/>
      </c>
      <c r="D20" s="218" t="str">
        <v/>
      </c>
      <c r="E20" s="218" t="str">
        <v/>
      </c>
      <c r="F20" s="218" t="str">
        <v/>
      </c>
      <c r="G20" s="402" t="str">
        <v/>
      </c>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36"/>
      <c r="DX20" s="25"/>
      <c r="DY20" s="25"/>
      <c r="DZ20" s="25"/>
      <c r="EA20" s="25"/>
      <c r="EB20" s="25"/>
      <c r="EC20" s="25"/>
      <c r="ED20" s="25"/>
      <c r="EE20" s="25"/>
      <c r="EF20" s="25"/>
      <c r="EG20" s="25"/>
      <c r="EH20" s="25"/>
      <c r="EI20" s="25"/>
      <c r="EJ20" s="25"/>
      <c r="EK20" s="25"/>
      <c r="EL20" s="25"/>
      <c r="EM20" s="25"/>
      <c r="EN20" s="25"/>
      <c r="EO20" s="25"/>
      <c r="EP20" s="25"/>
      <c r="EQ20" s="25"/>
      <c r="ER20" s="36"/>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36"/>
      <c r="JH20" s="25"/>
      <c r="JI20" s="25"/>
      <c r="JJ20" s="25"/>
      <c r="JK20" s="25"/>
      <c r="JL20" s="25"/>
      <c r="JM20" s="25"/>
      <c r="JN20" s="25"/>
      <c r="JO20" s="25"/>
      <c r="JP20" s="25"/>
      <c r="JQ20" s="25"/>
      <c r="JR20" s="25"/>
      <c r="JS20" s="25"/>
      <c r="JT20" s="25"/>
      <c r="JU20" s="25"/>
      <c r="JV20" s="25"/>
      <c r="JW20" s="25"/>
      <c r="JX20" s="25"/>
      <c r="JY20" s="25"/>
      <c r="JZ20" s="25"/>
      <c r="KA20" s="25"/>
      <c r="KB20" s="36"/>
    </row>
    <row r="21" spans="2:288" ht="15" customHeight="1" x14ac:dyDescent="0.25">
      <c r="B21" s="216" t="s">
        <v>316</v>
      </c>
      <c r="C21" s="218" t="str">
        <v/>
      </c>
      <c r="D21" s="218" t="str">
        <v/>
      </c>
      <c r="E21" s="218" t="str">
        <v/>
      </c>
      <c r="F21" s="218" t="str">
        <v/>
      </c>
      <c r="G21" s="402" t="str">
        <v/>
      </c>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36"/>
      <c r="DX21" s="25"/>
      <c r="DY21" s="25"/>
      <c r="DZ21" s="25"/>
      <c r="EA21" s="25"/>
      <c r="EB21" s="25"/>
      <c r="EC21" s="25"/>
      <c r="ED21" s="25"/>
      <c r="EE21" s="25"/>
      <c r="EF21" s="25"/>
      <c r="EG21" s="25"/>
      <c r="EH21" s="25"/>
      <c r="EI21" s="25"/>
      <c r="EJ21" s="25"/>
      <c r="EK21" s="25"/>
      <c r="EL21" s="25"/>
      <c r="EM21" s="25"/>
      <c r="EN21" s="25"/>
      <c r="EO21" s="25"/>
      <c r="EP21" s="25"/>
      <c r="EQ21" s="25"/>
      <c r="ER21" s="36"/>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36"/>
      <c r="JH21" s="25"/>
      <c r="JI21" s="25"/>
      <c r="JJ21" s="25"/>
      <c r="JK21" s="25"/>
      <c r="JL21" s="25"/>
      <c r="JM21" s="25"/>
      <c r="JN21" s="25"/>
      <c r="JO21" s="25"/>
      <c r="JP21" s="25"/>
      <c r="JQ21" s="25"/>
      <c r="JR21" s="25"/>
      <c r="JS21" s="25"/>
      <c r="JT21" s="25"/>
      <c r="JU21" s="25"/>
      <c r="JV21" s="25"/>
      <c r="JW21" s="25"/>
      <c r="JX21" s="25"/>
      <c r="JY21" s="25"/>
      <c r="JZ21" s="25"/>
      <c r="KA21" s="25"/>
      <c r="KB21" s="36"/>
    </row>
    <row r="22" spans="2:288" ht="15" customHeight="1" x14ac:dyDescent="0.25">
      <c r="B22" s="216" t="s">
        <v>317</v>
      </c>
      <c r="C22" s="218" t="str">
        <v/>
      </c>
      <c r="D22" s="218" t="str">
        <v/>
      </c>
      <c r="E22" s="218" t="str">
        <v/>
      </c>
      <c r="F22" s="218" t="str">
        <v/>
      </c>
      <c r="G22" s="402" t="str">
        <v/>
      </c>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36"/>
      <c r="DX22" s="25"/>
      <c r="DY22" s="25"/>
      <c r="DZ22" s="25"/>
      <c r="EA22" s="25"/>
      <c r="EB22" s="25"/>
      <c r="EC22" s="25"/>
      <c r="ED22" s="25"/>
      <c r="EE22" s="25"/>
      <c r="EF22" s="25"/>
      <c r="EG22" s="25"/>
      <c r="EH22" s="25"/>
      <c r="EI22" s="25"/>
      <c r="EJ22" s="25"/>
      <c r="EK22" s="25"/>
      <c r="EL22" s="25"/>
      <c r="EM22" s="25"/>
      <c r="EN22" s="25"/>
      <c r="EO22" s="25"/>
      <c r="EP22" s="25"/>
      <c r="EQ22" s="25"/>
      <c r="ER22" s="36"/>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36"/>
      <c r="JH22" s="25"/>
      <c r="JI22" s="25"/>
      <c r="JJ22" s="25"/>
      <c r="JK22" s="25"/>
      <c r="JL22" s="25"/>
      <c r="JM22" s="25"/>
      <c r="JN22" s="25"/>
      <c r="JO22" s="25"/>
      <c r="JP22" s="25"/>
      <c r="JQ22" s="25"/>
      <c r="JR22" s="25"/>
      <c r="JS22" s="25"/>
      <c r="JT22" s="25"/>
      <c r="JU22" s="25"/>
      <c r="JV22" s="25"/>
      <c r="JW22" s="25"/>
      <c r="JX22" s="25"/>
      <c r="JY22" s="25"/>
      <c r="JZ22" s="25"/>
      <c r="KA22" s="25"/>
      <c r="KB22" s="36"/>
    </row>
    <row r="23" spans="2:288" ht="15" customHeight="1" x14ac:dyDescent="0.25">
      <c r="B23" s="216" t="s">
        <v>318</v>
      </c>
      <c r="C23" s="218" t="str">
        <v/>
      </c>
      <c r="D23" s="218" t="str">
        <v/>
      </c>
      <c r="E23" s="218" t="str">
        <v/>
      </c>
      <c r="F23" s="218" t="str">
        <v/>
      </c>
      <c r="G23" s="402" t="str">
        <v/>
      </c>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36"/>
      <c r="DX23" s="25"/>
      <c r="DY23" s="25"/>
      <c r="DZ23" s="25"/>
      <c r="EA23" s="25"/>
      <c r="EB23" s="25"/>
      <c r="EC23" s="25"/>
      <c r="ED23" s="25"/>
      <c r="EE23" s="25"/>
      <c r="EF23" s="25"/>
      <c r="EG23" s="25"/>
      <c r="EH23" s="25"/>
      <c r="EI23" s="25"/>
      <c r="EJ23" s="25"/>
      <c r="EK23" s="25"/>
      <c r="EL23" s="25"/>
      <c r="EM23" s="25"/>
      <c r="EN23" s="25"/>
      <c r="EO23" s="25"/>
      <c r="EP23" s="25"/>
      <c r="EQ23" s="25"/>
      <c r="ER23" s="36"/>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36"/>
      <c r="JH23" s="25"/>
      <c r="JI23" s="25"/>
      <c r="JJ23" s="25"/>
      <c r="JK23" s="25"/>
      <c r="JL23" s="25"/>
      <c r="JM23" s="25"/>
      <c r="JN23" s="25"/>
      <c r="JO23" s="25"/>
      <c r="JP23" s="25"/>
      <c r="JQ23" s="25"/>
      <c r="JR23" s="25"/>
      <c r="JS23" s="25"/>
      <c r="JT23" s="25"/>
      <c r="JU23" s="25"/>
      <c r="JV23" s="25"/>
      <c r="JW23" s="25"/>
      <c r="JX23" s="25"/>
      <c r="JY23" s="25"/>
      <c r="JZ23" s="25"/>
      <c r="KA23" s="25"/>
      <c r="KB23" s="36"/>
    </row>
    <row r="24" spans="2:288" ht="15" customHeight="1" x14ac:dyDescent="0.25">
      <c r="B24" s="216" t="s">
        <v>319</v>
      </c>
      <c r="C24" s="218" t="str">
        <v/>
      </c>
      <c r="D24" s="218" t="str">
        <v/>
      </c>
      <c r="E24" s="218" t="str">
        <v/>
      </c>
      <c r="F24" s="218" t="str">
        <v/>
      </c>
      <c r="G24" s="402" t="str">
        <v/>
      </c>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36"/>
      <c r="DX24" s="25"/>
      <c r="DY24" s="25"/>
      <c r="DZ24" s="25"/>
      <c r="EA24" s="25"/>
      <c r="EB24" s="25"/>
      <c r="EC24" s="25"/>
      <c r="ED24" s="25"/>
      <c r="EE24" s="25"/>
      <c r="EF24" s="25"/>
      <c r="EG24" s="25"/>
      <c r="EH24" s="25"/>
      <c r="EI24" s="25"/>
      <c r="EJ24" s="25"/>
      <c r="EK24" s="25"/>
      <c r="EL24" s="25"/>
      <c r="EM24" s="25"/>
      <c r="EN24" s="25"/>
      <c r="EO24" s="25"/>
      <c r="EP24" s="25"/>
      <c r="EQ24" s="25"/>
      <c r="ER24" s="36"/>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36"/>
      <c r="JH24" s="25"/>
      <c r="JI24" s="25"/>
      <c r="JJ24" s="25"/>
      <c r="JK24" s="25"/>
      <c r="JL24" s="25"/>
      <c r="JM24" s="25"/>
      <c r="JN24" s="25"/>
      <c r="JO24" s="25"/>
      <c r="JP24" s="25"/>
      <c r="JQ24" s="25"/>
      <c r="JR24" s="25"/>
      <c r="JS24" s="25"/>
      <c r="JT24" s="25"/>
      <c r="JU24" s="25"/>
      <c r="JV24" s="25"/>
      <c r="JW24" s="25"/>
      <c r="JX24" s="25"/>
      <c r="JY24" s="25"/>
      <c r="JZ24" s="25"/>
      <c r="KA24" s="25"/>
      <c r="KB24" s="36"/>
    </row>
    <row r="25" spans="2:288" ht="15" customHeight="1" x14ac:dyDescent="0.25">
      <c r="B25" s="216" t="s">
        <v>320</v>
      </c>
      <c r="C25" s="218" t="str">
        <v/>
      </c>
      <c r="D25" s="218" t="str">
        <v/>
      </c>
      <c r="E25" s="218" t="str">
        <v/>
      </c>
      <c r="F25" s="218" t="str">
        <v/>
      </c>
      <c r="G25" s="402" t="str">
        <v/>
      </c>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36"/>
      <c r="DX25" s="25"/>
      <c r="DY25" s="25"/>
      <c r="DZ25" s="25"/>
      <c r="EA25" s="25"/>
      <c r="EB25" s="25"/>
      <c r="EC25" s="25"/>
      <c r="ED25" s="25"/>
      <c r="EE25" s="25"/>
      <c r="EF25" s="25"/>
      <c r="EG25" s="25"/>
      <c r="EH25" s="25"/>
      <c r="EI25" s="25"/>
      <c r="EJ25" s="25"/>
      <c r="EK25" s="25"/>
      <c r="EL25" s="25"/>
      <c r="EM25" s="25"/>
      <c r="EN25" s="25"/>
      <c r="EO25" s="25"/>
      <c r="EP25" s="25"/>
      <c r="EQ25" s="25"/>
      <c r="ER25" s="36"/>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36"/>
      <c r="JH25" s="25"/>
      <c r="JI25" s="25"/>
      <c r="JJ25" s="25"/>
      <c r="JK25" s="25"/>
      <c r="JL25" s="25"/>
      <c r="JM25" s="25"/>
      <c r="JN25" s="25"/>
      <c r="JO25" s="25"/>
      <c r="JP25" s="25"/>
      <c r="JQ25" s="25"/>
      <c r="JR25" s="25"/>
      <c r="JS25" s="25"/>
      <c r="JT25" s="25"/>
      <c r="JU25" s="25"/>
      <c r="JV25" s="25"/>
      <c r="JW25" s="25"/>
      <c r="JX25" s="25"/>
      <c r="JY25" s="25"/>
      <c r="JZ25" s="25"/>
      <c r="KA25" s="25"/>
      <c r="KB25" s="36"/>
    </row>
    <row r="26" spans="2:288" ht="15" customHeight="1" x14ac:dyDescent="0.25">
      <c r="B26" s="216" t="s">
        <v>321</v>
      </c>
      <c r="C26" s="218" t="str">
        <v/>
      </c>
      <c r="D26" s="218" t="str">
        <v/>
      </c>
      <c r="E26" s="218" t="str">
        <v/>
      </c>
      <c r="F26" s="218" t="str">
        <v/>
      </c>
      <c r="G26" s="402" t="str">
        <v/>
      </c>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36"/>
      <c r="DX26" s="25"/>
      <c r="DY26" s="25"/>
      <c r="DZ26" s="25"/>
      <c r="EA26" s="25"/>
      <c r="EB26" s="25"/>
      <c r="EC26" s="25"/>
      <c r="ED26" s="25"/>
      <c r="EE26" s="25"/>
      <c r="EF26" s="25"/>
      <c r="EG26" s="25"/>
      <c r="EH26" s="25"/>
      <c r="EI26" s="25"/>
      <c r="EJ26" s="25"/>
      <c r="EK26" s="25"/>
      <c r="EL26" s="25"/>
      <c r="EM26" s="25"/>
      <c r="EN26" s="25"/>
      <c r="EO26" s="25"/>
      <c r="EP26" s="25"/>
      <c r="EQ26" s="25"/>
      <c r="ER26" s="36"/>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36"/>
      <c r="JH26" s="25"/>
      <c r="JI26" s="25"/>
      <c r="JJ26" s="25"/>
      <c r="JK26" s="25"/>
      <c r="JL26" s="25"/>
      <c r="JM26" s="25"/>
      <c r="JN26" s="25"/>
      <c r="JO26" s="25"/>
      <c r="JP26" s="25"/>
      <c r="JQ26" s="25"/>
      <c r="JR26" s="25"/>
      <c r="JS26" s="25"/>
      <c r="JT26" s="25"/>
      <c r="JU26" s="25"/>
      <c r="JV26" s="25"/>
      <c r="JW26" s="25"/>
      <c r="JX26" s="25"/>
      <c r="JY26" s="25"/>
      <c r="JZ26" s="25"/>
      <c r="KA26" s="25"/>
      <c r="KB26" s="36"/>
    </row>
    <row r="27" spans="2:288" ht="15" customHeight="1" x14ac:dyDescent="0.25">
      <c r="B27" s="216" t="s">
        <v>322</v>
      </c>
      <c r="C27" s="218" t="str">
        <v/>
      </c>
      <c r="D27" s="218" t="str">
        <v/>
      </c>
      <c r="E27" s="218" t="str">
        <v/>
      </c>
      <c r="F27" s="218" t="str">
        <v/>
      </c>
      <c r="G27" s="402" t="str">
        <v/>
      </c>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36"/>
      <c r="DX27" s="25"/>
      <c r="DY27" s="25"/>
      <c r="DZ27" s="25"/>
      <c r="EA27" s="25"/>
      <c r="EB27" s="25"/>
      <c r="EC27" s="25"/>
      <c r="ED27" s="25"/>
      <c r="EE27" s="25"/>
      <c r="EF27" s="25"/>
      <c r="EG27" s="25"/>
      <c r="EH27" s="25"/>
      <c r="EI27" s="25"/>
      <c r="EJ27" s="25"/>
      <c r="EK27" s="25"/>
      <c r="EL27" s="25"/>
      <c r="EM27" s="25"/>
      <c r="EN27" s="25"/>
      <c r="EO27" s="25"/>
      <c r="EP27" s="25"/>
      <c r="EQ27" s="25"/>
      <c r="ER27" s="36"/>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36"/>
      <c r="JH27" s="25"/>
      <c r="JI27" s="25"/>
      <c r="JJ27" s="25"/>
      <c r="JK27" s="25"/>
      <c r="JL27" s="25"/>
      <c r="JM27" s="25"/>
      <c r="JN27" s="25"/>
      <c r="JO27" s="25"/>
      <c r="JP27" s="25"/>
      <c r="JQ27" s="25"/>
      <c r="JR27" s="25"/>
      <c r="JS27" s="25"/>
      <c r="JT27" s="25"/>
      <c r="JU27" s="25"/>
      <c r="JV27" s="25"/>
      <c r="JW27" s="25"/>
      <c r="JX27" s="25"/>
      <c r="JY27" s="25"/>
      <c r="JZ27" s="25"/>
      <c r="KA27" s="25"/>
      <c r="KB27" s="36"/>
    </row>
    <row r="28" spans="2:288" ht="15" customHeight="1" x14ac:dyDescent="0.25">
      <c r="B28" s="216" t="s">
        <v>323</v>
      </c>
      <c r="C28" s="218" t="str">
        <v/>
      </c>
      <c r="D28" s="218" t="str">
        <v/>
      </c>
      <c r="E28" s="218" t="str">
        <v/>
      </c>
      <c r="F28" s="218" t="str">
        <v/>
      </c>
      <c r="G28" s="402" t="str">
        <v/>
      </c>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36"/>
      <c r="DX28" s="25"/>
      <c r="DY28" s="25"/>
      <c r="DZ28" s="25"/>
      <c r="EA28" s="25"/>
      <c r="EB28" s="25"/>
      <c r="EC28" s="25"/>
      <c r="ED28" s="25"/>
      <c r="EE28" s="25"/>
      <c r="EF28" s="25"/>
      <c r="EG28" s="25"/>
      <c r="EH28" s="25"/>
      <c r="EI28" s="25"/>
      <c r="EJ28" s="25"/>
      <c r="EK28" s="25"/>
      <c r="EL28" s="25"/>
      <c r="EM28" s="25"/>
      <c r="EN28" s="25"/>
      <c r="EO28" s="25"/>
      <c r="EP28" s="25"/>
      <c r="EQ28" s="25"/>
      <c r="ER28" s="36"/>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36"/>
      <c r="JH28" s="25"/>
      <c r="JI28" s="25"/>
      <c r="JJ28" s="25"/>
      <c r="JK28" s="25"/>
      <c r="JL28" s="25"/>
      <c r="JM28" s="25"/>
      <c r="JN28" s="25"/>
      <c r="JO28" s="25"/>
      <c r="JP28" s="25"/>
      <c r="JQ28" s="25"/>
      <c r="JR28" s="25"/>
      <c r="JS28" s="25"/>
      <c r="JT28" s="25"/>
      <c r="JU28" s="25"/>
      <c r="JV28" s="25"/>
      <c r="JW28" s="25"/>
      <c r="JX28" s="25"/>
      <c r="JY28" s="25"/>
      <c r="JZ28" s="25"/>
      <c r="KA28" s="25"/>
      <c r="KB28" s="36"/>
    </row>
    <row r="29" spans="2:288" ht="15" customHeight="1" x14ac:dyDescent="0.25">
      <c r="B29" s="216" t="s">
        <v>324</v>
      </c>
      <c r="C29" s="218" t="str">
        <v/>
      </c>
      <c r="D29" s="218" t="str">
        <v/>
      </c>
      <c r="E29" s="218" t="str">
        <v/>
      </c>
      <c r="F29" s="218" t="str">
        <v/>
      </c>
      <c r="G29" s="402" t="str">
        <v/>
      </c>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36"/>
      <c r="DX29" s="25"/>
      <c r="DY29" s="25"/>
      <c r="DZ29" s="25"/>
      <c r="EA29" s="25"/>
      <c r="EB29" s="25"/>
      <c r="EC29" s="25"/>
      <c r="ED29" s="25"/>
      <c r="EE29" s="25"/>
      <c r="EF29" s="25"/>
      <c r="EG29" s="25"/>
      <c r="EH29" s="25"/>
      <c r="EI29" s="25"/>
      <c r="EJ29" s="25"/>
      <c r="EK29" s="25"/>
      <c r="EL29" s="25"/>
      <c r="EM29" s="25"/>
      <c r="EN29" s="25"/>
      <c r="EO29" s="25"/>
      <c r="EP29" s="25"/>
      <c r="EQ29" s="25"/>
      <c r="ER29" s="36"/>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36"/>
      <c r="JH29" s="25"/>
      <c r="JI29" s="25"/>
      <c r="JJ29" s="25"/>
      <c r="JK29" s="25"/>
      <c r="JL29" s="25"/>
      <c r="JM29" s="25"/>
      <c r="JN29" s="25"/>
      <c r="JO29" s="25"/>
      <c r="JP29" s="25"/>
      <c r="JQ29" s="25"/>
      <c r="JR29" s="25"/>
      <c r="JS29" s="25"/>
      <c r="JT29" s="25"/>
      <c r="JU29" s="25"/>
      <c r="JV29" s="25"/>
      <c r="JW29" s="25"/>
      <c r="JX29" s="25"/>
      <c r="JY29" s="25"/>
      <c r="JZ29" s="25"/>
      <c r="KA29" s="25"/>
      <c r="KB29" s="36"/>
    </row>
    <row r="30" spans="2:288" ht="15" customHeight="1" x14ac:dyDescent="0.25">
      <c r="B30" s="216" t="s">
        <v>325</v>
      </c>
      <c r="C30" s="218" t="str">
        <v/>
      </c>
      <c r="D30" s="218" t="str">
        <v/>
      </c>
      <c r="E30" s="218" t="str">
        <v/>
      </c>
      <c r="F30" s="218" t="str">
        <v/>
      </c>
      <c r="G30" s="402" t="str">
        <v/>
      </c>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36"/>
      <c r="DX30" s="25"/>
      <c r="DY30" s="25"/>
      <c r="DZ30" s="25"/>
      <c r="EA30" s="25"/>
      <c r="EB30" s="25"/>
      <c r="EC30" s="25"/>
      <c r="ED30" s="25"/>
      <c r="EE30" s="25"/>
      <c r="EF30" s="25"/>
      <c r="EG30" s="25"/>
      <c r="EH30" s="25"/>
      <c r="EI30" s="25"/>
      <c r="EJ30" s="25"/>
      <c r="EK30" s="25"/>
      <c r="EL30" s="25"/>
      <c r="EM30" s="25"/>
      <c r="EN30" s="25"/>
      <c r="EO30" s="25"/>
      <c r="EP30" s="25"/>
      <c r="EQ30" s="25"/>
      <c r="ER30" s="36"/>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36"/>
      <c r="JH30" s="25"/>
      <c r="JI30" s="25"/>
      <c r="JJ30" s="25"/>
      <c r="JK30" s="25"/>
      <c r="JL30" s="25"/>
      <c r="JM30" s="25"/>
      <c r="JN30" s="25"/>
      <c r="JO30" s="25"/>
      <c r="JP30" s="25"/>
      <c r="JQ30" s="25"/>
      <c r="JR30" s="25"/>
      <c r="JS30" s="25"/>
      <c r="JT30" s="25"/>
      <c r="JU30" s="25"/>
      <c r="JV30" s="25"/>
      <c r="JW30" s="25"/>
      <c r="JX30" s="25"/>
      <c r="JY30" s="25"/>
      <c r="JZ30" s="25"/>
      <c r="KA30" s="25"/>
      <c r="KB30" s="36"/>
    </row>
    <row r="31" spans="2:288" ht="15" customHeight="1" x14ac:dyDescent="0.25">
      <c r="B31" s="216" t="s">
        <v>326</v>
      </c>
      <c r="C31" s="218" t="str">
        <v/>
      </c>
      <c r="D31" s="218" t="str">
        <v/>
      </c>
      <c r="E31" s="218" t="str">
        <v/>
      </c>
      <c r="F31" s="218" t="str">
        <v/>
      </c>
      <c r="G31" s="402" t="str">
        <v/>
      </c>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36"/>
      <c r="DX31" s="25"/>
      <c r="DY31" s="25"/>
      <c r="DZ31" s="25"/>
      <c r="EA31" s="25"/>
      <c r="EB31" s="25"/>
      <c r="EC31" s="25"/>
      <c r="ED31" s="25"/>
      <c r="EE31" s="25"/>
      <c r="EF31" s="25"/>
      <c r="EG31" s="25"/>
      <c r="EH31" s="25"/>
      <c r="EI31" s="25"/>
      <c r="EJ31" s="25"/>
      <c r="EK31" s="25"/>
      <c r="EL31" s="25"/>
      <c r="EM31" s="25"/>
      <c r="EN31" s="25"/>
      <c r="EO31" s="25"/>
      <c r="EP31" s="25"/>
      <c r="EQ31" s="25"/>
      <c r="ER31" s="36"/>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36"/>
      <c r="JH31" s="25"/>
      <c r="JI31" s="25"/>
      <c r="JJ31" s="25"/>
      <c r="JK31" s="25"/>
      <c r="JL31" s="25"/>
      <c r="JM31" s="25"/>
      <c r="JN31" s="25"/>
      <c r="JO31" s="25"/>
      <c r="JP31" s="25"/>
      <c r="JQ31" s="25"/>
      <c r="JR31" s="25"/>
      <c r="JS31" s="25"/>
      <c r="JT31" s="25"/>
      <c r="JU31" s="25"/>
      <c r="JV31" s="25"/>
      <c r="JW31" s="25"/>
      <c r="JX31" s="25"/>
      <c r="JY31" s="25"/>
      <c r="JZ31" s="25"/>
      <c r="KA31" s="25"/>
      <c r="KB31" s="36"/>
    </row>
    <row r="32" spans="2:288" ht="15" customHeight="1" x14ac:dyDescent="0.25">
      <c r="B32" s="216" t="s">
        <v>327</v>
      </c>
      <c r="C32" s="218" t="str">
        <v/>
      </c>
      <c r="D32" s="218" t="str">
        <v/>
      </c>
      <c r="E32" s="218" t="str">
        <v/>
      </c>
      <c r="F32" s="218" t="str">
        <v/>
      </c>
      <c r="G32" s="402" t="str">
        <v/>
      </c>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36"/>
      <c r="DX32" s="25"/>
      <c r="DY32" s="25"/>
      <c r="DZ32" s="25"/>
      <c r="EA32" s="25"/>
      <c r="EB32" s="25"/>
      <c r="EC32" s="25"/>
      <c r="ED32" s="25"/>
      <c r="EE32" s="25"/>
      <c r="EF32" s="25"/>
      <c r="EG32" s="25"/>
      <c r="EH32" s="25"/>
      <c r="EI32" s="25"/>
      <c r="EJ32" s="25"/>
      <c r="EK32" s="25"/>
      <c r="EL32" s="25"/>
      <c r="EM32" s="25"/>
      <c r="EN32" s="25"/>
      <c r="EO32" s="25"/>
      <c r="EP32" s="25"/>
      <c r="EQ32" s="25"/>
      <c r="ER32" s="36"/>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36"/>
      <c r="JH32" s="25"/>
      <c r="JI32" s="25"/>
      <c r="JJ32" s="25"/>
      <c r="JK32" s="25"/>
      <c r="JL32" s="25"/>
      <c r="JM32" s="25"/>
      <c r="JN32" s="25"/>
      <c r="JO32" s="25"/>
      <c r="JP32" s="25"/>
      <c r="JQ32" s="25"/>
      <c r="JR32" s="25"/>
      <c r="JS32" s="25"/>
      <c r="JT32" s="25"/>
      <c r="JU32" s="25"/>
      <c r="JV32" s="25"/>
      <c r="JW32" s="25"/>
      <c r="JX32" s="25"/>
      <c r="JY32" s="25"/>
      <c r="JZ32" s="25"/>
      <c r="KA32" s="25"/>
      <c r="KB32" s="36"/>
    </row>
    <row r="33" spans="2:288" ht="15" customHeight="1" x14ac:dyDescent="0.25">
      <c r="B33" s="216" t="s">
        <v>328</v>
      </c>
      <c r="C33" s="218" t="str">
        <v/>
      </c>
      <c r="D33" s="218" t="str">
        <v/>
      </c>
      <c r="E33" s="218" t="str">
        <v/>
      </c>
      <c r="F33" s="218" t="str">
        <v/>
      </c>
      <c r="G33" s="402" t="str">
        <v/>
      </c>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36"/>
      <c r="DX33" s="25"/>
      <c r="DY33" s="25"/>
      <c r="DZ33" s="25"/>
      <c r="EA33" s="25"/>
      <c r="EB33" s="25"/>
      <c r="EC33" s="25"/>
      <c r="ED33" s="25"/>
      <c r="EE33" s="25"/>
      <c r="EF33" s="25"/>
      <c r="EG33" s="25"/>
      <c r="EH33" s="25"/>
      <c r="EI33" s="25"/>
      <c r="EJ33" s="25"/>
      <c r="EK33" s="25"/>
      <c r="EL33" s="25"/>
      <c r="EM33" s="25"/>
      <c r="EN33" s="25"/>
      <c r="EO33" s="25"/>
      <c r="EP33" s="25"/>
      <c r="EQ33" s="25"/>
      <c r="ER33" s="36"/>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36"/>
      <c r="JH33" s="25"/>
      <c r="JI33" s="25"/>
      <c r="JJ33" s="25"/>
      <c r="JK33" s="25"/>
      <c r="JL33" s="25"/>
      <c r="JM33" s="25"/>
      <c r="JN33" s="25"/>
      <c r="JO33" s="25"/>
      <c r="JP33" s="25"/>
      <c r="JQ33" s="25"/>
      <c r="JR33" s="25"/>
      <c r="JS33" s="25"/>
      <c r="JT33" s="25"/>
      <c r="JU33" s="25"/>
      <c r="JV33" s="25"/>
      <c r="JW33" s="25"/>
      <c r="JX33" s="25"/>
      <c r="JY33" s="25"/>
      <c r="JZ33" s="25"/>
      <c r="KA33" s="25"/>
      <c r="KB33" s="36"/>
    </row>
    <row r="34" spans="2:288" ht="15" customHeight="1" x14ac:dyDescent="0.25">
      <c r="B34" s="216" t="s">
        <v>329</v>
      </c>
      <c r="C34" s="218" t="str">
        <v/>
      </c>
      <c r="D34" s="218" t="str">
        <v/>
      </c>
      <c r="E34" s="218" t="str">
        <v/>
      </c>
      <c r="F34" s="218" t="str">
        <v/>
      </c>
      <c r="G34" s="402" t="str">
        <v/>
      </c>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36"/>
      <c r="DX34" s="25"/>
      <c r="DY34" s="25"/>
      <c r="DZ34" s="25"/>
      <c r="EA34" s="25"/>
      <c r="EB34" s="25"/>
      <c r="EC34" s="25"/>
      <c r="ED34" s="25"/>
      <c r="EE34" s="25"/>
      <c r="EF34" s="25"/>
      <c r="EG34" s="25"/>
      <c r="EH34" s="25"/>
      <c r="EI34" s="25"/>
      <c r="EJ34" s="25"/>
      <c r="EK34" s="25"/>
      <c r="EL34" s="25"/>
      <c r="EM34" s="25"/>
      <c r="EN34" s="25"/>
      <c r="EO34" s="25"/>
      <c r="EP34" s="25"/>
      <c r="EQ34" s="25"/>
      <c r="ER34" s="36"/>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36"/>
      <c r="JH34" s="25"/>
      <c r="JI34" s="25"/>
      <c r="JJ34" s="25"/>
      <c r="JK34" s="25"/>
      <c r="JL34" s="25"/>
      <c r="JM34" s="25"/>
      <c r="JN34" s="25"/>
      <c r="JO34" s="25"/>
      <c r="JP34" s="25"/>
      <c r="JQ34" s="25"/>
      <c r="JR34" s="25"/>
      <c r="JS34" s="25"/>
      <c r="JT34" s="25"/>
      <c r="JU34" s="25"/>
      <c r="JV34" s="25"/>
      <c r="JW34" s="25"/>
      <c r="JX34" s="25"/>
      <c r="JY34" s="25"/>
      <c r="JZ34" s="25"/>
      <c r="KA34" s="25"/>
      <c r="KB34" s="36"/>
    </row>
    <row r="35" spans="2:288" ht="15" customHeight="1" x14ac:dyDescent="0.25">
      <c r="B35" s="216" t="s">
        <v>330</v>
      </c>
      <c r="C35" s="218" t="str">
        <v/>
      </c>
      <c r="D35" s="218" t="str">
        <v/>
      </c>
      <c r="E35" s="218" t="str">
        <v/>
      </c>
      <c r="F35" s="218" t="str">
        <v/>
      </c>
      <c r="G35" s="402" t="str">
        <v/>
      </c>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36"/>
      <c r="DX35" s="25"/>
      <c r="DY35" s="25"/>
      <c r="DZ35" s="25"/>
      <c r="EA35" s="25"/>
      <c r="EB35" s="25"/>
      <c r="EC35" s="25"/>
      <c r="ED35" s="25"/>
      <c r="EE35" s="25"/>
      <c r="EF35" s="25"/>
      <c r="EG35" s="25"/>
      <c r="EH35" s="25"/>
      <c r="EI35" s="25"/>
      <c r="EJ35" s="25"/>
      <c r="EK35" s="25"/>
      <c r="EL35" s="25"/>
      <c r="EM35" s="25"/>
      <c r="EN35" s="25"/>
      <c r="EO35" s="25"/>
      <c r="EP35" s="25"/>
      <c r="EQ35" s="25"/>
      <c r="ER35" s="36"/>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36"/>
      <c r="JH35" s="25"/>
      <c r="JI35" s="25"/>
      <c r="JJ35" s="25"/>
      <c r="JK35" s="25"/>
      <c r="JL35" s="25"/>
      <c r="JM35" s="25"/>
      <c r="JN35" s="25"/>
      <c r="JO35" s="25"/>
      <c r="JP35" s="25"/>
      <c r="JQ35" s="25"/>
      <c r="JR35" s="25"/>
      <c r="JS35" s="25"/>
      <c r="JT35" s="25"/>
      <c r="JU35" s="25"/>
      <c r="JV35" s="25"/>
      <c r="JW35" s="25"/>
      <c r="JX35" s="25"/>
      <c r="JY35" s="25"/>
      <c r="JZ35" s="25"/>
      <c r="KA35" s="25"/>
      <c r="KB35" s="36"/>
    </row>
    <row r="36" spans="2:288" ht="15" customHeight="1" x14ac:dyDescent="0.25">
      <c r="B36" s="216" t="s">
        <v>331</v>
      </c>
      <c r="C36" s="218" t="str">
        <v/>
      </c>
      <c r="D36" s="218" t="str">
        <v/>
      </c>
      <c r="E36" s="218" t="str">
        <v/>
      </c>
      <c r="F36" s="218" t="str">
        <v/>
      </c>
      <c r="G36" s="402" t="str">
        <v/>
      </c>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36"/>
      <c r="DX36" s="25"/>
      <c r="DY36" s="25"/>
      <c r="DZ36" s="25"/>
      <c r="EA36" s="25"/>
      <c r="EB36" s="25"/>
      <c r="EC36" s="25"/>
      <c r="ED36" s="25"/>
      <c r="EE36" s="25"/>
      <c r="EF36" s="25"/>
      <c r="EG36" s="25"/>
      <c r="EH36" s="25"/>
      <c r="EI36" s="25"/>
      <c r="EJ36" s="25"/>
      <c r="EK36" s="25"/>
      <c r="EL36" s="25"/>
      <c r="EM36" s="25"/>
      <c r="EN36" s="25"/>
      <c r="EO36" s="25"/>
      <c r="EP36" s="25"/>
      <c r="EQ36" s="25"/>
      <c r="ER36" s="36"/>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36"/>
      <c r="JH36" s="25"/>
      <c r="JI36" s="25"/>
      <c r="JJ36" s="25"/>
      <c r="JK36" s="25"/>
      <c r="JL36" s="25"/>
      <c r="JM36" s="25"/>
      <c r="JN36" s="25"/>
      <c r="JO36" s="25"/>
      <c r="JP36" s="25"/>
      <c r="JQ36" s="25"/>
      <c r="JR36" s="25"/>
      <c r="JS36" s="25"/>
      <c r="JT36" s="25"/>
      <c r="JU36" s="25"/>
      <c r="JV36" s="25"/>
      <c r="JW36" s="25"/>
      <c r="JX36" s="25"/>
      <c r="JY36" s="25"/>
      <c r="JZ36" s="25"/>
      <c r="KA36" s="25"/>
      <c r="KB36" s="36"/>
    </row>
    <row r="37" spans="2:288" ht="15" customHeight="1" x14ac:dyDescent="0.25">
      <c r="B37" s="216" t="s">
        <v>332</v>
      </c>
      <c r="C37" s="218" t="str">
        <v/>
      </c>
      <c r="D37" s="218" t="str">
        <v/>
      </c>
      <c r="E37" s="218" t="str">
        <v/>
      </c>
      <c r="F37" s="218" t="str">
        <v/>
      </c>
      <c r="G37" s="402" t="str">
        <v/>
      </c>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36"/>
      <c r="DX37" s="25"/>
      <c r="DY37" s="25"/>
      <c r="DZ37" s="25"/>
      <c r="EA37" s="25"/>
      <c r="EB37" s="25"/>
      <c r="EC37" s="25"/>
      <c r="ED37" s="25"/>
      <c r="EE37" s="25"/>
      <c r="EF37" s="25"/>
      <c r="EG37" s="25"/>
      <c r="EH37" s="25"/>
      <c r="EI37" s="25"/>
      <c r="EJ37" s="25"/>
      <c r="EK37" s="25"/>
      <c r="EL37" s="25"/>
      <c r="EM37" s="25"/>
      <c r="EN37" s="25"/>
      <c r="EO37" s="25"/>
      <c r="EP37" s="25"/>
      <c r="EQ37" s="25"/>
      <c r="ER37" s="36"/>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36"/>
      <c r="JH37" s="25"/>
      <c r="JI37" s="25"/>
      <c r="JJ37" s="25"/>
      <c r="JK37" s="25"/>
      <c r="JL37" s="25"/>
      <c r="JM37" s="25"/>
      <c r="JN37" s="25"/>
      <c r="JO37" s="25"/>
      <c r="JP37" s="25"/>
      <c r="JQ37" s="25"/>
      <c r="JR37" s="25"/>
      <c r="JS37" s="25"/>
      <c r="JT37" s="25"/>
      <c r="JU37" s="25"/>
      <c r="JV37" s="25"/>
      <c r="JW37" s="25"/>
      <c r="JX37" s="25"/>
      <c r="JY37" s="25"/>
      <c r="JZ37" s="25"/>
      <c r="KA37" s="25"/>
      <c r="KB37" s="36"/>
    </row>
    <row r="38" spans="2:288" ht="15" customHeight="1" x14ac:dyDescent="0.25">
      <c r="B38" s="216" t="s">
        <v>333</v>
      </c>
      <c r="C38" s="218" t="str">
        <v/>
      </c>
      <c r="D38" s="218" t="str">
        <v/>
      </c>
      <c r="E38" s="218" t="str">
        <v/>
      </c>
      <c r="F38" s="218" t="str">
        <v/>
      </c>
      <c r="G38" s="402" t="str">
        <v/>
      </c>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36"/>
      <c r="DX38" s="25"/>
      <c r="DY38" s="25"/>
      <c r="DZ38" s="25"/>
      <c r="EA38" s="25"/>
      <c r="EB38" s="25"/>
      <c r="EC38" s="25"/>
      <c r="ED38" s="25"/>
      <c r="EE38" s="25"/>
      <c r="EF38" s="25"/>
      <c r="EG38" s="25"/>
      <c r="EH38" s="25"/>
      <c r="EI38" s="25"/>
      <c r="EJ38" s="25"/>
      <c r="EK38" s="25"/>
      <c r="EL38" s="25"/>
      <c r="EM38" s="25"/>
      <c r="EN38" s="25"/>
      <c r="EO38" s="25"/>
      <c r="EP38" s="25"/>
      <c r="EQ38" s="25"/>
      <c r="ER38" s="36"/>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36"/>
      <c r="JH38" s="25"/>
      <c r="JI38" s="25"/>
      <c r="JJ38" s="25"/>
      <c r="JK38" s="25"/>
      <c r="JL38" s="25"/>
      <c r="JM38" s="25"/>
      <c r="JN38" s="25"/>
      <c r="JO38" s="25"/>
      <c r="JP38" s="25"/>
      <c r="JQ38" s="25"/>
      <c r="JR38" s="25"/>
      <c r="JS38" s="25"/>
      <c r="JT38" s="25"/>
      <c r="JU38" s="25"/>
      <c r="JV38" s="25"/>
      <c r="JW38" s="25"/>
      <c r="JX38" s="25"/>
      <c r="JY38" s="25"/>
      <c r="JZ38" s="25"/>
      <c r="KA38" s="25"/>
      <c r="KB38" s="36"/>
    </row>
    <row r="39" spans="2:288" ht="15" customHeight="1" x14ac:dyDescent="0.25">
      <c r="B39" s="216" t="s">
        <v>334</v>
      </c>
      <c r="C39" s="218" t="str">
        <v/>
      </c>
      <c r="D39" s="218" t="str">
        <v/>
      </c>
      <c r="E39" s="218" t="str">
        <v/>
      </c>
      <c r="F39" s="218" t="str">
        <v/>
      </c>
      <c r="G39" s="402" t="str">
        <v/>
      </c>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36"/>
      <c r="DX39" s="25"/>
      <c r="DY39" s="25"/>
      <c r="DZ39" s="25"/>
      <c r="EA39" s="25"/>
      <c r="EB39" s="25"/>
      <c r="EC39" s="25"/>
      <c r="ED39" s="25"/>
      <c r="EE39" s="25"/>
      <c r="EF39" s="25"/>
      <c r="EG39" s="25"/>
      <c r="EH39" s="25"/>
      <c r="EI39" s="25"/>
      <c r="EJ39" s="25"/>
      <c r="EK39" s="25"/>
      <c r="EL39" s="25"/>
      <c r="EM39" s="25"/>
      <c r="EN39" s="25"/>
      <c r="EO39" s="25"/>
      <c r="EP39" s="25"/>
      <c r="EQ39" s="25"/>
      <c r="ER39" s="36"/>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36"/>
      <c r="JH39" s="25"/>
      <c r="JI39" s="25"/>
      <c r="JJ39" s="25"/>
      <c r="JK39" s="25"/>
      <c r="JL39" s="25"/>
      <c r="JM39" s="25"/>
      <c r="JN39" s="25"/>
      <c r="JO39" s="25"/>
      <c r="JP39" s="25"/>
      <c r="JQ39" s="25"/>
      <c r="JR39" s="25"/>
      <c r="JS39" s="25"/>
      <c r="JT39" s="25"/>
      <c r="JU39" s="25"/>
      <c r="JV39" s="25"/>
      <c r="JW39" s="25"/>
      <c r="JX39" s="25"/>
      <c r="JY39" s="25"/>
      <c r="JZ39" s="25"/>
      <c r="KA39" s="25"/>
      <c r="KB39" s="36"/>
    </row>
    <row r="40" spans="2:288" ht="15" customHeight="1" x14ac:dyDescent="0.25">
      <c r="B40" s="216" t="s">
        <v>335</v>
      </c>
      <c r="C40" s="218" t="str">
        <v/>
      </c>
      <c r="D40" s="218" t="str">
        <v/>
      </c>
      <c r="E40" s="218" t="str">
        <v/>
      </c>
      <c r="F40" s="218" t="str">
        <v/>
      </c>
      <c r="G40" s="402" t="str">
        <v/>
      </c>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36"/>
      <c r="DX40" s="25"/>
      <c r="DY40" s="25"/>
      <c r="DZ40" s="25"/>
      <c r="EA40" s="25"/>
      <c r="EB40" s="25"/>
      <c r="EC40" s="25"/>
      <c r="ED40" s="25"/>
      <c r="EE40" s="25"/>
      <c r="EF40" s="25"/>
      <c r="EG40" s="25"/>
      <c r="EH40" s="25"/>
      <c r="EI40" s="25"/>
      <c r="EJ40" s="25"/>
      <c r="EK40" s="25"/>
      <c r="EL40" s="25"/>
      <c r="EM40" s="25"/>
      <c r="EN40" s="25"/>
      <c r="EO40" s="25"/>
      <c r="EP40" s="25"/>
      <c r="EQ40" s="25"/>
      <c r="ER40" s="36"/>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36"/>
      <c r="JH40" s="25"/>
      <c r="JI40" s="25"/>
      <c r="JJ40" s="25"/>
      <c r="JK40" s="25"/>
      <c r="JL40" s="25"/>
      <c r="JM40" s="25"/>
      <c r="JN40" s="25"/>
      <c r="JO40" s="25"/>
      <c r="JP40" s="25"/>
      <c r="JQ40" s="25"/>
      <c r="JR40" s="25"/>
      <c r="JS40" s="25"/>
      <c r="JT40" s="25"/>
      <c r="JU40" s="25"/>
      <c r="JV40" s="25"/>
      <c r="JW40" s="25"/>
      <c r="JX40" s="25"/>
      <c r="JY40" s="25"/>
      <c r="JZ40" s="25"/>
      <c r="KA40" s="25"/>
      <c r="KB40" s="36"/>
    </row>
    <row r="41" spans="2:288" ht="15" customHeight="1" x14ac:dyDescent="0.25">
      <c r="B41" s="216" t="s">
        <v>336</v>
      </c>
      <c r="C41" s="218" t="str">
        <v/>
      </c>
      <c r="D41" s="218" t="str">
        <v/>
      </c>
      <c r="E41" s="218" t="str">
        <v/>
      </c>
      <c r="F41" s="218" t="str">
        <v/>
      </c>
      <c r="G41" s="402" t="str">
        <v/>
      </c>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36"/>
      <c r="DX41" s="25"/>
      <c r="DY41" s="25"/>
      <c r="DZ41" s="25"/>
      <c r="EA41" s="25"/>
      <c r="EB41" s="25"/>
      <c r="EC41" s="25"/>
      <c r="ED41" s="25"/>
      <c r="EE41" s="25"/>
      <c r="EF41" s="25"/>
      <c r="EG41" s="25"/>
      <c r="EH41" s="25"/>
      <c r="EI41" s="25"/>
      <c r="EJ41" s="25"/>
      <c r="EK41" s="25"/>
      <c r="EL41" s="25"/>
      <c r="EM41" s="25"/>
      <c r="EN41" s="25"/>
      <c r="EO41" s="25"/>
      <c r="EP41" s="25"/>
      <c r="EQ41" s="25"/>
      <c r="ER41" s="36"/>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36"/>
      <c r="JH41" s="25"/>
      <c r="JI41" s="25"/>
      <c r="JJ41" s="25"/>
      <c r="JK41" s="25"/>
      <c r="JL41" s="25"/>
      <c r="JM41" s="25"/>
      <c r="JN41" s="25"/>
      <c r="JO41" s="25"/>
      <c r="JP41" s="25"/>
      <c r="JQ41" s="25"/>
      <c r="JR41" s="25"/>
      <c r="JS41" s="25"/>
      <c r="JT41" s="25"/>
      <c r="JU41" s="25"/>
      <c r="JV41" s="25"/>
      <c r="JW41" s="25"/>
      <c r="JX41" s="25"/>
      <c r="JY41" s="25"/>
      <c r="JZ41" s="25"/>
      <c r="KA41" s="25"/>
      <c r="KB41" s="36"/>
    </row>
    <row r="42" spans="2:288" ht="15" customHeight="1" x14ac:dyDescent="0.25">
      <c r="B42" s="216" t="s">
        <v>337</v>
      </c>
      <c r="C42" s="218" t="str">
        <v/>
      </c>
      <c r="D42" s="218" t="str">
        <v/>
      </c>
      <c r="E42" s="218" t="str">
        <v/>
      </c>
      <c r="F42" s="218" t="str">
        <v/>
      </c>
      <c r="G42" s="402" t="str">
        <v/>
      </c>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36"/>
      <c r="DX42" s="25"/>
      <c r="DY42" s="25"/>
      <c r="DZ42" s="25"/>
      <c r="EA42" s="25"/>
      <c r="EB42" s="25"/>
      <c r="EC42" s="25"/>
      <c r="ED42" s="25"/>
      <c r="EE42" s="25"/>
      <c r="EF42" s="25"/>
      <c r="EG42" s="25"/>
      <c r="EH42" s="25"/>
      <c r="EI42" s="25"/>
      <c r="EJ42" s="25"/>
      <c r="EK42" s="25"/>
      <c r="EL42" s="25"/>
      <c r="EM42" s="25"/>
      <c r="EN42" s="25"/>
      <c r="EO42" s="25"/>
      <c r="EP42" s="25"/>
      <c r="EQ42" s="25"/>
      <c r="ER42" s="36"/>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36"/>
      <c r="JH42" s="25"/>
      <c r="JI42" s="25"/>
      <c r="JJ42" s="25"/>
      <c r="JK42" s="25"/>
      <c r="JL42" s="25"/>
      <c r="JM42" s="25"/>
      <c r="JN42" s="25"/>
      <c r="JO42" s="25"/>
      <c r="JP42" s="25"/>
      <c r="JQ42" s="25"/>
      <c r="JR42" s="25"/>
      <c r="JS42" s="25"/>
      <c r="JT42" s="25"/>
      <c r="JU42" s="25"/>
      <c r="JV42" s="25"/>
      <c r="JW42" s="25"/>
      <c r="JX42" s="25"/>
      <c r="JY42" s="25"/>
      <c r="JZ42" s="25"/>
      <c r="KA42" s="25"/>
      <c r="KB42" s="36"/>
    </row>
    <row r="43" spans="2:288" ht="15" customHeight="1" x14ac:dyDescent="0.25">
      <c r="B43" s="216" t="s">
        <v>338</v>
      </c>
      <c r="C43" s="218" t="str">
        <v/>
      </c>
      <c r="D43" s="218" t="str">
        <v/>
      </c>
      <c r="E43" s="218" t="str">
        <v/>
      </c>
      <c r="F43" s="218" t="str">
        <v/>
      </c>
      <c r="G43" s="402" t="str">
        <v/>
      </c>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36"/>
      <c r="DX43" s="25"/>
      <c r="DY43" s="25"/>
      <c r="DZ43" s="25"/>
      <c r="EA43" s="25"/>
      <c r="EB43" s="25"/>
      <c r="EC43" s="25"/>
      <c r="ED43" s="25"/>
      <c r="EE43" s="25"/>
      <c r="EF43" s="25"/>
      <c r="EG43" s="25"/>
      <c r="EH43" s="25"/>
      <c r="EI43" s="25"/>
      <c r="EJ43" s="25"/>
      <c r="EK43" s="25"/>
      <c r="EL43" s="25"/>
      <c r="EM43" s="25"/>
      <c r="EN43" s="25"/>
      <c r="EO43" s="25"/>
      <c r="EP43" s="25"/>
      <c r="EQ43" s="25"/>
      <c r="ER43" s="36"/>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36"/>
      <c r="JH43" s="25"/>
      <c r="JI43" s="25"/>
      <c r="JJ43" s="25"/>
      <c r="JK43" s="25"/>
      <c r="JL43" s="25"/>
      <c r="JM43" s="25"/>
      <c r="JN43" s="25"/>
      <c r="JO43" s="25"/>
      <c r="JP43" s="25"/>
      <c r="JQ43" s="25"/>
      <c r="JR43" s="25"/>
      <c r="JS43" s="25"/>
      <c r="JT43" s="25"/>
      <c r="JU43" s="25"/>
      <c r="JV43" s="25"/>
      <c r="JW43" s="25"/>
      <c r="JX43" s="25"/>
      <c r="JY43" s="25"/>
      <c r="JZ43" s="25"/>
      <c r="KA43" s="25"/>
      <c r="KB43" s="36"/>
    </row>
    <row r="44" spans="2:288" ht="15" customHeight="1" x14ac:dyDescent="0.25">
      <c r="B44" s="216" t="s">
        <v>339</v>
      </c>
      <c r="C44" s="218" t="str">
        <v/>
      </c>
      <c r="D44" s="218" t="str">
        <v/>
      </c>
      <c r="E44" s="218" t="str">
        <v/>
      </c>
      <c r="F44" s="218" t="str">
        <v/>
      </c>
      <c r="G44" s="402" t="str">
        <v/>
      </c>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36"/>
      <c r="DX44" s="25"/>
      <c r="DY44" s="25"/>
      <c r="DZ44" s="25"/>
      <c r="EA44" s="25"/>
      <c r="EB44" s="25"/>
      <c r="EC44" s="25"/>
      <c r="ED44" s="25"/>
      <c r="EE44" s="25"/>
      <c r="EF44" s="25"/>
      <c r="EG44" s="25"/>
      <c r="EH44" s="25"/>
      <c r="EI44" s="25"/>
      <c r="EJ44" s="25"/>
      <c r="EK44" s="25"/>
      <c r="EL44" s="25"/>
      <c r="EM44" s="25"/>
      <c r="EN44" s="25"/>
      <c r="EO44" s="25"/>
      <c r="EP44" s="25"/>
      <c r="EQ44" s="25"/>
      <c r="ER44" s="36"/>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36"/>
      <c r="JH44" s="25"/>
      <c r="JI44" s="25"/>
      <c r="JJ44" s="25"/>
      <c r="JK44" s="25"/>
      <c r="JL44" s="25"/>
      <c r="JM44" s="25"/>
      <c r="JN44" s="25"/>
      <c r="JO44" s="25"/>
      <c r="JP44" s="25"/>
      <c r="JQ44" s="25"/>
      <c r="JR44" s="25"/>
      <c r="JS44" s="25"/>
      <c r="JT44" s="25"/>
      <c r="JU44" s="25"/>
      <c r="JV44" s="25"/>
      <c r="JW44" s="25"/>
      <c r="JX44" s="25"/>
      <c r="JY44" s="25"/>
      <c r="JZ44" s="25"/>
      <c r="KA44" s="25"/>
      <c r="KB44" s="36"/>
    </row>
    <row r="45" spans="2:288" ht="15" customHeight="1" x14ac:dyDescent="0.25">
      <c r="B45" s="216" t="s">
        <v>340</v>
      </c>
      <c r="C45" s="218" t="str">
        <v/>
      </c>
      <c r="D45" s="218" t="str">
        <v/>
      </c>
      <c r="E45" s="218" t="str">
        <v/>
      </c>
      <c r="F45" s="218" t="str">
        <v/>
      </c>
      <c r="G45" s="402" t="str">
        <v/>
      </c>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36"/>
      <c r="DX45" s="25"/>
      <c r="DY45" s="25"/>
      <c r="DZ45" s="25"/>
      <c r="EA45" s="25"/>
      <c r="EB45" s="25"/>
      <c r="EC45" s="25"/>
      <c r="ED45" s="25"/>
      <c r="EE45" s="25"/>
      <c r="EF45" s="25"/>
      <c r="EG45" s="25"/>
      <c r="EH45" s="25"/>
      <c r="EI45" s="25"/>
      <c r="EJ45" s="25"/>
      <c r="EK45" s="25"/>
      <c r="EL45" s="25"/>
      <c r="EM45" s="25"/>
      <c r="EN45" s="25"/>
      <c r="EO45" s="25"/>
      <c r="EP45" s="25"/>
      <c r="EQ45" s="25"/>
      <c r="ER45" s="36"/>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36"/>
      <c r="JH45" s="25"/>
      <c r="JI45" s="25"/>
      <c r="JJ45" s="25"/>
      <c r="JK45" s="25"/>
      <c r="JL45" s="25"/>
      <c r="JM45" s="25"/>
      <c r="JN45" s="25"/>
      <c r="JO45" s="25"/>
      <c r="JP45" s="25"/>
      <c r="JQ45" s="25"/>
      <c r="JR45" s="25"/>
      <c r="JS45" s="25"/>
      <c r="JT45" s="25"/>
      <c r="JU45" s="25"/>
      <c r="JV45" s="25"/>
      <c r="JW45" s="25"/>
      <c r="JX45" s="25"/>
      <c r="JY45" s="25"/>
      <c r="JZ45" s="25"/>
      <c r="KA45" s="25"/>
      <c r="KB45" s="36"/>
    </row>
    <row r="46" spans="2:288" ht="15" customHeight="1" x14ac:dyDescent="0.25">
      <c r="B46" s="216" t="s">
        <v>341</v>
      </c>
      <c r="C46" s="218" t="str">
        <v/>
      </c>
      <c r="D46" s="218" t="str">
        <v/>
      </c>
      <c r="E46" s="218" t="str">
        <v/>
      </c>
      <c r="F46" s="218" t="str">
        <v/>
      </c>
      <c r="G46" s="402" t="str">
        <v/>
      </c>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36"/>
      <c r="DX46" s="25"/>
      <c r="DY46" s="25"/>
      <c r="DZ46" s="25"/>
      <c r="EA46" s="25"/>
      <c r="EB46" s="25"/>
      <c r="EC46" s="25"/>
      <c r="ED46" s="25"/>
      <c r="EE46" s="25"/>
      <c r="EF46" s="25"/>
      <c r="EG46" s="25"/>
      <c r="EH46" s="25"/>
      <c r="EI46" s="25"/>
      <c r="EJ46" s="25"/>
      <c r="EK46" s="25"/>
      <c r="EL46" s="25"/>
      <c r="EM46" s="25"/>
      <c r="EN46" s="25"/>
      <c r="EO46" s="25"/>
      <c r="EP46" s="25"/>
      <c r="EQ46" s="25"/>
      <c r="ER46" s="36"/>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36"/>
      <c r="JH46" s="25"/>
      <c r="JI46" s="25"/>
      <c r="JJ46" s="25"/>
      <c r="JK46" s="25"/>
      <c r="JL46" s="25"/>
      <c r="JM46" s="25"/>
      <c r="JN46" s="25"/>
      <c r="JO46" s="25"/>
      <c r="JP46" s="25"/>
      <c r="JQ46" s="25"/>
      <c r="JR46" s="25"/>
      <c r="JS46" s="25"/>
      <c r="JT46" s="25"/>
      <c r="JU46" s="25"/>
      <c r="JV46" s="25"/>
      <c r="JW46" s="25"/>
      <c r="JX46" s="25"/>
      <c r="JY46" s="25"/>
      <c r="JZ46" s="25"/>
      <c r="KA46" s="25"/>
      <c r="KB46" s="36"/>
    </row>
    <row r="47" spans="2:288" ht="15" customHeight="1" x14ac:dyDescent="0.25">
      <c r="B47" s="216" t="s">
        <v>342</v>
      </c>
      <c r="C47" s="218" t="str">
        <v/>
      </c>
      <c r="D47" s="218" t="str">
        <v/>
      </c>
      <c r="E47" s="218" t="str">
        <v/>
      </c>
      <c r="F47" s="218" t="str">
        <v/>
      </c>
      <c r="G47" s="402" t="str">
        <v/>
      </c>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36"/>
      <c r="DX47" s="25"/>
      <c r="DY47" s="25"/>
      <c r="DZ47" s="25"/>
      <c r="EA47" s="25"/>
      <c r="EB47" s="25"/>
      <c r="EC47" s="25"/>
      <c r="ED47" s="25"/>
      <c r="EE47" s="25"/>
      <c r="EF47" s="25"/>
      <c r="EG47" s="25"/>
      <c r="EH47" s="25"/>
      <c r="EI47" s="25"/>
      <c r="EJ47" s="25"/>
      <c r="EK47" s="25"/>
      <c r="EL47" s="25"/>
      <c r="EM47" s="25"/>
      <c r="EN47" s="25"/>
      <c r="EO47" s="25"/>
      <c r="EP47" s="25"/>
      <c r="EQ47" s="25"/>
      <c r="ER47" s="36"/>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36"/>
      <c r="JH47" s="25"/>
      <c r="JI47" s="25"/>
      <c r="JJ47" s="25"/>
      <c r="JK47" s="25"/>
      <c r="JL47" s="25"/>
      <c r="JM47" s="25"/>
      <c r="JN47" s="25"/>
      <c r="JO47" s="25"/>
      <c r="JP47" s="25"/>
      <c r="JQ47" s="25"/>
      <c r="JR47" s="25"/>
      <c r="JS47" s="25"/>
      <c r="JT47" s="25"/>
      <c r="JU47" s="25"/>
      <c r="JV47" s="25"/>
      <c r="JW47" s="25"/>
      <c r="JX47" s="25"/>
      <c r="JY47" s="25"/>
      <c r="JZ47" s="25"/>
      <c r="KA47" s="25"/>
      <c r="KB47" s="36"/>
    </row>
    <row r="48" spans="2:288" ht="15" customHeight="1" x14ac:dyDescent="0.25">
      <c r="B48" s="216" t="s">
        <v>343</v>
      </c>
      <c r="C48" s="218" t="str">
        <v/>
      </c>
      <c r="D48" s="218" t="str">
        <v/>
      </c>
      <c r="E48" s="218" t="str">
        <v/>
      </c>
      <c r="F48" s="218" t="str">
        <v/>
      </c>
      <c r="G48" s="402" t="str">
        <v/>
      </c>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36"/>
      <c r="DX48" s="25"/>
      <c r="DY48" s="25"/>
      <c r="DZ48" s="25"/>
      <c r="EA48" s="25"/>
      <c r="EB48" s="25"/>
      <c r="EC48" s="25"/>
      <c r="ED48" s="25"/>
      <c r="EE48" s="25"/>
      <c r="EF48" s="25"/>
      <c r="EG48" s="25"/>
      <c r="EH48" s="25"/>
      <c r="EI48" s="25"/>
      <c r="EJ48" s="25"/>
      <c r="EK48" s="25"/>
      <c r="EL48" s="25"/>
      <c r="EM48" s="25"/>
      <c r="EN48" s="25"/>
      <c r="EO48" s="25"/>
      <c r="EP48" s="25"/>
      <c r="EQ48" s="25"/>
      <c r="ER48" s="36"/>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36"/>
      <c r="JH48" s="25"/>
      <c r="JI48" s="25"/>
      <c r="JJ48" s="25"/>
      <c r="JK48" s="25"/>
      <c r="JL48" s="25"/>
      <c r="JM48" s="25"/>
      <c r="JN48" s="25"/>
      <c r="JO48" s="25"/>
      <c r="JP48" s="25"/>
      <c r="JQ48" s="25"/>
      <c r="JR48" s="25"/>
      <c r="JS48" s="25"/>
      <c r="JT48" s="25"/>
      <c r="JU48" s="25"/>
      <c r="JV48" s="25"/>
      <c r="JW48" s="25"/>
      <c r="JX48" s="25"/>
      <c r="JY48" s="25"/>
      <c r="JZ48" s="25"/>
      <c r="KA48" s="25"/>
      <c r="KB48" s="36"/>
    </row>
    <row r="49" spans="2:288" ht="15" customHeight="1" x14ac:dyDescent="0.25">
      <c r="B49" s="216" t="s">
        <v>344</v>
      </c>
      <c r="C49" s="218" t="str">
        <v/>
      </c>
      <c r="D49" s="218" t="str">
        <v/>
      </c>
      <c r="E49" s="218" t="str">
        <v/>
      </c>
      <c r="F49" s="218" t="str">
        <v/>
      </c>
      <c r="G49" s="402" t="str">
        <v/>
      </c>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36"/>
      <c r="DX49" s="25"/>
      <c r="DY49" s="25"/>
      <c r="DZ49" s="25"/>
      <c r="EA49" s="25"/>
      <c r="EB49" s="25"/>
      <c r="EC49" s="25"/>
      <c r="ED49" s="25"/>
      <c r="EE49" s="25"/>
      <c r="EF49" s="25"/>
      <c r="EG49" s="25"/>
      <c r="EH49" s="25"/>
      <c r="EI49" s="25"/>
      <c r="EJ49" s="25"/>
      <c r="EK49" s="25"/>
      <c r="EL49" s="25"/>
      <c r="EM49" s="25"/>
      <c r="EN49" s="25"/>
      <c r="EO49" s="25"/>
      <c r="EP49" s="25"/>
      <c r="EQ49" s="25"/>
      <c r="ER49" s="36"/>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36"/>
      <c r="JH49" s="25"/>
      <c r="JI49" s="25"/>
      <c r="JJ49" s="25"/>
      <c r="JK49" s="25"/>
      <c r="JL49" s="25"/>
      <c r="JM49" s="25"/>
      <c r="JN49" s="25"/>
      <c r="JO49" s="25"/>
      <c r="JP49" s="25"/>
      <c r="JQ49" s="25"/>
      <c r="JR49" s="25"/>
      <c r="JS49" s="25"/>
      <c r="JT49" s="25"/>
      <c r="JU49" s="25"/>
      <c r="JV49" s="25"/>
      <c r="JW49" s="25"/>
      <c r="JX49" s="25"/>
      <c r="JY49" s="25"/>
      <c r="JZ49" s="25"/>
      <c r="KA49" s="25"/>
      <c r="KB49" s="36"/>
    </row>
    <row r="50" spans="2:288" ht="15" customHeight="1" x14ac:dyDescent="0.25">
      <c r="B50" s="216" t="s">
        <v>345</v>
      </c>
      <c r="C50" s="218" t="str">
        <v/>
      </c>
      <c r="D50" s="218" t="str">
        <v/>
      </c>
      <c r="E50" s="218" t="str">
        <v/>
      </c>
      <c r="F50" s="218" t="str">
        <v/>
      </c>
      <c r="G50" s="402" t="str">
        <v/>
      </c>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36"/>
      <c r="DX50" s="25"/>
      <c r="DY50" s="25"/>
      <c r="DZ50" s="25"/>
      <c r="EA50" s="25"/>
      <c r="EB50" s="25"/>
      <c r="EC50" s="25"/>
      <c r="ED50" s="25"/>
      <c r="EE50" s="25"/>
      <c r="EF50" s="25"/>
      <c r="EG50" s="25"/>
      <c r="EH50" s="25"/>
      <c r="EI50" s="25"/>
      <c r="EJ50" s="25"/>
      <c r="EK50" s="25"/>
      <c r="EL50" s="25"/>
      <c r="EM50" s="25"/>
      <c r="EN50" s="25"/>
      <c r="EO50" s="25"/>
      <c r="EP50" s="25"/>
      <c r="EQ50" s="25"/>
      <c r="ER50" s="36"/>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36"/>
      <c r="JH50" s="25"/>
      <c r="JI50" s="25"/>
      <c r="JJ50" s="25"/>
      <c r="JK50" s="25"/>
      <c r="JL50" s="25"/>
      <c r="JM50" s="25"/>
      <c r="JN50" s="25"/>
      <c r="JO50" s="25"/>
      <c r="JP50" s="25"/>
      <c r="JQ50" s="25"/>
      <c r="JR50" s="25"/>
      <c r="JS50" s="25"/>
      <c r="JT50" s="25"/>
      <c r="JU50" s="25"/>
      <c r="JV50" s="25"/>
      <c r="JW50" s="25"/>
      <c r="JX50" s="25"/>
      <c r="JY50" s="25"/>
      <c r="JZ50" s="25"/>
      <c r="KA50" s="25"/>
      <c r="KB50" s="36"/>
    </row>
    <row r="51" spans="2:288" ht="15" customHeight="1" x14ac:dyDescent="0.25">
      <c r="B51" s="216" t="s">
        <v>346</v>
      </c>
      <c r="C51" s="218" t="str">
        <v/>
      </c>
      <c r="D51" s="218" t="str">
        <v/>
      </c>
      <c r="E51" s="218" t="str">
        <v/>
      </c>
      <c r="F51" s="218" t="str">
        <v/>
      </c>
      <c r="G51" s="402" t="str">
        <v/>
      </c>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36"/>
      <c r="DX51" s="25"/>
      <c r="DY51" s="25"/>
      <c r="DZ51" s="25"/>
      <c r="EA51" s="25"/>
      <c r="EB51" s="25"/>
      <c r="EC51" s="25"/>
      <c r="ED51" s="25"/>
      <c r="EE51" s="25"/>
      <c r="EF51" s="25"/>
      <c r="EG51" s="25"/>
      <c r="EH51" s="25"/>
      <c r="EI51" s="25"/>
      <c r="EJ51" s="25"/>
      <c r="EK51" s="25"/>
      <c r="EL51" s="25"/>
      <c r="EM51" s="25"/>
      <c r="EN51" s="25"/>
      <c r="EO51" s="25"/>
      <c r="EP51" s="25"/>
      <c r="EQ51" s="25"/>
      <c r="ER51" s="36"/>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36"/>
      <c r="JH51" s="25"/>
      <c r="JI51" s="25"/>
      <c r="JJ51" s="25"/>
      <c r="JK51" s="25"/>
      <c r="JL51" s="25"/>
      <c r="JM51" s="25"/>
      <c r="JN51" s="25"/>
      <c r="JO51" s="25"/>
      <c r="JP51" s="25"/>
      <c r="JQ51" s="25"/>
      <c r="JR51" s="25"/>
      <c r="JS51" s="25"/>
      <c r="JT51" s="25"/>
      <c r="JU51" s="25"/>
      <c r="JV51" s="25"/>
      <c r="JW51" s="25"/>
      <c r="JX51" s="25"/>
      <c r="JY51" s="25"/>
      <c r="JZ51" s="25"/>
      <c r="KA51" s="25"/>
      <c r="KB51" s="36"/>
    </row>
    <row r="52" spans="2:288" ht="15" customHeight="1" x14ac:dyDescent="0.25">
      <c r="B52" s="216" t="s">
        <v>347</v>
      </c>
      <c r="C52" s="218" t="str">
        <v/>
      </c>
      <c r="D52" s="218" t="str">
        <v/>
      </c>
      <c r="E52" s="218" t="str">
        <v/>
      </c>
      <c r="F52" s="218" t="str">
        <v/>
      </c>
      <c r="G52" s="402" t="str">
        <v/>
      </c>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36"/>
      <c r="DX52" s="25"/>
      <c r="DY52" s="25"/>
      <c r="DZ52" s="25"/>
      <c r="EA52" s="25"/>
      <c r="EB52" s="25"/>
      <c r="EC52" s="25"/>
      <c r="ED52" s="25"/>
      <c r="EE52" s="25"/>
      <c r="EF52" s="25"/>
      <c r="EG52" s="25"/>
      <c r="EH52" s="25"/>
      <c r="EI52" s="25"/>
      <c r="EJ52" s="25"/>
      <c r="EK52" s="25"/>
      <c r="EL52" s="25"/>
      <c r="EM52" s="25"/>
      <c r="EN52" s="25"/>
      <c r="EO52" s="25"/>
      <c r="EP52" s="25"/>
      <c r="EQ52" s="25"/>
      <c r="ER52" s="36"/>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36"/>
      <c r="JH52" s="25"/>
      <c r="JI52" s="25"/>
      <c r="JJ52" s="25"/>
      <c r="JK52" s="25"/>
      <c r="JL52" s="25"/>
      <c r="JM52" s="25"/>
      <c r="JN52" s="25"/>
      <c r="JO52" s="25"/>
      <c r="JP52" s="25"/>
      <c r="JQ52" s="25"/>
      <c r="JR52" s="25"/>
      <c r="JS52" s="25"/>
      <c r="JT52" s="25"/>
      <c r="JU52" s="25"/>
      <c r="JV52" s="25"/>
      <c r="JW52" s="25"/>
      <c r="JX52" s="25"/>
      <c r="JY52" s="25"/>
      <c r="JZ52" s="25"/>
      <c r="KA52" s="25"/>
      <c r="KB52" s="36"/>
    </row>
    <row r="53" spans="2:288" ht="15" customHeight="1" x14ac:dyDescent="0.25">
      <c r="B53" s="216" t="s">
        <v>348</v>
      </c>
      <c r="C53" s="218" t="str">
        <v/>
      </c>
      <c r="D53" s="218" t="str">
        <v/>
      </c>
      <c r="E53" s="218" t="str">
        <v/>
      </c>
      <c r="F53" s="218" t="str">
        <v/>
      </c>
      <c r="G53" s="402" t="str">
        <v/>
      </c>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36"/>
      <c r="DX53" s="25"/>
      <c r="DY53" s="25"/>
      <c r="DZ53" s="25"/>
      <c r="EA53" s="25"/>
      <c r="EB53" s="25"/>
      <c r="EC53" s="25"/>
      <c r="ED53" s="25"/>
      <c r="EE53" s="25"/>
      <c r="EF53" s="25"/>
      <c r="EG53" s="25"/>
      <c r="EH53" s="25"/>
      <c r="EI53" s="25"/>
      <c r="EJ53" s="25"/>
      <c r="EK53" s="25"/>
      <c r="EL53" s="25"/>
      <c r="EM53" s="25"/>
      <c r="EN53" s="25"/>
      <c r="EO53" s="25"/>
      <c r="EP53" s="25"/>
      <c r="EQ53" s="25"/>
      <c r="ER53" s="36"/>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36"/>
      <c r="JH53" s="25"/>
      <c r="JI53" s="25"/>
      <c r="JJ53" s="25"/>
      <c r="JK53" s="25"/>
      <c r="JL53" s="25"/>
      <c r="JM53" s="25"/>
      <c r="JN53" s="25"/>
      <c r="JO53" s="25"/>
      <c r="JP53" s="25"/>
      <c r="JQ53" s="25"/>
      <c r="JR53" s="25"/>
      <c r="JS53" s="25"/>
      <c r="JT53" s="25"/>
      <c r="JU53" s="25"/>
      <c r="JV53" s="25"/>
      <c r="JW53" s="25"/>
      <c r="JX53" s="25"/>
      <c r="JY53" s="25"/>
      <c r="JZ53" s="25"/>
      <c r="KA53" s="25"/>
      <c r="KB53" s="36"/>
    </row>
    <row r="54" spans="2:288" ht="15" customHeight="1" x14ac:dyDescent="0.25">
      <c r="B54" s="216" t="s">
        <v>349</v>
      </c>
      <c r="C54" s="218" t="str">
        <v/>
      </c>
      <c r="D54" s="218" t="str">
        <v/>
      </c>
      <c r="E54" s="218" t="str">
        <v/>
      </c>
      <c r="F54" s="218" t="str">
        <v/>
      </c>
      <c r="G54" s="402" t="str">
        <v/>
      </c>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36"/>
      <c r="DX54" s="25"/>
      <c r="DY54" s="25"/>
      <c r="DZ54" s="25"/>
      <c r="EA54" s="25"/>
      <c r="EB54" s="25"/>
      <c r="EC54" s="25"/>
      <c r="ED54" s="25"/>
      <c r="EE54" s="25"/>
      <c r="EF54" s="25"/>
      <c r="EG54" s="25"/>
      <c r="EH54" s="25"/>
      <c r="EI54" s="25"/>
      <c r="EJ54" s="25"/>
      <c r="EK54" s="25"/>
      <c r="EL54" s="25"/>
      <c r="EM54" s="25"/>
      <c r="EN54" s="25"/>
      <c r="EO54" s="25"/>
      <c r="EP54" s="25"/>
      <c r="EQ54" s="25"/>
      <c r="ER54" s="36"/>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36"/>
      <c r="JH54" s="25"/>
      <c r="JI54" s="25"/>
      <c r="JJ54" s="25"/>
      <c r="JK54" s="25"/>
      <c r="JL54" s="25"/>
      <c r="JM54" s="25"/>
      <c r="JN54" s="25"/>
      <c r="JO54" s="25"/>
      <c r="JP54" s="25"/>
      <c r="JQ54" s="25"/>
      <c r="JR54" s="25"/>
      <c r="JS54" s="25"/>
      <c r="JT54" s="25"/>
      <c r="JU54" s="25"/>
      <c r="JV54" s="25"/>
      <c r="JW54" s="25"/>
      <c r="JX54" s="25"/>
      <c r="JY54" s="25"/>
      <c r="JZ54" s="25"/>
      <c r="KA54" s="25"/>
      <c r="KB54" s="36"/>
    </row>
    <row r="55" spans="2:288" ht="15" customHeight="1" x14ac:dyDescent="0.25">
      <c r="B55" s="216" t="s">
        <v>350</v>
      </c>
      <c r="C55" s="218" t="str">
        <v/>
      </c>
      <c r="D55" s="218" t="str">
        <v/>
      </c>
      <c r="E55" s="218" t="str">
        <v/>
      </c>
      <c r="F55" s="218" t="str">
        <v/>
      </c>
      <c r="G55" s="402" t="str">
        <v/>
      </c>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36"/>
      <c r="DX55" s="25"/>
      <c r="DY55" s="25"/>
      <c r="DZ55" s="25"/>
      <c r="EA55" s="25"/>
      <c r="EB55" s="25"/>
      <c r="EC55" s="25"/>
      <c r="ED55" s="25"/>
      <c r="EE55" s="25"/>
      <c r="EF55" s="25"/>
      <c r="EG55" s="25"/>
      <c r="EH55" s="25"/>
      <c r="EI55" s="25"/>
      <c r="EJ55" s="25"/>
      <c r="EK55" s="25"/>
      <c r="EL55" s="25"/>
      <c r="EM55" s="25"/>
      <c r="EN55" s="25"/>
      <c r="EO55" s="25"/>
      <c r="EP55" s="25"/>
      <c r="EQ55" s="25"/>
      <c r="ER55" s="36"/>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36"/>
      <c r="JH55" s="25"/>
      <c r="JI55" s="25"/>
      <c r="JJ55" s="25"/>
      <c r="JK55" s="25"/>
      <c r="JL55" s="25"/>
      <c r="JM55" s="25"/>
      <c r="JN55" s="25"/>
      <c r="JO55" s="25"/>
      <c r="JP55" s="25"/>
      <c r="JQ55" s="25"/>
      <c r="JR55" s="25"/>
      <c r="JS55" s="25"/>
      <c r="JT55" s="25"/>
      <c r="JU55" s="25"/>
      <c r="JV55" s="25"/>
      <c r="JW55" s="25"/>
      <c r="JX55" s="25"/>
      <c r="JY55" s="25"/>
      <c r="JZ55" s="25"/>
      <c r="KA55" s="25"/>
      <c r="KB55" s="36"/>
    </row>
    <row r="56" spans="2:288" ht="15" customHeight="1" x14ac:dyDescent="0.25">
      <c r="B56" s="216" t="s">
        <v>351</v>
      </c>
      <c r="C56" s="218" t="str">
        <v/>
      </c>
      <c r="D56" s="218" t="str">
        <v/>
      </c>
      <c r="E56" s="218" t="str">
        <v/>
      </c>
      <c r="F56" s="218" t="str">
        <v/>
      </c>
      <c r="G56" s="402" t="str">
        <v/>
      </c>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36"/>
      <c r="DX56" s="25"/>
      <c r="DY56" s="25"/>
      <c r="DZ56" s="25"/>
      <c r="EA56" s="25"/>
      <c r="EB56" s="25"/>
      <c r="EC56" s="25"/>
      <c r="ED56" s="25"/>
      <c r="EE56" s="25"/>
      <c r="EF56" s="25"/>
      <c r="EG56" s="25"/>
      <c r="EH56" s="25"/>
      <c r="EI56" s="25"/>
      <c r="EJ56" s="25"/>
      <c r="EK56" s="25"/>
      <c r="EL56" s="25"/>
      <c r="EM56" s="25"/>
      <c r="EN56" s="25"/>
      <c r="EO56" s="25"/>
      <c r="EP56" s="25"/>
      <c r="EQ56" s="25"/>
      <c r="ER56" s="36"/>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36"/>
      <c r="JH56" s="25"/>
      <c r="JI56" s="25"/>
      <c r="JJ56" s="25"/>
      <c r="JK56" s="25"/>
      <c r="JL56" s="25"/>
      <c r="JM56" s="25"/>
      <c r="JN56" s="25"/>
      <c r="JO56" s="25"/>
      <c r="JP56" s="25"/>
      <c r="JQ56" s="25"/>
      <c r="JR56" s="25"/>
      <c r="JS56" s="25"/>
      <c r="JT56" s="25"/>
      <c r="JU56" s="25"/>
      <c r="JV56" s="25"/>
      <c r="JW56" s="25"/>
      <c r="JX56" s="25"/>
      <c r="JY56" s="25"/>
      <c r="JZ56" s="25"/>
      <c r="KA56" s="25"/>
      <c r="KB56" s="36"/>
    </row>
    <row r="57" spans="2:288" ht="15" customHeight="1" x14ac:dyDescent="0.25">
      <c r="B57" s="216" t="s">
        <v>352</v>
      </c>
      <c r="C57" s="218" t="str">
        <v/>
      </c>
      <c r="D57" s="218" t="str">
        <v/>
      </c>
      <c r="E57" s="218" t="str">
        <v/>
      </c>
      <c r="F57" s="218" t="str">
        <v/>
      </c>
      <c r="G57" s="402" t="str">
        <v/>
      </c>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36"/>
      <c r="DX57" s="25"/>
      <c r="DY57" s="25"/>
      <c r="DZ57" s="25"/>
      <c r="EA57" s="25"/>
      <c r="EB57" s="25"/>
      <c r="EC57" s="25"/>
      <c r="ED57" s="25"/>
      <c r="EE57" s="25"/>
      <c r="EF57" s="25"/>
      <c r="EG57" s="25"/>
      <c r="EH57" s="25"/>
      <c r="EI57" s="25"/>
      <c r="EJ57" s="25"/>
      <c r="EK57" s="25"/>
      <c r="EL57" s="25"/>
      <c r="EM57" s="25"/>
      <c r="EN57" s="25"/>
      <c r="EO57" s="25"/>
      <c r="EP57" s="25"/>
      <c r="EQ57" s="25"/>
      <c r="ER57" s="36"/>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36"/>
      <c r="JH57" s="25"/>
      <c r="JI57" s="25"/>
      <c r="JJ57" s="25"/>
      <c r="JK57" s="25"/>
      <c r="JL57" s="25"/>
      <c r="JM57" s="25"/>
      <c r="JN57" s="25"/>
      <c r="JO57" s="25"/>
      <c r="JP57" s="25"/>
      <c r="JQ57" s="25"/>
      <c r="JR57" s="25"/>
      <c r="JS57" s="25"/>
      <c r="JT57" s="25"/>
      <c r="JU57" s="25"/>
      <c r="JV57" s="25"/>
      <c r="JW57" s="25"/>
      <c r="JX57" s="25"/>
      <c r="JY57" s="25"/>
      <c r="JZ57" s="25"/>
      <c r="KA57" s="25"/>
      <c r="KB57" s="36"/>
    </row>
    <row r="58" spans="2:288" ht="15" customHeight="1" x14ac:dyDescent="0.25">
      <c r="B58" s="216" t="s">
        <v>353</v>
      </c>
      <c r="C58" s="218" t="str">
        <v/>
      </c>
      <c r="D58" s="218" t="str">
        <v/>
      </c>
      <c r="E58" s="218" t="str">
        <v/>
      </c>
      <c r="F58" s="218" t="str">
        <v/>
      </c>
      <c r="G58" s="402" t="str">
        <v/>
      </c>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36"/>
      <c r="DX58" s="25"/>
      <c r="DY58" s="25"/>
      <c r="DZ58" s="25"/>
      <c r="EA58" s="25"/>
      <c r="EB58" s="25"/>
      <c r="EC58" s="25"/>
      <c r="ED58" s="25"/>
      <c r="EE58" s="25"/>
      <c r="EF58" s="25"/>
      <c r="EG58" s="25"/>
      <c r="EH58" s="25"/>
      <c r="EI58" s="25"/>
      <c r="EJ58" s="25"/>
      <c r="EK58" s="25"/>
      <c r="EL58" s="25"/>
      <c r="EM58" s="25"/>
      <c r="EN58" s="25"/>
      <c r="EO58" s="25"/>
      <c r="EP58" s="25"/>
      <c r="EQ58" s="25"/>
      <c r="ER58" s="36"/>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36"/>
      <c r="JH58" s="25"/>
      <c r="JI58" s="25"/>
      <c r="JJ58" s="25"/>
      <c r="JK58" s="25"/>
      <c r="JL58" s="25"/>
      <c r="JM58" s="25"/>
      <c r="JN58" s="25"/>
      <c r="JO58" s="25"/>
      <c r="JP58" s="25"/>
      <c r="JQ58" s="25"/>
      <c r="JR58" s="25"/>
      <c r="JS58" s="25"/>
      <c r="JT58" s="25"/>
      <c r="JU58" s="25"/>
      <c r="JV58" s="25"/>
      <c r="JW58" s="25"/>
      <c r="JX58" s="25"/>
      <c r="JY58" s="25"/>
      <c r="JZ58" s="25"/>
      <c r="KA58" s="25"/>
      <c r="KB58" s="36"/>
    </row>
    <row r="59" spans="2:288" ht="15" customHeight="1" x14ac:dyDescent="0.25">
      <c r="B59" s="216" t="s">
        <v>354</v>
      </c>
      <c r="C59" s="218" t="str">
        <v/>
      </c>
      <c r="D59" s="218" t="str">
        <v/>
      </c>
      <c r="E59" s="218" t="str">
        <v/>
      </c>
      <c r="F59" s="218" t="str">
        <v/>
      </c>
      <c r="G59" s="402" t="str">
        <v/>
      </c>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36"/>
      <c r="DX59" s="25"/>
      <c r="DY59" s="25"/>
      <c r="DZ59" s="25"/>
      <c r="EA59" s="25"/>
      <c r="EB59" s="25"/>
      <c r="EC59" s="25"/>
      <c r="ED59" s="25"/>
      <c r="EE59" s="25"/>
      <c r="EF59" s="25"/>
      <c r="EG59" s="25"/>
      <c r="EH59" s="25"/>
      <c r="EI59" s="25"/>
      <c r="EJ59" s="25"/>
      <c r="EK59" s="25"/>
      <c r="EL59" s="25"/>
      <c r="EM59" s="25"/>
      <c r="EN59" s="25"/>
      <c r="EO59" s="25"/>
      <c r="EP59" s="25"/>
      <c r="EQ59" s="25"/>
      <c r="ER59" s="36"/>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36"/>
      <c r="JH59" s="25"/>
      <c r="JI59" s="25"/>
      <c r="JJ59" s="25"/>
      <c r="JK59" s="25"/>
      <c r="JL59" s="25"/>
      <c r="JM59" s="25"/>
      <c r="JN59" s="25"/>
      <c r="JO59" s="25"/>
      <c r="JP59" s="25"/>
      <c r="JQ59" s="25"/>
      <c r="JR59" s="25"/>
      <c r="JS59" s="25"/>
      <c r="JT59" s="25"/>
      <c r="JU59" s="25"/>
      <c r="JV59" s="25"/>
      <c r="JW59" s="25"/>
      <c r="JX59" s="25"/>
      <c r="JY59" s="25"/>
      <c r="JZ59" s="25"/>
      <c r="KA59" s="25"/>
      <c r="KB59" s="36"/>
    </row>
    <row r="60" spans="2:288" ht="15" customHeight="1" x14ac:dyDescent="0.25">
      <c r="B60" s="216" t="s">
        <v>355</v>
      </c>
      <c r="C60" s="218" t="str">
        <v/>
      </c>
      <c r="D60" s="218" t="str">
        <v/>
      </c>
      <c r="E60" s="218" t="str">
        <v/>
      </c>
      <c r="F60" s="218" t="str">
        <v/>
      </c>
      <c r="G60" s="402" t="str">
        <v/>
      </c>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36"/>
      <c r="DX60" s="25"/>
      <c r="DY60" s="25"/>
      <c r="DZ60" s="25"/>
      <c r="EA60" s="25"/>
      <c r="EB60" s="25"/>
      <c r="EC60" s="25"/>
      <c r="ED60" s="25"/>
      <c r="EE60" s="25"/>
      <c r="EF60" s="25"/>
      <c r="EG60" s="25"/>
      <c r="EH60" s="25"/>
      <c r="EI60" s="25"/>
      <c r="EJ60" s="25"/>
      <c r="EK60" s="25"/>
      <c r="EL60" s="25"/>
      <c r="EM60" s="25"/>
      <c r="EN60" s="25"/>
      <c r="EO60" s="25"/>
      <c r="EP60" s="25"/>
      <c r="EQ60" s="25"/>
      <c r="ER60" s="36"/>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36"/>
      <c r="JH60" s="25"/>
      <c r="JI60" s="25"/>
      <c r="JJ60" s="25"/>
      <c r="JK60" s="25"/>
      <c r="JL60" s="25"/>
      <c r="JM60" s="25"/>
      <c r="JN60" s="25"/>
      <c r="JO60" s="25"/>
      <c r="JP60" s="25"/>
      <c r="JQ60" s="25"/>
      <c r="JR60" s="25"/>
      <c r="JS60" s="25"/>
      <c r="JT60" s="25"/>
      <c r="JU60" s="25"/>
      <c r="JV60" s="25"/>
      <c r="JW60" s="25"/>
      <c r="JX60" s="25"/>
      <c r="JY60" s="25"/>
      <c r="JZ60" s="25"/>
      <c r="KA60" s="25"/>
      <c r="KB60" s="36"/>
    </row>
    <row r="61" spans="2:288" ht="15" customHeight="1" x14ac:dyDescent="0.25">
      <c r="B61" s="216" t="s">
        <v>356</v>
      </c>
      <c r="C61" s="218" t="str">
        <v/>
      </c>
      <c r="D61" s="218" t="str">
        <v/>
      </c>
      <c r="E61" s="218" t="str">
        <v/>
      </c>
      <c r="F61" s="218" t="str">
        <v/>
      </c>
      <c r="G61" s="402" t="str">
        <v/>
      </c>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36"/>
      <c r="DX61" s="25"/>
      <c r="DY61" s="25"/>
      <c r="DZ61" s="25"/>
      <c r="EA61" s="25"/>
      <c r="EB61" s="25"/>
      <c r="EC61" s="25"/>
      <c r="ED61" s="25"/>
      <c r="EE61" s="25"/>
      <c r="EF61" s="25"/>
      <c r="EG61" s="25"/>
      <c r="EH61" s="25"/>
      <c r="EI61" s="25"/>
      <c r="EJ61" s="25"/>
      <c r="EK61" s="25"/>
      <c r="EL61" s="25"/>
      <c r="EM61" s="25"/>
      <c r="EN61" s="25"/>
      <c r="EO61" s="25"/>
      <c r="EP61" s="25"/>
      <c r="EQ61" s="25"/>
      <c r="ER61" s="36"/>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36"/>
      <c r="JH61" s="25"/>
      <c r="JI61" s="25"/>
      <c r="JJ61" s="25"/>
      <c r="JK61" s="25"/>
      <c r="JL61" s="25"/>
      <c r="JM61" s="25"/>
      <c r="JN61" s="25"/>
      <c r="JO61" s="25"/>
      <c r="JP61" s="25"/>
      <c r="JQ61" s="25"/>
      <c r="JR61" s="25"/>
      <c r="JS61" s="25"/>
      <c r="JT61" s="25"/>
      <c r="JU61" s="25"/>
      <c r="JV61" s="25"/>
      <c r="JW61" s="25"/>
      <c r="JX61" s="25"/>
      <c r="JY61" s="25"/>
      <c r="JZ61" s="25"/>
      <c r="KA61" s="25"/>
      <c r="KB61" s="36"/>
    </row>
    <row r="62" spans="2:288" ht="15" customHeight="1" x14ac:dyDescent="0.25">
      <c r="B62" s="216" t="s">
        <v>357</v>
      </c>
      <c r="C62" s="218" t="str">
        <v/>
      </c>
      <c r="D62" s="218" t="str">
        <v/>
      </c>
      <c r="E62" s="218" t="str">
        <v/>
      </c>
      <c r="F62" s="218" t="str">
        <v/>
      </c>
      <c r="G62" s="402" t="str">
        <v/>
      </c>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36"/>
      <c r="DX62" s="25"/>
      <c r="DY62" s="25"/>
      <c r="DZ62" s="25"/>
      <c r="EA62" s="25"/>
      <c r="EB62" s="25"/>
      <c r="EC62" s="25"/>
      <c r="ED62" s="25"/>
      <c r="EE62" s="25"/>
      <c r="EF62" s="25"/>
      <c r="EG62" s="25"/>
      <c r="EH62" s="25"/>
      <c r="EI62" s="25"/>
      <c r="EJ62" s="25"/>
      <c r="EK62" s="25"/>
      <c r="EL62" s="25"/>
      <c r="EM62" s="25"/>
      <c r="EN62" s="25"/>
      <c r="EO62" s="25"/>
      <c r="EP62" s="25"/>
      <c r="EQ62" s="25"/>
      <c r="ER62" s="36"/>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36"/>
      <c r="JH62" s="25"/>
      <c r="JI62" s="25"/>
      <c r="JJ62" s="25"/>
      <c r="JK62" s="25"/>
      <c r="JL62" s="25"/>
      <c r="JM62" s="25"/>
      <c r="JN62" s="25"/>
      <c r="JO62" s="25"/>
      <c r="JP62" s="25"/>
      <c r="JQ62" s="25"/>
      <c r="JR62" s="25"/>
      <c r="JS62" s="25"/>
      <c r="JT62" s="25"/>
      <c r="JU62" s="25"/>
      <c r="JV62" s="25"/>
      <c r="JW62" s="25"/>
      <c r="JX62" s="25"/>
      <c r="JY62" s="25"/>
      <c r="JZ62" s="25"/>
      <c r="KA62" s="25"/>
      <c r="KB62" s="36"/>
    </row>
    <row r="63" spans="2:288" ht="15" customHeight="1" x14ac:dyDescent="0.25">
      <c r="B63" s="216" t="s">
        <v>358</v>
      </c>
      <c r="C63" s="218" t="str">
        <v/>
      </c>
      <c r="D63" s="218" t="str">
        <v/>
      </c>
      <c r="E63" s="218" t="str">
        <v/>
      </c>
      <c r="F63" s="218" t="str">
        <v/>
      </c>
      <c r="G63" s="402" t="str">
        <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36"/>
      <c r="DX63" s="25"/>
      <c r="DY63" s="25"/>
      <c r="DZ63" s="25"/>
      <c r="EA63" s="25"/>
      <c r="EB63" s="25"/>
      <c r="EC63" s="25"/>
      <c r="ED63" s="25"/>
      <c r="EE63" s="25"/>
      <c r="EF63" s="25"/>
      <c r="EG63" s="25"/>
      <c r="EH63" s="25"/>
      <c r="EI63" s="25"/>
      <c r="EJ63" s="25"/>
      <c r="EK63" s="25"/>
      <c r="EL63" s="25"/>
      <c r="EM63" s="25"/>
      <c r="EN63" s="25"/>
      <c r="EO63" s="25"/>
      <c r="EP63" s="25"/>
      <c r="EQ63" s="25"/>
      <c r="ER63" s="36"/>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36"/>
      <c r="JH63" s="25"/>
      <c r="JI63" s="25"/>
      <c r="JJ63" s="25"/>
      <c r="JK63" s="25"/>
      <c r="JL63" s="25"/>
      <c r="JM63" s="25"/>
      <c r="JN63" s="25"/>
      <c r="JO63" s="25"/>
      <c r="JP63" s="25"/>
      <c r="JQ63" s="25"/>
      <c r="JR63" s="25"/>
      <c r="JS63" s="25"/>
      <c r="JT63" s="25"/>
      <c r="JU63" s="25"/>
      <c r="JV63" s="25"/>
      <c r="JW63" s="25"/>
      <c r="JX63" s="25"/>
      <c r="JY63" s="25"/>
      <c r="JZ63" s="25"/>
      <c r="KA63" s="25"/>
      <c r="KB63" s="36"/>
    </row>
    <row r="64" spans="2:288" ht="15" customHeight="1" x14ac:dyDescent="0.25">
      <c r="B64" s="216" t="s">
        <v>359</v>
      </c>
      <c r="C64" s="218" t="str">
        <v/>
      </c>
      <c r="D64" s="218" t="str">
        <v/>
      </c>
      <c r="E64" s="218" t="str">
        <v/>
      </c>
      <c r="F64" s="218" t="str">
        <v/>
      </c>
      <c r="G64" s="402" t="str">
        <v/>
      </c>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36"/>
      <c r="DX64" s="25"/>
      <c r="DY64" s="25"/>
      <c r="DZ64" s="25"/>
      <c r="EA64" s="25"/>
      <c r="EB64" s="25"/>
      <c r="EC64" s="25"/>
      <c r="ED64" s="25"/>
      <c r="EE64" s="25"/>
      <c r="EF64" s="25"/>
      <c r="EG64" s="25"/>
      <c r="EH64" s="25"/>
      <c r="EI64" s="25"/>
      <c r="EJ64" s="25"/>
      <c r="EK64" s="25"/>
      <c r="EL64" s="25"/>
      <c r="EM64" s="25"/>
      <c r="EN64" s="25"/>
      <c r="EO64" s="25"/>
      <c r="EP64" s="25"/>
      <c r="EQ64" s="25"/>
      <c r="ER64" s="36"/>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36"/>
      <c r="JH64" s="25"/>
      <c r="JI64" s="25"/>
      <c r="JJ64" s="25"/>
      <c r="JK64" s="25"/>
      <c r="JL64" s="25"/>
      <c r="JM64" s="25"/>
      <c r="JN64" s="25"/>
      <c r="JO64" s="25"/>
      <c r="JP64" s="25"/>
      <c r="JQ64" s="25"/>
      <c r="JR64" s="25"/>
      <c r="JS64" s="25"/>
      <c r="JT64" s="25"/>
      <c r="JU64" s="25"/>
      <c r="JV64" s="25"/>
      <c r="JW64" s="25"/>
      <c r="JX64" s="25"/>
      <c r="JY64" s="25"/>
      <c r="JZ64" s="25"/>
      <c r="KA64" s="25"/>
      <c r="KB64" s="36"/>
    </row>
    <row r="65" spans="2:288" ht="15" customHeight="1" x14ac:dyDescent="0.25">
      <c r="B65" s="216" t="s">
        <v>360</v>
      </c>
      <c r="C65" s="218" t="str">
        <v/>
      </c>
      <c r="D65" s="218" t="str">
        <v/>
      </c>
      <c r="E65" s="218" t="str">
        <v/>
      </c>
      <c r="F65" s="218" t="str">
        <v/>
      </c>
      <c r="G65" s="402" t="str">
        <v/>
      </c>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36"/>
      <c r="DX65" s="25"/>
      <c r="DY65" s="25"/>
      <c r="DZ65" s="25"/>
      <c r="EA65" s="25"/>
      <c r="EB65" s="25"/>
      <c r="EC65" s="25"/>
      <c r="ED65" s="25"/>
      <c r="EE65" s="25"/>
      <c r="EF65" s="25"/>
      <c r="EG65" s="25"/>
      <c r="EH65" s="25"/>
      <c r="EI65" s="25"/>
      <c r="EJ65" s="25"/>
      <c r="EK65" s="25"/>
      <c r="EL65" s="25"/>
      <c r="EM65" s="25"/>
      <c r="EN65" s="25"/>
      <c r="EO65" s="25"/>
      <c r="EP65" s="25"/>
      <c r="EQ65" s="25"/>
      <c r="ER65" s="36"/>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36"/>
      <c r="JH65" s="25"/>
      <c r="JI65" s="25"/>
      <c r="JJ65" s="25"/>
      <c r="JK65" s="25"/>
      <c r="JL65" s="25"/>
      <c r="JM65" s="25"/>
      <c r="JN65" s="25"/>
      <c r="JO65" s="25"/>
      <c r="JP65" s="25"/>
      <c r="JQ65" s="25"/>
      <c r="JR65" s="25"/>
      <c r="JS65" s="25"/>
      <c r="JT65" s="25"/>
      <c r="JU65" s="25"/>
      <c r="JV65" s="25"/>
      <c r="JW65" s="25"/>
      <c r="JX65" s="25"/>
      <c r="JY65" s="25"/>
      <c r="JZ65" s="25"/>
      <c r="KA65" s="25"/>
      <c r="KB65" s="36"/>
    </row>
    <row r="66" spans="2:288" ht="15" customHeight="1" x14ac:dyDescent="0.25">
      <c r="B66" s="216" t="s">
        <v>361</v>
      </c>
      <c r="C66" s="218" t="str">
        <v/>
      </c>
      <c r="D66" s="218" t="str">
        <v/>
      </c>
      <c r="E66" s="218" t="str">
        <v/>
      </c>
      <c r="F66" s="218" t="str">
        <v/>
      </c>
      <c r="G66" s="402" t="str">
        <v/>
      </c>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36"/>
      <c r="DX66" s="25"/>
      <c r="DY66" s="25"/>
      <c r="DZ66" s="25"/>
      <c r="EA66" s="25"/>
      <c r="EB66" s="25"/>
      <c r="EC66" s="25"/>
      <c r="ED66" s="25"/>
      <c r="EE66" s="25"/>
      <c r="EF66" s="25"/>
      <c r="EG66" s="25"/>
      <c r="EH66" s="25"/>
      <c r="EI66" s="25"/>
      <c r="EJ66" s="25"/>
      <c r="EK66" s="25"/>
      <c r="EL66" s="25"/>
      <c r="EM66" s="25"/>
      <c r="EN66" s="25"/>
      <c r="EO66" s="25"/>
      <c r="EP66" s="25"/>
      <c r="EQ66" s="25"/>
      <c r="ER66" s="36"/>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36"/>
      <c r="JH66" s="25"/>
      <c r="JI66" s="25"/>
      <c r="JJ66" s="25"/>
      <c r="JK66" s="25"/>
      <c r="JL66" s="25"/>
      <c r="JM66" s="25"/>
      <c r="JN66" s="25"/>
      <c r="JO66" s="25"/>
      <c r="JP66" s="25"/>
      <c r="JQ66" s="25"/>
      <c r="JR66" s="25"/>
      <c r="JS66" s="25"/>
      <c r="JT66" s="25"/>
      <c r="JU66" s="25"/>
      <c r="JV66" s="25"/>
      <c r="JW66" s="25"/>
      <c r="JX66" s="25"/>
      <c r="JY66" s="25"/>
      <c r="JZ66" s="25"/>
      <c r="KA66" s="25"/>
      <c r="KB66" s="36"/>
    </row>
    <row r="67" spans="2:288" ht="15" customHeight="1" x14ac:dyDescent="0.25">
      <c r="B67" s="216" t="s">
        <v>362</v>
      </c>
      <c r="C67" s="218" t="str">
        <v/>
      </c>
      <c r="D67" s="218" t="str">
        <v/>
      </c>
      <c r="E67" s="218" t="str">
        <v/>
      </c>
      <c r="F67" s="218" t="str">
        <v/>
      </c>
      <c r="G67" s="402" t="str">
        <v/>
      </c>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36"/>
      <c r="DX67" s="25"/>
      <c r="DY67" s="25"/>
      <c r="DZ67" s="25"/>
      <c r="EA67" s="25"/>
      <c r="EB67" s="25"/>
      <c r="EC67" s="25"/>
      <c r="ED67" s="25"/>
      <c r="EE67" s="25"/>
      <c r="EF67" s="25"/>
      <c r="EG67" s="25"/>
      <c r="EH67" s="25"/>
      <c r="EI67" s="25"/>
      <c r="EJ67" s="25"/>
      <c r="EK67" s="25"/>
      <c r="EL67" s="25"/>
      <c r="EM67" s="25"/>
      <c r="EN67" s="25"/>
      <c r="EO67" s="25"/>
      <c r="EP67" s="25"/>
      <c r="EQ67" s="25"/>
      <c r="ER67" s="36"/>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36"/>
      <c r="JH67" s="25"/>
      <c r="JI67" s="25"/>
      <c r="JJ67" s="25"/>
      <c r="JK67" s="25"/>
      <c r="JL67" s="25"/>
      <c r="JM67" s="25"/>
      <c r="JN67" s="25"/>
      <c r="JO67" s="25"/>
      <c r="JP67" s="25"/>
      <c r="JQ67" s="25"/>
      <c r="JR67" s="25"/>
      <c r="JS67" s="25"/>
      <c r="JT67" s="25"/>
      <c r="JU67" s="25"/>
      <c r="JV67" s="25"/>
      <c r="JW67" s="25"/>
      <c r="JX67" s="25"/>
      <c r="JY67" s="25"/>
      <c r="JZ67" s="25"/>
      <c r="KA67" s="25"/>
      <c r="KB67" s="36"/>
    </row>
    <row r="68" spans="2:288" ht="15" customHeight="1" x14ac:dyDescent="0.25">
      <c r="B68" s="216" t="s">
        <v>363</v>
      </c>
      <c r="C68" s="218" t="str">
        <v/>
      </c>
      <c r="D68" s="218" t="str">
        <v/>
      </c>
      <c r="E68" s="218" t="str">
        <v/>
      </c>
      <c r="F68" s="218" t="str">
        <v/>
      </c>
      <c r="G68" s="402" t="str">
        <v/>
      </c>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36"/>
      <c r="DX68" s="25"/>
      <c r="DY68" s="25"/>
      <c r="DZ68" s="25"/>
      <c r="EA68" s="25"/>
      <c r="EB68" s="25"/>
      <c r="EC68" s="25"/>
      <c r="ED68" s="25"/>
      <c r="EE68" s="25"/>
      <c r="EF68" s="25"/>
      <c r="EG68" s="25"/>
      <c r="EH68" s="25"/>
      <c r="EI68" s="25"/>
      <c r="EJ68" s="25"/>
      <c r="EK68" s="25"/>
      <c r="EL68" s="25"/>
      <c r="EM68" s="25"/>
      <c r="EN68" s="25"/>
      <c r="EO68" s="25"/>
      <c r="EP68" s="25"/>
      <c r="EQ68" s="25"/>
      <c r="ER68" s="36"/>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36"/>
      <c r="JH68" s="25"/>
      <c r="JI68" s="25"/>
      <c r="JJ68" s="25"/>
      <c r="JK68" s="25"/>
      <c r="JL68" s="25"/>
      <c r="JM68" s="25"/>
      <c r="JN68" s="25"/>
      <c r="JO68" s="25"/>
      <c r="JP68" s="25"/>
      <c r="JQ68" s="25"/>
      <c r="JR68" s="25"/>
      <c r="JS68" s="25"/>
      <c r="JT68" s="25"/>
      <c r="JU68" s="25"/>
      <c r="JV68" s="25"/>
      <c r="JW68" s="25"/>
      <c r="JX68" s="25"/>
      <c r="JY68" s="25"/>
      <c r="JZ68" s="25"/>
      <c r="KA68" s="25"/>
      <c r="KB68" s="36"/>
    </row>
    <row r="69" spans="2:288" ht="15" customHeight="1" x14ac:dyDescent="0.25">
      <c r="B69" s="216" t="s">
        <v>364</v>
      </c>
      <c r="C69" s="218" t="str">
        <v/>
      </c>
      <c r="D69" s="218" t="str">
        <v/>
      </c>
      <c r="E69" s="218" t="str">
        <v/>
      </c>
      <c r="F69" s="218" t="str">
        <v/>
      </c>
      <c r="G69" s="402" t="str">
        <v/>
      </c>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36"/>
      <c r="DX69" s="25"/>
      <c r="DY69" s="25"/>
      <c r="DZ69" s="25"/>
      <c r="EA69" s="25"/>
      <c r="EB69" s="25"/>
      <c r="EC69" s="25"/>
      <c r="ED69" s="25"/>
      <c r="EE69" s="25"/>
      <c r="EF69" s="25"/>
      <c r="EG69" s="25"/>
      <c r="EH69" s="25"/>
      <c r="EI69" s="25"/>
      <c r="EJ69" s="25"/>
      <c r="EK69" s="25"/>
      <c r="EL69" s="25"/>
      <c r="EM69" s="25"/>
      <c r="EN69" s="25"/>
      <c r="EO69" s="25"/>
      <c r="EP69" s="25"/>
      <c r="EQ69" s="25"/>
      <c r="ER69" s="36"/>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36"/>
      <c r="JH69" s="25"/>
      <c r="JI69" s="25"/>
      <c r="JJ69" s="25"/>
      <c r="JK69" s="25"/>
      <c r="JL69" s="25"/>
      <c r="JM69" s="25"/>
      <c r="JN69" s="25"/>
      <c r="JO69" s="25"/>
      <c r="JP69" s="25"/>
      <c r="JQ69" s="25"/>
      <c r="JR69" s="25"/>
      <c r="JS69" s="25"/>
      <c r="JT69" s="25"/>
      <c r="JU69" s="25"/>
      <c r="JV69" s="25"/>
      <c r="JW69" s="25"/>
      <c r="JX69" s="25"/>
      <c r="JY69" s="25"/>
      <c r="JZ69" s="25"/>
      <c r="KA69" s="25"/>
      <c r="KB69" s="36"/>
    </row>
    <row r="70" spans="2:288" ht="15" customHeight="1" x14ac:dyDescent="0.25">
      <c r="B70" s="216" t="s">
        <v>365</v>
      </c>
      <c r="C70" s="218" t="str">
        <v/>
      </c>
      <c r="D70" s="218" t="str">
        <v/>
      </c>
      <c r="E70" s="218" t="str">
        <v/>
      </c>
      <c r="F70" s="218" t="str">
        <v/>
      </c>
      <c r="G70" s="402" t="str">
        <v/>
      </c>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36"/>
      <c r="DX70" s="25"/>
      <c r="DY70" s="25"/>
      <c r="DZ70" s="25"/>
      <c r="EA70" s="25"/>
      <c r="EB70" s="25"/>
      <c r="EC70" s="25"/>
      <c r="ED70" s="25"/>
      <c r="EE70" s="25"/>
      <c r="EF70" s="25"/>
      <c r="EG70" s="25"/>
      <c r="EH70" s="25"/>
      <c r="EI70" s="25"/>
      <c r="EJ70" s="25"/>
      <c r="EK70" s="25"/>
      <c r="EL70" s="25"/>
      <c r="EM70" s="25"/>
      <c r="EN70" s="25"/>
      <c r="EO70" s="25"/>
      <c r="EP70" s="25"/>
      <c r="EQ70" s="25"/>
      <c r="ER70" s="36"/>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36"/>
      <c r="JH70" s="25"/>
      <c r="JI70" s="25"/>
      <c r="JJ70" s="25"/>
      <c r="JK70" s="25"/>
      <c r="JL70" s="25"/>
      <c r="JM70" s="25"/>
      <c r="JN70" s="25"/>
      <c r="JO70" s="25"/>
      <c r="JP70" s="25"/>
      <c r="JQ70" s="25"/>
      <c r="JR70" s="25"/>
      <c r="JS70" s="25"/>
      <c r="JT70" s="25"/>
      <c r="JU70" s="25"/>
      <c r="JV70" s="25"/>
      <c r="JW70" s="25"/>
      <c r="JX70" s="25"/>
      <c r="JY70" s="25"/>
      <c r="JZ70" s="25"/>
      <c r="KA70" s="25"/>
      <c r="KB70" s="36"/>
    </row>
    <row r="71" spans="2:288" ht="15" customHeight="1" x14ac:dyDescent="0.25">
      <c r="B71" s="216" t="s">
        <v>366</v>
      </c>
      <c r="C71" s="218" t="str">
        <v/>
      </c>
      <c r="D71" s="218" t="str">
        <v/>
      </c>
      <c r="E71" s="218" t="str">
        <v/>
      </c>
      <c r="F71" s="218" t="str">
        <v/>
      </c>
      <c r="G71" s="402" t="str">
        <v/>
      </c>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36"/>
      <c r="DX71" s="25"/>
      <c r="DY71" s="25"/>
      <c r="DZ71" s="25"/>
      <c r="EA71" s="25"/>
      <c r="EB71" s="25"/>
      <c r="EC71" s="25"/>
      <c r="ED71" s="25"/>
      <c r="EE71" s="25"/>
      <c r="EF71" s="25"/>
      <c r="EG71" s="25"/>
      <c r="EH71" s="25"/>
      <c r="EI71" s="25"/>
      <c r="EJ71" s="25"/>
      <c r="EK71" s="25"/>
      <c r="EL71" s="25"/>
      <c r="EM71" s="25"/>
      <c r="EN71" s="25"/>
      <c r="EO71" s="25"/>
      <c r="EP71" s="25"/>
      <c r="EQ71" s="25"/>
      <c r="ER71" s="36"/>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36"/>
      <c r="JH71" s="25"/>
      <c r="JI71" s="25"/>
      <c r="JJ71" s="25"/>
      <c r="JK71" s="25"/>
      <c r="JL71" s="25"/>
      <c r="JM71" s="25"/>
      <c r="JN71" s="25"/>
      <c r="JO71" s="25"/>
      <c r="JP71" s="25"/>
      <c r="JQ71" s="25"/>
      <c r="JR71" s="25"/>
      <c r="JS71" s="25"/>
      <c r="JT71" s="25"/>
      <c r="JU71" s="25"/>
      <c r="JV71" s="25"/>
      <c r="JW71" s="25"/>
      <c r="JX71" s="25"/>
      <c r="JY71" s="25"/>
      <c r="JZ71" s="25"/>
      <c r="KA71" s="25"/>
      <c r="KB71" s="36"/>
    </row>
    <row r="72" spans="2:288" ht="15" customHeight="1" x14ac:dyDescent="0.25">
      <c r="B72" s="216" t="s">
        <v>367</v>
      </c>
      <c r="C72" s="218" t="str">
        <v/>
      </c>
      <c r="D72" s="218" t="str">
        <v/>
      </c>
      <c r="E72" s="218" t="str">
        <v/>
      </c>
      <c r="F72" s="218" t="str">
        <v/>
      </c>
      <c r="G72" s="402" t="str">
        <v/>
      </c>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36"/>
      <c r="DX72" s="25"/>
      <c r="DY72" s="25"/>
      <c r="DZ72" s="25"/>
      <c r="EA72" s="25"/>
      <c r="EB72" s="25"/>
      <c r="EC72" s="25"/>
      <c r="ED72" s="25"/>
      <c r="EE72" s="25"/>
      <c r="EF72" s="25"/>
      <c r="EG72" s="25"/>
      <c r="EH72" s="25"/>
      <c r="EI72" s="25"/>
      <c r="EJ72" s="25"/>
      <c r="EK72" s="25"/>
      <c r="EL72" s="25"/>
      <c r="EM72" s="25"/>
      <c r="EN72" s="25"/>
      <c r="EO72" s="25"/>
      <c r="EP72" s="25"/>
      <c r="EQ72" s="25"/>
      <c r="ER72" s="36"/>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36"/>
      <c r="JH72" s="25"/>
      <c r="JI72" s="25"/>
      <c r="JJ72" s="25"/>
      <c r="JK72" s="25"/>
      <c r="JL72" s="25"/>
      <c r="JM72" s="25"/>
      <c r="JN72" s="25"/>
      <c r="JO72" s="25"/>
      <c r="JP72" s="25"/>
      <c r="JQ72" s="25"/>
      <c r="JR72" s="25"/>
      <c r="JS72" s="25"/>
      <c r="JT72" s="25"/>
      <c r="JU72" s="25"/>
      <c r="JV72" s="25"/>
      <c r="JW72" s="25"/>
      <c r="JX72" s="25"/>
      <c r="JY72" s="25"/>
      <c r="JZ72" s="25"/>
      <c r="KA72" s="25"/>
      <c r="KB72" s="36"/>
    </row>
    <row r="73" spans="2:288" ht="15" customHeight="1" x14ac:dyDescent="0.25">
      <c r="B73" s="216" t="s">
        <v>368</v>
      </c>
      <c r="C73" s="218" t="str">
        <v/>
      </c>
      <c r="D73" s="218" t="str">
        <v/>
      </c>
      <c r="E73" s="218" t="str">
        <v/>
      </c>
      <c r="F73" s="218" t="str">
        <v/>
      </c>
      <c r="G73" s="402" t="str">
        <v/>
      </c>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36"/>
      <c r="DX73" s="25"/>
      <c r="DY73" s="25"/>
      <c r="DZ73" s="25"/>
      <c r="EA73" s="25"/>
      <c r="EB73" s="25"/>
      <c r="EC73" s="25"/>
      <c r="ED73" s="25"/>
      <c r="EE73" s="25"/>
      <c r="EF73" s="25"/>
      <c r="EG73" s="25"/>
      <c r="EH73" s="25"/>
      <c r="EI73" s="25"/>
      <c r="EJ73" s="25"/>
      <c r="EK73" s="25"/>
      <c r="EL73" s="25"/>
      <c r="EM73" s="25"/>
      <c r="EN73" s="25"/>
      <c r="EO73" s="25"/>
      <c r="EP73" s="25"/>
      <c r="EQ73" s="25"/>
      <c r="ER73" s="36"/>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36"/>
      <c r="JH73" s="25"/>
      <c r="JI73" s="25"/>
      <c r="JJ73" s="25"/>
      <c r="JK73" s="25"/>
      <c r="JL73" s="25"/>
      <c r="JM73" s="25"/>
      <c r="JN73" s="25"/>
      <c r="JO73" s="25"/>
      <c r="JP73" s="25"/>
      <c r="JQ73" s="25"/>
      <c r="JR73" s="25"/>
      <c r="JS73" s="25"/>
      <c r="JT73" s="25"/>
      <c r="JU73" s="25"/>
      <c r="JV73" s="25"/>
      <c r="JW73" s="25"/>
      <c r="JX73" s="25"/>
      <c r="JY73" s="25"/>
      <c r="JZ73" s="25"/>
      <c r="KA73" s="25"/>
      <c r="KB73" s="36"/>
    </row>
    <row r="74" spans="2:288" ht="15" customHeight="1" x14ac:dyDescent="0.25">
      <c r="B74" s="216" t="s">
        <v>369</v>
      </c>
      <c r="C74" s="218" t="str">
        <v/>
      </c>
      <c r="D74" s="218" t="str">
        <v/>
      </c>
      <c r="E74" s="218" t="str">
        <v/>
      </c>
      <c r="F74" s="218" t="str">
        <v/>
      </c>
      <c r="G74" s="402" t="str">
        <v/>
      </c>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36"/>
      <c r="DX74" s="25"/>
      <c r="DY74" s="25"/>
      <c r="DZ74" s="25"/>
      <c r="EA74" s="25"/>
      <c r="EB74" s="25"/>
      <c r="EC74" s="25"/>
      <c r="ED74" s="25"/>
      <c r="EE74" s="25"/>
      <c r="EF74" s="25"/>
      <c r="EG74" s="25"/>
      <c r="EH74" s="25"/>
      <c r="EI74" s="25"/>
      <c r="EJ74" s="25"/>
      <c r="EK74" s="25"/>
      <c r="EL74" s="25"/>
      <c r="EM74" s="25"/>
      <c r="EN74" s="25"/>
      <c r="EO74" s="25"/>
      <c r="EP74" s="25"/>
      <c r="EQ74" s="25"/>
      <c r="ER74" s="36"/>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36"/>
      <c r="JH74" s="25"/>
      <c r="JI74" s="25"/>
      <c r="JJ74" s="25"/>
      <c r="JK74" s="25"/>
      <c r="JL74" s="25"/>
      <c r="JM74" s="25"/>
      <c r="JN74" s="25"/>
      <c r="JO74" s="25"/>
      <c r="JP74" s="25"/>
      <c r="JQ74" s="25"/>
      <c r="JR74" s="25"/>
      <c r="JS74" s="25"/>
      <c r="JT74" s="25"/>
      <c r="JU74" s="25"/>
      <c r="JV74" s="25"/>
      <c r="JW74" s="25"/>
      <c r="JX74" s="25"/>
      <c r="JY74" s="25"/>
      <c r="JZ74" s="25"/>
      <c r="KA74" s="25"/>
      <c r="KB74" s="36"/>
    </row>
    <row r="75" spans="2:288" ht="15" customHeight="1" x14ac:dyDescent="0.25">
      <c r="B75" s="216" t="s">
        <v>370</v>
      </c>
      <c r="C75" s="218" t="str">
        <v/>
      </c>
      <c r="D75" s="218" t="str">
        <v/>
      </c>
      <c r="E75" s="218" t="str">
        <v/>
      </c>
      <c r="F75" s="218" t="str">
        <v/>
      </c>
      <c r="G75" s="402" t="str">
        <v/>
      </c>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36"/>
      <c r="DX75" s="25"/>
      <c r="DY75" s="25"/>
      <c r="DZ75" s="25"/>
      <c r="EA75" s="25"/>
      <c r="EB75" s="25"/>
      <c r="EC75" s="25"/>
      <c r="ED75" s="25"/>
      <c r="EE75" s="25"/>
      <c r="EF75" s="25"/>
      <c r="EG75" s="25"/>
      <c r="EH75" s="25"/>
      <c r="EI75" s="25"/>
      <c r="EJ75" s="25"/>
      <c r="EK75" s="25"/>
      <c r="EL75" s="25"/>
      <c r="EM75" s="25"/>
      <c r="EN75" s="25"/>
      <c r="EO75" s="25"/>
      <c r="EP75" s="25"/>
      <c r="EQ75" s="25"/>
      <c r="ER75" s="36"/>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36"/>
      <c r="JH75" s="25"/>
      <c r="JI75" s="25"/>
      <c r="JJ75" s="25"/>
      <c r="JK75" s="25"/>
      <c r="JL75" s="25"/>
      <c r="JM75" s="25"/>
      <c r="JN75" s="25"/>
      <c r="JO75" s="25"/>
      <c r="JP75" s="25"/>
      <c r="JQ75" s="25"/>
      <c r="JR75" s="25"/>
      <c r="JS75" s="25"/>
      <c r="JT75" s="25"/>
      <c r="JU75" s="25"/>
      <c r="JV75" s="25"/>
      <c r="JW75" s="25"/>
      <c r="JX75" s="25"/>
      <c r="JY75" s="25"/>
      <c r="JZ75" s="25"/>
      <c r="KA75" s="25"/>
      <c r="KB75" s="36"/>
    </row>
    <row r="76" spans="2:288" ht="15" customHeight="1" x14ac:dyDescent="0.25">
      <c r="B76" s="216" t="s">
        <v>371</v>
      </c>
      <c r="C76" s="218" t="str">
        <v/>
      </c>
      <c r="D76" s="218" t="str">
        <v/>
      </c>
      <c r="E76" s="218" t="str">
        <v/>
      </c>
      <c r="F76" s="218" t="str">
        <v/>
      </c>
      <c r="G76" s="402" t="str">
        <v/>
      </c>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36"/>
      <c r="DX76" s="25"/>
      <c r="DY76" s="25"/>
      <c r="DZ76" s="25"/>
      <c r="EA76" s="25"/>
      <c r="EB76" s="25"/>
      <c r="EC76" s="25"/>
      <c r="ED76" s="25"/>
      <c r="EE76" s="25"/>
      <c r="EF76" s="25"/>
      <c r="EG76" s="25"/>
      <c r="EH76" s="25"/>
      <c r="EI76" s="25"/>
      <c r="EJ76" s="25"/>
      <c r="EK76" s="25"/>
      <c r="EL76" s="25"/>
      <c r="EM76" s="25"/>
      <c r="EN76" s="25"/>
      <c r="EO76" s="25"/>
      <c r="EP76" s="25"/>
      <c r="EQ76" s="25"/>
      <c r="ER76" s="36"/>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36"/>
      <c r="JH76" s="25"/>
      <c r="JI76" s="25"/>
      <c r="JJ76" s="25"/>
      <c r="JK76" s="25"/>
      <c r="JL76" s="25"/>
      <c r="JM76" s="25"/>
      <c r="JN76" s="25"/>
      <c r="JO76" s="25"/>
      <c r="JP76" s="25"/>
      <c r="JQ76" s="25"/>
      <c r="JR76" s="25"/>
      <c r="JS76" s="25"/>
      <c r="JT76" s="25"/>
      <c r="JU76" s="25"/>
      <c r="JV76" s="25"/>
      <c r="JW76" s="25"/>
      <c r="JX76" s="25"/>
      <c r="JY76" s="25"/>
      <c r="JZ76" s="25"/>
      <c r="KA76" s="25"/>
      <c r="KB76" s="36"/>
    </row>
    <row r="77" spans="2:288" ht="15" customHeight="1" x14ac:dyDescent="0.25">
      <c r="B77" s="216" t="s">
        <v>372</v>
      </c>
      <c r="C77" s="218" t="str">
        <v/>
      </c>
      <c r="D77" s="218" t="str">
        <v/>
      </c>
      <c r="E77" s="218" t="str">
        <v/>
      </c>
      <c r="F77" s="218" t="str">
        <v/>
      </c>
      <c r="G77" s="402" t="str">
        <v/>
      </c>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36"/>
      <c r="DX77" s="25"/>
      <c r="DY77" s="25"/>
      <c r="DZ77" s="25"/>
      <c r="EA77" s="25"/>
      <c r="EB77" s="25"/>
      <c r="EC77" s="25"/>
      <c r="ED77" s="25"/>
      <c r="EE77" s="25"/>
      <c r="EF77" s="25"/>
      <c r="EG77" s="25"/>
      <c r="EH77" s="25"/>
      <c r="EI77" s="25"/>
      <c r="EJ77" s="25"/>
      <c r="EK77" s="25"/>
      <c r="EL77" s="25"/>
      <c r="EM77" s="25"/>
      <c r="EN77" s="25"/>
      <c r="EO77" s="25"/>
      <c r="EP77" s="25"/>
      <c r="EQ77" s="25"/>
      <c r="ER77" s="36"/>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36"/>
      <c r="JH77" s="25"/>
      <c r="JI77" s="25"/>
      <c r="JJ77" s="25"/>
      <c r="JK77" s="25"/>
      <c r="JL77" s="25"/>
      <c r="JM77" s="25"/>
      <c r="JN77" s="25"/>
      <c r="JO77" s="25"/>
      <c r="JP77" s="25"/>
      <c r="JQ77" s="25"/>
      <c r="JR77" s="25"/>
      <c r="JS77" s="25"/>
      <c r="JT77" s="25"/>
      <c r="JU77" s="25"/>
      <c r="JV77" s="25"/>
      <c r="JW77" s="25"/>
      <c r="JX77" s="25"/>
      <c r="JY77" s="25"/>
      <c r="JZ77" s="25"/>
      <c r="KA77" s="25"/>
      <c r="KB77" s="36"/>
    </row>
    <row r="78" spans="2:288" ht="15" customHeight="1" x14ac:dyDescent="0.25">
      <c r="B78" s="216" t="s">
        <v>373</v>
      </c>
      <c r="C78" s="218" t="str">
        <v/>
      </c>
      <c r="D78" s="218" t="str">
        <v/>
      </c>
      <c r="E78" s="218" t="str">
        <v/>
      </c>
      <c r="F78" s="218" t="str">
        <v/>
      </c>
      <c r="G78" s="402" t="str">
        <v/>
      </c>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36"/>
      <c r="DX78" s="25"/>
      <c r="DY78" s="25"/>
      <c r="DZ78" s="25"/>
      <c r="EA78" s="25"/>
      <c r="EB78" s="25"/>
      <c r="EC78" s="25"/>
      <c r="ED78" s="25"/>
      <c r="EE78" s="25"/>
      <c r="EF78" s="25"/>
      <c r="EG78" s="25"/>
      <c r="EH78" s="25"/>
      <c r="EI78" s="25"/>
      <c r="EJ78" s="25"/>
      <c r="EK78" s="25"/>
      <c r="EL78" s="25"/>
      <c r="EM78" s="25"/>
      <c r="EN78" s="25"/>
      <c r="EO78" s="25"/>
      <c r="EP78" s="25"/>
      <c r="EQ78" s="25"/>
      <c r="ER78" s="36"/>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36"/>
      <c r="JH78" s="25"/>
      <c r="JI78" s="25"/>
      <c r="JJ78" s="25"/>
      <c r="JK78" s="25"/>
      <c r="JL78" s="25"/>
      <c r="JM78" s="25"/>
      <c r="JN78" s="25"/>
      <c r="JO78" s="25"/>
      <c r="JP78" s="25"/>
      <c r="JQ78" s="25"/>
      <c r="JR78" s="25"/>
      <c r="JS78" s="25"/>
      <c r="JT78" s="25"/>
      <c r="JU78" s="25"/>
      <c r="JV78" s="25"/>
      <c r="JW78" s="25"/>
      <c r="JX78" s="25"/>
      <c r="JY78" s="25"/>
      <c r="JZ78" s="25"/>
      <c r="KA78" s="25"/>
      <c r="KB78" s="36"/>
    </row>
    <row r="79" spans="2:288" ht="15" customHeight="1" x14ac:dyDescent="0.25">
      <c r="B79" s="216" t="s">
        <v>374</v>
      </c>
      <c r="C79" s="218" t="str">
        <v/>
      </c>
      <c r="D79" s="218" t="str">
        <v/>
      </c>
      <c r="E79" s="218" t="str">
        <v/>
      </c>
      <c r="F79" s="218" t="str">
        <v/>
      </c>
      <c r="G79" s="402" t="str">
        <v/>
      </c>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36"/>
      <c r="DX79" s="25"/>
      <c r="DY79" s="25"/>
      <c r="DZ79" s="25"/>
      <c r="EA79" s="25"/>
      <c r="EB79" s="25"/>
      <c r="EC79" s="25"/>
      <c r="ED79" s="25"/>
      <c r="EE79" s="25"/>
      <c r="EF79" s="25"/>
      <c r="EG79" s="25"/>
      <c r="EH79" s="25"/>
      <c r="EI79" s="25"/>
      <c r="EJ79" s="25"/>
      <c r="EK79" s="25"/>
      <c r="EL79" s="25"/>
      <c r="EM79" s="25"/>
      <c r="EN79" s="25"/>
      <c r="EO79" s="25"/>
      <c r="EP79" s="25"/>
      <c r="EQ79" s="25"/>
      <c r="ER79" s="36"/>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36"/>
      <c r="JH79" s="25"/>
      <c r="JI79" s="25"/>
      <c r="JJ79" s="25"/>
      <c r="JK79" s="25"/>
      <c r="JL79" s="25"/>
      <c r="JM79" s="25"/>
      <c r="JN79" s="25"/>
      <c r="JO79" s="25"/>
      <c r="JP79" s="25"/>
      <c r="JQ79" s="25"/>
      <c r="JR79" s="25"/>
      <c r="JS79" s="25"/>
      <c r="JT79" s="25"/>
      <c r="JU79" s="25"/>
      <c r="JV79" s="25"/>
      <c r="JW79" s="25"/>
      <c r="JX79" s="25"/>
      <c r="JY79" s="25"/>
      <c r="JZ79" s="25"/>
      <c r="KA79" s="25"/>
      <c r="KB79" s="36"/>
    </row>
    <row r="80" spans="2:288" ht="15" customHeight="1" x14ac:dyDescent="0.25">
      <c r="B80" s="216" t="s">
        <v>375</v>
      </c>
      <c r="C80" s="218" t="str">
        <v/>
      </c>
      <c r="D80" s="218" t="str">
        <v/>
      </c>
      <c r="E80" s="218" t="str">
        <v/>
      </c>
      <c r="F80" s="218" t="str">
        <v/>
      </c>
      <c r="G80" s="402" t="str">
        <v/>
      </c>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36"/>
      <c r="DX80" s="25"/>
      <c r="DY80" s="25"/>
      <c r="DZ80" s="25"/>
      <c r="EA80" s="25"/>
      <c r="EB80" s="25"/>
      <c r="EC80" s="25"/>
      <c r="ED80" s="25"/>
      <c r="EE80" s="25"/>
      <c r="EF80" s="25"/>
      <c r="EG80" s="25"/>
      <c r="EH80" s="25"/>
      <c r="EI80" s="25"/>
      <c r="EJ80" s="25"/>
      <c r="EK80" s="25"/>
      <c r="EL80" s="25"/>
      <c r="EM80" s="25"/>
      <c r="EN80" s="25"/>
      <c r="EO80" s="25"/>
      <c r="EP80" s="25"/>
      <c r="EQ80" s="25"/>
      <c r="ER80" s="36"/>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36"/>
      <c r="JH80" s="25"/>
      <c r="JI80" s="25"/>
      <c r="JJ80" s="25"/>
      <c r="JK80" s="25"/>
      <c r="JL80" s="25"/>
      <c r="JM80" s="25"/>
      <c r="JN80" s="25"/>
      <c r="JO80" s="25"/>
      <c r="JP80" s="25"/>
      <c r="JQ80" s="25"/>
      <c r="JR80" s="25"/>
      <c r="JS80" s="25"/>
      <c r="JT80" s="25"/>
      <c r="JU80" s="25"/>
      <c r="JV80" s="25"/>
      <c r="JW80" s="25"/>
      <c r="JX80" s="25"/>
      <c r="JY80" s="25"/>
      <c r="JZ80" s="25"/>
      <c r="KA80" s="25"/>
      <c r="KB80" s="36"/>
    </row>
    <row r="81" spans="2:288" ht="15" customHeight="1" x14ac:dyDescent="0.25">
      <c r="B81" s="216" t="s">
        <v>376</v>
      </c>
      <c r="C81" s="218" t="str">
        <v/>
      </c>
      <c r="D81" s="218" t="str">
        <v/>
      </c>
      <c r="E81" s="218" t="str">
        <v/>
      </c>
      <c r="F81" s="218" t="str">
        <v/>
      </c>
      <c r="G81" s="402" t="str">
        <v/>
      </c>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36"/>
      <c r="DX81" s="25"/>
      <c r="DY81" s="25"/>
      <c r="DZ81" s="25"/>
      <c r="EA81" s="25"/>
      <c r="EB81" s="25"/>
      <c r="EC81" s="25"/>
      <c r="ED81" s="25"/>
      <c r="EE81" s="25"/>
      <c r="EF81" s="25"/>
      <c r="EG81" s="25"/>
      <c r="EH81" s="25"/>
      <c r="EI81" s="25"/>
      <c r="EJ81" s="25"/>
      <c r="EK81" s="25"/>
      <c r="EL81" s="25"/>
      <c r="EM81" s="25"/>
      <c r="EN81" s="25"/>
      <c r="EO81" s="25"/>
      <c r="EP81" s="25"/>
      <c r="EQ81" s="25"/>
      <c r="ER81" s="36"/>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36"/>
      <c r="JH81" s="25"/>
      <c r="JI81" s="25"/>
      <c r="JJ81" s="25"/>
      <c r="JK81" s="25"/>
      <c r="JL81" s="25"/>
      <c r="JM81" s="25"/>
      <c r="JN81" s="25"/>
      <c r="JO81" s="25"/>
      <c r="JP81" s="25"/>
      <c r="JQ81" s="25"/>
      <c r="JR81" s="25"/>
      <c r="JS81" s="25"/>
      <c r="JT81" s="25"/>
      <c r="JU81" s="25"/>
      <c r="JV81" s="25"/>
      <c r="JW81" s="25"/>
      <c r="JX81" s="25"/>
      <c r="JY81" s="25"/>
      <c r="JZ81" s="25"/>
      <c r="KA81" s="25"/>
      <c r="KB81" s="36"/>
    </row>
    <row r="82" spans="2:288" ht="15" customHeight="1" x14ac:dyDescent="0.25">
      <c r="B82" s="216" t="s">
        <v>377</v>
      </c>
      <c r="C82" s="218" t="str">
        <v/>
      </c>
      <c r="D82" s="218" t="str">
        <v/>
      </c>
      <c r="E82" s="218" t="str">
        <v/>
      </c>
      <c r="F82" s="218" t="str">
        <v/>
      </c>
      <c r="G82" s="402" t="str">
        <v/>
      </c>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36"/>
      <c r="DX82" s="25"/>
      <c r="DY82" s="25"/>
      <c r="DZ82" s="25"/>
      <c r="EA82" s="25"/>
      <c r="EB82" s="25"/>
      <c r="EC82" s="25"/>
      <c r="ED82" s="25"/>
      <c r="EE82" s="25"/>
      <c r="EF82" s="25"/>
      <c r="EG82" s="25"/>
      <c r="EH82" s="25"/>
      <c r="EI82" s="25"/>
      <c r="EJ82" s="25"/>
      <c r="EK82" s="25"/>
      <c r="EL82" s="25"/>
      <c r="EM82" s="25"/>
      <c r="EN82" s="25"/>
      <c r="EO82" s="25"/>
      <c r="EP82" s="25"/>
      <c r="EQ82" s="25"/>
      <c r="ER82" s="36"/>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36"/>
      <c r="JH82" s="25"/>
      <c r="JI82" s="25"/>
      <c r="JJ82" s="25"/>
      <c r="JK82" s="25"/>
      <c r="JL82" s="25"/>
      <c r="JM82" s="25"/>
      <c r="JN82" s="25"/>
      <c r="JO82" s="25"/>
      <c r="JP82" s="25"/>
      <c r="JQ82" s="25"/>
      <c r="JR82" s="25"/>
      <c r="JS82" s="25"/>
      <c r="JT82" s="25"/>
      <c r="JU82" s="25"/>
      <c r="JV82" s="25"/>
      <c r="JW82" s="25"/>
      <c r="JX82" s="25"/>
      <c r="JY82" s="25"/>
      <c r="JZ82" s="25"/>
      <c r="KA82" s="25"/>
      <c r="KB82" s="36"/>
    </row>
    <row r="83" spans="2:288" ht="15" customHeight="1" x14ac:dyDescent="0.25">
      <c r="B83" s="216" t="s">
        <v>378</v>
      </c>
      <c r="C83" s="218" t="str">
        <v/>
      </c>
      <c r="D83" s="218" t="str">
        <v/>
      </c>
      <c r="E83" s="218" t="str">
        <v/>
      </c>
      <c r="F83" s="218" t="str">
        <v/>
      </c>
      <c r="G83" s="402" t="str">
        <v/>
      </c>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36"/>
      <c r="DX83" s="25"/>
      <c r="DY83" s="25"/>
      <c r="DZ83" s="25"/>
      <c r="EA83" s="25"/>
      <c r="EB83" s="25"/>
      <c r="EC83" s="25"/>
      <c r="ED83" s="25"/>
      <c r="EE83" s="25"/>
      <c r="EF83" s="25"/>
      <c r="EG83" s="25"/>
      <c r="EH83" s="25"/>
      <c r="EI83" s="25"/>
      <c r="EJ83" s="25"/>
      <c r="EK83" s="25"/>
      <c r="EL83" s="25"/>
      <c r="EM83" s="25"/>
      <c r="EN83" s="25"/>
      <c r="EO83" s="25"/>
      <c r="EP83" s="25"/>
      <c r="EQ83" s="25"/>
      <c r="ER83" s="36"/>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36"/>
      <c r="JH83" s="25"/>
      <c r="JI83" s="25"/>
      <c r="JJ83" s="25"/>
      <c r="JK83" s="25"/>
      <c r="JL83" s="25"/>
      <c r="JM83" s="25"/>
      <c r="JN83" s="25"/>
      <c r="JO83" s="25"/>
      <c r="JP83" s="25"/>
      <c r="JQ83" s="25"/>
      <c r="JR83" s="25"/>
      <c r="JS83" s="25"/>
      <c r="JT83" s="25"/>
      <c r="JU83" s="25"/>
      <c r="JV83" s="25"/>
      <c r="JW83" s="25"/>
      <c r="JX83" s="25"/>
      <c r="JY83" s="25"/>
      <c r="JZ83" s="25"/>
      <c r="KA83" s="25"/>
      <c r="KB83" s="36"/>
    </row>
    <row r="84" spans="2:288" ht="15" customHeight="1" x14ac:dyDescent="0.25">
      <c r="B84" s="216" t="s">
        <v>379</v>
      </c>
      <c r="C84" s="218" t="str">
        <v/>
      </c>
      <c r="D84" s="218" t="str">
        <v/>
      </c>
      <c r="E84" s="218" t="str">
        <v/>
      </c>
      <c r="F84" s="218" t="str">
        <v/>
      </c>
      <c r="G84" s="402" t="str">
        <v/>
      </c>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36"/>
      <c r="DX84" s="25"/>
      <c r="DY84" s="25"/>
      <c r="DZ84" s="25"/>
      <c r="EA84" s="25"/>
      <c r="EB84" s="25"/>
      <c r="EC84" s="25"/>
      <c r="ED84" s="25"/>
      <c r="EE84" s="25"/>
      <c r="EF84" s="25"/>
      <c r="EG84" s="25"/>
      <c r="EH84" s="25"/>
      <c r="EI84" s="25"/>
      <c r="EJ84" s="25"/>
      <c r="EK84" s="25"/>
      <c r="EL84" s="25"/>
      <c r="EM84" s="25"/>
      <c r="EN84" s="25"/>
      <c r="EO84" s="25"/>
      <c r="EP84" s="25"/>
      <c r="EQ84" s="25"/>
      <c r="ER84" s="36"/>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36"/>
      <c r="JH84" s="25"/>
      <c r="JI84" s="25"/>
      <c r="JJ84" s="25"/>
      <c r="JK84" s="25"/>
      <c r="JL84" s="25"/>
      <c r="JM84" s="25"/>
      <c r="JN84" s="25"/>
      <c r="JO84" s="25"/>
      <c r="JP84" s="25"/>
      <c r="JQ84" s="25"/>
      <c r="JR84" s="25"/>
      <c r="JS84" s="25"/>
      <c r="JT84" s="25"/>
      <c r="JU84" s="25"/>
      <c r="JV84" s="25"/>
      <c r="JW84" s="25"/>
      <c r="JX84" s="25"/>
      <c r="JY84" s="25"/>
      <c r="JZ84" s="25"/>
      <c r="KA84" s="25"/>
      <c r="KB84" s="36"/>
    </row>
    <row r="85" spans="2:288" ht="15" customHeight="1" x14ac:dyDescent="0.25">
      <c r="B85" s="216" t="s">
        <v>380</v>
      </c>
      <c r="C85" s="218" t="str">
        <v/>
      </c>
      <c r="D85" s="218" t="str">
        <v/>
      </c>
      <c r="E85" s="218" t="str">
        <v/>
      </c>
      <c r="F85" s="218" t="str">
        <v/>
      </c>
      <c r="G85" s="402" t="str">
        <v/>
      </c>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36"/>
      <c r="DX85" s="25"/>
      <c r="DY85" s="25"/>
      <c r="DZ85" s="25"/>
      <c r="EA85" s="25"/>
      <c r="EB85" s="25"/>
      <c r="EC85" s="25"/>
      <c r="ED85" s="25"/>
      <c r="EE85" s="25"/>
      <c r="EF85" s="25"/>
      <c r="EG85" s="25"/>
      <c r="EH85" s="25"/>
      <c r="EI85" s="25"/>
      <c r="EJ85" s="25"/>
      <c r="EK85" s="25"/>
      <c r="EL85" s="25"/>
      <c r="EM85" s="25"/>
      <c r="EN85" s="25"/>
      <c r="EO85" s="25"/>
      <c r="EP85" s="25"/>
      <c r="EQ85" s="25"/>
      <c r="ER85" s="36"/>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36"/>
      <c r="JH85" s="25"/>
      <c r="JI85" s="25"/>
      <c r="JJ85" s="25"/>
      <c r="JK85" s="25"/>
      <c r="JL85" s="25"/>
      <c r="JM85" s="25"/>
      <c r="JN85" s="25"/>
      <c r="JO85" s="25"/>
      <c r="JP85" s="25"/>
      <c r="JQ85" s="25"/>
      <c r="JR85" s="25"/>
      <c r="JS85" s="25"/>
      <c r="JT85" s="25"/>
      <c r="JU85" s="25"/>
      <c r="JV85" s="25"/>
      <c r="JW85" s="25"/>
      <c r="JX85" s="25"/>
      <c r="JY85" s="25"/>
      <c r="JZ85" s="25"/>
      <c r="KA85" s="25"/>
      <c r="KB85" s="36"/>
    </row>
    <row r="86" spans="2:288" ht="15" customHeight="1" x14ac:dyDescent="0.25">
      <c r="B86" s="216" t="s">
        <v>381</v>
      </c>
      <c r="C86" s="218" t="str">
        <v/>
      </c>
      <c r="D86" s="218" t="str">
        <v/>
      </c>
      <c r="E86" s="218" t="str">
        <v/>
      </c>
      <c r="F86" s="218" t="str">
        <v/>
      </c>
      <c r="G86" s="402" t="str">
        <v/>
      </c>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36"/>
      <c r="DX86" s="25"/>
      <c r="DY86" s="25"/>
      <c r="DZ86" s="25"/>
      <c r="EA86" s="25"/>
      <c r="EB86" s="25"/>
      <c r="EC86" s="25"/>
      <c r="ED86" s="25"/>
      <c r="EE86" s="25"/>
      <c r="EF86" s="25"/>
      <c r="EG86" s="25"/>
      <c r="EH86" s="25"/>
      <c r="EI86" s="25"/>
      <c r="EJ86" s="25"/>
      <c r="EK86" s="25"/>
      <c r="EL86" s="25"/>
      <c r="EM86" s="25"/>
      <c r="EN86" s="25"/>
      <c r="EO86" s="25"/>
      <c r="EP86" s="25"/>
      <c r="EQ86" s="25"/>
      <c r="ER86" s="36"/>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36"/>
      <c r="JH86" s="25"/>
      <c r="JI86" s="25"/>
      <c r="JJ86" s="25"/>
      <c r="JK86" s="25"/>
      <c r="JL86" s="25"/>
      <c r="JM86" s="25"/>
      <c r="JN86" s="25"/>
      <c r="JO86" s="25"/>
      <c r="JP86" s="25"/>
      <c r="JQ86" s="25"/>
      <c r="JR86" s="25"/>
      <c r="JS86" s="25"/>
      <c r="JT86" s="25"/>
      <c r="JU86" s="25"/>
      <c r="JV86" s="25"/>
      <c r="JW86" s="25"/>
      <c r="JX86" s="25"/>
      <c r="JY86" s="25"/>
      <c r="JZ86" s="25"/>
      <c r="KA86" s="25"/>
      <c r="KB86" s="36"/>
    </row>
    <row r="87" spans="2:288" ht="15" customHeight="1" x14ac:dyDescent="0.25">
      <c r="B87" s="216" t="s">
        <v>382</v>
      </c>
      <c r="C87" s="218" t="str">
        <v/>
      </c>
      <c r="D87" s="218" t="str">
        <v/>
      </c>
      <c r="E87" s="218" t="str">
        <v/>
      </c>
      <c r="F87" s="218" t="str">
        <v/>
      </c>
      <c r="G87" s="402" t="str">
        <v/>
      </c>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36"/>
      <c r="DX87" s="25"/>
      <c r="DY87" s="25"/>
      <c r="DZ87" s="25"/>
      <c r="EA87" s="25"/>
      <c r="EB87" s="25"/>
      <c r="EC87" s="25"/>
      <c r="ED87" s="25"/>
      <c r="EE87" s="25"/>
      <c r="EF87" s="25"/>
      <c r="EG87" s="25"/>
      <c r="EH87" s="25"/>
      <c r="EI87" s="25"/>
      <c r="EJ87" s="25"/>
      <c r="EK87" s="25"/>
      <c r="EL87" s="25"/>
      <c r="EM87" s="25"/>
      <c r="EN87" s="25"/>
      <c r="EO87" s="25"/>
      <c r="EP87" s="25"/>
      <c r="EQ87" s="25"/>
      <c r="ER87" s="36"/>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36"/>
      <c r="JH87" s="25"/>
      <c r="JI87" s="25"/>
      <c r="JJ87" s="25"/>
      <c r="JK87" s="25"/>
      <c r="JL87" s="25"/>
      <c r="JM87" s="25"/>
      <c r="JN87" s="25"/>
      <c r="JO87" s="25"/>
      <c r="JP87" s="25"/>
      <c r="JQ87" s="25"/>
      <c r="JR87" s="25"/>
      <c r="JS87" s="25"/>
      <c r="JT87" s="25"/>
      <c r="JU87" s="25"/>
      <c r="JV87" s="25"/>
      <c r="JW87" s="25"/>
      <c r="JX87" s="25"/>
      <c r="JY87" s="25"/>
      <c r="JZ87" s="25"/>
      <c r="KA87" s="25"/>
      <c r="KB87" s="36"/>
    </row>
    <row r="88" spans="2:288" ht="15" customHeight="1" x14ac:dyDescent="0.25">
      <c r="B88" s="216" t="s">
        <v>383</v>
      </c>
      <c r="C88" s="218" t="str">
        <v/>
      </c>
      <c r="D88" s="218" t="str">
        <v/>
      </c>
      <c r="E88" s="218" t="str">
        <v/>
      </c>
      <c r="F88" s="218" t="str">
        <v/>
      </c>
      <c r="G88" s="402" t="str">
        <v/>
      </c>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36"/>
      <c r="DX88" s="25"/>
      <c r="DY88" s="25"/>
      <c r="DZ88" s="25"/>
      <c r="EA88" s="25"/>
      <c r="EB88" s="25"/>
      <c r="EC88" s="25"/>
      <c r="ED88" s="25"/>
      <c r="EE88" s="25"/>
      <c r="EF88" s="25"/>
      <c r="EG88" s="25"/>
      <c r="EH88" s="25"/>
      <c r="EI88" s="25"/>
      <c r="EJ88" s="25"/>
      <c r="EK88" s="25"/>
      <c r="EL88" s="25"/>
      <c r="EM88" s="25"/>
      <c r="EN88" s="25"/>
      <c r="EO88" s="25"/>
      <c r="EP88" s="25"/>
      <c r="EQ88" s="25"/>
      <c r="ER88" s="36"/>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36"/>
      <c r="JH88" s="25"/>
      <c r="JI88" s="25"/>
      <c r="JJ88" s="25"/>
      <c r="JK88" s="25"/>
      <c r="JL88" s="25"/>
      <c r="JM88" s="25"/>
      <c r="JN88" s="25"/>
      <c r="JO88" s="25"/>
      <c r="JP88" s="25"/>
      <c r="JQ88" s="25"/>
      <c r="JR88" s="25"/>
      <c r="JS88" s="25"/>
      <c r="JT88" s="25"/>
      <c r="JU88" s="25"/>
      <c r="JV88" s="25"/>
      <c r="JW88" s="25"/>
      <c r="JX88" s="25"/>
      <c r="JY88" s="25"/>
      <c r="JZ88" s="25"/>
      <c r="KA88" s="25"/>
      <c r="KB88" s="36"/>
    </row>
    <row r="89" spans="2:288" ht="15" customHeight="1" x14ac:dyDescent="0.25">
      <c r="B89" s="216" t="s">
        <v>384</v>
      </c>
      <c r="C89" s="218" t="str">
        <v/>
      </c>
      <c r="D89" s="218" t="str">
        <v/>
      </c>
      <c r="E89" s="218" t="str">
        <v/>
      </c>
      <c r="F89" s="218" t="str">
        <v/>
      </c>
      <c r="G89" s="402" t="str">
        <v/>
      </c>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36"/>
      <c r="DX89" s="25"/>
      <c r="DY89" s="25"/>
      <c r="DZ89" s="25"/>
      <c r="EA89" s="25"/>
      <c r="EB89" s="25"/>
      <c r="EC89" s="25"/>
      <c r="ED89" s="25"/>
      <c r="EE89" s="25"/>
      <c r="EF89" s="25"/>
      <c r="EG89" s="25"/>
      <c r="EH89" s="25"/>
      <c r="EI89" s="25"/>
      <c r="EJ89" s="25"/>
      <c r="EK89" s="25"/>
      <c r="EL89" s="25"/>
      <c r="EM89" s="25"/>
      <c r="EN89" s="25"/>
      <c r="EO89" s="25"/>
      <c r="EP89" s="25"/>
      <c r="EQ89" s="25"/>
      <c r="ER89" s="36"/>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36"/>
      <c r="JH89" s="25"/>
      <c r="JI89" s="25"/>
      <c r="JJ89" s="25"/>
      <c r="JK89" s="25"/>
      <c r="JL89" s="25"/>
      <c r="JM89" s="25"/>
      <c r="JN89" s="25"/>
      <c r="JO89" s="25"/>
      <c r="JP89" s="25"/>
      <c r="JQ89" s="25"/>
      <c r="JR89" s="25"/>
      <c r="JS89" s="25"/>
      <c r="JT89" s="25"/>
      <c r="JU89" s="25"/>
      <c r="JV89" s="25"/>
      <c r="JW89" s="25"/>
      <c r="JX89" s="25"/>
      <c r="JY89" s="25"/>
      <c r="JZ89" s="25"/>
      <c r="KA89" s="25"/>
      <c r="KB89" s="36"/>
    </row>
    <row r="90" spans="2:288" ht="15" customHeight="1" x14ac:dyDescent="0.25">
      <c r="B90" s="216" t="s">
        <v>385</v>
      </c>
      <c r="C90" s="218" t="str">
        <v/>
      </c>
      <c r="D90" s="218" t="str">
        <v/>
      </c>
      <c r="E90" s="218" t="str">
        <v/>
      </c>
      <c r="F90" s="218" t="str">
        <v/>
      </c>
      <c r="G90" s="402" t="str">
        <v/>
      </c>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36"/>
      <c r="DX90" s="25"/>
      <c r="DY90" s="25"/>
      <c r="DZ90" s="25"/>
      <c r="EA90" s="25"/>
      <c r="EB90" s="25"/>
      <c r="EC90" s="25"/>
      <c r="ED90" s="25"/>
      <c r="EE90" s="25"/>
      <c r="EF90" s="25"/>
      <c r="EG90" s="25"/>
      <c r="EH90" s="25"/>
      <c r="EI90" s="25"/>
      <c r="EJ90" s="25"/>
      <c r="EK90" s="25"/>
      <c r="EL90" s="25"/>
      <c r="EM90" s="25"/>
      <c r="EN90" s="25"/>
      <c r="EO90" s="25"/>
      <c r="EP90" s="25"/>
      <c r="EQ90" s="25"/>
      <c r="ER90" s="36"/>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36"/>
      <c r="JH90" s="25"/>
      <c r="JI90" s="25"/>
      <c r="JJ90" s="25"/>
      <c r="JK90" s="25"/>
      <c r="JL90" s="25"/>
      <c r="JM90" s="25"/>
      <c r="JN90" s="25"/>
      <c r="JO90" s="25"/>
      <c r="JP90" s="25"/>
      <c r="JQ90" s="25"/>
      <c r="JR90" s="25"/>
      <c r="JS90" s="25"/>
      <c r="JT90" s="25"/>
      <c r="JU90" s="25"/>
      <c r="JV90" s="25"/>
      <c r="JW90" s="25"/>
      <c r="JX90" s="25"/>
      <c r="JY90" s="25"/>
      <c r="JZ90" s="25"/>
      <c r="KA90" s="25"/>
      <c r="KB90" s="36"/>
    </row>
    <row r="91" spans="2:288" ht="15" customHeight="1" x14ac:dyDescent="0.25">
      <c r="B91" s="216" t="s">
        <v>386</v>
      </c>
      <c r="C91" s="218" t="str">
        <v/>
      </c>
      <c r="D91" s="218" t="str">
        <v/>
      </c>
      <c r="E91" s="218" t="str">
        <v/>
      </c>
      <c r="F91" s="218" t="str">
        <v/>
      </c>
      <c r="G91" s="402" t="str">
        <v/>
      </c>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36"/>
      <c r="DX91" s="25"/>
      <c r="DY91" s="25"/>
      <c r="DZ91" s="25"/>
      <c r="EA91" s="25"/>
      <c r="EB91" s="25"/>
      <c r="EC91" s="25"/>
      <c r="ED91" s="25"/>
      <c r="EE91" s="25"/>
      <c r="EF91" s="25"/>
      <c r="EG91" s="25"/>
      <c r="EH91" s="25"/>
      <c r="EI91" s="25"/>
      <c r="EJ91" s="25"/>
      <c r="EK91" s="25"/>
      <c r="EL91" s="25"/>
      <c r="EM91" s="25"/>
      <c r="EN91" s="25"/>
      <c r="EO91" s="25"/>
      <c r="EP91" s="25"/>
      <c r="EQ91" s="25"/>
      <c r="ER91" s="36"/>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36"/>
      <c r="JH91" s="25"/>
      <c r="JI91" s="25"/>
      <c r="JJ91" s="25"/>
      <c r="JK91" s="25"/>
      <c r="JL91" s="25"/>
      <c r="JM91" s="25"/>
      <c r="JN91" s="25"/>
      <c r="JO91" s="25"/>
      <c r="JP91" s="25"/>
      <c r="JQ91" s="25"/>
      <c r="JR91" s="25"/>
      <c r="JS91" s="25"/>
      <c r="JT91" s="25"/>
      <c r="JU91" s="25"/>
      <c r="JV91" s="25"/>
      <c r="JW91" s="25"/>
      <c r="JX91" s="25"/>
      <c r="JY91" s="25"/>
      <c r="JZ91" s="25"/>
      <c r="KA91" s="25"/>
      <c r="KB91" s="36"/>
    </row>
    <row r="92" spans="2:288" ht="15" customHeight="1" x14ac:dyDescent="0.25">
      <c r="B92" s="216" t="s">
        <v>387</v>
      </c>
      <c r="C92" s="218" t="str">
        <v/>
      </c>
      <c r="D92" s="218" t="str">
        <v/>
      </c>
      <c r="E92" s="218" t="str">
        <v/>
      </c>
      <c r="F92" s="218" t="str">
        <v/>
      </c>
      <c r="G92" s="402" t="str">
        <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36"/>
      <c r="DX92" s="25"/>
      <c r="DY92" s="25"/>
      <c r="DZ92" s="25"/>
      <c r="EA92" s="25"/>
      <c r="EB92" s="25"/>
      <c r="EC92" s="25"/>
      <c r="ED92" s="25"/>
      <c r="EE92" s="25"/>
      <c r="EF92" s="25"/>
      <c r="EG92" s="25"/>
      <c r="EH92" s="25"/>
      <c r="EI92" s="25"/>
      <c r="EJ92" s="25"/>
      <c r="EK92" s="25"/>
      <c r="EL92" s="25"/>
      <c r="EM92" s="25"/>
      <c r="EN92" s="25"/>
      <c r="EO92" s="25"/>
      <c r="EP92" s="25"/>
      <c r="EQ92" s="25"/>
      <c r="ER92" s="36"/>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36"/>
      <c r="JH92" s="25"/>
      <c r="JI92" s="25"/>
      <c r="JJ92" s="25"/>
      <c r="JK92" s="25"/>
      <c r="JL92" s="25"/>
      <c r="JM92" s="25"/>
      <c r="JN92" s="25"/>
      <c r="JO92" s="25"/>
      <c r="JP92" s="25"/>
      <c r="JQ92" s="25"/>
      <c r="JR92" s="25"/>
      <c r="JS92" s="25"/>
      <c r="JT92" s="25"/>
      <c r="JU92" s="25"/>
      <c r="JV92" s="25"/>
      <c r="JW92" s="25"/>
      <c r="JX92" s="25"/>
      <c r="JY92" s="25"/>
      <c r="JZ92" s="25"/>
      <c r="KA92" s="25"/>
      <c r="KB92" s="36"/>
    </row>
    <row r="93" spans="2:288" ht="15" customHeight="1" x14ac:dyDescent="0.25">
      <c r="B93" s="216" t="s">
        <v>388</v>
      </c>
      <c r="C93" s="218" t="str">
        <v/>
      </c>
      <c r="D93" s="218" t="str">
        <v/>
      </c>
      <c r="E93" s="218" t="str">
        <v/>
      </c>
      <c r="F93" s="218" t="str">
        <v/>
      </c>
      <c r="G93" s="402" t="str">
        <v/>
      </c>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36"/>
      <c r="DX93" s="25"/>
      <c r="DY93" s="25"/>
      <c r="DZ93" s="25"/>
      <c r="EA93" s="25"/>
      <c r="EB93" s="25"/>
      <c r="EC93" s="25"/>
      <c r="ED93" s="25"/>
      <c r="EE93" s="25"/>
      <c r="EF93" s="25"/>
      <c r="EG93" s="25"/>
      <c r="EH93" s="25"/>
      <c r="EI93" s="25"/>
      <c r="EJ93" s="25"/>
      <c r="EK93" s="25"/>
      <c r="EL93" s="25"/>
      <c r="EM93" s="25"/>
      <c r="EN93" s="25"/>
      <c r="EO93" s="25"/>
      <c r="EP93" s="25"/>
      <c r="EQ93" s="25"/>
      <c r="ER93" s="36"/>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c r="IX93" s="25"/>
      <c r="IY93" s="25"/>
      <c r="IZ93" s="25"/>
      <c r="JA93" s="25"/>
      <c r="JB93" s="25"/>
      <c r="JC93" s="25"/>
      <c r="JD93" s="25"/>
      <c r="JE93" s="25"/>
      <c r="JF93" s="25"/>
      <c r="JG93" s="36"/>
      <c r="JH93" s="25"/>
      <c r="JI93" s="25"/>
      <c r="JJ93" s="25"/>
      <c r="JK93" s="25"/>
      <c r="JL93" s="25"/>
      <c r="JM93" s="25"/>
      <c r="JN93" s="25"/>
      <c r="JO93" s="25"/>
      <c r="JP93" s="25"/>
      <c r="JQ93" s="25"/>
      <c r="JR93" s="25"/>
      <c r="JS93" s="25"/>
      <c r="JT93" s="25"/>
      <c r="JU93" s="25"/>
      <c r="JV93" s="25"/>
      <c r="JW93" s="25"/>
      <c r="JX93" s="25"/>
      <c r="JY93" s="25"/>
      <c r="JZ93" s="25"/>
      <c r="KA93" s="25"/>
      <c r="KB93" s="36"/>
    </row>
    <row r="94" spans="2:288" ht="15" customHeight="1" x14ac:dyDescent="0.25">
      <c r="B94" s="216" t="s">
        <v>389</v>
      </c>
      <c r="C94" s="218" t="str">
        <v/>
      </c>
      <c r="D94" s="218" t="str">
        <v/>
      </c>
      <c r="E94" s="218" t="str">
        <v/>
      </c>
      <c r="F94" s="218" t="str">
        <v/>
      </c>
      <c r="G94" s="402" t="str">
        <v/>
      </c>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36"/>
      <c r="DX94" s="25"/>
      <c r="DY94" s="25"/>
      <c r="DZ94" s="25"/>
      <c r="EA94" s="25"/>
      <c r="EB94" s="25"/>
      <c r="EC94" s="25"/>
      <c r="ED94" s="25"/>
      <c r="EE94" s="25"/>
      <c r="EF94" s="25"/>
      <c r="EG94" s="25"/>
      <c r="EH94" s="25"/>
      <c r="EI94" s="25"/>
      <c r="EJ94" s="25"/>
      <c r="EK94" s="25"/>
      <c r="EL94" s="25"/>
      <c r="EM94" s="25"/>
      <c r="EN94" s="25"/>
      <c r="EO94" s="25"/>
      <c r="EP94" s="25"/>
      <c r="EQ94" s="25"/>
      <c r="ER94" s="36"/>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c r="IX94" s="25"/>
      <c r="IY94" s="25"/>
      <c r="IZ94" s="25"/>
      <c r="JA94" s="25"/>
      <c r="JB94" s="25"/>
      <c r="JC94" s="25"/>
      <c r="JD94" s="25"/>
      <c r="JE94" s="25"/>
      <c r="JF94" s="25"/>
      <c r="JG94" s="36"/>
      <c r="JH94" s="25"/>
      <c r="JI94" s="25"/>
      <c r="JJ94" s="25"/>
      <c r="JK94" s="25"/>
      <c r="JL94" s="25"/>
      <c r="JM94" s="25"/>
      <c r="JN94" s="25"/>
      <c r="JO94" s="25"/>
      <c r="JP94" s="25"/>
      <c r="JQ94" s="25"/>
      <c r="JR94" s="25"/>
      <c r="JS94" s="25"/>
      <c r="JT94" s="25"/>
      <c r="JU94" s="25"/>
      <c r="JV94" s="25"/>
      <c r="JW94" s="25"/>
      <c r="JX94" s="25"/>
      <c r="JY94" s="25"/>
      <c r="JZ94" s="25"/>
      <c r="KA94" s="25"/>
      <c r="KB94" s="36"/>
    </row>
    <row r="95" spans="2:288" ht="15" customHeight="1" x14ac:dyDescent="0.25">
      <c r="B95" s="216" t="s">
        <v>390</v>
      </c>
      <c r="C95" s="218" t="str">
        <v/>
      </c>
      <c r="D95" s="218" t="str">
        <v/>
      </c>
      <c r="E95" s="218" t="str">
        <v/>
      </c>
      <c r="F95" s="218" t="str">
        <v/>
      </c>
      <c r="G95" s="402" t="str">
        <v/>
      </c>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36"/>
      <c r="DX95" s="25"/>
      <c r="DY95" s="25"/>
      <c r="DZ95" s="25"/>
      <c r="EA95" s="25"/>
      <c r="EB95" s="25"/>
      <c r="EC95" s="25"/>
      <c r="ED95" s="25"/>
      <c r="EE95" s="25"/>
      <c r="EF95" s="25"/>
      <c r="EG95" s="25"/>
      <c r="EH95" s="25"/>
      <c r="EI95" s="25"/>
      <c r="EJ95" s="25"/>
      <c r="EK95" s="25"/>
      <c r="EL95" s="25"/>
      <c r="EM95" s="25"/>
      <c r="EN95" s="25"/>
      <c r="EO95" s="25"/>
      <c r="EP95" s="25"/>
      <c r="EQ95" s="25"/>
      <c r="ER95" s="36"/>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c r="IX95" s="25"/>
      <c r="IY95" s="25"/>
      <c r="IZ95" s="25"/>
      <c r="JA95" s="25"/>
      <c r="JB95" s="25"/>
      <c r="JC95" s="25"/>
      <c r="JD95" s="25"/>
      <c r="JE95" s="25"/>
      <c r="JF95" s="25"/>
      <c r="JG95" s="36"/>
      <c r="JH95" s="25"/>
      <c r="JI95" s="25"/>
      <c r="JJ95" s="25"/>
      <c r="JK95" s="25"/>
      <c r="JL95" s="25"/>
      <c r="JM95" s="25"/>
      <c r="JN95" s="25"/>
      <c r="JO95" s="25"/>
      <c r="JP95" s="25"/>
      <c r="JQ95" s="25"/>
      <c r="JR95" s="25"/>
      <c r="JS95" s="25"/>
      <c r="JT95" s="25"/>
      <c r="JU95" s="25"/>
      <c r="JV95" s="25"/>
      <c r="JW95" s="25"/>
      <c r="JX95" s="25"/>
      <c r="JY95" s="25"/>
      <c r="JZ95" s="25"/>
      <c r="KA95" s="25"/>
      <c r="KB95" s="36"/>
    </row>
    <row r="96" spans="2:288" ht="15" customHeight="1" x14ac:dyDescent="0.25">
      <c r="B96" s="216" t="s">
        <v>391</v>
      </c>
      <c r="C96" s="218" t="str">
        <v/>
      </c>
      <c r="D96" s="218" t="str">
        <v/>
      </c>
      <c r="E96" s="218" t="str">
        <v/>
      </c>
      <c r="F96" s="218" t="str">
        <v/>
      </c>
      <c r="G96" s="402" t="str">
        <v/>
      </c>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36"/>
      <c r="DX96" s="25"/>
      <c r="DY96" s="25"/>
      <c r="DZ96" s="25"/>
      <c r="EA96" s="25"/>
      <c r="EB96" s="25"/>
      <c r="EC96" s="25"/>
      <c r="ED96" s="25"/>
      <c r="EE96" s="25"/>
      <c r="EF96" s="25"/>
      <c r="EG96" s="25"/>
      <c r="EH96" s="25"/>
      <c r="EI96" s="25"/>
      <c r="EJ96" s="25"/>
      <c r="EK96" s="25"/>
      <c r="EL96" s="25"/>
      <c r="EM96" s="25"/>
      <c r="EN96" s="25"/>
      <c r="EO96" s="25"/>
      <c r="EP96" s="25"/>
      <c r="EQ96" s="25"/>
      <c r="ER96" s="36"/>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c r="IX96" s="25"/>
      <c r="IY96" s="25"/>
      <c r="IZ96" s="25"/>
      <c r="JA96" s="25"/>
      <c r="JB96" s="25"/>
      <c r="JC96" s="25"/>
      <c r="JD96" s="25"/>
      <c r="JE96" s="25"/>
      <c r="JF96" s="25"/>
      <c r="JG96" s="36"/>
      <c r="JH96" s="25"/>
      <c r="JI96" s="25"/>
      <c r="JJ96" s="25"/>
      <c r="JK96" s="25"/>
      <c r="JL96" s="25"/>
      <c r="JM96" s="25"/>
      <c r="JN96" s="25"/>
      <c r="JO96" s="25"/>
      <c r="JP96" s="25"/>
      <c r="JQ96" s="25"/>
      <c r="JR96" s="25"/>
      <c r="JS96" s="25"/>
      <c r="JT96" s="25"/>
      <c r="JU96" s="25"/>
      <c r="JV96" s="25"/>
      <c r="JW96" s="25"/>
      <c r="JX96" s="25"/>
      <c r="JY96" s="25"/>
      <c r="JZ96" s="25"/>
      <c r="KA96" s="25"/>
      <c r="KB96" s="36"/>
    </row>
    <row r="97" spans="1:289" ht="15" customHeight="1" x14ac:dyDescent="0.25">
      <c r="B97" s="216" t="s">
        <v>392</v>
      </c>
      <c r="C97" s="218" t="str">
        <v/>
      </c>
      <c r="D97" s="218" t="str">
        <v/>
      </c>
      <c r="E97" s="218" t="str">
        <v/>
      </c>
      <c r="F97" s="218" t="str">
        <v/>
      </c>
      <c r="G97" s="402" t="str">
        <v/>
      </c>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36"/>
      <c r="DX97" s="25"/>
      <c r="DY97" s="25"/>
      <c r="DZ97" s="25"/>
      <c r="EA97" s="25"/>
      <c r="EB97" s="25"/>
      <c r="EC97" s="25"/>
      <c r="ED97" s="25"/>
      <c r="EE97" s="25"/>
      <c r="EF97" s="25"/>
      <c r="EG97" s="25"/>
      <c r="EH97" s="25"/>
      <c r="EI97" s="25"/>
      <c r="EJ97" s="25"/>
      <c r="EK97" s="25"/>
      <c r="EL97" s="25"/>
      <c r="EM97" s="25"/>
      <c r="EN97" s="25"/>
      <c r="EO97" s="25"/>
      <c r="EP97" s="25"/>
      <c r="EQ97" s="25"/>
      <c r="ER97" s="36"/>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36"/>
      <c r="JH97" s="25"/>
      <c r="JI97" s="25"/>
      <c r="JJ97" s="25"/>
      <c r="JK97" s="25"/>
      <c r="JL97" s="25"/>
      <c r="JM97" s="25"/>
      <c r="JN97" s="25"/>
      <c r="JO97" s="25"/>
      <c r="JP97" s="25"/>
      <c r="JQ97" s="25"/>
      <c r="JR97" s="25"/>
      <c r="JS97" s="25"/>
      <c r="JT97" s="25"/>
      <c r="JU97" s="25"/>
      <c r="JV97" s="25"/>
      <c r="JW97" s="25"/>
      <c r="JX97" s="25"/>
      <c r="JY97" s="25"/>
      <c r="JZ97" s="25"/>
      <c r="KA97" s="25"/>
      <c r="KB97" s="36"/>
    </row>
    <row r="98" spans="1:289" ht="15" customHeight="1" x14ac:dyDescent="0.25">
      <c r="B98" s="216" t="s">
        <v>393</v>
      </c>
      <c r="C98" s="218" t="str">
        <v/>
      </c>
      <c r="D98" s="218" t="str">
        <v/>
      </c>
      <c r="E98" s="218" t="str">
        <v/>
      </c>
      <c r="F98" s="218" t="str">
        <v/>
      </c>
      <c r="G98" s="402" t="str">
        <v/>
      </c>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36"/>
      <c r="DX98" s="25"/>
      <c r="DY98" s="25"/>
      <c r="DZ98" s="25"/>
      <c r="EA98" s="25"/>
      <c r="EB98" s="25"/>
      <c r="EC98" s="25"/>
      <c r="ED98" s="25"/>
      <c r="EE98" s="25"/>
      <c r="EF98" s="25"/>
      <c r="EG98" s="25"/>
      <c r="EH98" s="25"/>
      <c r="EI98" s="25"/>
      <c r="EJ98" s="25"/>
      <c r="EK98" s="25"/>
      <c r="EL98" s="25"/>
      <c r="EM98" s="25"/>
      <c r="EN98" s="25"/>
      <c r="EO98" s="25"/>
      <c r="EP98" s="25"/>
      <c r="EQ98" s="25"/>
      <c r="ER98" s="36"/>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36"/>
      <c r="JH98" s="25"/>
      <c r="JI98" s="25"/>
      <c r="JJ98" s="25"/>
      <c r="JK98" s="25"/>
      <c r="JL98" s="25"/>
      <c r="JM98" s="25"/>
      <c r="JN98" s="25"/>
      <c r="JO98" s="25"/>
      <c r="JP98" s="25"/>
      <c r="JQ98" s="25"/>
      <c r="JR98" s="25"/>
      <c r="JS98" s="25"/>
      <c r="JT98" s="25"/>
      <c r="JU98" s="25"/>
      <c r="JV98" s="25"/>
      <c r="JW98" s="25"/>
      <c r="JX98" s="25"/>
      <c r="JY98" s="25"/>
      <c r="JZ98" s="25"/>
      <c r="KA98" s="25"/>
      <c r="KB98" s="36"/>
    </row>
    <row r="99" spans="1:289" ht="15" customHeight="1" x14ac:dyDescent="0.25">
      <c r="B99" s="216" t="s">
        <v>394</v>
      </c>
      <c r="C99" s="218" t="str">
        <v/>
      </c>
      <c r="D99" s="218" t="str">
        <v/>
      </c>
      <c r="E99" s="218" t="str">
        <v/>
      </c>
      <c r="F99" s="218" t="str">
        <v/>
      </c>
      <c r="G99" s="402" t="str">
        <v/>
      </c>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36"/>
      <c r="DX99" s="25"/>
      <c r="DY99" s="25"/>
      <c r="DZ99" s="25"/>
      <c r="EA99" s="25"/>
      <c r="EB99" s="25"/>
      <c r="EC99" s="25"/>
      <c r="ED99" s="25"/>
      <c r="EE99" s="25"/>
      <c r="EF99" s="25"/>
      <c r="EG99" s="25"/>
      <c r="EH99" s="25"/>
      <c r="EI99" s="25"/>
      <c r="EJ99" s="25"/>
      <c r="EK99" s="25"/>
      <c r="EL99" s="25"/>
      <c r="EM99" s="25"/>
      <c r="EN99" s="25"/>
      <c r="EO99" s="25"/>
      <c r="EP99" s="25"/>
      <c r="EQ99" s="25"/>
      <c r="ER99" s="36"/>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36"/>
      <c r="JH99" s="25"/>
      <c r="JI99" s="25"/>
      <c r="JJ99" s="25"/>
      <c r="JK99" s="25"/>
      <c r="JL99" s="25"/>
      <c r="JM99" s="25"/>
      <c r="JN99" s="25"/>
      <c r="JO99" s="25"/>
      <c r="JP99" s="25"/>
      <c r="JQ99" s="25"/>
      <c r="JR99" s="25"/>
      <c r="JS99" s="25"/>
      <c r="JT99" s="25"/>
      <c r="JU99" s="25"/>
      <c r="JV99" s="25"/>
      <c r="JW99" s="25"/>
      <c r="JX99" s="25"/>
      <c r="JY99" s="25"/>
      <c r="JZ99" s="25"/>
      <c r="KA99" s="25"/>
      <c r="KB99" s="36"/>
    </row>
    <row r="100" spans="1:289" ht="15" customHeight="1" x14ac:dyDescent="0.25">
      <c r="B100" s="216" t="s">
        <v>395</v>
      </c>
      <c r="C100" s="218" t="str">
        <v/>
      </c>
      <c r="D100" s="218" t="str">
        <v/>
      </c>
      <c r="E100" s="218" t="str">
        <v/>
      </c>
      <c r="F100" s="218" t="str">
        <v/>
      </c>
      <c r="G100" s="402" t="str">
        <v/>
      </c>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36"/>
      <c r="DX100" s="25"/>
      <c r="DY100" s="25"/>
      <c r="DZ100" s="25"/>
      <c r="EA100" s="25"/>
      <c r="EB100" s="25"/>
      <c r="EC100" s="25"/>
      <c r="ED100" s="25"/>
      <c r="EE100" s="25"/>
      <c r="EF100" s="25"/>
      <c r="EG100" s="25"/>
      <c r="EH100" s="25"/>
      <c r="EI100" s="25"/>
      <c r="EJ100" s="25"/>
      <c r="EK100" s="25"/>
      <c r="EL100" s="25"/>
      <c r="EM100" s="25"/>
      <c r="EN100" s="25"/>
      <c r="EO100" s="25"/>
      <c r="EP100" s="25"/>
      <c r="EQ100" s="25"/>
      <c r="ER100" s="36"/>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36"/>
      <c r="JH100" s="25"/>
      <c r="JI100" s="25"/>
      <c r="JJ100" s="25"/>
      <c r="JK100" s="25"/>
      <c r="JL100" s="25"/>
      <c r="JM100" s="25"/>
      <c r="JN100" s="25"/>
      <c r="JO100" s="25"/>
      <c r="JP100" s="25"/>
      <c r="JQ100" s="25"/>
      <c r="JR100" s="25"/>
      <c r="JS100" s="25"/>
      <c r="JT100" s="25"/>
      <c r="JU100" s="25"/>
      <c r="JV100" s="25"/>
      <c r="JW100" s="25"/>
      <c r="JX100" s="25"/>
      <c r="JY100" s="25"/>
      <c r="JZ100" s="25"/>
      <c r="KA100" s="25"/>
      <c r="KB100" s="36"/>
    </row>
    <row r="101" spans="1:289" ht="15" customHeight="1" x14ac:dyDescent="0.25">
      <c r="B101" s="216" t="s">
        <v>396</v>
      </c>
      <c r="C101" s="218" t="str">
        <v/>
      </c>
      <c r="D101" s="218" t="str">
        <v/>
      </c>
      <c r="E101" s="218" t="str">
        <v/>
      </c>
      <c r="F101" s="218" t="str">
        <v/>
      </c>
      <c r="G101" s="402" t="str">
        <v/>
      </c>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36"/>
      <c r="DX101" s="25"/>
      <c r="DY101" s="25"/>
      <c r="DZ101" s="25"/>
      <c r="EA101" s="25"/>
      <c r="EB101" s="25"/>
      <c r="EC101" s="25"/>
      <c r="ED101" s="25"/>
      <c r="EE101" s="25"/>
      <c r="EF101" s="25"/>
      <c r="EG101" s="25"/>
      <c r="EH101" s="25"/>
      <c r="EI101" s="25"/>
      <c r="EJ101" s="25"/>
      <c r="EK101" s="25"/>
      <c r="EL101" s="25"/>
      <c r="EM101" s="25"/>
      <c r="EN101" s="25"/>
      <c r="EO101" s="25"/>
      <c r="EP101" s="25"/>
      <c r="EQ101" s="25"/>
      <c r="ER101" s="36"/>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36"/>
      <c r="JH101" s="25"/>
      <c r="JI101" s="25"/>
      <c r="JJ101" s="25"/>
      <c r="JK101" s="25"/>
      <c r="JL101" s="25"/>
      <c r="JM101" s="25"/>
      <c r="JN101" s="25"/>
      <c r="JO101" s="25"/>
      <c r="JP101" s="25"/>
      <c r="JQ101" s="25"/>
      <c r="JR101" s="25"/>
      <c r="JS101" s="25"/>
      <c r="JT101" s="25"/>
      <c r="JU101" s="25"/>
      <c r="JV101" s="25"/>
      <c r="JW101" s="25"/>
      <c r="JX101" s="25"/>
      <c r="JY101" s="25"/>
      <c r="JZ101" s="25"/>
      <c r="KA101" s="25"/>
      <c r="KB101" s="36"/>
    </row>
    <row r="102" spans="1:289" ht="15" customHeight="1" x14ac:dyDescent="0.25">
      <c r="B102" s="216" t="s">
        <v>397</v>
      </c>
      <c r="C102" s="218" t="str">
        <v/>
      </c>
      <c r="D102" s="218" t="str">
        <v/>
      </c>
      <c r="E102" s="218" t="str">
        <v/>
      </c>
      <c r="F102" s="218" t="str">
        <v/>
      </c>
      <c r="G102" s="402" t="str">
        <v/>
      </c>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36"/>
      <c r="DX102" s="25"/>
      <c r="DY102" s="25"/>
      <c r="DZ102" s="25"/>
      <c r="EA102" s="25"/>
      <c r="EB102" s="25"/>
      <c r="EC102" s="25"/>
      <c r="ED102" s="25"/>
      <c r="EE102" s="25"/>
      <c r="EF102" s="25"/>
      <c r="EG102" s="25"/>
      <c r="EH102" s="25"/>
      <c r="EI102" s="25"/>
      <c r="EJ102" s="25"/>
      <c r="EK102" s="25"/>
      <c r="EL102" s="25"/>
      <c r="EM102" s="25"/>
      <c r="EN102" s="25"/>
      <c r="EO102" s="25"/>
      <c r="EP102" s="25"/>
      <c r="EQ102" s="25"/>
      <c r="ER102" s="36"/>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36"/>
      <c r="JH102" s="25"/>
      <c r="JI102" s="25"/>
      <c r="JJ102" s="25"/>
      <c r="JK102" s="25"/>
      <c r="JL102" s="25"/>
      <c r="JM102" s="25"/>
      <c r="JN102" s="25"/>
      <c r="JO102" s="25"/>
      <c r="JP102" s="25"/>
      <c r="JQ102" s="25"/>
      <c r="JR102" s="25"/>
      <c r="JS102" s="25"/>
      <c r="JT102" s="25"/>
      <c r="JU102" s="25"/>
      <c r="JV102" s="25"/>
      <c r="JW102" s="25"/>
      <c r="JX102" s="25"/>
      <c r="JY102" s="25"/>
      <c r="JZ102" s="25"/>
      <c r="KA102" s="25"/>
      <c r="KB102" s="36"/>
    </row>
    <row r="103" spans="1:289" ht="15" customHeight="1" x14ac:dyDescent="0.25">
      <c r="B103" s="216" t="s">
        <v>398</v>
      </c>
      <c r="C103" s="218" t="str">
        <v/>
      </c>
      <c r="D103" s="218" t="str">
        <v/>
      </c>
      <c r="E103" s="218" t="str">
        <v/>
      </c>
      <c r="F103" s="218" t="str">
        <v/>
      </c>
      <c r="G103" s="402" t="str">
        <v/>
      </c>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36"/>
      <c r="DX103" s="25"/>
      <c r="DY103" s="25"/>
      <c r="DZ103" s="25"/>
      <c r="EA103" s="25"/>
      <c r="EB103" s="25"/>
      <c r="EC103" s="25"/>
      <c r="ED103" s="25"/>
      <c r="EE103" s="25"/>
      <c r="EF103" s="25"/>
      <c r="EG103" s="25"/>
      <c r="EH103" s="25"/>
      <c r="EI103" s="25"/>
      <c r="EJ103" s="25"/>
      <c r="EK103" s="25"/>
      <c r="EL103" s="25"/>
      <c r="EM103" s="25"/>
      <c r="EN103" s="25"/>
      <c r="EO103" s="25"/>
      <c r="EP103" s="25"/>
      <c r="EQ103" s="25"/>
      <c r="ER103" s="36"/>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36"/>
      <c r="JH103" s="25"/>
      <c r="JI103" s="25"/>
      <c r="JJ103" s="25"/>
      <c r="JK103" s="25"/>
      <c r="JL103" s="25"/>
      <c r="JM103" s="25"/>
      <c r="JN103" s="25"/>
      <c r="JO103" s="25"/>
      <c r="JP103" s="25"/>
      <c r="JQ103" s="25"/>
      <c r="JR103" s="25"/>
      <c r="JS103" s="25"/>
      <c r="JT103" s="25"/>
      <c r="JU103" s="25"/>
      <c r="JV103" s="25"/>
      <c r="JW103" s="25"/>
      <c r="JX103" s="25"/>
      <c r="JY103" s="25"/>
      <c r="JZ103" s="25"/>
      <c r="KA103" s="25"/>
      <c r="KB103" s="36"/>
    </row>
    <row r="104" spans="1:289" ht="15" customHeight="1" x14ac:dyDescent="0.25">
      <c r="B104" s="216" t="s">
        <v>399</v>
      </c>
      <c r="C104" s="218" t="str">
        <v/>
      </c>
      <c r="D104" s="218" t="str">
        <v/>
      </c>
      <c r="E104" s="218" t="str">
        <v/>
      </c>
      <c r="F104" s="218" t="str">
        <v/>
      </c>
      <c r="G104" s="402" t="str">
        <v/>
      </c>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36"/>
      <c r="DX104" s="25"/>
      <c r="DY104" s="25"/>
      <c r="DZ104" s="25"/>
      <c r="EA104" s="25"/>
      <c r="EB104" s="25"/>
      <c r="EC104" s="25"/>
      <c r="ED104" s="25"/>
      <c r="EE104" s="25"/>
      <c r="EF104" s="25"/>
      <c r="EG104" s="25"/>
      <c r="EH104" s="25"/>
      <c r="EI104" s="25"/>
      <c r="EJ104" s="25"/>
      <c r="EK104" s="25"/>
      <c r="EL104" s="25"/>
      <c r="EM104" s="25"/>
      <c r="EN104" s="25"/>
      <c r="EO104" s="25"/>
      <c r="EP104" s="25"/>
      <c r="EQ104" s="25"/>
      <c r="ER104" s="36"/>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36"/>
      <c r="JH104" s="25"/>
      <c r="JI104" s="25"/>
      <c r="JJ104" s="25"/>
      <c r="JK104" s="25"/>
      <c r="JL104" s="25"/>
      <c r="JM104" s="25"/>
      <c r="JN104" s="25"/>
      <c r="JO104" s="25"/>
      <c r="JP104" s="25"/>
      <c r="JQ104" s="25"/>
      <c r="JR104" s="25"/>
      <c r="JS104" s="25"/>
      <c r="JT104" s="25"/>
      <c r="JU104" s="25"/>
      <c r="JV104" s="25"/>
      <c r="JW104" s="25"/>
      <c r="JX104" s="25"/>
      <c r="JY104" s="25"/>
      <c r="JZ104" s="25"/>
      <c r="KA104" s="25"/>
      <c r="KB104" s="36"/>
    </row>
    <row r="105" spans="1:289" ht="15" customHeight="1" x14ac:dyDescent="0.25">
      <c r="B105" s="216" t="s">
        <v>400</v>
      </c>
      <c r="C105" s="218" t="str">
        <v/>
      </c>
      <c r="D105" s="218" t="str">
        <v/>
      </c>
      <c r="E105" s="218" t="str">
        <v/>
      </c>
      <c r="F105" s="218" t="str">
        <v/>
      </c>
      <c r="G105" s="402" t="str">
        <v/>
      </c>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36"/>
      <c r="DX105" s="25"/>
      <c r="DY105" s="25"/>
      <c r="DZ105" s="25"/>
      <c r="EA105" s="25"/>
      <c r="EB105" s="25"/>
      <c r="EC105" s="25"/>
      <c r="ED105" s="25"/>
      <c r="EE105" s="25"/>
      <c r="EF105" s="25"/>
      <c r="EG105" s="25"/>
      <c r="EH105" s="25"/>
      <c r="EI105" s="25"/>
      <c r="EJ105" s="25"/>
      <c r="EK105" s="25"/>
      <c r="EL105" s="25"/>
      <c r="EM105" s="25"/>
      <c r="EN105" s="25"/>
      <c r="EO105" s="25"/>
      <c r="EP105" s="25"/>
      <c r="EQ105" s="25"/>
      <c r="ER105" s="36"/>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36"/>
      <c r="JH105" s="25"/>
      <c r="JI105" s="25"/>
      <c r="JJ105" s="25"/>
      <c r="JK105" s="25"/>
      <c r="JL105" s="25"/>
      <c r="JM105" s="25"/>
      <c r="JN105" s="25"/>
      <c r="JO105" s="25"/>
      <c r="JP105" s="25"/>
      <c r="JQ105" s="25"/>
      <c r="JR105" s="25"/>
      <c r="JS105" s="25"/>
      <c r="JT105" s="25"/>
      <c r="JU105" s="25"/>
      <c r="JV105" s="25"/>
      <c r="JW105" s="25"/>
      <c r="JX105" s="25"/>
      <c r="JY105" s="25"/>
      <c r="JZ105" s="25"/>
      <c r="KA105" s="25"/>
      <c r="KB105" s="36"/>
    </row>
    <row r="106" spans="1:289" ht="15" customHeight="1" x14ac:dyDescent="0.25">
      <c r="B106" s="216" t="s">
        <v>401</v>
      </c>
      <c r="C106" s="218" t="str">
        <v/>
      </c>
      <c r="D106" s="218" t="str">
        <v/>
      </c>
      <c r="E106" s="218" t="str">
        <v/>
      </c>
      <c r="F106" s="218" t="str">
        <v/>
      </c>
      <c r="G106" s="402" t="str">
        <v/>
      </c>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36"/>
      <c r="DX106" s="25"/>
      <c r="DY106" s="25"/>
      <c r="DZ106" s="25"/>
      <c r="EA106" s="25"/>
      <c r="EB106" s="25"/>
      <c r="EC106" s="25"/>
      <c r="ED106" s="25"/>
      <c r="EE106" s="25"/>
      <c r="EF106" s="25"/>
      <c r="EG106" s="25"/>
      <c r="EH106" s="25"/>
      <c r="EI106" s="25"/>
      <c r="EJ106" s="25"/>
      <c r="EK106" s="25"/>
      <c r="EL106" s="25"/>
      <c r="EM106" s="25"/>
      <c r="EN106" s="25"/>
      <c r="EO106" s="25"/>
      <c r="EP106" s="25"/>
      <c r="EQ106" s="25"/>
      <c r="ER106" s="36"/>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36"/>
      <c r="JH106" s="25"/>
      <c r="JI106" s="25"/>
      <c r="JJ106" s="25"/>
      <c r="JK106" s="25"/>
      <c r="JL106" s="25"/>
      <c r="JM106" s="25"/>
      <c r="JN106" s="25"/>
      <c r="JO106" s="25"/>
      <c r="JP106" s="25"/>
      <c r="JQ106" s="25"/>
      <c r="JR106" s="25"/>
      <c r="JS106" s="25"/>
      <c r="JT106" s="25"/>
      <c r="JU106" s="25"/>
      <c r="JV106" s="25"/>
      <c r="JW106" s="25"/>
      <c r="JX106" s="25"/>
      <c r="JY106" s="25"/>
      <c r="JZ106" s="25"/>
      <c r="KA106" s="25"/>
      <c r="KB106" s="36"/>
    </row>
    <row r="107" spans="1:289" ht="15" customHeight="1" x14ac:dyDescent="0.25">
      <c r="B107" s="216" t="s">
        <v>402</v>
      </c>
      <c r="C107" s="218" t="str">
        <v/>
      </c>
      <c r="D107" s="218" t="str">
        <v/>
      </c>
      <c r="E107" s="218" t="str">
        <v/>
      </c>
      <c r="F107" s="218" t="str">
        <v/>
      </c>
      <c r="G107" s="402" t="str">
        <v/>
      </c>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36"/>
      <c r="DX107" s="25"/>
      <c r="DY107" s="25"/>
      <c r="DZ107" s="25"/>
      <c r="EA107" s="25"/>
      <c r="EB107" s="25"/>
      <c r="EC107" s="25"/>
      <c r="ED107" s="25"/>
      <c r="EE107" s="25"/>
      <c r="EF107" s="25"/>
      <c r="EG107" s="25"/>
      <c r="EH107" s="25"/>
      <c r="EI107" s="25"/>
      <c r="EJ107" s="25"/>
      <c r="EK107" s="25"/>
      <c r="EL107" s="25"/>
      <c r="EM107" s="25"/>
      <c r="EN107" s="25"/>
      <c r="EO107" s="25"/>
      <c r="EP107" s="25"/>
      <c r="EQ107" s="25"/>
      <c r="ER107" s="36"/>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36"/>
      <c r="JH107" s="25"/>
      <c r="JI107" s="25"/>
      <c r="JJ107" s="25"/>
      <c r="JK107" s="25"/>
      <c r="JL107" s="25"/>
      <c r="JM107" s="25"/>
      <c r="JN107" s="25"/>
      <c r="JO107" s="25"/>
      <c r="JP107" s="25"/>
      <c r="JQ107" s="25"/>
      <c r="JR107" s="25"/>
      <c r="JS107" s="25"/>
      <c r="JT107" s="25"/>
      <c r="JU107" s="25"/>
      <c r="JV107" s="25"/>
      <c r="JW107" s="25"/>
      <c r="JX107" s="25"/>
      <c r="JY107" s="25"/>
      <c r="JZ107" s="25"/>
      <c r="KA107" s="25"/>
      <c r="KB107" s="36"/>
    </row>
    <row r="108" spans="1:289" ht="15" customHeight="1" x14ac:dyDescent="0.25">
      <c r="B108" s="216" t="s">
        <v>403</v>
      </c>
      <c r="C108" s="218" t="str">
        <v/>
      </c>
      <c r="D108" s="218" t="str">
        <v/>
      </c>
      <c r="E108" s="218" t="str">
        <v/>
      </c>
      <c r="F108" s="218" t="str">
        <v/>
      </c>
      <c r="G108" s="402" t="str">
        <v/>
      </c>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36"/>
      <c r="DX108" s="25"/>
      <c r="DY108" s="25"/>
      <c r="DZ108" s="25"/>
      <c r="EA108" s="25"/>
      <c r="EB108" s="25"/>
      <c r="EC108" s="25"/>
      <c r="ED108" s="25"/>
      <c r="EE108" s="25"/>
      <c r="EF108" s="25"/>
      <c r="EG108" s="25"/>
      <c r="EH108" s="25"/>
      <c r="EI108" s="25"/>
      <c r="EJ108" s="25"/>
      <c r="EK108" s="25"/>
      <c r="EL108" s="25"/>
      <c r="EM108" s="25"/>
      <c r="EN108" s="25"/>
      <c r="EO108" s="25"/>
      <c r="EP108" s="25"/>
      <c r="EQ108" s="25"/>
      <c r="ER108" s="36"/>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c r="IX108" s="25"/>
      <c r="IY108" s="25"/>
      <c r="IZ108" s="25"/>
      <c r="JA108" s="25"/>
      <c r="JB108" s="25"/>
      <c r="JC108" s="25"/>
      <c r="JD108" s="25"/>
      <c r="JE108" s="25"/>
      <c r="JF108" s="25"/>
      <c r="JG108" s="36"/>
      <c r="JH108" s="25"/>
      <c r="JI108" s="25"/>
      <c r="JJ108" s="25"/>
      <c r="JK108" s="25"/>
      <c r="JL108" s="25"/>
      <c r="JM108" s="25"/>
      <c r="JN108" s="25"/>
      <c r="JO108" s="25"/>
      <c r="JP108" s="25"/>
      <c r="JQ108" s="25"/>
      <c r="JR108" s="25"/>
      <c r="JS108" s="25"/>
      <c r="JT108" s="25"/>
      <c r="JU108" s="25"/>
      <c r="JV108" s="25"/>
      <c r="JW108" s="25"/>
      <c r="JX108" s="25"/>
      <c r="JY108" s="25"/>
      <c r="JZ108" s="25"/>
      <c r="KA108" s="25"/>
      <c r="KB108" s="36"/>
    </row>
    <row r="109" spans="1:289" ht="15" customHeight="1" x14ac:dyDescent="0.25">
      <c r="B109" s="216" t="s">
        <v>404</v>
      </c>
      <c r="C109" s="218" t="str">
        <v/>
      </c>
      <c r="D109" s="218" t="str">
        <v/>
      </c>
      <c r="E109" s="218" t="str">
        <v/>
      </c>
      <c r="F109" s="218" t="str">
        <v/>
      </c>
      <c r="G109" s="402" t="str">
        <v/>
      </c>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36"/>
      <c r="DX109" s="25"/>
      <c r="DY109" s="25"/>
      <c r="DZ109" s="25"/>
      <c r="EA109" s="25"/>
      <c r="EB109" s="25"/>
      <c r="EC109" s="25"/>
      <c r="ED109" s="25"/>
      <c r="EE109" s="25"/>
      <c r="EF109" s="25"/>
      <c r="EG109" s="25"/>
      <c r="EH109" s="25"/>
      <c r="EI109" s="25"/>
      <c r="EJ109" s="25"/>
      <c r="EK109" s="25"/>
      <c r="EL109" s="25"/>
      <c r="EM109" s="25"/>
      <c r="EN109" s="25"/>
      <c r="EO109" s="25"/>
      <c r="EP109" s="25"/>
      <c r="EQ109" s="25"/>
      <c r="ER109" s="36"/>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36"/>
      <c r="JH109" s="25"/>
      <c r="JI109" s="25"/>
      <c r="JJ109" s="25"/>
      <c r="JK109" s="25"/>
      <c r="JL109" s="25"/>
      <c r="JM109" s="25"/>
      <c r="JN109" s="25"/>
      <c r="JO109" s="25"/>
      <c r="JP109" s="25"/>
      <c r="JQ109" s="25"/>
      <c r="JR109" s="25"/>
      <c r="JS109" s="25"/>
      <c r="JT109" s="25"/>
      <c r="JU109" s="25"/>
      <c r="JV109" s="25"/>
      <c r="JW109" s="25"/>
      <c r="JX109" s="25"/>
      <c r="JY109" s="25"/>
      <c r="JZ109" s="25"/>
      <c r="KA109" s="25"/>
      <c r="KB109" s="36"/>
    </row>
    <row r="110" spans="1:289" ht="15" customHeight="1" x14ac:dyDescent="0.25">
      <c r="B110" s="217" t="s">
        <v>405</v>
      </c>
      <c r="C110" s="220" t="str">
        <v/>
      </c>
      <c r="D110" s="220" t="str">
        <v/>
      </c>
      <c r="E110" s="220" t="str">
        <v/>
      </c>
      <c r="F110" s="220" t="str">
        <v/>
      </c>
      <c r="G110" s="402" t="str">
        <v/>
      </c>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62"/>
      <c r="DX110" s="31"/>
      <c r="DY110" s="31"/>
      <c r="DZ110" s="31"/>
      <c r="EA110" s="31"/>
      <c r="EB110" s="31"/>
      <c r="EC110" s="31"/>
      <c r="ED110" s="31"/>
      <c r="EE110" s="31"/>
      <c r="EF110" s="31"/>
      <c r="EG110" s="31"/>
      <c r="EH110" s="31"/>
      <c r="EI110" s="31"/>
      <c r="EJ110" s="31"/>
      <c r="EK110" s="31"/>
      <c r="EL110" s="31"/>
      <c r="EM110" s="31"/>
      <c r="EN110" s="31"/>
      <c r="EO110" s="31"/>
      <c r="EP110" s="31"/>
      <c r="EQ110" s="31"/>
      <c r="ER110" s="62"/>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62"/>
      <c r="JH110" s="31"/>
      <c r="JI110" s="31"/>
      <c r="JJ110" s="31"/>
      <c r="JK110" s="31"/>
      <c r="JL110" s="31"/>
      <c r="JM110" s="31"/>
      <c r="JN110" s="31"/>
      <c r="JO110" s="31"/>
      <c r="JP110" s="31"/>
      <c r="JQ110" s="31"/>
      <c r="JR110" s="31"/>
      <c r="JS110" s="31"/>
      <c r="JT110" s="31"/>
      <c r="JU110" s="31"/>
      <c r="JV110" s="31"/>
      <c r="JW110" s="31"/>
      <c r="JX110" s="31"/>
      <c r="JY110" s="31"/>
      <c r="JZ110" s="31"/>
      <c r="KA110" s="31"/>
      <c r="KB110" s="62"/>
    </row>
    <row r="111" spans="1:289" ht="15" customHeight="1" x14ac:dyDescent="0.25">
      <c r="B111" s="449" t="s">
        <v>406</v>
      </c>
      <c r="C111" s="403"/>
      <c r="D111" s="403"/>
      <c r="E111" s="396"/>
      <c r="F111" s="396"/>
      <c r="G111" s="396"/>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c r="BN111" s="450"/>
      <c r="BO111" s="450"/>
      <c r="BP111" s="450"/>
      <c r="BQ111" s="450"/>
      <c r="BR111" s="450"/>
      <c r="BS111" s="450"/>
      <c r="BT111" s="450"/>
      <c r="BU111" s="450"/>
      <c r="BV111" s="450"/>
      <c r="BW111" s="450"/>
      <c r="BX111" s="450"/>
      <c r="BY111" s="450"/>
      <c r="BZ111" s="450"/>
      <c r="CA111" s="450"/>
      <c r="CB111" s="450"/>
      <c r="CC111" s="450"/>
      <c r="CD111" s="450"/>
      <c r="CE111" s="450"/>
      <c r="CF111" s="450"/>
      <c r="CG111" s="450"/>
      <c r="CH111" s="450"/>
      <c r="CI111" s="450"/>
      <c r="CJ111" s="450"/>
      <c r="CK111" s="450"/>
      <c r="CL111" s="450"/>
      <c r="CM111" s="450"/>
      <c r="CN111" s="450"/>
      <c r="CO111" s="450"/>
      <c r="CP111" s="450"/>
      <c r="CQ111" s="450"/>
      <c r="CR111" s="450"/>
      <c r="CS111" s="450"/>
      <c r="CT111" s="450"/>
      <c r="CU111" s="450"/>
      <c r="CV111" s="450"/>
      <c r="CW111" s="450"/>
      <c r="CX111" s="450"/>
      <c r="CY111" s="450"/>
      <c r="CZ111" s="450"/>
      <c r="DA111" s="450"/>
      <c r="DB111" s="450"/>
      <c r="DC111" s="450"/>
      <c r="DD111" s="450"/>
      <c r="DE111" s="450"/>
      <c r="DF111" s="450"/>
      <c r="DG111" s="450"/>
      <c r="DH111" s="450"/>
      <c r="DI111" s="450"/>
      <c r="DJ111" s="450"/>
      <c r="DK111" s="450"/>
      <c r="DL111" s="450"/>
      <c r="DM111" s="450"/>
      <c r="DN111" s="450"/>
      <c r="DO111" s="450"/>
      <c r="DP111" s="450"/>
      <c r="DQ111" s="450"/>
      <c r="DR111" s="450"/>
      <c r="DS111" s="450"/>
      <c r="DT111" s="450"/>
      <c r="DU111" s="450"/>
      <c r="DV111" s="450"/>
      <c r="DW111" s="435"/>
      <c r="DX111" s="450"/>
      <c r="DY111" s="450"/>
      <c r="DZ111" s="450"/>
      <c r="EA111" s="450"/>
      <c r="EB111" s="450"/>
      <c r="EC111" s="450"/>
      <c r="ED111" s="450"/>
      <c r="EE111" s="450"/>
      <c r="EF111" s="450"/>
      <c r="EG111" s="450"/>
      <c r="EH111" s="450"/>
      <c r="EI111" s="450"/>
      <c r="EJ111" s="450"/>
      <c r="EK111" s="450"/>
      <c r="EL111" s="450"/>
      <c r="EM111" s="450"/>
      <c r="EN111" s="450"/>
      <c r="EO111" s="450"/>
      <c r="EP111" s="450"/>
      <c r="EQ111" s="450"/>
      <c r="ER111" s="435"/>
      <c r="ES111" s="450"/>
      <c r="ET111" s="450"/>
      <c r="EU111" s="450"/>
      <c r="EV111" s="450"/>
      <c r="EW111" s="450"/>
      <c r="EX111" s="450"/>
      <c r="EY111" s="450"/>
      <c r="EZ111" s="450"/>
      <c r="FA111" s="450"/>
      <c r="FB111" s="450"/>
      <c r="FC111" s="450"/>
      <c r="FD111" s="450"/>
      <c r="FE111" s="450"/>
      <c r="FF111" s="450"/>
      <c r="FG111" s="450"/>
      <c r="FH111" s="450"/>
      <c r="FI111" s="450"/>
      <c r="FJ111" s="450"/>
      <c r="FK111" s="450"/>
      <c r="FL111" s="450"/>
      <c r="FM111" s="450"/>
      <c r="FN111" s="450"/>
      <c r="FO111" s="450"/>
      <c r="FP111" s="450"/>
      <c r="FQ111" s="450"/>
      <c r="FR111" s="450"/>
      <c r="FS111" s="450"/>
      <c r="FT111" s="450"/>
      <c r="FU111" s="450"/>
      <c r="FV111" s="450"/>
      <c r="FW111" s="450"/>
      <c r="FX111" s="450"/>
      <c r="FY111" s="450"/>
      <c r="FZ111" s="450"/>
      <c r="GA111" s="450"/>
      <c r="GB111" s="450"/>
      <c r="GC111" s="450"/>
      <c r="GD111" s="450"/>
      <c r="GE111" s="450"/>
      <c r="GF111" s="450"/>
      <c r="GG111" s="450"/>
      <c r="GH111" s="450"/>
      <c r="GI111" s="450"/>
      <c r="GJ111" s="450"/>
      <c r="GK111" s="450"/>
      <c r="GL111" s="450"/>
      <c r="GM111" s="450"/>
      <c r="GN111" s="450"/>
      <c r="GO111" s="450"/>
      <c r="GP111" s="450"/>
      <c r="GQ111" s="450"/>
      <c r="GR111" s="450"/>
      <c r="GS111" s="450"/>
      <c r="GT111" s="450"/>
      <c r="GU111" s="450"/>
      <c r="GV111" s="450"/>
      <c r="GW111" s="450"/>
      <c r="GX111" s="450"/>
      <c r="GY111" s="450"/>
      <c r="GZ111" s="450"/>
      <c r="HA111" s="450"/>
      <c r="HB111" s="450"/>
      <c r="HC111" s="450"/>
      <c r="HD111" s="450"/>
      <c r="HE111" s="450"/>
      <c r="HF111" s="450"/>
      <c r="HG111" s="450"/>
      <c r="HH111" s="450"/>
      <c r="HI111" s="450"/>
      <c r="HJ111" s="450"/>
      <c r="HK111" s="450"/>
      <c r="HL111" s="450"/>
      <c r="HM111" s="450"/>
      <c r="HN111" s="450"/>
      <c r="HO111" s="450"/>
      <c r="HP111" s="450"/>
      <c r="HQ111" s="450"/>
      <c r="HR111" s="450"/>
      <c r="HS111" s="450"/>
      <c r="HT111" s="450"/>
      <c r="HU111" s="450"/>
      <c r="HV111" s="450"/>
      <c r="HW111" s="450"/>
      <c r="HX111" s="450"/>
      <c r="HY111" s="450"/>
      <c r="HZ111" s="450"/>
      <c r="IA111" s="450"/>
      <c r="IB111" s="450"/>
      <c r="IC111" s="450"/>
      <c r="ID111" s="450"/>
      <c r="IE111" s="450"/>
      <c r="IF111" s="450"/>
      <c r="IG111" s="450"/>
      <c r="IH111" s="450"/>
      <c r="II111" s="450"/>
      <c r="IJ111" s="450"/>
      <c r="IK111" s="450"/>
      <c r="IL111" s="450"/>
      <c r="IM111" s="450"/>
      <c r="IN111" s="450"/>
      <c r="IO111" s="450"/>
      <c r="IP111" s="450"/>
      <c r="IQ111" s="450"/>
      <c r="IR111" s="450"/>
      <c r="IS111" s="450"/>
      <c r="IT111" s="450"/>
      <c r="IU111" s="450"/>
      <c r="IV111" s="450"/>
      <c r="IW111" s="450"/>
      <c r="IX111" s="450"/>
      <c r="IY111" s="450"/>
      <c r="IZ111" s="450"/>
      <c r="JA111" s="450"/>
      <c r="JB111" s="450"/>
      <c r="JC111" s="450"/>
      <c r="JD111" s="450"/>
      <c r="JE111" s="450"/>
      <c r="JF111" s="450"/>
      <c r="JG111" s="435"/>
      <c r="JH111" s="450"/>
      <c r="JI111" s="450"/>
      <c r="JJ111" s="450"/>
      <c r="JK111" s="450"/>
      <c r="JL111" s="450"/>
      <c r="JM111" s="450"/>
      <c r="JN111" s="450"/>
      <c r="JO111" s="450"/>
      <c r="JP111" s="450"/>
      <c r="JQ111" s="450"/>
      <c r="JR111" s="450"/>
      <c r="JS111" s="450"/>
      <c r="JT111" s="450"/>
      <c r="JU111" s="450"/>
      <c r="JV111" s="450"/>
      <c r="JW111" s="450"/>
      <c r="JX111" s="450"/>
      <c r="JY111" s="450"/>
      <c r="JZ111" s="450"/>
      <c r="KA111" s="450"/>
      <c r="KB111" s="1596"/>
    </row>
    <row r="112" spans="1:289" ht="60" customHeight="1" x14ac:dyDescent="0.25">
      <c r="A112" s="440" t="s">
        <v>2219</v>
      </c>
      <c r="B112" s="104"/>
      <c r="C112" s="104"/>
      <c r="D112" s="143"/>
      <c r="E112" s="143"/>
      <c r="F112" s="143"/>
      <c r="G112" s="143"/>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325"/>
      <c r="CD112" s="325"/>
      <c r="CE112" s="325"/>
      <c r="CF112" s="325"/>
      <c r="CG112" s="325"/>
      <c r="CH112" s="325"/>
      <c r="CI112" s="325"/>
      <c r="CJ112" s="325"/>
      <c r="CK112" s="325"/>
      <c r="CL112" s="325"/>
      <c r="CM112" s="325"/>
      <c r="CN112" s="325"/>
      <c r="CO112" s="325"/>
      <c r="CP112" s="325"/>
      <c r="CQ112" s="325"/>
      <c r="CR112" s="325"/>
      <c r="CS112" s="325"/>
      <c r="CT112" s="325"/>
      <c r="CU112" s="325"/>
      <c r="CV112" s="325"/>
      <c r="CW112" s="325"/>
      <c r="CX112" s="325"/>
      <c r="CY112" s="325"/>
      <c r="CZ112" s="325"/>
      <c r="DA112" s="325"/>
      <c r="DB112" s="325"/>
      <c r="DC112" s="325"/>
      <c r="DD112" s="325"/>
      <c r="DE112" s="325"/>
      <c r="DF112" s="325"/>
      <c r="DG112" s="325"/>
      <c r="DH112" s="325"/>
      <c r="DI112" s="325"/>
      <c r="DJ112" s="325"/>
      <c r="DK112" s="325"/>
      <c r="DL112" s="325"/>
      <c r="DM112" s="325"/>
      <c r="DN112" s="325"/>
      <c r="DO112" s="325"/>
      <c r="DP112" s="325"/>
      <c r="DQ112" s="325"/>
      <c r="DR112" s="325"/>
      <c r="DS112" s="325"/>
      <c r="DT112" s="325"/>
      <c r="DU112" s="325"/>
      <c r="DV112" s="325"/>
      <c r="DW112" s="325"/>
      <c r="DX112" s="325"/>
      <c r="DY112" s="325"/>
      <c r="DZ112" s="325"/>
      <c r="EA112" s="325"/>
      <c r="EB112" s="325"/>
      <c r="EC112" s="325"/>
      <c r="ED112" s="325"/>
      <c r="EE112" s="325"/>
      <c r="EF112" s="325"/>
      <c r="EG112" s="325"/>
      <c r="EH112" s="325"/>
      <c r="EI112" s="325"/>
      <c r="EJ112" s="325"/>
      <c r="EK112" s="325"/>
      <c r="EL112" s="325"/>
      <c r="EM112" s="325"/>
      <c r="EN112" s="325"/>
      <c r="EO112" s="325"/>
      <c r="EP112" s="325"/>
      <c r="EQ112" s="325"/>
      <c r="ER112" s="325"/>
      <c r="ES112" s="325"/>
      <c r="ET112" s="325"/>
      <c r="EU112" s="325"/>
      <c r="EV112" s="325"/>
      <c r="EW112" s="325"/>
      <c r="EX112" s="325"/>
      <c r="EY112" s="325"/>
      <c r="EZ112" s="325"/>
      <c r="FA112" s="325"/>
      <c r="FB112" s="325"/>
      <c r="FC112" s="325"/>
      <c r="FD112" s="325"/>
      <c r="FE112" s="325"/>
      <c r="FF112" s="325"/>
      <c r="FG112" s="325"/>
      <c r="FH112" s="325"/>
      <c r="FI112" s="325"/>
      <c r="FJ112" s="325"/>
      <c r="FK112" s="325"/>
      <c r="FL112" s="325"/>
      <c r="FM112" s="325"/>
      <c r="FN112" s="325"/>
      <c r="FO112" s="325"/>
      <c r="FP112" s="325"/>
      <c r="FQ112" s="325"/>
      <c r="FR112" s="325"/>
      <c r="FS112" s="325"/>
      <c r="FT112" s="325"/>
      <c r="FU112" s="325"/>
      <c r="FV112" s="325"/>
      <c r="FW112" s="325"/>
      <c r="FX112" s="325"/>
      <c r="FY112" s="325"/>
      <c r="FZ112" s="325"/>
      <c r="GA112" s="325"/>
      <c r="GB112" s="325"/>
      <c r="GC112" s="325"/>
      <c r="GD112" s="325"/>
      <c r="GE112" s="325"/>
      <c r="GF112" s="325"/>
      <c r="GG112" s="325"/>
      <c r="GH112" s="325"/>
      <c r="GI112" s="325"/>
      <c r="GJ112" s="325"/>
      <c r="GK112" s="325"/>
      <c r="GL112" s="325"/>
      <c r="GM112" s="325"/>
      <c r="GN112" s="325"/>
      <c r="GO112" s="325"/>
      <c r="GP112" s="325"/>
      <c r="GQ112" s="325"/>
      <c r="GR112" s="325"/>
      <c r="GS112" s="325"/>
      <c r="GT112" s="325"/>
      <c r="GU112" s="325"/>
      <c r="GV112" s="325"/>
      <c r="GW112" s="325"/>
      <c r="GX112" s="325"/>
      <c r="GY112" s="325"/>
      <c r="GZ112" s="325"/>
      <c r="HA112" s="325"/>
      <c r="HB112" s="325"/>
      <c r="HC112" s="325"/>
      <c r="HD112" s="325"/>
      <c r="HE112" s="325"/>
      <c r="HF112" s="325"/>
      <c r="HG112" s="325"/>
      <c r="HH112" s="325"/>
      <c r="HI112" s="325"/>
      <c r="HJ112" s="325"/>
      <c r="HK112" s="325"/>
      <c r="HL112" s="325"/>
      <c r="HM112" s="325"/>
      <c r="HN112" s="325"/>
      <c r="HO112" s="325"/>
      <c r="HP112" s="325"/>
      <c r="HQ112" s="325"/>
      <c r="HR112" s="325"/>
      <c r="HS112" s="325"/>
      <c r="HT112" s="325"/>
      <c r="HU112" s="325"/>
      <c r="HV112" s="325"/>
      <c r="HW112" s="325"/>
      <c r="HX112" s="325"/>
      <c r="HY112" s="325"/>
      <c r="HZ112" s="325"/>
      <c r="IA112" s="325"/>
      <c r="IB112" s="325"/>
      <c r="IC112" s="325"/>
      <c r="ID112" s="325"/>
      <c r="IE112" s="325"/>
      <c r="IF112" s="325"/>
      <c r="IG112" s="325"/>
      <c r="IH112" s="325"/>
      <c r="II112" s="325"/>
      <c r="IJ112" s="325"/>
      <c r="IK112" s="325"/>
      <c r="IL112" s="325"/>
      <c r="IM112" s="325"/>
      <c r="IN112" s="325"/>
      <c r="IO112" s="325"/>
      <c r="IP112" s="325"/>
      <c r="IQ112" s="325"/>
      <c r="IR112" s="325"/>
      <c r="IS112" s="325"/>
      <c r="IT112" s="325"/>
      <c r="IU112" s="325"/>
      <c r="IV112" s="325"/>
      <c r="IW112" s="325"/>
      <c r="IX112" s="325"/>
      <c r="IY112" s="325"/>
      <c r="IZ112" s="325"/>
      <c r="JA112" s="325"/>
      <c r="JB112" s="325"/>
      <c r="JC112" s="325"/>
      <c r="JD112" s="325"/>
      <c r="JE112" s="325"/>
      <c r="JF112" s="325"/>
      <c r="JG112" s="325"/>
      <c r="JH112" s="325"/>
      <c r="JI112" s="325"/>
      <c r="JJ112" s="325"/>
      <c r="JK112" s="325"/>
      <c r="JL112" s="325"/>
      <c r="JM112" s="325"/>
      <c r="JN112" s="325"/>
      <c r="JO112" s="325"/>
      <c r="JP112" s="325"/>
      <c r="JQ112" s="325"/>
      <c r="JR112" s="325"/>
      <c r="JS112" s="325"/>
      <c r="JT112" s="325"/>
      <c r="JU112" s="325"/>
      <c r="JV112" s="325"/>
      <c r="JW112" s="325"/>
      <c r="JX112" s="325"/>
      <c r="JY112" s="325"/>
      <c r="JZ112" s="325"/>
      <c r="KA112" s="325"/>
      <c r="KB112" s="325"/>
      <c r="KC112" s="441"/>
    </row>
    <row r="113" spans="2:288" ht="60" customHeight="1" x14ac:dyDescent="0.25">
      <c r="B113" s="442" t="s">
        <v>305</v>
      </c>
      <c r="C113" s="400" t="s">
        <v>454</v>
      </c>
      <c r="D113" s="443" t="s">
        <v>432</v>
      </c>
      <c r="E113" s="400" t="s">
        <v>433</v>
      </c>
      <c r="F113" s="2018" t="s">
        <v>1192</v>
      </c>
      <c r="G113" s="2018" t="s">
        <v>1526</v>
      </c>
      <c r="H113" s="400" t="s">
        <v>303</v>
      </c>
      <c r="I113" s="400" t="str">
        <f t="shared" ref="I113:BT113" si="10">"T+" &amp; (COLUMN(I113)-COLUMN($H113))</f>
        <v>T+1</v>
      </c>
      <c r="J113" s="400" t="str">
        <f t="shared" si="10"/>
        <v>T+2</v>
      </c>
      <c r="K113" s="400" t="str">
        <f t="shared" si="10"/>
        <v>T+3</v>
      </c>
      <c r="L113" s="400" t="str">
        <f t="shared" si="10"/>
        <v>T+4</v>
      </c>
      <c r="M113" s="400" t="str">
        <f t="shared" si="10"/>
        <v>T+5</v>
      </c>
      <c r="N113" s="400" t="str">
        <f t="shared" si="10"/>
        <v>T+6</v>
      </c>
      <c r="O113" s="400" t="str">
        <f t="shared" si="10"/>
        <v>T+7</v>
      </c>
      <c r="P113" s="400" t="str">
        <f t="shared" si="10"/>
        <v>T+8</v>
      </c>
      <c r="Q113" s="400" t="str">
        <f t="shared" si="10"/>
        <v>T+9</v>
      </c>
      <c r="R113" s="400" t="str">
        <f t="shared" si="10"/>
        <v>T+10</v>
      </c>
      <c r="S113" s="400" t="str">
        <f t="shared" si="10"/>
        <v>T+11</v>
      </c>
      <c r="T113" s="400" t="str">
        <f t="shared" si="10"/>
        <v>T+12</v>
      </c>
      <c r="U113" s="400" t="str">
        <f t="shared" si="10"/>
        <v>T+13</v>
      </c>
      <c r="V113" s="400" t="str">
        <f t="shared" si="10"/>
        <v>T+14</v>
      </c>
      <c r="W113" s="400" t="str">
        <f t="shared" si="10"/>
        <v>T+15</v>
      </c>
      <c r="X113" s="400" t="str">
        <f t="shared" si="10"/>
        <v>T+16</v>
      </c>
      <c r="Y113" s="400" t="str">
        <f t="shared" si="10"/>
        <v>T+17</v>
      </c>
      <c r="Z113" s="400" t="str">
        <f t="shared" si="10"/>
        <v>T+18</v>
      </c>
      <c r="AA113" s="400" t="str">
        <f t="shared" si="10"/>
        <v>T+19</v>
      </c>
      <c r="AB113" s="400" t="str">
        <f t="shared" si="10"/>
        <v>T+20</v>
      </c>
      <c r="AC113" s="400" t="str">
        <f t="shared" si="10"/>
        <v>T+21</v>
      </c>
      <c r="AD113" s="400" t="str">
        <f t="shared" si="10"/>
        <v>T+22</v>
      </c>
      <c r="AE113" s="400" t="str">
        <f t="shared" si="10"/>
        <v>T+23</v>
      </c>
      <c r="AF113" s="400" t="str">
        <f t="shared" si="10"/>
        <v>T+24</v>
      </c>
      <c r="AG113" s="400" t="str">
        <f t="shared" si="10"/>
        <v>T+25</v>
      </c>
      <c r="AH113" s="400" t="str">
        <f t="shared" si="10"/>
        <v>T+26</v>
      </c>
      <c r="AI113" s="400" t="str">
        <f t="shared" si="10"/>
        <v>T+27</v>
      </c>
      <c r="AJ113" s="400" t="str">
        <f t="shared" si="10"/>
        <v>T+28</v>
      </c>
      <c r="AK113" s="400" t="str">
        <f t="shared" si="10"/>
        <v>T+29</v>
      </c>
      <c r="AL113" s="400" t="str">
        <f t="shared" si="10"/>
        <v>T+30</v>
      </c>
      <c r="AM113" s="400" t="str">
        <f t="shared" si="10"/>
        <v>T+31</v>
      </c>
      <c r="AN113" s="400" t="str">
        <f t="shared" si="10"/>
        <v>T+32</v>
      </c>
      <c r="AO113" s="400" t="str">
        <f t="shared" si="10"/>
        <v>T+33</v>
      </c>
      <c r="AP113" s="400" t="str">
        <f t="shared" si="10"/>
        <v>T+34</v>
      </c>
      <c r="AQ113" s="400" t="str">
        <f t="shared" si="10"/>
        <v>T+35</v>
      </c>
      <c r="AR113" s="400" t="str">
        <f t="shared" si="10"/>
        <v>T+36</v>
      </c>
      <c r="AS113" s="400" t="str">
        <f t="shared" si="10"/>
        <v>T+37</v>
      </c>
      <c r="AT113" s="400" t="str">
        <f t="shared" si="10"/>
        <v>T+38</v>
      </c>
      <c r="AU113" s="400" t="str">
        <f t="shared" si="10"/>
        <v>T+39</v>
      </c>
      <c r="AV113" s="400" t="str">
        <f t="shared" si="10"/>
        <v>T+40</v>
      </c>
      <c r="AW113" s="400" t="str">
        <f t="shared" si="10"/>
        <v>T+41</v>
      </c>
      <c r="AX113" s="400" t="str">
        <f t="shared" si="10"/>
        <v>T+42</v>
      </c>
      <c r="AY113" s="400" t="str">
        <f t="shared" si="10"/>
        <v>T+43</v>
      </c>
      <c r="AZ113" s="400" t="str">
        <f t="shared" si="10"/>
        <v>T+44</v>
      </c>
      <c r="BA113" s="400" t="str">
        <f t="shared" si="10"/>
        <v>T+45</v>
      </c>
      <c r="BB113" s="400" t="str">
        <f t="shared" si="10"/>
        <v>T+46</v>
      </c>
      <c r="BC113" s="400" t="str">
        <f t="shared" si="10"/>
        <v>T+47</v>
      </c>
      <c r="BD113" s="400" t="str">
        <f t="shared" si="10"/>
        <v>T+48</v>
      </c>
      <c r="BE113" s="400" t="str">
        <f t="shared" si="10"/>
        <v>T+49</v>
      </c>
      <c r="BF113" s="400" t="str">
        <f t="shared" si="10"/>
        <v>T+50</v>
      </c>
      <c r="BG113" s="400" t="str">
        <f t="shared" si="10"/>
        <v>T+51</v>
      </c>
      <c r="BH113" s="400" t="str">
        <f t="shared" si="10"/>
        <v>T+52</v>
      </c>
      <c r="BI113" s="400" t="str">
        <f t="shared" si="10"/>
        <v>T+53</v>
      </c>
      <c r="BJ113" s="400" t="str">
        <f t="shared" si="10"/>
        <v>T+54</v>
      </c>
      <c r="BK113" s="400" t="str">
        <f t="shared" si="10"/>
        <v>T+55</v>
      </c>
      <c r="BL113" s="400" t="str">
        <f t="shared" si="10"/>
        <v>T+56</v>
      </c>
      <c r="BM113" s="400" t="str">
        <f t="shared" si="10"/>
        <v>T+57</v>
      </c>
      <c r="BN113" s="400" t="str">
        <f t="shared" si="10"/>
        <v>T+58</v>
      </c>
      <c r="BO113" s="400" t="str">
        <f t="shared" si="10"/>
        <v>T+59</v>
      </c>
      <c r="BP113" s="400" t="str">
        <f t="shared" si="10"/>
        <v>T+60</v>
      </c>
      <c r="BQ113" s="400" t="str">
        <f t="shared" si="10"/>
        <v>T+61</v>
      </c>
      <c r="BR113" s="400" t="str">
        <f t="shared" si="10"/>
        <v>T+62</v>
      </c>
      <c r="BS113" s="400" t="str">
        <f t="shared" si="10"/>
        <v>T+63</v>
      </c>
      <c r="BT113" s="400" t="str">
        <f t="shared" si="10"/>
        <v>T+64</v>
      </c>
      <c r="BU113" s="400" t="str">
        <f t="shared" ref="BU113:EF113" si="11">"T+" &amp; (COLUMN(BU113)-COLUMN($H113))</f>
        <v>T+65</v>
      </c>
      <c r="BV113" s="400" t="str">
        <f t="shared" si="11"/>
        <v>T+66</v>
      </c>
      <c r="BW113" s="400" t="str">
        <f t="shared" si="11"/>
        <v>T+67</v>
      </c>
      <c r="BX113" s="400" t="str">
        <f t="shared" si="11"/>
        <v>T+68</v>
      </c>
      <c r="BY113" s="400" t="str">
        <f t="shared" si="11"/>
        <v>T+69</v>
      </c>
      <c r="BZ113" s="400" t="str">
        <f t="shared" si="11"/>
        <v>T+70</v>
      </c>
      <c r="CA113" s="400" t="str">
        <f t="shared" si="11"/>
        <v>T+71</v>
      </c>
      <c r="CB113" s="400" t="str">
        <f t="shared" si="11"/>
        <v>T+72</v>
      </c>
      <c r="CC113" s="400" t="str">
        <f t="shared" si="11"/>
        <v>T+73</v>
      </c>
      <c r="CD113" s="400" t="str">
        <f t="shared" si="11"/>
        <v>T+74</v>
      </c>
      <c r="CE113" s="400" t="str">
        <f t="shared" si="11"/>
        <v>T+75</v>
      </c>
      <c r="CF113" s="400" t="str">
        <f t="shared" si="11"/>
        <v>T+76</v>
      </c>
      <c r="CG113" s="400" t="str">
        <f t="shared" si="11"/>
        <v>T+77</v>
      </c>
      <c r="CH113" s="400" t="str">
        <f t="shared" si="11"/>
        <v>T+78</v>
      </c>
      <c r="CI113" s="400" t="str">
        <f t="shared" si="11"/>
        <v>T+79</v>
      </c>
      <c r="CJ113" s="400" t="str">
        <f t="shared" si="11"/>
        <v>T+80</v>
      </c>
      <c r="CK113" s="400" t="str">
        <f t="shared" si="11"/>
        <v>T+81</v>
      </c>
      <c r="CL113" s="400" t="str">
        <f t="shared" si="11"/>
        <v>T+82</v>
      </c>
      <c r="CM113" s="400" t="str">
        <f t="shared" si="11"/>
        <v>T+83</v>
      </c>
      <c r="CN113" s="400" t="str">
        <f t="shared" si="11"/>
        <v>T+84</v>
      </c>
      <c r="CO113" s="400" t="str">
        <f t="shared" si="11"/>
        <v>T+85</v>
      </c>
      <c r="CP113" s="400" t="str">
        <f t="shared" si="11"/>
        <v>T+86</v>
      </c>
      <c r="CQ113" s="400" t="str">
        <f t="shared" si="11"/>
        <v>T+87</v>
      </c>
      <c r="CR113" s="400" t="str">
        <f t="shared" si="11"/>
        <v>T+88</v>
      </c>
      <c r="CS113" s="400" t="str">
        <f t="shared" si="11"/>
        <v>T+89</v>
      </c>
      <c r="CT113" s="400" t="str">
        <f t="shared" si="11"/>
        <v>T+90</v>
      </c>
      <c r="CU113" s="400" t="str">
        <f t="shared" si="11"/>
        <v>T+91</v>
      </c>
      <c r="CV113" s="400" t="str">
        <f t="shared" si="11"/>
        <v>T+92</v>
      </c>
      <c r="CW113" s="400" t="str">
        <f t="shared" si="11"/>
        <v>T+93</v>
      </c>
      <c r="CX113" s="400" t="str">
        <f t="shared" si="11"/>
        <v>T+94</v>
      </c>
      <c r="CY113" s="400" t="str">
        <f t="shared" si="11"/>
        <v>T+95</v>
      </c>
      <c r="CZ113" s="400" t="str">
        <f t="shared" si="11"/>
        <v>T+96</v>
      </c>
      <c r="DA113" s="400" t="str">
        <f t="shared" si="11"/>
        <v>T+97</v>
      </c>
      <c r="DB113" s="400" t="str">
        <f t="shared" si="11"/>
        <v>T+98</v>
      </c>
      <c r="DC113" s="400" t="str">
        <f t="shared" si="11"/>
        <v>T+99</v>
      </c>
      <c r="DD113" s="400" t="str">
        <f t="shared" si="11"/>
        <v>T+100</v>
      </c>
      <c r="DE113" s="400" t="str">
        <f t="shared" si="11"/>
        <v>T+101</v>
      </c>
      <c r="DF113" s="400" t="str">
        <f t="shared" si="11"/>
        <v>T+102</v>
      </c>
      <c r="DG113" s="400" t="str">
        <f t="shared" si="11"/>
        <v>T+103</v>
      </c>
      <c r="DH113" s="400" t="str">
        <f t="shared" si="11"/>
        <v>T+104</v>
      </c>
      <c r="DI113" s="400" t="str">
        <f t="shared" si="11"/>
        <v>T+105</v>
      </c>
      <c r="DJ113" s="400" t="str">
        <f t="shared" si="11"/>
        <v>T+106</v>
      </c>
      <c r="DK113" s="400" t="str">
        <f t="shared" si="11"/>
        <v>T+107</v>
      </c>
      <c r="DL113" s="400" t="str">
        <f t="shared" si="11"/>
        <v>T+108</v>
      </c>
      <c r="DM113" s="400" t="str">
        <f t="shared" si="11"/>
        <v>T+109</v>
      </c>
      <c r="DN113" s="400" t="str">
        <f t="shared" si="11"/>
        <v>T+110</v>
      </c>
      <c r="DO113" s="400" t="str">
        <f t="shared" si="11"/>
        <v>T+111</v>
      </c>
      <c r="DP113" s="400" t="str">
        <f t="shared" si="11"/>
        <v>T+112</v>
      </c>
      <c r="DQ113" s="400" t="str">
        <f t="shared" si="11"/>
        <v>T+113</v>
      </c>
      <c r="DR113" s="400" t="str">
        <f t="shared" si="11"/>
        <v>T+114</v>
      </c>
      <c r="DS113" s="400" t="str">
        <f t="shared" si="11"/>
        <v>T+115</v>
      </c>
      <c r="DT113" s="400" t="str">
        <f t="shared" si="11"/>
        <v>T+116</v>
      </c>
      <c r="DU113" s="400" t="str">
        <f t="shared" si="11"/>
        <v>T+117</v>
      </c>
      <c r="DV113" s="400" t="str">
        <f t="shared" si="11"/>
        <v>T+118</v>
      </c>
      <c r="DW113" s="400" t="str">
        <f t="shared" si="11"/>
        <v>T+119</v>
      </c>
      <c r="DX113" s="400" t="str">
        <f t="shared" si="11"/>
        <v>T+120</v>
      </c>
      <c r="DY113" s="400" t="str">
        <f t="shared" si="11"/>
        <v>T+121</v>
      </c>
      <c r="DZ113" s="400" t="str">
        <f t="shared" si="11"/>
        <v>T+122</v>
      </c>
      <c r="EA113" s="400" t="str">
        <f t="shared" si="11"/>
        <v>T+123</v>
      </c>
      <c r="EB113" s="400" t="str">
        <f t="shared" si="11"/>
        <v>T+124</v>
      </c>
      <c r="EC113" s="400" t="str">
        <f t="shared" si="11"/>
        <v>T+125</v>
      </c>
      <c r="ED113" s="400" t="str">
        <f t="shared" si="11"/>
        <v>T+126</v>
      </c>
      <c r="EE113" s="400" t="str">
        <f t="shared" si="11"/>
        <v>T+127</v>
      </c>
      <c r="EF113" s="400" t="str">
        <f t="shared" si="11"/>
        <v>T+128</v>
      </c>
      <c r="EG113" s="400" t="str">
        <f t="shared" ref="EG113:GR113" si="12">"T+" &amp; (COLUMN(EG113)-COLUMN($H113))</f>
        <v>T+129</v>
      </c>
      <c r="EH113" s="400" t="str">
        <f t="shared" si="12"/>
        <v>T+130</v>
      </c>
      <c r="EI113" s="400" t="str">
        <f t="shared" si="12"/>
        <v>T+131</v>
      </c>
      <c r="EJ113" s="400" t="str">
        <f t="shared" si="12"/>
        <v>T+132</v>
      </c>
      <c r="EK113" s="400" t="str">
        <f t="shared" si="12"/>
        <v>T+133</v>
      </c>
      <c r="EL113" s="400" t="str">
        <f t="shared" si="12"/>
        <v>T+134</v>
      </c>
      <c r="EM113" s="400" t="str">
        <f t="shared" si="12"/>
        <v>T+135</v>
      </c>
      <c r="EN113" s="400" t="str">
        <f t="shared" si="12"/>
        <v>T+136</v>
      </c>
      <c r="EO113" s="400" t="str">
        <f t="shared" si="12"/>
        <v>T+137</v>
      </c>
      <c r="EP113" s="400" t="str">
        <f t="shared" si="12"/>
        <v>T+138</v>
      </c>
      <c r="EQ113" s="400" t="str">
        <f t="shared" si="12"/>
        <v>T+139</v>
      </c>
      <c r="ER113" s="400" t="str">
        <f t="shared" si="12"/>
        <v>T+140</v>
      </c>
      <c r="ES113" s="400" t="str">
        <f t="shared" si="12"/>
        <v>T+141</v>
      </c>
      <c r="ET113" s="400" t="str">
        <f t="shared" si="12"/>
        <v>T+142</v>
      </c>
      <c r="EU113" s="400" t="str">
        <f t="shared" si="12"/>
        <v>T+143</v>
      </c>
      <c r="EV113" s="400" t="str">
        <f t="shared" si="12"/>
        <v>T+144</v>
      </c>
      <c r="EW113" s="400" t="str">
        <f t="shared" si="12"/>
        <v>T+145</v>
      </c>
      <c r="EX113" s="400" t="str">
        <f t="shared" si="12"/>
        <v>T+146</v>
      </c>
      <c r="EY113" s="400" t="str">
        <f t="shared" si="12"/>
        <v>T+147</v>
      </c>
      <c r="EZ113" s="400" t="str">
        <f t="shared" si="12"/>
        <v>T+148</v>
      </c>
      <c r="FA113" s="400" t="str">
        <f t="shared" si="12"/>
        <v>T+149</v>
      </c>
      <c r="FB113" s="400" t="str">
        <f t="shared" si="12"/>
        <v>T+150</v>
      </c>
      <c r="FC113" s="400" t="str">
        <f t="shared" si="12"/>
        <v>T+151</v>
      </c>
      <c r="FD113" s="400" t="str">
        <f t="shared" si="12"/>
        <v>T+152</v>
      </c>
      <c r="FE113" s="400" t="str">
        <f t="shared" si="12"/>
        <v>T+153</v>
      </c>
      <c r="FF113" s="400" t="str">
        <f t="shared" si="12"/>
        <v>T+154</v>
      </c>
      <c r="FG113" s="400" t="str">
        <f t="shared" si="12"/>
        <v>T+155</v>
      </c>
      <c r="FH113" s="400" t="str">
        <f t="shared" si="12"/>
        <v>T+156</v>
      </c>
      <c r="FI113" s="400" t="str">
        <f t="shared" si="12"/>
        <v>T+157</v>
      </c>
      <c r="FJ113" s="400" t="str">
        <f t="shared" si="12"/>
        <v>T+158</v>
      </c>
      <c r="FK113" s="400" t="str">
        <f t="shared" si="12"/>
        <v>T+159</v>
      </c>
      <c r="FL113" s="400" t="str">
        <f t="shared" si="12"/>
        <v>T+160</v>
      </c>
      <c r="FM113" s="400" t="str">
        <f t="shared" si="12"/>
        <v>T+161</v>
      </c>
      <c r="FN113" s="400" t="str">
        <f t="shared" si="12"/>
        <v>T+162</v>
      </c>
      <c r="FO113" s="400" t="str">
        <f t="shared" si="12"/>
        <v>T+163</v>
      </c>
      <c r="FP113" s="400" t="str">
        <f t="shared" si="12"/>
        <v>T+164</v>
      </c>
      <c r="FQ113" s="400" t="str">
        <f t="shared" si="12"/>
        <v>T+165</v>
      </c>
      <c r="FR113" s="400" t="str">
        <f t="shared" si="12"/>
        <v>T+166</v>
      </c>
      <c r="FS113" s="400" t="str">
        <f t="shared" si="12"/>
        <v>T+167</v>
      </c>
      <c r="FT113" s="400" t="str">
        <f t="shared" si="12"/>
        <v>T+168</v>
      </c>
      <c r="FU113" s="400" t="str">
        <f t="shared" si="12"/>
        <v>T+169</v>
      </c>
      <c r="FV113" s="400" t="str">
        <f t="shared" si="12"/>
        <v>T+170</v>
      </c>
      <c r="FW113" s="400" t="str">
        <f t="shared" si="12"/>
        <v>T+171</v>
      </c>
      <c r="FX113" s="400" t="str">
        <f t="shared" si="12"/>
        <v>T+172</v>
      </c>
      <c r="FY113" s="400" t="str">
        <f t="shared" si="12"/>
        <v>T+173</v>
      </c>
      <c r="FZ113" s="400" t="str">
        <f t="shared" si="12"/>
        <v>T+174</v>
      </c>
      <c r="GA113" s="400" t="str">
        <f t="shared" si="12"/>
        <v>T+175</v>
      </c>
      <c r="GB113" s="400" t="str">
        <f t="shared" si="12"/>
        <v>T+176</v>
      </c>
      <c r="GC113" s="400" t="str">
        <f t="shared" si="12"/>
        <v>T+177</v>
      </c>
      <c r="GD113" s="400" t="str">
        <f t="shared" si="12"/>
        <v>T+178</v>
      </c>
      <c r="GE113" s="400" t="str">
        <f t="shared" si="12"/>
        <v>T+179</v>
      </c>
      <c r="GF113" s="400" t="str">
        <f t="shared" si="12"/>
        <v>T+180</v>
      </c>
      <c r="GG113" s="400" t="str">
        <f t="shared" si="12"/>
        <v>T+181</v>
      </c>
      <c r="GH113" s="400" t="str">
        <f t="shared" si="12"/>
        <v>T+182</v>
      </c>
      <c r="GI113" s="400" t="str">
        <f t="shared" si="12"/>
        <v>T+183</v>
      </c>
      <c r="GJ113" s="400" t="str">
        <f t="shared" si="12"/>
        <v>T+184</v>
      </c>
      <c r="GK113" s="400" t="str">
        <f t="shared" si="12"/>
        <v>T+185</v>
      </c>
      <c r="GL113" s="400" t="str">
        <f t="shared" si="12"/>
        <v>T+186</v>
      </c>
      <c r="GM113" s="400" t="str">
        <f t="shared" si="12"/>
        <v>T+187</v>
      </c>
      <c r="GN113" s="400" t="str">
        <f t="shared" si="12"/>
        <v>T+188</v>
      </c>
      <c r="GO113" s="400" t="str">
        <f t="shared" si="12"/>
        <v>T+189</v>
      </c>
      <c r="GP113" s="400" t="str">
        <f t="shared" si="12"/>
        <v>T+190</v>
      </c>
      <c r="GQ113" s="400" t="str">
        <f t="shared" si="12"/>
        <v>T+191</v>
      </c>
      <c r="GR113" s="400" t="str">
        <f t="shared" si="12"/>
        <v>T+192</v>
      </c>
      <c r="GS113" s="400" t="str">
        <f t="shared" ref="GS113:JD113" si="13">"T+" &amp; (COLUMN(GS113)-COLUMN($H113))</f>
        <v>T+193</v>
      </c>
      <c r="GT113" s="400" t="str">
        <f t="shared" si="13"/>
        <v>T+194</v>
      </c>
      <c r="GU113" s="400" t="str">
        <f t="shared" si="13"/>
        <v>T+195</v>
      </c>
      <c r="GV113" s="400" t="str">
        <f t="shared" si="13"/>
        <v>T+196</v>
      </c>
      <c r="GW113" s="400" t="str">
        <f t="shared" si="13"/>
        <v>T+197</v>
      </c>
      <c r="GX113" s="400" t="str">
        <f t="shared" si="13"/>
        <v>T+198</v>
      </c>
      <c r="GY113" s="400" t="str">
        <f t="shared" si="13"/>
        <v>T+199</v>
      </c>
      <c r="GZ113" s="400" t="str">
        <f t="shared" si="13"/>
        <v>T+200</v>
      </c>
      <c r="HA113" s="400" t="str">
        <f t="shared" si="13"/>
        <v>T+201</v>
      </c>
      <c r="HB113" s="400" t="str">
        <f t="shared" si="13"/>
        <v>T+202</v>
      </c>
      <c r="HC113" s="400" t="str">
        <f t="shared" si="13"/>
        <v>T+203</v>
      </c>
      <c r="HD113" s="400" t="str">
        <f t="shared" si="13"/>
        <v>T+204</v>
      </c>
      <c r="HE113" s="400" t="str">
        <f t="shared" si="13"/>
        <v>T+205</v>
      </c>
      <c r="HF113" s="400" t="str">
        <f t="shared" si="13"/>
        <v>T+206</v>
      </c>
      <c r="HG113" s="400" t="str">
        <f t="shared" si="13"/>
        <v>T+207</v>
      </c>
      <c r="HH113" s="400" t="str">
        <f t="shared" si="13"/>
        <v>T+208</v>
      </c>
      <c r="HI113" s="400" t="str">
        <f t="shared" si="13"/>
        <v>T+209</v>
      </c>
      <c r="HJ113" s="400" t="str">
        <f t="shared" si="13"/>
        <v>T+210</v>
      </c>
      <c r="HK113" s="400" t="str">
        <f t="shared" si="13"/>
        <v>T+211</v>
      </c>
      <c r="HL113" s="400" t="str">
        <f t="shared" si="13"/>
        <v>T+212</v>
      </c>
      <c r="HM113" s="400" t="str">
        <f t="shared" si="13"/>
        <v>T+213</v>
      </c>
      <c r="HN113" s="400" t="str">
        <f t="shared" si="13"/>
        <v>T+214</v>
      </c>
      <c r="HO113" s="400" t="str">
        <f t="shared" si="13"/>
        <v>T+215</v>
      </c>
      <c r="HP113" s="400" t="str">
        <f t="shared" si="13"/>
        <v>T+216</v>
      </c>
      <c r="HQ113" s="400" t="str">
        <f t="shared" si="13"/>
        <v>T+217</v>
      </c>
      <c r="HR113" s="400" t="str">
        <f t="shared" si="13"/>
        <v>T+218</v>
      </c>
      <c r="HS113" s="400" t="str">
        <f t="shared" si="13"/>
        <v>T+219</v>
      </c>
      <c r="HT113" s="400" t="str">
        <f t="shared" si="13"/>
        <v>T+220</v>
      </c>
      <c r="HU113" s="400" t="str">
        <f t="shared" si="13"/>
        <v>T+221</v>
      </c>
      <c r="HV113" s="400" t="str">
        <f t="shared" si="13"/>
        <v>T+222</v>
      </c>
      <c r="HW113" s="400" t="str">
        <f t="shared" si="13"/>
        <v>T+223</v>
      </c>
      <c r="HX113" s="400" t="str">
        <f t="shared" si="13"/>
        <v>T+224</v>
      </c>
      <c r="HY113" s="400" t="str">
        <f t="shared" si="13"/>
        <v>T+225</v>
      </c>
      <c r="HZ113" s="400" t="str">
        <f t="shared" si="13"/>
        <v>T+226</v>
      </c>
      <c r="IA113" s="400" t="str">
        <f t="shared" si="13"/>
        <v>T+227</v>
      </c>
      <c r="IB113" s="400" t="str">
        <f t="shared" si="13"/>
        <v>T+228</v>
      </c>
      <c r="IC113" s="400" t="str">
        <f t="shared" si="13"/>
        <v>T+229</v>
      </c>
      <c r="ID113" s="400" t="str">
        <f t="shared" si="13"/>
        <v>T+230</v>
      </c>
      <c r="IE113" s="400" t="str">
        <f t="shared" si="13"/>
        <v>T+231</v>
      </c>
      <c r="IF113" s="400" t="str">
        <f t="shared" si="13"/>
        <v>T+232</v>
      </c>
      <c r="IG113" s="400" t="str">
        <f t="shared" si="13"/>
        <v>T+233</v>
      </c>
      <c r="IH113" s="400" t="str">
        <f t="shared" si="13"/>
        <v>T+234</v>
      </c>
      <c r="II113" s="400" t="str">
        <f t="shared" si="13"/>
        <v>T+235</v>
      </c>
      <c r="IJ113" s="400" t="str">
        <f t="shared" si="13"/>
        <v>T+236</v>
      </c>
      <c r="IK113" s="400" t="str">
        <f t="shared" si="13"/>
        <v>T+237</v>
      </c>
      <c r="IL113" s="400" t="str">
        <f t="shared" si="13"/>
        <v>T+238</v>
      </c>
      <c r="IM113" s="400" t="str">
        <f t="shared" si="13"/>
        <v>T+239</v>
      </c>
      <c r="IN113" s="400" t="str">
        <f t="shared" si="13"/>
        <v>T+240</v>
      </c>
      <c r="IO113" s="400" t="str">
        <f t="shared" si="13"/>
        <v>T+241</v>
      </c>
      <c r="IP113" s="400" t="str">
        <f t="shared" si="13"/>
        <v>T+242</v>
      </c>
      <c r="IQ113" s="400" t="str">
        <f t="shared" si="13"/>
        <v>T+243</v>
      </c>
      <c r="IR113" s="400" t="str">
        <f t="shared" si="13"/>
        <v>T+244</v>
      </c>
      <c r="IS113" s="400" t="str">
        <f t="shared" si="13"/>
        <v>T+245</v>
      </c>
      <c r="IT113" s="400" t="str">
        <f t="shared" si="13"/>
        <v>T+246</v>
      </c>
      <c r="IU113" s="400" t="str">
        <f t="shared" si="13"/>
        <v>T+247</v>
      </c>
      <c r="IV113" s="400" t="str">
        <f t="shared" si="13"/>
        <v>T+248</v>
      </c>
      <c r="IW113" s="400" t="str">
        <f t="shared" si="13"/>
        <v>T+249</v>
      </c>
      <c r="IX113" s="400" t="str">
        <f t="shared" si="13"/>
        <v>T+250</v>
      </c>
      <c r="IY113" s="400" t="str">
        <f t="shared" si="13"/>
        <v>T+251</v>
      </c>
      <c r="IZ113" s="400" t="str">
        <f t="shared" si="13"/>
        <v>T+252</v>
      </c>
      <c r="JA113" s="400" t="str">
        <f t="shared" si="13"/>
        <v>T+253</v>
      </c>
      <c r="JB113" s="400" t="str">
        <f t="shared" si="13"/>
        <v>T+254</v>
      </c>
      <c r="JC113" s="400" t="str">
        <f t="shared" si="13"/>
        <v>T+255</v>
      </c>
      <c r="JD113" s="400" t="str">
        <f t="shared" si="13"/>
        <v>T+256</v>
      </c>
      <c r="JE113" s="400" t="str">
        <f t="shared" ref="JE113:KB113" si="14">"T+" &amp; (COLUMN(JE113)-COLUMN($H113))</f>
        <v>T+257</v>
      </c>
      <c r="JF113" s="400" t="str">
        <f t="shared" si="14"/>
        <v>T+258</v>
      </c>
      <c r="JG113" s="400" t="str">
        <f t="shared" si="14"/>
        <v>T+259</v>
      </c>
      <c r="JH113" s="400" t="str">
        <f t="shared" si="14"/>
        <v>T+260</v>
      </c>
      <c r="JI113" s="400" t="str">
        <f t="shared" si="14"/>
        <v>T+261</v>
      </c>
      <c r="JJ113" s="400" t="str">
        <f t="shared" si="14"/>
        <v>T+262</v>
      </c>
      <c r="JK113" s="400" t="str">
        <f t="shared" si="14"/>
        <v>T+263</v>
      </c>
      <c r="JL113" s="400" t="str">
        <f t="shared" si="14"/>
        <v>T+264</v>
      </c>
      <c r="JM113" s="400" t="str">
        <f t="shared" si="14"/>
        <v>T+265</v>
      </c>
      <c r="JN113" s="400" t="str">
        <f t="shared" si="14"/>
        <v>T+266</v>
      </c>
      <c r="JO113" s="400" t="str">
        <f t="shared" si="14"/>
        <v>T+267</v>
      </c>
      <c r="JP113" s="400" t="str">
        <f t="shared" si="14"/>
        <v>T+268</v>
      </c>
      <c r="JQ113" s="400" t="str">
        <f t="shared" si="14"/>
        <v>T+269</v>
      </c>
      <c r="JR113" s="400" t="str">
        <f t="shared" si="14"/>
        <v>T+270</v>
      </c>
      <c r="JS113" s="400" t="str">
        <f t="shared" si="14"/>
        <v>T+271</v>
      </c>
      <c r="JT113" s="400" t="str">
        <f t="shared" si="14"/>
        <v>T+272</v>
      </c>
      <c r="JU113" s="400" t="str">
        <f t="shared" si="14"/>
        <v>T+273</v>
      </c>
      <c r="JV113" s="400" t="str">
        <f t="shared" si="14"/>
        <v>T+274</v>
      </c>
      <c r="JW113" s="400" t="str">
        <f t="shared" si="14"/>
        <v>T+275</v>
      </c>
      <c r="JX113" s="400" t="str">
        <f t="shared" si="14"/>
        <v>T+276</v>
      </c>
      <c r="JY113" s="400" t="str">
        <f t="shared" si="14"/>
        <v>T+277</v>
      </c>
      <c r="JZ113" s="400" t="str">
        <f t="shared" si="14"/>
        <v>T+278</v>
      </c>
      <c r="KA113" s="400" t="str">
        <f t="shared" si="14"/>
        <v>T+279</v>
      </c>
      <c r="KB113" s="1585" t="str">
        <f t="shared" si="14"/>
        <v>T+280</v>
      </c>
    </row>
    <row r="114" spans="2:288" ht="15" customHeight="1" x14ac:dyDescent="0.25">
      <c r="B114" s="447" t="str">
        <f t="shared" ref="B114:B177" si="15">B11</f>
        <v>Desk 1</v>
      </c>
      <c r="C114" s="448" t="str">
        <f t="array" ref="C114:D213" xml:space="preserve"> IF(ISBLANK(TB!C$170:'TB'!D$269), "", TB!C$170:'TB'!D$269)</f>
        <v/>
      </c>
      <c r="D114" s="448" t="str">
        <v/>
      </c>
      <c r="E114" s="448" t="str">
        <f t="array" ref="E114:E213" xml:space="preserve"> IF(ISBLANK(TB!G$170:'TB'!G$269), "", TB!G$170:'TB'!G$269)</f>
        <v/>
      </c>
      <c r="F114" s="448" t="str">
        <f t="array" ref="F114:F213" xml:space="preserve"> IF(ISBLANK(TB!I$170:'TB'!I$269), "", TB!I$170:'TB'!I$269)</f>
        <v/>
      </c>
      <c r="G114" s="402" t="str">
        <f t="array" ref="G114:G213" xml:space="preserve"> IF(ISBLANK(TB!J$170:'TB'!J$269), "", TB!J$170:'TB'!J$269)</f>
        <v/>
      </c>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36"/>
      <c r="DX114" s="25"/>
      <c r="DY114" s="25"/>
      <c r="DZ114" s="25"/>
      <c r="EA114" s="25"/>
      <c r="EB114" s="25"/>
      <c r="EC114" s="25"/>
      <c r="ED114" s="25"/>
      <c r="EE114" s="25"/>
      <c r="EF114" s="25"/>
      <c r="EG114" s="25"/>
      <c r="EH114" s="25"/>
      <c r="EI114" s="25"/>
      <c r="EJ114" s="25"/>
      <c r="EK114" s="25"/>
      <c r="EL114" s="25"/>
      <c r="EM114" s="25"/>
      <c r="EN114" s="25"/>
      <c r="EO114" s="25"/>
      <c r="EP114" s="25"/>
      <c r="EQ114" s="25"/>
      <c r="ER114" s="36"/>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36"/>
      <c r="JH114" s="25"/>
      <c r="JI114" s="25"/>
      <c r="JJ114" s="25"/>
      <c r="JK114" s="25"/>
      <c r="JL114" s="25"/>
      <c r="JM114" s="25"/>
      <c r="JN114" s="25"/>
      <c r="JO114" s="25"/>
      <c r="JP114" s="25"/>
      <c r="JQ114" s="25"/>
      <c r="JR114" s="25"/>
      <c r="JS114" s="25"/>
      <c r="JT114" s="25"/>
      <c r="JU114" s="25"/>
      <c r="JV114" s="25"/>
      <c r="JW114" s="25"/>
      <c r="JX114" s="25"/>
      <c r="JY114" s="25"/>
      <c r="JZ114" s="25"/>
      <c r="KA114" s="25"/>
      <c r="KB114" s="36"/>
    </row>
    <row r="115" spans="2:288" ht="15" customHeight="1" x14ac:dyDescent="0.25">
      <c r="B115" s="216" t="str">
        <f t="shared" si="15"/>
        <v>Desk 2</v>
      </c>
      <c r="C115" s="218" t="str">
        <v/>
      </c>
      <c r="D115" s="218" t="str">
        <v/>
      </c>
      <c r="E115" s="218" t="str">
        <v/>
      </c>
      <c r="F115" s="218" t="str">
        <v/>
      </c>
      <c r="G115" s="402" t="str">
        <v/>
      </c>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36"/>
      <c r="DX115" s="25"/>
      <c r="DY115" s="25"/>
      <c r="DZ115" s="25"/>
      <c r="EA115" s="25"/>
      <c r="EB115" s="25"/>
      <c r="EC115" s="25"/>
      <c r="ED115" s="25"/>
      <c r="EE115" s="25"/>
      <c r="EF115" s="25"/>
      <c r="EG115" s="25"/>
      <c r="EH115" s="25"/>
      <c r="EI115" s="25"/>
      <c r="EJ115" s="25"/>
      <c r="EK115" s="25"/>
      <c r="EL115" s="25"/>
      <c r="EM115" s="25"/>
      <c r="EN115" s="25"/>
      <c r="EO115" s="25"/>
      <c r="EP115" s="25"/>
      <c r="EQ115" s="25"/>
      <c r="ER115" s="36"/>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36"/>
      <c r="JH115" s="25"/>
      <c r="JI115" s="25"/>
      <c r="JJ115" s="25"/>
      <c r="JK115" s="25"/>
      <c r="JL115" s="25"/>
      <c r="JM115" s="25"/>
      <c r="JN115" s="25"/>
      <c r="JO115" s="25"/>
      <c r="JP115" s="25"/>
      <c r="JQ115" s="25"/>
      <c r="JR115" s="25"/>
      <c r="JS115" s="25"/>
      <c r="JT115" s="25"/>
      <c r="JU115" s="25"/>
      <c r="JV115" s="25"/>
      <c r="JW115" s="25"/>
      <c r="JX115" s="25"/>
      <c r="JY115" s="25"/>
      <c r="JZ115" s="25"/>
      <c r="KA115" s="25"/>
      <c r="KB115" s="36"/>
    </row>
    <row r="116" spans="2:288" ht="15" customHeight="1" x14ac:dyDescent="0.25">
      <c r="B116" s="216" t="str">
        <f t="shared" si="15"/>
        <v>Desk 3</v>
      </c>
      <c r="C116" s="218" t="str">
        <v/>
      </c>
      <c r="D116" s="218" t="str">
        <v/>
      </c>
      <c r="E116" s="218" t="str">
        <v/>
      </c>
      <c r="F116" s="218" t="str">
        <v/>
      </c>
      <c r="G116" s="402" t="str">
        <v/>
      </c>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36"/>
      <c r="DX116" s="25"/>
      <c r="DY116" s="25"/>
      <c r="DZ116" s="25"/>
      <c r="EA116" s="25"/>
      <c r="EB116" s="25"/>
      <c r="EC116" s="25"/>
      <c r="ED116" s="25"/>
      <c r="EE116" s="25"/>
      <c r="EF116" s="25"/>
      <c r="EG116" s="25"/>
      <c r="EH116" s="25"/>
      <c r="EI116" s="25"/>
      <c r="EJ116" s="25"/>
      <c r="EK116" s="25"/>
      <c r="EL116" s="25"/>
      <c r="EM116" s="25"/>
      <c r="EN116" s="25"/>
      <c r="EO116" s="25"/>
      <c r="EP116" s="25"/>
      <c r="EQ116" s="25"/>
      <c r="ER116" s="36"/>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36"/>
      <c r="JH116" s="25"/>
      <c r="JI116" s="25"/>
      <c r="JJ116" s="25"/>
      <c r="JK116" s="25"/>
      <c r="JL116" s="25"/>
      <c r="JM116" s="25"/>
      <c r="JN116" s="25"/>
      <c r="JO116" s="25"/>
      <c r="JP116" s="25"/>
      <c r="JQ116" s="25"/>
      <c r="JR116" s="25"/>
      <c r="JS116" s="25"/>
      <c r="JT116" s="25"/>
      <c r="JU116" s="25"/>
      <c r="JV116" s="25"/>
      <c r="JW116" s="25"/>
      <c r="JX116" s="25"/>
      <c r="JY116" s="25"/>
      <c r="JZ116" s="25"/>
      <c r="KA116" s="25"/>
      <c r="KB116" s="36"/>
    </row>
    <row r="117" spans="2:288" ht="15" customHeight="1" x14ac:dyDescent="0.25">
      <c r="B117" s="216" t="str">
        <f t="shared" si="15"/>
        <v>Desk 4</v>
      </c>
      <c r="C117" s="218" t="str">
        <v/>
      </c>
      <c r="D117" s="218" t="str">
        <v/>
      </c>
      <c r="E117" s="218" t="str">
        <v/>
      </c>
      <c r="F117" s="218" t="str">
        <v/>
      </c>
      <c r="G117" s="402" t="str">
        <v/>
      </c>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36"/>
      <c r="DX117" s="25"/>
      <c r="DY117" s="25"/>
      <c r="DZ117" s="25"/>
      <c r="EA117" s="25"/>
      <c r="EB117" s="25"/>
      <c r="EC117" s="25"/>
      <c r="ED117" s="25"/>
      <c r="EE117" s="25"/>
      <c r="EF117" s="25"/>
      <c r="EG117" s="25"/>
      <c r="EH117" s="25"/>
      <c r="EI117" s="25"/>
      <c r="EJ117" s="25"/>
      <c r="EK117" s="25"/>
      <c r="EL117" s="25"/>
      <c r="EM117" s="25"/>
      <c r="EN117" s="25"/>
      <c r="EO117" s="25"/>
      <c r="EP117" s="25"/>
      <c r="EQ117" s="25"/>
      <c r="ER117" s="36"/>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36"/>
      <c r="JH117" s="25"/>
      <c r="JI117" s="25"/>
      <c r="JJ117" s="25"/>
      <c r="JK117" s="25"/>
      <c r="JL117" s="25"/>
      <c r="JM117" s="25"/>
      <c r="JN117" s="25"/>
      <c r="JO117" s="25"/>
      <c r="JP117" s="25"/>
      <c r="JQ117" s="25"/>
      <c r="JR117" s="25"/>
      <c r="JS117" s="25"/>
      <c r="JT117" s="25"/>
      <c r="JU117" s="25"/>
      <c r="JV117" s="25"/>
      <c r="JW117" s="25"/>
      <c r="JX117" s="25"/>
      <c r="JY117" s="25"/>
      <c r="JZ117" s="25"/>
      <c r="KA117" s="25"/>
      <c r="KB117" s="36"/>
    </row>
    <row r="118" spans="2:288" ht="15" customHeight="1" x14ac:dyDescent="0.25">
      <c r="B118" s="216" t="str">
        <f t="shared" si="15"/>
        <v>Desk 5</v>
      </c>
      <c r="C118" s="218" t="str">
        <v/>
      </c>
      <c r="D118" s="218" t="str">
        <v/>
      </c>
      <c r="E118" s="218" t="str">
        <v/>
      </c>
      <c r="F118" s="218" t="str">
        <v/>
      </c>
      <c r="G118" s="402" t="str">
        <v/>
      </c>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36"/>
      <c r="DX118" s="25"/>
      <c r="DY118" s="25"/>
      <c r="DZ118" s="25"/>
      <c r="EA118" s="25"/>
      <c r="EB118" s="25"/>
      <c r="EC118" s="25"/>
      <c r="ED118" s="25"/>
      <c r="EE118" s="25"/>
      <c r="EF118" s="25"/>
      <c r="EG118" s="25"/>
      <c r="EH118" s="25"/>
      <c r="EI118" s="25"/>
      <c r="EJ118" s="25"/>
      <c r="EK118" s="25"/>
      <c r="EL118" s="25"/>
      <c r="EM118" s="25"/>
      <c r="EN118" s="25"/>
      <c r="EO118" s="25"/>
      <c r="EP118" s="25"/>
      <c r="EQ118" s="25"/>
      <c r="ER118" s="36"/>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36"/>
      <c r="JH118" s="25"/>
      <c r="JI118" s="25"/>
      <c r="JJ118" s="25"/>
      <c r="JK118" s="25"/>
      <c r="JL118" s="25"/>
      <c r="JM118" s="25"/>
      <c r="JN118" s="25"/>
      <c r="JO118" s="25"/>
      <c r="JP118" s="25"/>
      <c r="JQ118" s="25"/>
      <c r="JR118" s="25"/>
      <c r="JS118" s="25"/>
      <c r="JT118" s="25"/>
      <c r="JU118" s="25"/>
      <c r="JV118" s="25"/>
      <c r="JW118" s="25"/>
      <c r="JX118" s="25"/>
      <c r="JY118" s="25"/>
      <c r="JZ118" s="25"/>
      <c r="KA118" s="25"/>
      <c r="KB118" s="36"/>
    </row>
    <row r="119" spans="2:288" ht="15" customHeight="1" x14ac:dyDescent="0.25">
      <c r="B119" s="216" t="str">
        <f t="shared" si="15"/>
        <v>Desk 6</v>
      </c>
      <c r="C119" s="218" t="str">
        <v/>
      </c>
      <c r="D119" s="218" t="str">
        <v/>
      </c>
      <c r="E119" s="218" t="str">
        <v/>
      </c>
      <c r="F119" s="218" t="str">
        <v/>
      </c>
      <c r="G119" s="402" t="str">
        <v/>
      </c>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36"/>
      <c r="DX119" s="25"/>
      <c r="DY119" s="25"/>
      <c r="DZ119" s="25"/>
      <c r="EA119" s="25"/>
      <c r="EB119" s="25"/>
      <c r="EC119" s="25"/>
      <c r="ED119" s="25"/>
      <c r="EE119" s="25"/>
      <c r="EF119" s="25"/>
      <c r="EG119" s="25"/>
      <c r="EH119" s="25"/>
      <c r="EI119" s="25"/>
      <c r="EJ119" s="25"/>
      <c r="EK119" s="25"/>
      <c r="EL119" s="25"/>
      <c r="EM119" s="25"/>
      <c r="EN119" s="25"/>
      <c r="EO119" s="25"/>
      <c r="EP119" s="25"/>
      <c r="EQ119" s="25"/>
      <c r="ER119" s="36"/>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36"/>
      <c r="JH119" s="25"/>
      <c r="JI119" s="25"/>
      <c r="JJ119" s="25"/>
      <c r="JK119" s="25"/>
      <c r="JL119" s="25"/>
      <c r="JM119" s="25"/>
      <c r="JN119" s="25"/>
      <c r="JO119" s="25"/>
      <c r="JP119" s="25"/>
      <c r="JQ119" s="25"/>
      <c r="JR119" s="25"/>
      <c r="JS119" s="25"/>
      <c r="JT119" s="25"/>
      <c r="JU119" s="25"/>
      <c r="JV119" s="25"/>
      <c r="JW119" s="25"/>
      <c r="JX119" s="25"/>
      <c r="JY119" s="25"/>
      <c r="JZ119" s="25"/>
      <c r="KA119" s="25"/>
      <c r="KB119" s="36"/>
    </row>
    <row r="120" spans="2:288" ht="15" customHeight="1" x14ac:dyDescent="0.25">
      <c r="B120" s="216" t="str">
        <f t="shared" si="15"/>
        <v>Desk 7</v>
      </c>
      <c r="C120" s="218" t="str">
        <v/>
      </c>
      <c r="D120" s="218" t="str">
        <v/>
      </c>
      <c r="E120" s="218" t="str">
        <v/>
      </c>
      <c r="F120" s="218" t="str">
        <v/>
      </c>
      <c r="G120" s="402" t="str">
        <v/>
      </c>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36"/>
      <c r="DX120" s="25"/>
      <c r="DY120" s="25"/>
      <c r="DZ120" s="25"/>
      <c r="EA120" s="25"/>
      <c r="EB120" s="25"/>
      <c r="EC120" s="25"/>
      <c r="ED120" s="25"/>
      <c r="EE120" s="25"/>
      <c r="EF120" s="25"/>
      <c r="EG120" s="25"/>
      <c r="EH120" s="25"/>
      <c r="EI120" s="25"/>
      <c r="EJ120" s="25"/>
      <c r="EK120" s="25"/>
      <c r="EL120" s="25"/>
      <c r="EM120" s="25"/>
      <c r="EN120" s="25"/>
      <c r="EO120" s="25"/>
      <c r="EP120" s="25"/>
      <c r="EQ120" s="25"/>
      <c r="ER120" s="36"/>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36"/>
      <c r="JH120" s="25"/>
      <c r="JI120" s="25"/>
      <c r="JJ120" s="25"/>
      <c r="JK120" s="25"/>
      <c r="JL120" s="25"/>
      <c r="JM120" s="25"/>
      <c r="JN120" s="25"/>
      <c r="JO120" s="25"/>
      <c r="JP120" s="25"/>
      <c r="JQ120" s="25"/>
      <c r="JR120" s="25"/>
      <c r="JS120" s="25"/>
      <c r="JT120" s="25"/>
      <c r="JU120" s="25"/>
      <c r="JV120" s="25"/>
      <c r="JW120" s="25"/>
      <c r="JX120" s="25"/>
      <c r="JY120" s="25"/>
      <c r="JZ120" s="25"/>
      <c r="KA120" s="25"/>
      <c r="KB120" s="36"/>
    </row>
    <row r="121" spans="2:288" ht="15" customHeight="1" x14ac:dyDescent="0.25">
      <c r="B121" s="216" t="str">
        <f t="shared" si="15"/>
        <v>Desk 8</v>
      </c>
      <c r="C121" s="218" t="str">
        <v/>
      </c>
      <c r="D121" s="218" t="str">
        <v/>
      </c>
      <c r="E121" s="218" t="str">
        <v/>
      </c>
      <c r="F121" s="218" t="str">
        <v/>
      </c>
      <c r="G121" s="402" t="str">
        <v/>
      </c>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36"/>
      <c r="DX121" s="25"/>
      <c r="DY121" s="25"/>
      <c r="DZ121" s="25"/>
      <c r="EA121" s="25"/>
      <c r="EB121" s="25"/>
      <c r="EC121" s="25"/>
      <c r="ED121" s="25"/>
      <c r="EE121" s="25"/>
      <c r="EF121" s="25"/>
      <c r="EG121" s="25"/>
      <c r="EH121" s="25"/>
      <c r="EI121" s="25"/>
      <c r="EJ121" s="25"/>
      <c r="EK121" s="25"/>
      <c r="EL121" s="25"/>
      <c r="EM121" s="25"/>
      <c r="EN121" s="25"/>
      <c r="EO121" s="25"/>
      <c r="EP121" s="25"/>
      <c r="EQ121" s="25"/>
      <c r="ER121" s="36"/>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36"/>
      <c r="JH121" s="25"/>
      <c r="JI121" s="25"/>
      <c r="JJ121" s="25"/>
      <c r="JK121" s="25"/>
      <c r="JL121" s="25"/>
      <c r="JM121" s="25"/>
      <c r="JN121" s="25"/>
      <c r="JO121" s="25"/>
      <c r="JP121" s="25"/>
      <c r="JQ121" s="25"/>
      <c r="JR121" s="25"/>
      <c r="JS121" s="25"/>
      <c r="JT121" s="25"/>
      <c r="JU121" s="25"/>
      <c r="JV121" s="25"/>
      <c r="JW121" s="25"/>
      <c r="JX121" s="25"/>
      <c r="JY121" s="25"/>
      <c r="JZ121" s="25"/>
      <c r="KA121" s="25"/>
      <c r="KB121" s="36"/>
    </row>
    <row r="122" spans="2:288" ht="15" customHeight="1" x14ac:dyDescent="0.25">
      <c r="B122" s="216" t="str">
        <f t="shared" si="15"/>
        <v>Desk 9</v>
      </c>
      <c r="C122" s="218" t="str">
        <v/>
      </c>
      <c r="D122" s="218" t="str">
        <v/>
      </c>
      <c r="E122" s="218" t="str">
        <v/>
      </c>
      <c r="F122" s="218" t="str">
        <v/>
      </c>
      <c r="G122" s="402" t="str">
        <v/>
      </c>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36"/>
      <c r="DX122" s="25"/>
      <c r="DY122" s="25"/>
      <c r="DZ122" s="25"/>
      <c r="EA122" s="25"/>
      <c r="EB122" s="25"/>
      <c r="EC122" s="25"/>
      <c r="ED122" s="25"/>
      <c r="EE122" s="25"/>
      <c r="EF122" s="25"/>
      <c r="EG122" s="25"/>
      <c r="EH122" s="25"/>
      <c r="EI122" s="25"/>
      <c r="EJ122" s="25"/>
      <c r="EK122" s="25"/>
      <c r="EL122" s="25"/>
      <c r="EM122" s="25"/>
      <c r="EN122" s="25"/>
      <c r="EO122" s="25"/>
      <c r="EP122" s="25"/>
      <c r="EQ122" s="25"/>
      <c r="ER122" s="36"/>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36"/>
      <c r="JH122" s="25"/>
      <c r="JI122" s="25"/>
      <c r="JJ122" s="25"/>
      <c r="JK122" s="25"/>
      <c r="JL122" s="25"/>
      <c r="JM122" s="25"/>
      <c r="JN122" s="25"/>
      <c r="JO122" s="25"/>
      <c r="JP122" s="25"/>
      <c r="JQ122" s="25"/>
      <c r="JR122" s="25"/>
      <c r="JS122" s="25"/>
      <c r="JT122" s="25"/>
      <c r="JU122" s="25"/>
      <c r="JV122" s="25"/>
      <c r="JW122" s="25"/>
      <c r="JX122" s="25"/>
      <c r="JY122" s="25"/>
      <c r="JZ122" s="25"/>
      <c r="KA122" s="25"/>
      <c r="KB122" s="36"/>
    </row>
    <row r="123" spans="2:288" ht="15" customHeight="1" x14ac:dyDescent="0.25">
      <c r="B123" s="216" t="str">
        <f t="shared" si="15"/>
        <v>Desk 10</v>
      </c>
      <c r="C123" s="218" t="str">
        <v/>
      </c>
      <c r="D123" s="218" t="str">
        <v/>
      </c>
      <c r="E123" s="218" t="str">
        <v/>
      </c>
      <c r="F123" s="218" t="str">
        <v/>
      </c>
      <c r="G123" s="402" t="str">
        <v/>
      </c>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36"/>
      <c r="DX123" s="25"/>
      <c r="DY123" s="25"/>
      <c r="DZ123" s="25"/>
      <c r="EA123" s="25"/>
      <c r="EB123" s="25"/>
      <c r="EC123" s="25"/>
      <c r="ED123" s="25"/>
      <c r="EE123" s="25"/>
      <c r="EF123" s="25"/>
      <c r="EG123" s="25"/>
      <c r="EH123" s="25"/>
      <c r="EI123" s="25"/>
      <c r="EJ123" s="25"/>
      <c r="EK123" s="25"/>
      <c r="EL123" s="25"/>
      <c r="EM123" s="25"/>
      <c r="EN123" s="25"/>
      <c r="EO123" s="25"/>
      <c r="EP123" s="25"/>
      <c r="EQ123" s="25"/>
      <c r="ER123" s="36"/>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36"/>
      <c r="JH123" s="25"/>
      <c r="JI123" s="25"/>
      <c r="JJ123" s="25"/>
      <c r="JK123" s="25"/>
      <c r="JL123" s="25"/>
      <c r="JM123" s="25"/>
      <c r="JN123" s="25"/>
      <c r="JO123" s="25"/>
      <c r="JP123" s="25"/>
      <c r="JQ123" s="25"/>
      <c r="JR123" s="25"/>
      <c r="JS123" s="25"/>
      <c r="JT123" s="25"/>
      <c r="JU123" s="25"/>
      <c r="JV123" s="25"/>
      <c r="JW123" s="25"/>
      <c r="JX123" s="25"/>
      <c r="JY123" s="25"/>
      <c r="JZ123" s="25"/>
      <c r="KA123" s="25"/>
      <c r="KB123" s="36"/>
    </row>
    <row r="124" spans="2:288" ht="15" customHeight="1" x14ac:dyDescent="0.25">
      <c r="B124" s="216" t="str">
        <f t="shared" si="15"/>
        <v>Desk 11</v>
      </c>
      <c r="C124" s="218" t="str">
        <v/>
      </c>
      <c r="D124" s="218" t="str">
        <v/>
      </c>
      <c r="E124" s="218" t="str">
        <v/>
      </c>
      <c r="F124" s="218" t="str">
        <v/>
      </c>
      <c r="G124" s="402" t="str">
        <v/>
      </c>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36"/>
      <c r="DX124" s="25"/>
      <c r="DY124" s="25"/>
      <c r="DZ124" s="25"/>
      <c r="EA124" s="25"/>
      <c r="EB124" s="25"/>
      <c r="EC124" s="25"/>
      <c r="ED124" s="25"/>
      <c r="EE124" s="25"/>
      <c r="EF124" s="25"/>
      <c r="EG124" s="25"/>
      <c r="EH124" s="25"/>
      <c r="EI124" s="25"/>
      <c r="EJ124" s="25"/>
      <c r="EK124" s="25"/>
      <c r="EL124" s="25"/>
      <c r="EM124" s="25"/>
      <c r="EN124" s="25"/>
      <c r="EO124" s="25"/>
      <c r="EP124" s="25"/>
      <c r="EQ124" s="25"/>
      <c r="ER124" s="36"/>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36"/>
      <c r="JH124" s="25"/>
      <c r="JI124" s="25"/>
      <c r="JJ124" s="25"/>
      <c r="JK124" s="25"/>
      <c r="JL124" s="25"/>
      <c r="JM124" s="25"/>
      <c r="JN124" s="25"/>
      <c r="JO124" s="25"/>
      <c r="JP124" s="25"/>
      <c r="JQ124" s="25"/>
      <c r="JR124" s="25"/>
      <c r="JS124" s="25"/>
      <c r="JT124" s="25"/>
      <c r="JU124" s="25"/>
      <c r="JV124" s="25"/>
      <c r="JW124" s="25"/>
      <c r="JX124" s="25"/>
      <c r="JY124" s="25"/>
      <c r="JZ124" s="25"/>
      <c r="KA124" s="25"/>
      <c r="KB124" s="36"/>
    </row>
    <row r="125" spans="2:288" ht="15" customHeight="1" x14ac:dyDescent="0.25">
      <c r="B125" s="216" t="str">
        <f t="shared" si="15"/>
        <v>Desk 12</v>
      </c>
      <c r="C125" s="218" t="str">
        <v/>
      </c>
      <c r="D125" s="218" t="str">
        <v/>
      </c>
      <c r="E125" s="218" t="str">
        <v/>
      </c>
      <c r="F125" s="218" t="str">
        <v/>
      </c>
      <c r="G125" s="402" t="str">
        <v/>
      </c>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36"/>
      <c r="DX125" s="25"/>
      <c r="DY125" s="25"/>
      <c r="DZ125" s="25"/>
      <c r="EA125" s="25"/>
      <c r="EB125" s="25"/>
      <c r="EC125" s="25"/>
      <c r="ED125" s="25"/>
      <c r="EE125" s="25"/>
      <c r="EF125" s="25"/>
      <c r="EG125" s="25"/>
      <c r="EH125" s="25"/>
      <c r="EI125" s="25"/>
      <c r="EJ125" s="25"/>
      <c r="EK125" s="25"/>
      <c r="EL125" s="25"/>
      <c r="EM125" s="25"/>
      <c r="EN125" s="25"/>
      <c r="EO125" s="25"/>
      <c r="EP125" s="25"/>
      <c r="EQ125" s="25"/>
      <c r="ER125" s="36"/>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36"/>
      <c r="JH125" s="25"/>
      <c r="JI125" s="25"/>
      <c r="JJ125" s="25"/>
      <c r="JK125" s="25"/>
      <c r="JL125" s="25"/>
      <c r="JM125" s="25"/>
      <c r="JN125" s="25"/>
      <c r="JO125" s="25"/>
      <c r="JP125" s="25"/>
      <c r="JQ125" s="25"/>
      <c r="JR125" s="25"/>
      <c r="JS125" s="25"/>
      <c r="JT125" s="25"/>
      <c r="JU125" s="25"/>
      <c r="JV125" s="25"/>
      <c r="JW125" s="25"/>
      <c r="JX125" s="25"/>
      <c r="JY125" s="25"/>
      <c r="JZ125" s="25"/>
      <c r="KA125" s="25"/>
      <c r="KB125" s="36"/>
    </row>
    <row r="126" spans="2:288" ht="15" customHeight="1" x14ac:dyDescent="0.25">
      <c r="B126" s="216" t="str">
        <f t="shared" si="15"/>
        <v>Desk 13</v>
      </c>
      <c r="C126" s="218" t="str">
        <v/>
      </c>
      <c r="D126" s="218" t="str">
        <v/>
      </c>
      <c r="E126" s="218" t="str">
        <v/>
      </c>
      <c r="F126" s="218" t="str">
        <v/>
      </c>
      <c r="G126" s="402" t="str">
        <v/>
      </c>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36"/>
      <c r="DX126" s="25"/>
      <c r="DY126" s="25"/>
      <c r="DZ126" s="25"/>
      <c r="EA126" s="25"/>
      <c r="EB126" s="25"/>
      <c r="EC126" s="25"/>
      <c r="ED126" s="25"/>
      <c r="EE126" s="25"/>
      <c r="EF126" s="25"/>
      <c r="EG126" s="25"/>
      <c r="EH126" s="25"/>
      <c r="EI126" s="25"/>
      <c r="EJ126" s="25"/>
      <c r="EK126" s="25"/>
      <c r="EL126" s="25"/>
      <c r="EM126" s="25"/>
      <c r="EN126" s="25"/>
      <c r="EO126" s="25"/>
      <c r="EP126" s="25"/>
      <c r="EQ126" s="25"/>
      <c r="ER126" s="36"/>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36"/>
      <c r="JH126" s="25"/>
      <c r="JI126" s="25"/>
      <c r="JJ126" s="25"/>
      <c r="JK126" s="25"/>
      <c r="JL126" s="25"/>
      <c r="JM126" s="25"/>
      <c r="JN126" s="25"/>
      <c r="JO126" s="25"/>
      <c r="JP126" s="25"/>
      <c r="JQ126" s="25"/>
      <c r="JR126" s="25"/>
      <c r="JS126" s="25"/>
      <c r="JT126" s="25"/>
      <c r="JU126" s="25"/>
      <c r="JV126" s="25"/>
      <c r="JW126" s="25"/>
      <c r="JX126" s="25"/>
      <c r="JY126" s="25"/>
      <c r="JZ126" s="25"/>
      <c r="KA126" s="25"/>
      <c r="KB126" s="36"/>
    </row>
    <row r="127" spans="2:288" ht="15" customHeight="1" x14ac:dyDescent="0.25">
      <c r="B127" s="216" t="str">
        <f t="shared" si="15"/>
        <v>Desk 14</v>
      </c>
      <c r="C127" s="218" t="str">
        <v/>
      </c>
      <c r="D127" s="218" t="str">
        <v/>
      </c>
      <c r="E127" s="218" t="str">
        <v/>
      </c>
      <c r="F127" s="218" t="str">
        <v/>
      </c>
      <c r="G127" s="402" t="str">
        <v/>
      </c>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36"/>
      <c r="DX127" s="25"/>
      <c r="DY127" s="25"/>
      <c r="DZ127" s="25"/>
      <c r="EA127" s="25"/>
      <c r="EB127" s="25"/>
      <c r="EC127" s="25"/>
      <c r="ED127" s="25"/>
      <c r="EE127" s="25"/>
      <c r="EF127" s="25"/>
      <c r="EG127" s="25"/>
      <c r="EH127" s="25"/>
      <c r="EI127" s="25"/>
      <c r="EJ127" s="25"/>
      <c r="EK127" s="25"/>
      <c r="EL127" s="25"/>
      <c r="EM127" s="25"/>
      <c r="EN127" s="25"/>
      <c r="EO127" s="25"/>
      <c r="EP127" s="25"/>
      <c r="EQ127" s="25"/>
      <c r="ER127" s="36"/>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36"/>
      <c r="JH127" s="25"/>
      <c r="JI127" s="25"/>
      <c r="JJ127" s="25"/>
      <c r="JK127" s="25"/>
      <c r="JL127" s="25"/>
      <c r="JM127" s="25"/>
      <c r="JN127" s="25"/>
      <c r="JO127" s="25"/>
      <c r="JP127" s="25"/>
      <c r="JQ127" s="25"/>
      <c r="JR127" s="25"/>
      <c r="JS127" s="25"/>
      <c r="JT127" s="25"/>
      <c r="JU127" s="25"/>
      <c r="JV127" s="25"/>
      <c r="JW127" s="25"/>
      <c r="JX127" s="25"/>
      <c r="JY127" s="25"/>
      <c r="JZ127" s="25"/>
      <c r="KA127" s="25"/>
      <c r="KB127" s="36"/>
    </row>
    <row r="128" spans="2:288" ht="15" customHeight="1" x14ac:dyDescent="0.25">
      <c r="B128" s="216" t="str">
        <f t="shared" si="15"/>
        <v>Desk 15</v>
      </c>
      <c r="C128" s="218" t="str">
        <v/>
      </c>
      <c r="D128" s="218" t="str">
        <v/>
      </c>
      <c r="E128" s="218" t="str">
        <v/>
      </c>
      <c r="F128" s="218" t="str">
        <v/>
      </c>
      <c r="G128" s="402" t="str">
        <v/>
      </c>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36"/>
      <c r="DX128" s="25"/>
      <c r="DY128" s="25"/>
      <c r="DZ128" s="25"/>
      <c r="EA128" s="25"/>
      <c r="EB128" s="25"/>
      <c r="EC128" s="25"/>
      <c r="ED128" s="25"/>
      <c r="EE128" s="25"/>
      <c r="EF128" s="25"/>
      <c r="EG128" s="25"/>
      <c r="EH128" s="25"/>
      <c r="EI128" s="25"/>
      <c r="EJ128" s="25"/>
      <c r="EK128" s="25"/>
      <c r="EL128" s="25"/>
      <c r="EM128" s="25"/>
      <c r="EN128" s="25"/>
      <c r="EO128" s="25"/>
      <c r="EP128" s="25"/>
      <c r="EQ128" s="25"/>
      <c r="ER128" s="36"/>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36"/>
      <c r="JH128" s="25"/>
      <c r="JI128" s="25"/>
      <c r="JJ128" s="25"/>
      <c r="JK128" s="25"/>
      <c r="JL128" s="25"/>
      <c r="JM128" s="25"/>
      <c r="JN128" s="25"/>
      <c r="JO128" s="25"/>
      <c r="JP128" s="25"/>
      <c r="JQ128" s="25"/>
      <c r="JR128" s="25"/>
      <c r="JS128" s="25"/>
      <c r="JT128" s="25"/>
      <c r="JU128" s="25"/>
      <c r="JV128" s="25"/>
      <c r="JW128" s="25"/>
      <c r="JX128" s="25"/>
      <c r="JY128" s="25"/>
      <c r="JZ128" s="25"/>
      <c r="KA128" s="25"/>
      <c r="KB128" s="36"/>
    </row>
    <row r="129" spans="2:288" ht="15" customHeight="1" x14ac:dyDescent="0.25">
      <c r="B129" s="216" t="str">
        <f t="shared" si="15"/>
        <v>Desk 16</v>
      </c>
      <c r="C129" s="218" t="str">
        <v/>
      </c>
      <c r="D129" s="218" t="str">
        <v/>
      </c>
      <c r="E129" s="218" t="str">
        <v/>
      </c>
      <c r="F129" s="218" t="str">
        <v/>
      </c>
      <c r="G129" s="402" t="str">
        <v/>
      </c>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36"/>
      <c r="DX129" s="25"/>
      <c r="DY129" s="25"/>
      <c r="DZ129" s="25"/>
      <c r="EA129" s="25"/>
      <c r="EB129" s="25"/>
      <c r="EC129" s="25"/>
      <c r="ED129" s="25"/>
      <c r="EE129" s="25"/>
      <c r="EF129" s="25"/>
      <c r="EG129" s="25"/>
      <c r="EH129" s="25"/>
      <c r="EI129" s="25"/>
      <c r="EJ129" s="25"/>
      <c r="EK129" s="25"/>
      <c r="EL129" s="25"/>
      <c r="EM129" s="25"/>
      <c r="EN129" s="25"/>
      <c r="EO129" s="25"/>
      <c r="EP129" s="25"/>
      <c r="EQ129" s="25"/>
      <c r="ER129" s="36"/>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36"/>
      <c r="JH129" s="25"/>
      <c r="JI129" s="25"/>
      <c r="JJ129" s="25"/>
      <c r="JK129" s="25"/>
      <c r="JL129" s="25"/>
      <c r="JM129" s="25"/>
      <c r="JN129" s="25"/>
      <c r="JO129" s="25"/>
      <c r="JP129" s="25"/>
      <c r="JQ129" s="25"/>
      <c r="JR129" s="25"/>
      <c r="JS129" s="25"/>
      <c r="JT129" s="25"/>
      <c r="JU129" s="25"/>
      <c r="JV129" s="25"/>
      <c r="JW129" s="25"/>
      <c r="JX129" s="25"/>
      <c r="JY129" s="25"/>
      <c r="JZ129" s="25"/>
      <c r="KA129" s="25"/>
      <c r="KB129" s="36"/>
    </row>
    <row r="130" spans="2:288" ht="15" customHeight="1" x14ac:dyDescent="0.25">
      <c r="B130" s="216" t="str">
        <f t="shared" si="15"/>
        <v>Desk 17</v>
      </c>
      <c r="C130" s="218" t="str">
        <v/>
      </c>
      <c r="D130" s="218" t="str">
        <v/>
      </c>
      <c r="E130" s="218" t="str">
        <v/>
      </c>
      <c r="F130" s="218" t="str">
        <v/>
      </c>
      <c r="G130" s="402" t="str">
        <v/>
      </c>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36"/>
      <c r="DX130" s="25"/>
      <c r="DY130" s="25"/>
      <c r="DZ130" s="25"/>
      <c r="EA130" s="25"/>
      <c r="EB130" s="25"/>
      <c r="EC130" s="25"/>
      <c r="ED130" s="25"/>
      <c r="EE130" s="25"/>
      <c r="EF130" s="25"/>
      <c r="EG130" s="25"/>
      <c r="EH130" s="25"/>
      <c r="EI130" s="25"/>
      <c r="EJ130" s="25"/>
      <c r="EK130" s="25"/>
      <c r="EL130" s="25"/>
      <c r="EM130" s="25"/>
      <c r="EN130" s="25"/>
      <c r="EO130" s="25"/>
      <c r="EP130" s="25"/>
      <c r="EQ130" s="25"/>
      <c r="ER130" s="36"/>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36"/>
      <c r="JH130" s="25"/>
      <c r="JI130" s="25"/>
      <c r="JJ130" s="25"/>
      <c r="JK130" s="25"/>
      <c r="JL130" s="25"/>
      <c r="JM130" s="25"/>
      <c r="JN130" s="25"/>
      <c r="JO130" s="25"/>
      <c r="JP130" s="25"/>
      <c r="JQ130" s="25"/>
      <c r="JR130" s="25"/>
      <c r="JS130" s="25"/>
      <c r="JT130" s="25"/>
      <c r="JU130" s="25"/>
      <c r="JV130" s="25"/>
      <c r="JW130" s="25"/>
      <c r="JX130" s="25"/>
      <c r="JY130" s="25"/>
      <c r="JZ130" s="25"/>
      <c r="KA130" s="25"/>
      <c r="KB130" s="36"/>
    </row>
    <row r="131" spans="2:288" ht="15" customHeight="1" x14ac:dyDescent="0.25">
      <c r="B131" s="216" t="str">
        <f t="shared" si="15"/>
        <v>Desk 18</v>
      </c>
      <c r="C131" s="218" t="str">
        <v/>
      </c>
      <c r="D131" s="218" t="str">
        <v/>
      </c>
      <c r="E131" s="218" t="str">
        <v/>
      </c>
      <c r="F131" s="218" t="str">
        <v/>
      </c>
      <c r="G131" s="402" t="str">
        <v/>
      </c>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36"/>
      <c r="DX131" s="25"/>
      <c r="DY131" s="25"/>
      <c r="DZ131" s="25"/>
      <c r="EA131" s="25"/>
      <c r="EB131" s="25"/>
      <c r="EC131" s="25"/>
      <c r="ED131" s="25"/>
      <c r="EE131" s="25"/>
      <c r="EF131" s="25"/>
      <c r="EG131" s="25"/>
      <c r="EH131" s="25"/>
      <c r="EI131" s="25"/>
      <c r="EJ131" s="25"/>
      <c r="EK131" s="25"/>
      <c r="EL131" s="25"/>
      <c r="EM131" s="25"/>
      <c r="EN131" s="25"/>
      <c r="EO131" s="25"/>
      <c r="EP131" s="25"/>
      <c r="EQ131" s="25"/>
      <c r="ER131" s="36"/>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36"/>
      <c r="JH131" s="25"/>
      <c r="JI131" s="25"/>
      <c r="JJ131" s="25"/>
      <c r="JK131" s="25"/>
      <c r="JL131" s="25"/>
      <c r="JM131" s="25"/>
      <c r="JN131" s="25"/>
      <c r="JO131" s="25"/>
      <c r="JP131" s="25"/>
      <c r="JQ131" s="25"/>
      <c r="JR131" s="25"/>
      <c r="JS131" s="25"/>
      <c r="JT131" s="25"/>
      <c r="JU131" s="25"/>
      <c r="JV131" s="25"/>
      <c r="JW131" s="25"/>
      <c r="JX131" s="25"/>
      <c r="JY131" s="25"/>
      <c r="JZ131" s="25"/>
      <c r="KA131" s="25"/>
      <c r="KB131" s="36"/>
    </row>
    <row r="132" spans="2:288" ht="15" customHeight="1" x14ac:dyDescent="0.25">
      <c r="B132" s="216" t="str">
        <f t="shared" si="15"/>
        <v>Desk 19</v>
      </c>
      <c r="C132" s="218" t="str">
        <v/>
      </c>
      <c r="D132" s="218" t="str">
        <v/>
      </c>
      <c r="E132" s="218" t="str">
        <v/>
      </c>
      <c r="F132" s="218" t="str">
        <v/>
      </c>
      <c r="G132" s="402" t="str">
        <v/>
      </c>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36"/>
      <c r="DX132" s="25"/>
      <c r="DY132" s="25"/>
      <c r="DZ132" s="25"/>
      <c r="EA132" s="25"/>
      <c r="EB132" s="25"/>
      <c r="EC132" s="25"/>
      <c r="ED132" s="25"/>
      <c r="EE132" s="25"/>
      <c r="EF132" s="25"/>
      <c r="EG132" s="25"/>
      <c r="EH132" s="25"/>
      <c r="EI132" s="25"/>
      <c r="EJ132" s="25"/>
      <c r="EK132" s="25"/>
      <c r="EL132" s="25"/>
      <c r="EM132" s="25"/>
      <c r="EN132" s="25"/>
      <c r="EO132" s="25"/>
      <c r="EP132" s="25"/>
      <c r="EQ132" s="25"/>
      <c r="ER132" s="36"/>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36"/>
      <c r="JH132" s="25"/>
      <c r="JI132" s="25"/>
      <c r="JJ132" s="25"/>
      <c r="JK132" s="25"/>
      <c r="JL132" s="25"/>
      <c r="JM132" s="25"/>
      <c r="JN132" s="25"/>
      <c r="JO132" s="25"/>
      <c r="JP132" s="25"/>
      <c r="JQ132" s="25"/>
      <c r="JR132" s="25"/>
      <c r="JS132" s="25"/>
      <c r="JT132" s="25"/>
      <c r="JU132" s="25"/>
      <c r="JV132" s="25"/>
      <c r="JW132" s="25"/>
      <c r="JX132" s="25"/>
      <c r="JY132" s="25"/>
      <c r="JZ132" s="25"/>
      <c r="KA132" s="25"/>
      <c r="KB132" s="36"/>
    </row>
    <row r="133" spans="2:288" ht="15" customHeight="1" x14ac:dyDescent="0.25">
      <c r="B133" s="216" t="str">
        <f t="shared" si="15"/>
        <v>Desk 20</v>
      </c>
      <c r="C133" s="218" t="str">
        <v/>
      </c>
      <c r="D133" s="218" t="str">
        <v/>
      </c>
      <c r="E133" s="218" t="str">
        <v/>
      </c>
      <c r="F133" s="218" t="str">
        <v/>
      </c>
      <c r="G133" s="402" t="str">
        <v/>
      </c>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36"/>
      <c r="DX133" s="25"/>
      <c r="DY133" s="25"/>
      <c r="DZ133" s="25"/>
      <c r="EA133" s="25"/>
      <c r="EB133" s="25"/>
      <c r="EC133" s="25"/>
      <c r="ED133" s="25"/>
      <c r="EE133" s="25"/>
      <c r="EF133" s="25"/>
      <c r="EG133" s="25"/>
      <c r="EH133" s="25"/>
      <c r="EI133" s="25"/>
      <c r="EJ133" s="25"/>
      <c r="EK133" s="25"/>
      <c r="EL133" s="25"/>
      <c r="EM133" s="25"/>
      <c r="EN133" s="25"/>
      <c r="EO133" s="25"/>
      <c r="EP133" s="25"/>
      <c r="EQ133" s="25"/>
      <c r="ER133" s="36"/>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36"/>
      <c r="JH133" s="25"/>
      <c r="JI133" s="25"/>
      <c r="JJ133" s="25"/>
      <c r="JK133" s="25"/>
      <c r="JL133" s="25"/>
      <c r="JM133" s="25"/>
      <c r="JN133" s="25"/>
      <c r="JO133" s="25"/>
      <c r="JP133" s="25"/>
      <c r="JQ133" s="25"/>
      <c r="JR133" s="25"/>
      <c r="JS133" s="25"/>
      <c r="JT133" s="25"/>
      <c r="JU133" s="25"/>
      <c r="JV133" s="25"/>
      <c r="JW133" s="25"/>
      <c r="JX133" s="25"/>
      <c r="JY133" s="25"/>
      <c r="JZ133" s="25"/>
      <c r="KA133" s="25"/>
      <c r="KB133" s="36"/>
    </row>
    <row r="134" spans="2:288" ht="15" customHeight="1" x14ac:dyDescent="0.25">
      <c r="B134" s="216" t="str">
        <f t="shared" si="15"/>
        <v>Desk 21</v>
      </c>
      <c r="C134" s="218" t="str">
        <v/>
      </c>
      <c r="D134" s="218" t="str">
        <v/>
      </c>
      <c r="E134" s="218" t="str">
        <v/>
      </c>
      <c r="F134" s="218" t="str">
        <v/>
      </c>
      <c r="G134" s="402" t="str">
        <v/>
      </c>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36"/>
      <c r="DX134" s="25"/>
      <c r="DY134" s="25"/>
      <c r="DZ134" s="25"/>
      <c r="EA134" s="25"/>
      <c r="EB134" s="25"/>
      <c r="EC134" s="25"/>
      <c r="ED134" s="25"/>
      <c r="EE134" s="25"/>
      <c r="EF134" s="25"/>
      <c r="EG134" s="25"/>
      <c r="EH134" s="25"/>
      <c r="EI134" s="25"/>
      <c r="EJ134" s="25"/>
      <c r="EK134" s="25"/>
      <c r="EL134" s="25"/>
      <c r="EM134" s="25"/>
      <c r="EN134" s="25"/>
      <c r="EO134" s="25"/>
      <c r="EP134" s="25"/>
      <c r="EQ134" s="25"/>
      <c r="ER134" s="36"/>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36"/>
      <c r="JH134" s="25"/>
      <c r="JI134" s="25"/>
      <c r="JJ134" s="25"/>
      <c r="JK134" s="25"/>
      <c r="JL134" s="25"/>
      <c r="JM134" s="25"/>
      <c r="JN134" s="25"/>
      <c r="JO134" s="25"/>
      <c r="JP134" s="25"/>
      <c r="JQ134" s="25"/>
      <c r="JR134" s="25"/>
      <c r="JS134" s="25"/>
      <c r="JT134" s="25"/>
      <c r="JU134" s="25"/>
      <c r="JV134" s="25"/>
      <c r="JW134" s="25"/>
      <c r="JX134" s="25"/>
      <c r="JY134" s="25"/>
      <c r="JZ134" s="25"/>
      <c r="KA134" s="25"/>
      <c r="KB134" s="36"/>
    </row>
    <row r="135" spans="2:288" ht="15" customHeight="1" x14ac:dyDescent="0.25">
      <c r="B135" s="216" t="str">
        <f t="shared" si="15"/>
        <v>Desk 22</v>
      </c>
      <c r="C135" s="218" t="str">
        <v/>
      </c>
      <c r="D135" s="218" t="str">
        <v/>
      </c>
      <c r="E135" s="218" t="str">
        <v/>
      </c>
      <c r="F135" s="218" t="str">
        <v/>
      </c>
      <c r="G135" s="402" t="str">
        <v/>
      </c>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36"/>
      <c r="DX135" s="25"/>
      <c r="DY135" s="25"/>
      <c r="DZ135" s="25"/>
      <c r="EA135" s="25"/>
      <c r="EB135" s="25"/>
      <c r="EC135" s="25"/>
      <c r="ED135" s="25"/>
      <c r="EE135" s="25"/>
      <c r="EF135" s="25"/>
      <c r="EG135" s="25"/>
      <c r="EH135" s="25"/>
      <c r="EI135" s="25"/>
      <c r="EJ135" s="25"/>
      <c r="EK135" s="25"/>
      <c r="EL135" s="25"/>
      <c r="EM135" s="25"/>
      <c r="EN135" s="25"/>
      <c r="EO135" s="25"/>
      <c r="EP135" s="25"/>
      <c r="EQ135" s="25"/>
      <c r="ER135" s="36"/>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c r="IU135" s="25"/>
      <c r="IV135" s="25"/>
      <c r="IW135" s="25"/>
      <c r="IX135" s="25"/>
      <c r="IY135" s="25"/>
      <c r="IZ135" s="25"/>
      <c r="JA135" s="25"/>
      <c r="JB135" s="25"/>
      <c r="JC135" s="25"/>
      <c r="JD135" s="25"/>
      <c r="JE135" s="25"/>
      <c r="JF135" s="25"/>
      <c r="JG135" s="36"/>
      <c r="JH135" s="25"/>
      <c r="JI135" s="25"/>
      <c r="JJ135" s="25"/>
      <c r="JK135" s="25"/>
      <c r="JL135" s="25"/>
      <c r="JM135" s="25"/>
      <c r="JN135" s="25"/>
      <c r="JO135" s="25"/>
      <c r="JP135" s="25"/>
      <c r="JQ135" s="25"/>
      <c r="JR135" s="25"/>
      <c r="JS135" s="25"/>
      <c r="JT135" s="25"/>
      <c r="JU135" s="25"/>
      <c r="JV135" s="25"/>
      <c r="JW135" s="25"/>
      <c r="JX135" s="25"/>
      <c r="JY135" s="25"/>
      <c r="JZ135" s="25"/>
      <c r="KA135" s="25"/>
      <c r="KB135" s="36"/>
    </row>
    <row r="136" spans="2:288" ht="15" customHeight="1" x14ac:dyDescent="0.25">
      <c r="B136" s="216" t="str">
        <f t="shared" si="15"/>
        <v>Desk 23</v>
      </c>
      <c r="C136" s="218" t="str">
        <v/>
      </c>
      <c r="D136" s="218" t="str">
        <v/>
      </c>
      <c r="E136" s="218" t="str">
        <v/>
      </c>
      <c r="F136" s="218" t="str">
        <v/>
      </c>
      <c r="G136" s="402" t="str">
        <v/>
      </c>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36"/>
      <c r="DX136" s="25"/>
      <c r="DY136" s="25"/>
      <c r="DZ136" s="25"/>
      <c r="EA136" s="25"/>
      <c r="EB136" s="25"/>
      <c r="EC136" s="25"/>
      <c r="ED136" s="25"/>
      <c r="EE136" s="25"/>
      <c r="EF136" s="25"/>
      <c r="EG136" s="25"/>
      <c r="EH136" s="25"/>
      <c r="EI136" s="25"/>
      <c r="EJ136" s="25"/>
      <c r="EK136" s="25"/>
      <c r="EL136" s="25"/>
      <c r="EM136" s="25"/>
      <c r="EN136" s="25"/>
      <c r="EO136" s="25"/>
      <c r="EP136" s="25"/>
      <c r="EQ136" s="25"/>
      <c r="ER136" s="36"/>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36"/>
      <c r="JH136" s="25"/>
      <c r="JI136" s="25"/>
      <c r="JJ136" s="25"/>
      <c r="JK136" s="25"/>
      <c r="JL136" s="25"/>
      <c r="JM136" s="25"/>
      <c r="JN136" s="25"/>
      <c r="JO136" s="25"/>
      <c r="JP136" s="25"/>
      <c r="JQ136" s="25"/>
      <c r="JR136" s="25"/>
      <c r="JS136" s="25"/>
      <c r="JT136" s="25"/>
      <c r="JU136" s="25"/>
      <c r="JV136" s="25"/>
      <c r="JW136" s="25"/>
      <c r="JX136" s="25"/>
      <c r="JY136" s="25"/>
      <c r="JZ136" s="25"/>
      <c r="KA136" s="25"/>
      <c r="KB136" s="36"/>
    </row>
    <row r="137" spans="2:288" ht="15" customHeight="1" x14ac:dyDescent="0.25">
      <c r="B137" s="216" t="str">
        <f t="shared" si="15"/>
        <v>Desk 24</v>
      </c>
      <c r="C137" s="218" t="str">
        <v/>
      </c>
      <c r="D137" s="218" t="str">
        <v/>
      </c>
      <c r="E137" s="218" t="str">
        <v/>
      </c>
      <c r="F137" s="218" t="str">
        <v/>
      </c>
      <c r="G137" s="402" t="str">
        <v/>
      </c>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36"/>
      <c r="DX137" s="25"/>
      <c r="DY137" s="25"/>
      <c r="DZ137" s="25"/>
      <c r="EA137" s="25"/>
      <c r="EB137" s="25"/>
      <c r="EC137" s="25"/>
      <c r="ED137" s="25"/>
      <c r="EE137" s="25"/>
      <c r="EF137" s="25"/>
      <c r="EG137" s="25"/>
      <c r="EH137" s="25"/>
      <c r="EI137" s="25"/>
      <c r="EJ137" s="25"/>
      <c r="EK137" s="25"/>
      <c r="EL137" s="25"/>
      <c r="EM137" s="25"/>
      <c r="EN137" s="25"/>
      <c r="EO137" s="25"/>
      <c r="EP137" s="25"/>
      <c r="EQ137" s="25"/>
      <c r="ER137" s="36"/>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36"/>
      <c r="JH137" s="25"/>
      <c r="JI137" s="25"/>
      <c r="JJ137" s="25"/>
      <c r="JK137" s="25"/>
      <c r="JL137" s="25"/>
      <c r="JM137" s="25"/>
      <c r="JN137" s="25"/>
      <c r="JO137" s="25"/>
      <c r="JP137" s="25"/>
      <c r="JQ137" s="25"/>
      <c r="JR137" s="25"/>
      <c r="JS137" s="25"/>
      <c r="JT137" s="25"/>
      <c r="JU137" s="25"/>
      <c r="JV137" s="25"/>
      <c r="JW137" s="25"/>
      <c r="JX137" s="25"/>
      <c r="JY137" s="25"/>
      <c r="JZ137" s="25"/>
      <c r="KA137" s="25"/>
      <c r="KB137" s="36"/>
    </row>
    <row r="138" spans="2:288" ht="15" customHeight="1" x14ac:dyDescent="0.25">
      <c r="B138" s="216" t="str">
        <f t="shared" si="15"/>
        <v>Desk 25</v>
      </c>
      <c r="C138" s="218" t="str">
        <v/>
      </c>
      <c r="D138" s="218" t="str">
        <v/>
      </c>
      <c r="E138" s="218" t="str">
        <v/>
      </c>
      <c r="F138" s="218" t="str">
        <v/>
      </c>
      <c r="G138" s="402" t="str">
        <v/>
      </c>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36"/>
      <c r="DX138" s="25"/>
      <c r="DY138" s="25"/>
      <c r="DZ138" s="25"/>
      <c r="EA138" s="25"/>
      <c r="EB138" s="25"/>
      <c r="EC138" s="25"/>
      <c r="ED138" s="25"/>
      <c r="EE138" s="25"/>
      <c r="EF138" s="25"/>
      <c r="EG138" s="25"/>
      <c r="EH138" s="25"/>
      <c r="EI138" s="25"/>
      <c r="EJ138" s="25"/>
      <c r="EK138" s="25"/>
      <c r="EL138" s="25"/>
      <c r="EM138" s="25"/>
      <c r="EN138" s="25"/>
      <c r="EO138" s="25"/>
      <c r="EP138" s="25"/>
      <c r="EQ138" s="25"/>
      <c r="ER138" s="36"/>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36"/>
      <c r="JH138" s="25"/>
      <c r="JI138" s="25"/>
      <c r="JJ138" s="25"/>
      <c r="JK138" s="25"/>
      <c r="JL138" s="25"/>
      <c r="JM138" s="25"/>
      <c r="JN138" s="25"/>
      <c r="JO138" s="25"/>
      <c r="JP138" s="25"/>
      <c r="JQ138" s="25"/>
      <c r="JR138" s="25"/>
      <c r="JS138" s="25"/>
      <c r="JT138" s="25"/>
      <c r="JU138" s="25"/>
      <c r="JV138" s="25"/>
      <c r="JW138" s="25"/>
      <c r="JX138" s="25"/>
      <c r="JY138" s="25"/>
      <c r="JZ138" s="25"/>
      <c r="KA138" s="25"/>
      <c r="KB138" s="36"/>
    </row>
    <row r="139" spans="2:288" ht="15" customHeight="1" x14ac:dyDescent="0.25">
      <c r="B139" s="216" t="str">
        <f t="shared" si="15"/>
        <v>Desk 26</v>
      </c>
      <c r="C139" s="218" t="str">
        <v/>
      </c>
      <c r="D139" s="218" t="str">
        <v/>
      </c>
      <c r="E139" s="218" t="str">
        <v/>
      </c>
      <c r="F139" s="218" t="str">
        <v/>
      </c>
      <c r="G139" s="402" t="str">
        <v/>
      </c>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36"/>
      <c r="DX139" s="25"/>
      <c r="DY139" s="25"/>
      <c r="DZ139" s="25"/>
      <c r="EA139" s="25"/>
      <c r="EB139" s="25"/>
      <c r="EC139" s="25"/>
      <c r="ED139" s="25"/>
      <c r="EE139" s="25"/>
      <c r="EF139" s="25"/>
      <c r="EG139" s="25"/>
      <c r="EH139" s="25"/>
      <c r="EI139" s="25"/>
      <c r="EJ139" s="25"/>
      <c r="EK139" s="25"/>
      <c r="EL139" s="25"/>
      <c r="EM139" s="25"/>
      <c r="EN139" s="25"/>
      <c r="EO139" s="25"/>
      <c r="EP139" s="25"/>
      <c r="EQ139" s="25"/>
      <c r="ER139" s="36"/>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36"/>
      <c r="JH139" s="25"/>
      <c r="JI139" s="25"/>
      <c r="JJ139" s="25"/>
      <c r="JK139" s="25"/>
      <c r="JL139" s="25"/>
      <c r="JM139" s="25"/>
      <c r="JN139" s="25"/>
      <c r="JO139" s="25"/>
      <c r="JP139" s="25"/>
      <c r="JQ139" s="25"/>
      <c r="JR139" s="25"/>
      <c r="JS139" s="25"/>
      <c r="JT139" s="25"/>
      <c r="JU139" s="25"/>
      <c r="JV139" s="25"/>
      <c r="JW139" s="25"/>
      <c r="JX139" s="25"/>
      <c r="JY139" s="25"/>
      <c r="JZ139" s="25"/>
      <c r="KA139" s="25"/>
      <c r="KB139" s="36"/>
    </row>
    <row r="140" spans="2:288" ht="15" customHeight="1" x14ac:dyDescent="0.25">
      <c r="B140" s="216" t="str">
        <f t="shared" si="15"/>
        <v>Desk 27</v>
      </c>
      <c r="C140" s="218" t="str">
        <v/>
      </c>
      <c r="D140" s="218" t="str">
        <v/>
      </c>
      <c r="E140" s="218" t="str">
        <v/>
      </c>
      <c r="F140" s="218" t="str">
        <v/>
      </c>
      <c r="G140" s="402" t="str">
        <v/>
      </c>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36"/>
      <c r="DX140" s="25"/>
      <c r="DY140" s="25"/>
      <c r="DZ140" s="25"/>
      <c r="EA140" s="25"/>
      <c r="EB140" s="25"/>
      <c r="EC140" s="25"/>
      <c r="ED140" s="25"/>
      <c r="EE140" s="25"/>
      <c r="EF140" s="25"/>
      <c r="EG140" s="25"/>
      <c r="EH140" s="25"/>
      <c r="EI140" s="25"/>
      <c r="EJ140" s="25"/>
      <c r="EK140" s="25"/>
      <c r="EL140" s="25"/>
      <c r="EM140" s="25"/>
      <c r="EN140" s="25"/>
      <c r="EO140" s="25"/>
      <c r="EP140" s="25"/>
      <c r="EQ140" s="25"/>
      <c r="ER140" s="36"/>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36"/>
      <c r="JH140" s="25"/>
      <c r="JI140" s="25"/>
      <c r="JJ140" s="25"/>
      <c r="JK140" s="25"/>
      <c r="JL140" s="25"/>
      <c r="JM140" s="25"/>
      <c r="JN140" s="25"/>
      <c r="JO140" s="25"/>
      <c r="JP140" s="25"/>
      <c r="JQ140" s="25"/>
      <c r="JR140" s="25"/>
      <c r="JS140" s="25"/>
      <c r="JT140" s="25"/>
      <c r="JU140" s="25"/>
      <c r="JV140" s="25"/>
      <c r="JW140" s="25"/>
      <c r="JX140" s="25"/>
      <c r="JY140" s="25"/>
      <c r="JZ140" s="25"/>
      <c r="KA140" s="25"/>
      <c r="KB140" s="36"/>
    </row>
    <row r="141" spans="2:288" ht="15" customHeight="1" x14ac:dyDescent="0.25">
      <c r="B141" s="216" t="str">
        <f t="shared" si="15"/>
        <v>Desk 28</v>
      </c>
      <c r="C141" s="218" t="str">
        <v/>
      </c>
      <c r="D141" s="218" t="str">
        <v/>
      </c>
      <c r="E141" s="218" t="str">
        <v/>
      </c>
      <c r="F141" s="218" t="str">
        <v/>
      </c>
      <c r="G141" s="402" t="str">
        <v/>
      </c>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36"/>
      <c r="DX141" s="25"/>
      <c r="DY141" s="25"/>
      <c r="DZ141" s="25"/>
      <c r="EA141" s="25"/>
      <c r="EB141" s="25"/>
      <c r="EC141" s="25"/>
      <c r="ED141" s="25"/>
      <c r="EE141" s="25"/>
      <c r="EF141" s="25"/>
      <c r="EG141" s="25"/>
      <c r="EH141" s="25"/>
      <c r="EI141" s="25"/>
      <c r="EJ141" s="25"/>
      <c r="EK141" s="25"/>
      <c r="EL141" s="25"/>
      <c r="EM141" s="25"/>
      <c r="EN141" s="25"/>
      <c r="EO141" s="25"/>
      <c r="EP141" s="25"/>
      <c r="EQ141" s="25"/>
      <c r="ER141" s="36"/>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36"/>
      <c r="JH141" s="25"/>
      <c r="JI141" s="25"/>
      <c r="JJ141" s="25"/>
      <c r="JK141" s="25"/>
      <c r="JL141" s="25"/>
      <c r="JM141" s="25"/>
      <c r="JN141" s="25"/>
      <c r="JO141" s="25"/>
      <c r="JP141" s="25"/>
      <c r="JQ141" s="25"/>
      <c r="JR141" s="25"/>
      <c r="JS141" s="25"/>
      <c r="JT141" s="25"/>
      <c r="JU141" s="25"/>
      <c r="JV141" s="25"/>
      <c r="JW141" s="25"/>
      <c r="JX141" s="25"/>
      <c r="JY141" s="25"/>
      <c r="JZ141" s="25"/>
      <c r="KA141" s="25"/>
      <c r="KB141" s="36"/>
    </row>
    <row r="142" spans="2:288" ht="15" customHeight="1" x14ac:dyDescent="0.25">
      <c r="B142" s="216" t="str">
        <f t="shared" si="15"/>
        <v>Desk 29</v>
      </c>
      <c r="C142" s="218" t="str">
        <v/>
      </c>
      <c r="D142" s="218" t="str">
        <v/>
      </c>
      <c r="E142" s="218" t="str">
        <v/>
      </c>
      <c r="F142" s="218" t="str">
        <v/>
      </c>
      <c r="G142" s="402" t="str">
        <v/>
      </c>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36"/>
      <c r="DX142" s="25"/>
      <c r="DY142" s="25"/>
      <c r="DZ142" s="25"/>
      <c r="EA142" s="25"/>
      <c r="EB142" s="25"/>
      <c r="EC142" s="25"/>
      <c r="ED142" s="25"/>
      <c r="EE142" s="25"/>
      <c r="EF142" s="25"/>
      <c r="EG142" s="25"/>
      <c r="EH142" s="25"/>
      <c r="EI142" s="25"/>
      <c r="EJ142" s="25"/>
      <c r="EK142" s="25"/>
      <c r="EL142" s="25"/>
      <c r="EM142" s="25"/>
      <c r="EN142" s="25"/>
      <c r="EO142" s="25"/>
      <c r="EP142" s="25"/>
      <c r="EQ142" s="25"/>
      <c r="ER142" s="36"/>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36"/>
      <c r="JH142" s="25"/>
      <c r="JI142" s="25"/>
      <c r="JJ142" s="25"/>
      <c r="JK142" s="25"/>
      <c r="JL142" s="25"/>
      <c r="JM142" s="25"/>
      <c r="JN142" s="25"/>
      <c r="JO142" s="25"/>
      <c r="JP142" s="25"/>
      <c r="JQ142" s="25"/>
      <c r="JR142" s="25"/>
      <c r="JS142" s="25"/>
      <c r="JT142" s="25"/>
      <c r="JU142" s="25"/>
      <c r="JV142" s="25"/>
      <c r="JW142" s="25"/>
      <c r="JX142" s="25"/>
      <c r="JY142" s="25"/>
      <c r="JZ142" s="25"/>
      <c r="KA142" s="25"/>
      <c r="KB142" s="36"/>
    </row>
    <row r="143" spans="2:288" ht="15" customHeight="1" x14ac:dyDescent="0.25">
      <c r="B143" s="216" t="str">
        <f t="shared" si="15"/>
        <v>Desk 30</v>
      </c>
      <c r="C143" s="218" t="str">
        <v/>
      </c>
      <c r="D143" s="218" t="str">
        <v/>
      </c>
      <c r="E143" s="218" t="str">
        <v/>
      </c>
      <c r="F143" s="218" t="str">
        <v/>
      </c>
      <c r="G143" s="402" t="str">
        <v/>
      </c>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36"/>
      <c r="DX143" s="25"/>
      <c r="DY143" s="25"/>
      <c r="DZ143" s="25"/>
      <c r="EA143" s="25"/>
      <c r="EB143" s="25"/>
      <c r="EC143" s="25"/>
      <c r="ED143" s="25"/>
      <c r="EE143" s="25"/>
      <c r="EF143" s="25"/>
      <c r="EG143" s="25"/>
      <c r="EH143" s="25"/>
      <c r="EI143" s="25"/>
      <c r="EJ143" s="25"/>
      <c r="EK143" s="25"/>
      <c r="EL143" s="25"/>
      <c r="EM143" s="25"/>
      <c r="EN143" s="25"/>
      <c r="EO143" s="25"/>
      <c r="EP143" s="25"/>
      <c r="EQ143" s="25"/>
      <c r="ER143" s="36"/>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36"/>
      <c r="JH143" s="25"/>
      <c r="JI143" s="25"/>
      <c r="JJ143" s="25"/>
      <c r="JK143" s="25"/>
      <c r="JL143" s="25"/>
      <c r="JM143" s="25"/>
      <c r="JN143" s="25"/>
      <c r="JO143" s="25"/>
      <c r="JP143" s="25"/>
      <c r="JQ143" s="25"/>
      <c r="JR143" s="25"/>
      <c r="JS143" s="25"/>
      <c r="JT143" s="25"/>
      <c r="JU143" s="25"/>
      <c r="JV143" s="25"/>
      <c r="JW143" s="25"/>
      <c r="JX143" s="25"/>
      <c r="JY143" s="25"/>
      <c r="JZ143" s="25"/>
      <c r="KA143" s="25"/>
      <c r="KB143" s="36"/>
    </row>
    <row r="144" spans="2:288" ht="15" customHeight="1" x14ac:dyDescent="0.25">
      <c r="B144" s="216" t="str">
        <f t="shared" si="15"/>
        <v>Desk 31</v>
      </c>
      <c r="C144" s="218" t="str">
        <v/>
      </c>
      <c r="D144" s="218" t="str">
        <v/>
      </c>
      <c r="E144" s="218" t="str">
        <v/>
      </c>
      <c r="F144" s="218" t="str">
        <v/>
      </c>
      <c r="G144" s="402" t="str">
        <v/>
      </c>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36"/>
      <c r="DX144" s="25"/>
      <c r="DY144" s="25"/>
      <c r="DZ144" s="25"/>
      <c r="EA144" s="25"/>
      <c r="EB144" s="25"/>
      <c r="EC144" s="25"/>
      <c r="ED144" s="25"/>
      <c r="EE144" s="25"/>
      <c r="EF144" s="25"/>
      <c r="EG144" s="25"/>
      <c r="EH144" s="25"/>
      <c r="EI144" s="25"/>
      <c r="EJ144" s="25"/>
      <c r="EK144" s="25"/>
      <c r="EL144" s="25"/>
      <c r="EM144" s="25"/>
      <c r="EN144" s="25"/>
      <c r="EO144" s="25"/>
      <c r="EP144" s="25"/>
      <c r="EQ144" s="25"/>
      <c r="ER144" s="36"/>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36"/>
      <c r="JH144" s="25"/>
      <c r="JI144" s="25"/>
      <c r="JJ144" s="25"/>
      <c r="JK144" s="25"/>
      <c r="JL144" s="25"/>
      <c r="JM144" s="25"/>
      <c r="JN144" s="25"/>
      <c r="JO144" s="25"/>
      <c r="JP144" s="25"/>
      <c r="JQ144" s="25"/>
      <c r="JR144" s="25"/>
      <c r="JS144" s="25"/>
      <c r="JT144" s="25"/>
      <c r="JU144" s="25"/>
      <c r="JV144" s="25"/>
      <c r="JW144" s="25"/>
      <c r="JX144" s="25"/>
      <c r="JY144" s="25"/>
      <c r="JZ144" s="25"/>
      <c r="KA144" s="25"/>
      <c r="KB144" s="36"/>
    </row>
    <row r="145" spans="2:288" ht="15" customHeight="1" x14ac:dyDescent="0.25">
      <c r="B145" s="216" t="str">
        <f t="shared" si="15"/>
        <v>Desk 32</v>
      </c>
      <c r="C145" s="218" t="str">
        <v/>
      </c>
      <c r="D145" s="218" t="str">
        <v/>
      </c>
      <c r="E145" s="218" t="str">
        <v/>
      </c>
      <c r="F145" s="218" t="str">
        <v/>
      </c>
      <c r="G145" s="402" t="str">
        <v/>
      </c>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36"/>
      <c r="DX145" s="25"/>
      <c r="DY145" s="25"/>
      <c r="DZ145" s="25"/>
      <c r="EA145" s="25"/>
      <c r="EB145" s="25"/>
      <c r="EC145" s="25"/>
      <c r="ED145" s="25"/>
      <c r="EE145" s="25"/>
      <c r="EF145" s="25"/>
      <c r="EG145" s="25"/>
      <c r="EH145" s="25"/>
      <c r="EI145" s="25"/>
      <c r="EJ145" s="25"/>
      <c r="EK145" s="25"/>
      <c r="EL145" s="25"/>
      <c r="EM145" s="25"/>
      <c r="EN145" s="25"/>
      <c r="EO145" s="25"/>
      <c r="EP145" s="25"/>
      <c r="EQ145" s="25"/>
      <c r="ER145" s="36"/>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36"/>
      <c r="JH145" s="25"/>
      <c r="JI145" s="25"/>
      <c r="JJ145" s="25"/>
      <c r="JK145" s="25"/>
      <c r="JL145" s="25"/>
      <c r="JM145" s="25"/>
      <c r="JN145" s="25"/>
      <c r="JO145" s="25"/>
      <c r="JP145" s="25"/>
      <c r="JQ145" s="25"/>
      <c r="JR145" s="25"/>
      <c r="JS145" s="25"/>
      <c r="JT145" s="25"/>
      <c r="JU145" s="25"/>
      <c r="JV145" s="25"/>
      <c r="JW145" s="25"/>
      <c r="JX145" s="25"/>
      <c r="JY145" s="25"/>
      <c r="JZ145" s="25"/>
      <c r="KA145" s="25"/>
      <c r="KB145" s="36"/>
    </row>
    <row r="146" spans="2:288" ht="15" customHeight="1" x14ac:dyDescent="0.25">
      <c r="B146" s="216" t="str">
        <f t="shared" si="15"/>
        <v>Desk 33</v>
      </c>
      <c r="C146" s="218" t="str">
        <v/>
      </c>
      <c r="D146" s="218" t="str">
        <v/>
      </c>
      <c r="E146" s="218" t="str">
        <v/>
      </c>
      <c r="F146" s="218" t="str">
        <v/>
      </c>
      <c r="G146" s="402" t="str">
        <v/>
      </c>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36"/>
      <c r="DX146" s="25"/>
      <c r="DY146" s="25"/>
      <c r="DZ146" s="25"/>
      <c r="EA146" s="25"/>
      <c r="EB146" s="25"/>
      <c r="EC146" s="25"/>
      <c r="ED146" s="25"/>
      <c r="EE146" s="25"/>
      <c r="EF146" s="25"/>
      <c r="EG146" s="25"/>
      <c r="EH146" s="25"/>
      <c r="EI146" s="25"/>
      <c r="EJ146" s="25"/>
      <c r="EK146" s="25"/>
      <c r="EL146" s="25"/>
      <c r="EM146" s="25"/>
      <c r="EN146" s="25"/>
      <c r="EO146" s="25"/>
      <c r="EP146" s="25"/>
      <c r="EQ146" s="25"/>
      <c r="ER146" s="36"/>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36"/>
      <c r="JH146" s="25"/>
      <c r="JI146" s="25"/>
      <c r="JJ146" s="25"/>
      <c r="JK146" s="25"/>
      <c r="JL146" s="25"/>
      <c r="JM146" s="25"/>
      <c r="JN146" s="25"/>
      <c r="JO146" s="25"/>
      <c r="JP146" s="25"/>
      <c r="JQ146" s="25"/>
      <c r="JR146" s="25"/>
      <c r="JS146" s="25"/>
      <c r="JT146" s="25"/>
      <c r="JU146" s="25"/>
      <c r="JV146" s="25"/>
      <c r="JW146" s="25"/>
      <c r="JX146" s="25"/>
      <c r="JY146" s="25"/>
      <c r="JZ146" s="25"/>
      <c r="KA146" s="25"/>
      <c r="KB146" s="36"/>
    </row>
    <row r="147" spans="2:288" ht="15" customHeight="1" x14ac:dyDescent="0.25">
      <c r="B147" s="216" t="str">
        <f t="shared" si="15"/>
        <v>Desk 34</v>
      </c>
      <c r="C147" s="218" t="str">
        <v/>
      </c>
      <c r="D147" s="218" t="str">
        <v/>
      </c>
      <c r="E147" s="218" t="str">
        <v/>
      </c>
      <c r="F147" s="218" t="str">
        <v/>
      </c>
      <c r="G147" s="402" t="str">
        <v/>
      </c>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36"/>
      <c r="DX147" s="25"/>
      <c r="DY147" s="25"/>
      <c r="DZ147" s="25"/>
      <c r="EA147" s="25"/>
      <c r="EB147" s="25"/>
      <c r="EC147" s="25"/>
      <c r="ED147" s="25"/>
      <c r="EE147" s="25"/>
      <c r="EF147" s="25"/>
      <c r="EG147" s="25"/>
      <c r="EH147" s="25"/>
      <c r="EI147" s="25"/>
      <c r="EJ147" s="25"/>
      <c r="EK147" s="25"/>
      <c r="EL147" s="25"/>
      <c r="EM147" s="25"/>
      <c r="EN147" s="25"/>
      <c r="EO147" s="25"/>
      <c r="EP147" s="25"/>
      <c r="EQ147" s="25"/>
      <c r="ER147" s="36"/>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36"/>
      <c r="JH147" s="25"/>
      <c r="JI147" s="25"/>
      <c r="JJ147" s="25"/>
      <c r="JK147" s="25"/>
      <c r="JL147" s="25"/>
      <c r="JM147" s="25"/>
      <c r="JN147" s="25"/>
      <c r="JO147" s="25"/>
      <c r="JP147" s="25"/>
      <c r="JQ147" s="25"/>
      <c r="JR147" s="25"/>
      <c r="JS147" s="25"/>
      <c r="JT147" s="25"/>
      <c r="JU147" s="25"/>
      <c r="JV147" s="25"/>
      <c r="JW147" s="25"/>
      <c r="JX147" s="25"/>
      <c r="JY147" s="25"/>
      <c r="JZ147" s="25"/>
      <c r="KA147" s="25"/>
      <c r="KB147" s="36"/>
    </row>
    <row r="148" spans="2:288" ht="15" customHeight="1" x14ac:dyDescent="0.25">
      <c r="B148" s="216" t="str">
        <f t="shared" si="15"/>
        <v>Desk 35</v>
      </c>
      <c r="C148" s="218" t="str">
        <v/>
      </c>
      <c r="D148" s="218" t="str">
        <v/>
      </c>
      <c r="E148" s="218" t="str">
        <v/>
      </c>
      <c r="F148" s="218" t="str">
        <v/>
      </c>
      <c r="G148" s="402" t="str">
        <v/>
      </c>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36"/>
      <c r="DX148" s="25"/>
      <c r="DY148" s="25"/>
      <c r="DZ148" s="25"/>
      <c r="EA148" s="25"/>
      <c r="EB148" s="25"/>
      <c r="EC148" s="25"/>
      <c r="ED148" s="25"/>
      <c r="EE148" s="25"/>
      <c r="EF148" s="25"/>
      <c r="EG148" s="25"/>
      <c r="EH148" s="25"/>
      <c r="EI148" s="25"/>
      <c r="EJ148" s="25"/>
      <c r="EK148" s="25"/>
      <c r="EL148" s="25"/>
      <c r="EM148" s="25"/>
      <c r="EN148" s="25"/>
      <c r="EO148" s="25"/>
      <c r="EP148" s="25"/>
      <c r="EQ148" s="25"/>
      <c r="ER148" s="36"/>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36"/>
      <c r="JH148" s="25"/>
      <c r="JI148" s="25"/>
      <c r="JJ148" s="25"/>
      <c r="JK148" s="25"/>
      <c r="JL148" s="25"/>
      <c r="JM148" s="25"/>
      <c r="JN148" s="25"/>
      <c r="JO148" s="25"/>
      <c r="JP148" s="25"/>
      <c r="JQ148" s="25"/>
      <c r="JR148" s="25"/>
      <c r="JS148" s="25"/>
      <c r="JT148" s="25"/>
      <c r="JU148" s="25"/>
      <c r="JV148" s="25"/>
      <c r="JW148" s="25"/>
      <c r="JX148" s="25"/>
      <c r="JY148" s="25"/>
      <c r="JZ148" s="25"/>
      <c r="KA148" s="25"/>
      <c r="KB148" s="36"/>
    </row>
    <row r="149" spans="2:288" ht="15" customHeight="1" x14ac:dyDescent="0.25">
      <c r="B149" s="216" t="str">
        <f t="shared" si="15"/>
        <v>Desk 36</v>
      </c>
      <c r="C149" s="218" t="str">
        <v/>
      </c>
      <c r="D149" s="218" t="str">
        <v/>
      </c>
      <c r="E149" s="218" t="str">
        <v/>
      </c>
      <c r="F149" s="218" t="str">
        <v/>
      </c>
      <c r="G149" s="402" t="str">
        <v/>
      </c>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36"/>
      <c r="DX149" s="25"/>
      <c r="DY149" s="25"/>
      <c r="DZ149" s="25"/>
      <c r="EA149" s="25"/>
      <c r="EB149" s="25"/>
      <c r="EC149" s="25"/>
      <c r="ED149" s="25"/>
      <c r="EE149" s="25"/>
      <c r="EF149" s="25"/>
      <c r="EG149" s="25"/>
      <c r="EH149" s="25"/>
      <c r="EI149" s="25"/>
      <c r="EJ149" s="25"/>
      <c r="EK149" s="25"/>
      <c r="EL149" s="25"/>
      <c r="EM149" s="25"/>
      <c r="EN149" s="25"/>
      <c r="EO149" s="25"/>
      <c r="EP149" s="25"/>
      <c r="EQ149" s="25"/>
      <c r="ER149" s="36"/>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36"/>
      <c r="JH149" s="25"/>
      <c r="JI149" s="25"/>
      <c r="JJ149" s="25"/>
      <c r="JK149" s="25"/>
      <c r="JL149" s="25"/>
      <c r="JM149" s="25"/>
      <c r="JN149" s="25"/>
      <c r="JO149" s="25"/>
      <c r="JP149" s="25"/>
      <c r="JQ149" s="25"/>
      <c r="JR149" s="25"/>
      <c r="JS149" s="25"/>
      <c r="JT149" s="25"/>
      <c r="JU149" s="25"/>
      <c r="JV149" s="25"/>
      <c r="JW149" s="25"/>
      <c r="JX149" s="25"/>
      <c r="JY149" s="25"/>
      <c r="JZ149" s="25"/>
      <c r="KA149" s="25"/>
      <c r="KB149" s="36"/>
    </row>
    <row r="150" spans="2:288" ht="15" customHeight="1" x14ac:dyDescent="0.25">
      <c r="B150" s="216" t="str">
        <f t="shared" si="15"/>
        <v>Desk 37</v>
      </c>
      <c r="C150" s="218" t="str">
        <v/>
      </c>
      <c r="D150" s="218" t="str">
        <v/>
      </c>
      <c r="E150" s="218" t="str">
        <v/>
      </c>
      <c r="F150" s="218" t="str">
        <v/>
      </c>
      <c r="G150" s="402" t="str">
        <v/>
      </c>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36"/>
      <c r="DX150" s="25"/>
      <c r="DY150" s="25"/>
      <c r="DZ150" s="25"/>
      <c r="EA150" s="25"/>
      <c r="EB150" s="25"/>
      <c r="EC150" s="25"/>
      <c r="ED150" s="25"/>
      <c r="EE150" s="25"/>
      <c r="EF150" s="25"/>
      <c r="EG150" s="25"/>
      <c r="EH150" s="25"/>
      <c r="EI150" s="25"/>
      <c r="EJ150" s="25"/>
      <c r="EK150" s="25"/>
      <c r="EL150" s="25"/>
      <c r="EM150" s="25"/>
      <c r="EN150" s="25"/>
      <c r="EO150" s="25"/>
      <c r="EP150" s="25"/>
      <c r="EQ150" s="25"/>
      <c r="ER150" s="36"/>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36"/>
      <c r="JH150" s="25"/>
      <c r="JI150" s="25"/>
      <c r="JJ150" s="25"/>
      <c r="JK150" s="25"/>
      <c r="JL150" s="25"/>
      <c r="JM150" s="25"/>
      <c r="JN150" s="25"/>
      <c r="JO150" s="25"/>
      <c r="JP150" s="25"/>
      <c r="JQ150" s="25"/>
      <c r="JR150" s="25"/>
      <c r="JS150" s="25"/>
      <c r="JT150" s="25"/>
      <c r="JU150" s="25"/>
      <c r="JV150" s="25"/>
      <c r="JW150" s="25"/>
      <c r="JX150" s="25"/>
      <c r="JY150" s="25"/>
      <c r="JZ150" s="25"/>
      <c r="KA150" s="25"/>
      <c r="KB150" s="36"/>
    </row>
    <row r="151" spans="2:288" ht="15" customHeight="1" x14ac:dyDescent="0.25">
      <c r="B151" s="216" t="str">
        <f t="shared" si="15"/>
        <v>Desk 38</v>
      </c>
      <c r="C151" s="218" t="str">
        <v/>
      </c>
      <c r="D151" s="218" t="str">
        <v/>
      </c>
      <c r="E151" s="218" t="str">
        <v/>
      </c>
      <c r="F151" s="218" t="str">
        <v/>
      </c>
      <c r="G151" s="402" t="str">
        <v/>
      </c>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36"/>
      <c r="DX151" s="25"/>
      <c r="DY151" s="25"/>
      <c r="DZ151" s="25"/>
      <c r="EA151" s="25"/>
      <c r="EB151" s="25"/>
      <c r="EC151" s="25"/>
      <c r="ED151" s="25"/>
      <c r="EE151" s="25"/>
      <c r="EF151" s="25"/>
      <c r="EG151" s="25"/>
      <c r="EH151" s="25"/>
      <c r="EI151" s="25"/>
      <c r="EJ151" s="25"/>
      <c r="EK151" s="25"/>
      <c r="EL151" s="25"/>
      <c r="EM151" s="25"/>
      <c r="EN151" s="25"/>
      <c r="EO151" s="25"/>
      <c r="EP151" s="25"/>
      <c r="EQ151" s="25"/>
      <c r="ER151" s="36"/>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36"/>
      <c r="JH151" s="25"/>
      <c r="JI151" s="25"/>
      <c r="JJ151" s="25"/>
      <c r="JK151" s="25"/>
      <c r="JL151" s="25"/>
      <c r="JM151" s="25"/>
      <c r="JN151" s="25"/>
      <c r="JO151" s="25"/>
      <c r="JP151" s="25"/>
      <c r="JQ151" s="25"/>
      <c r="JR151" s="25"/>
      <c r="JS151" s="25"/>
      <c r="JT151" s="25"/>
      <c r="JU151" s="25"/>
      <c r="JV151" s="25"/>
      <c r="JW151" s="25"/>
      <c r="JX151" s="25"/>
      <c r="JY151" s="25"/>
      <c r="JZ151" s="25"/>
      <c r="KA151" s="25"/>
      <c r="KB151" s="36"/>
    </row>
    <row r="152" spans="2:288" ht="15" customHeight="1" x14ac:dyDescent="0.25">
      <c r="B152" s="216" t="str">
        <f t="shared" si="15"/>
        <v>Desk 39</v>
      </c>
      <c r="C152" s="218" t="str">
        <v/>
      </c>
      <c r="D152" s="218" t="str">
        <v/>
      </c>
      <c r="E152" s="218" t="str">
        <v/>
      </c>
      <c r="F152" s="218" t="str">
        <v/>
      </c>
      <c r="G152" s="402" t="str">
        <v/>
      </c>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36"/>
      <c r="DX152" s="25"/>
      <c r="DY152" s="25"/>
      <c r="DZ152" s="25"/>
      <c r="EA152" s="25"/>
      <c r="EB152" s="25"/>
      <c r="EC152" s="25"/>
      <c r="ED152" s="25"/>
      <c r="EE152" s="25"/>
      <c r="EF152" s="25"/>
      <c r="EG152" s="25"/>
      <c r="EH152" s="25"/>
      <c r="EI152" s="25"/>
      <c r="EJ152" s="25"/>
      <c r="EK152" s="25"/>
      <c r="EL152" s="25"/>
      <c r="EM152" s="25"/>
      <c r="EN152" s="25"/>
      <c r="EO152" s="25"/>
      <c r="EP152" s="25"/>
      <c r="EQ152" s="25"/>
      <c r="ER152" s="36"/>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36"/>
      <c r="JH152" s="25"/>
      <c r="JI152" s="25"/>
      <c r="JJ152" s="25"/>
      <c r="JK152" s="25"/>
      <c r="JL152" s="25"/>
      <c r="JM152" s="25"/>
      <c r="JN152" s="25"/>
      <c r="JO152" s="25"/>
      <c r="JP152" s="25"/>
      <c r="JQ152" s="25"/>
      <c r="JR152" s="25"/>
      <c r="JS152" s="25"/>
      <c r="JT152" s="25"/>
      <c r="JU152" s="25"/>
      <c r="JV152" s="25"/>
      <c r="JW152" s="25"/>
      <c r="JX152" s="25"/>
      <c r="JY152" s="25"/>
      <c r="JZ152" s="25"/>
      <c r="KA152" s="25"/>
      <c r="KB152" s="36"/>
    </row>
    <row r="153" spans="2:288" ht="15" customHeight="1" x14ac:dyDescent="0.25">
      <c r="B153" s="216" t="str">
        <f t="shared" si="15"/>
        <v>Desk 40</v>
      </c>
      <c r="C153" s="218" t="str">
        <v/>
      </c>
      <c r="D153" s="218" t="str">
        <v/>
      </c>
      <c r="E153" s="218" t="str">
        <v/>
      </c>
      <c r="F153" s="218" t="str">
        <v/>
      </c>
      <c r="G153" s="402" t="str">
        <v/>
      </c>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36"/>
      <c r="DX153" s="25"/>
      <c r="DY153" s="25"/>
      <c r="DZ153" s="25"/>
      <c r="EA153" s="25"/>
      <c r="EB153" s="25"/>
      <c r="EC153" s="25"/>
      <c r="ED153" s="25"/>
      <c r="EE153" s="25"/>
      <c r="EF153" s="25"/>
      <c r="EG153" s="25"/>
      <c r="EH153" s="25"/>
      <c r="EI153" s="25"/>
      <c r="EJ153" s="25"/>
      <c r="EK153" s="25"/>
      <c r="EL153" s="25"/>
      <c r="EM153" s="25"/>
      <c r="EN153" s="25"/>
      <c r="EO153" s="25"/>
      <c r="EP153" s="25"/>
      <c r="EQ153" s="25"/>
      <c r="ER153" s="36"/>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36"/>
      <c r="JH153" s="25"/>
      <c r="JI153" s="25"/>
      <c r="JJ153" s="25"/>
      <c r="JK153" s="25"/>
      <c r="JL153" s="25"/>
      <c r="JM153" s="25"/>
      <c r="JN153" s="25"/>
      <c r="JO153" s="25"/>
      <c r="JP153" s="25"/>
      <c r="JQ153" s="25"/>
      <c r="JR153" s="25"/>
      <c r="JS153" s="25"/>
      <c r="JT153" s="25"/>
      <c r="JU153" s="25"/>
      <c r="JV153" s="25"/>
      <c r="JW153" s="25"/>
      <c r="JX153" s="25"/>
      <c r="JY153" s="25"/>
      <c r="JZ153" s="25"/>
      <c r="KA153" s="25"/>
      <c r="KB153" s="36"/>
    </row>
    <row r="154" spans="2:288" ht="15" customHeight="1" x14ac:dyDescent="0.25">
      <c r="B154" s="216" t="str">
        <f t="shared" si="15"/>
        <v>Desk 41</v>
      </c>
      <c r="C154" s="218" t="str">
        <v/>
      </c>
      <c r="D154" s="218" t="str">
        <v/>
      </c>
      <c r="E154" s="218" t="str">
        <v/>
      </c>
      <c r="F154" s="218" t="str">
        <v/>
      </c>
      <c r="G154" s="402" t="str">
        <v/>
      </c>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36"/>
      <c r="DX154" s="25"/>
      <c r="DY154" s="25"/>
      <c r="DZ154" s="25"/>
      <c r="EA154" s="25"/>
      <c r="EB154" s="25"/>
      <c r="EC154" s="25"/>
      <c r="ED154" s="25"/>
      <c r="EE154" s="25"/>
      <c r="EF154" s="25"/>
      <c r="EG154" s="25"/>
      <c r="EH154" s="25"/>
      <c r="EI154" s="25"/>
      <c r="EJ154" s="25"/>
      <c r="EK154" s="25"/>
      <c r="EL154" s="25"/>
      <c r="EM154" s="25"/>
      <c r="EN154" s="25"/>
      <c r="EO154" s="25"/>
      <c r="EP154" s="25"/>
      <c r="EQ154" s="25"/>
      <c r="ER154" s="36"/>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36"/>
      <c r="JH154" s="25"/>
      <c r="JI154" s="25"/>
      <c r="JJ154" s="25"/>
      <c r="JK154" s="25"/>
      <c r="JL154" s="25"/>
      <c r="JM154" s="25"/>
      <c r="JN154" s="25"/>
      <c r="JO154" s="25"/>
      <c r="JP154" s="25"/>
      <c r="JQ154" s="25"/>
      <c r="JR154" s="25"/>
      <c r="JS154" s="25"/>
      <c r="JT154" s="25"/>
      <c r="JU154" s="25"/>
      <c r="JV154" s="25"/>
      <c r="JW154" s="25"/>
      <c r="JX154" s="25"/>
      <c r="JY154" s="25"/>
      <c r="JZ154" s="25"/>
      <c r="KA154" s="25"/>
      <c r="KB154" s="36"/>
    </row>
    <row r="155" spans="2:288" ht="15" customHeight="1" x14ac:dyDescent="0.25">
      <c r="B155" s="216" t="str">
        <f t="shared" si="15"/>
        <v>Desk 42</v>
      </c>
      <c r="C155" s="218" t="str">
        <v/>
      </c>
      <c r="D155" s="218" t="str">
        <v/>
      </c>
      <c r="E155" s="218" t="str">
        <v/>
      </c>
      <c r="F155" s="218" t="str">
        <v/>
      </c>
      <c r="G155" s="402" t="str">
        <v/>
      </c>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36"/>
      <c r="DX155" s="25"/>
      <c r="DY155" s="25"/>
      <c r="DZ155" s="25"/>
      <c r="EA155" s="25"/>
      <c r="EB155" s="25"/>
      <c r="EC155" s="25"/>
      <c r="ED155" s="25"/>
      <c r="EE155" s="25"/>
      <c r="EF155" s="25"/>
      <c r="EG155" s="25"/>
      <c r="EH155" s="25"/>
      <c r="EI155" s="25"/>
      <c r="EJ155" s="25"/>
      <c r="EK155" s="25"/>
      <c r="EL155" s="25"/>
      <c r="EM155" s="25"/>
      <c r="EN155" s="25"/>
      <c r="EO155" s="25"/>
      <c r="EP155" s="25"/>
      <c r="EQ155" s="25"/>
      <c r="ER155" s="36"/>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36"/>
      <c r="JH155" s="25"/>
      <c r="JI155" s="25"/>
      <c r="JJ155" s="25"/>
      <c r="JK155" s="25"/>
      <c r="JL155" s="25"/>
      <c r="JM155" s="25"/>
      <c r="JN155" s="25"/>
      <c r="JO155" s="25"/>
      <c r="JP155" s="25"/>
      <c r="JQ155" s="25"/>
      <c r="JR155" s="25"/>
      <c r="JS155" s="25"/>
      <c r="JT155" s="25"/>
      <c r="JU155" s="25"/>
      <c r="JV155" s="25"/>
      <c r="JW155" s="25"/>
      <c r="JX155" s="25"/>
      <c r="JY155" s="25"/>
      <c r="JZ155" s="25"/>
      <c r="KA155" s="25"/>
      <c r="KB155" s="36"/>
    </row>
    <row r="156" spans="2:288" ht="15" customHeight="1" x14ac:dyDescent="0.25">
      <c r="B156" s="216" t="str">
        <f t="shared" si="15"/>
        <v>Desk 43</v>
      </c>
      <c r="C156" s="218" t="str">
        <v/>
      </c>
      <c r="D156" s="218" t="str">
        <v/>
      </c>
      <c r="E156" s="218" t="str">
        <v/>
      </c>
      <c r="F156" s="218" t="str">
        <v/>
      </c>
      <c r="G156" s="402" t="str">
        <v/>
      </c>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36"/>
      <c r="DX156" s="25"/>
      <c r="DY156" s="25"/>
      <c r="DZ156" s="25"/>
      <c r="EA156" s="25"/>
      <c r="EB156" s="25"/>
      <c r="EC156" s="25"/>
      <c r="ED156" s="25"/>
      <c r="EE156" s="25"/>
      <c r="EF156" s="25"/>
      <c r="EG156" s="25"/>
      <c r="EH156" s="25"/>
      <c r="EI156" s="25"/>
      <c r="EJ156" s="25"/>
      <c r="EK156" s="25"/>
      <c r="EL156" s="25"/>
      <c r="EM156" s="25"/>
      <c r="EN156" s="25"/>
      <c r="EO156" s="25"/>
      <c r="EP156" s="25"/>
      <c r="EQ156" s="25"/>
      <c r="ER156" s="36"/>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36"/>
      <c r="JH156" s="25"/>
      <c r="JI156" s="25"/>
      <c r="JJ156" s="25"/>
      <c r="JK156" s="25"/>
      <c r="JL156" s="25"/>
      <c r="JM156" s="25"/>
      <c r="JN156" s="25"/>
      <c r="JO156" s="25"/>
      <c r="JP156" s="25"/>
      <c r="JQ156" s="25"/>
      <c r="JR156" s="25"/>
      <c r="JS156" s="25"/>
      <c r="JT156" s="25"/>
      <c r="JU156" s="25"/>
      <c r="JV156" s="25"/>
      <c r="JW156" s="25"/>
      <c r="JX156" s="25"/>
      <c r="JY156" s="25"/>
      <c r="JZ156" s="25"/>
      <c r="KA156" s="25"/>
      <c r="KB156" s="36"/>
    </row>
    <row r="157" spans="2:288" ht="15" customHeight="1" x14ac:dyDescent="0.25">
      <c r="B157" s="216" t="str">
        <f t="shared" si="15"/>
        <v>Desk 44</v>
      </c>
      <c r="C157" s="218" t="str">
        <v/>
      </c>
      <c r="D157" s="218" t="str">
        <v/>
      </c>
      <c r="E157" s="218" t="str">
        <v/>
      </c>
      <c r="F157" s="218" t="str">
        <v/>
      </c>
      <c r="G157" s="402" t="str">
        <v/>
      </c>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36"/>
      <c r="DX157" s="25"/>
      <c r="DY157" s="25"/>
      <c r="DZ157" s="25"/>
      <c r="EA157" s="25"/>
      <c r="EB157" s="25"/>
      <c r="EC157" s="25"/>
      <c r="ED157" s="25"/>
      <c r="EE157" s="25"/>
      <c r="EF157" s="25"/>
      <c r="EG157" s="25"/>
      <c r="EH157" s="25"/>
      <c r="EI157" s="25"/>
      <c r="EJ157" s="25"/>
      <c r="EK157" s="25"/>
      <c r="EL157" s="25"/>
      <c r="EM157" s="25"/>
      <c r="EN157" s="25"/>
      <c r="EO157" s="25"/>
      <c r="EP157" s="25"/>
      <c r="EQ157" s="25"/>
      <c r="ER157" s="36"/>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36"/>
      <c r="JH157" s="25"/>
      <c r="JI157" s="25"/>
      <c r="JJ157" s="25"/>
      <c r="JK157" s="25"/>
      <c r="JL157" s="25"/>
      <c r="JM157" s="25"/>
      <c r="JN157" s="25"/>
      <c r="JO157" s="25"/>
      <c r="JP157" s="25"/>
      <c r="JQ157" s="25"/>
      <c r="JR157" s="25"/>
      <c r="JS157" s="25"/>
      <c r="JT157" s="25"/>
      <c r="JU157" s="25"/>
      <c r="JV157" s="25"/>
      <c r="JW157" s="25"/>
      <c r="JX157" s="25"/>
      <c r="JY157" s="25"/>
      <c r="JZ157" s="25"/>
      <c r="KA157" s="25"/>
      <c r="KB157" s="36"/>
    </row>
    <row r="158" spans="2:288" ht="15" customHeight="1" x14ac:dyDescent="0.25">
      <c r="B158" s="216" t="str">
        <f t="shared" si="15"/>
        <v>Desk 45</v>
      </c>
      <c r="C158" s="218" t="str">
        <v/>
      </c>
      <c r="D158" s="218" t="str">
        <v/>
      </c>
      <c r="E158" s="218" t="str">
        <v/>
      </c>
      <c r="F158" s="218" t="str">
        <v/>
      </c>
      <c r="G158" s="402" t="str">
        <v/>
      </c>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36"/>
      <c r="DX158" s="25"/>
      <c r="DY158" s="25"/>
      <c r="DZ158" s="25"/>
      <c r="EA158" s="25"/>
      <c r="EB158" s="25"/>
      <c r="EC158" s="25"/>
      <c r="ED158" s="25"/>
      <c r="EE158" s="25"/>
      <c r="EF158" s="25"/>
      <c r="EG158" s="25"/>
      <c r="EH158" s="25"/>
      <c r="EI158" s="25"/>
      <c r="EJ158" s="25"/>
      <c r="EK158" s="25"/>
      <c r="EL158" s="25"/>
      <c r="EM158" s="25"/>
      <c r="EN158" s="25"/>
      <c r="EO158" s="25"/>
      <c r="EP158" s="25"/>
      <c r="EQ158" s="25"/>
      <c r="ER158" s="36"/>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36"/>
      <c r="JH158" s="25"/>
      <c r="JI158" s="25"/>
      <c r="JJ158" s="25"/>
      <c r="JK158" s="25"/>
      <c r="JL158" s="25"/>
      <c r="JM158" s="25"/>
      <c r="JN158" s="25"/>
      <c r="JO158" s="25"/>
      <c r="JP158" s="25"/>
      <c r="JQ158" s="25"/>
      <c r="JR158" s="25"/>
      <c r="JS158" s="25"/>
      <c r="JT158" s="25"/>
      <c r="JU158" s="25"/>
      <c r="JV158" s="25"/>
      <c r="JW158" s="25"/>
      <c r="JX158" s="25"/>
      <c r="JY158" s="25"/>
      <c r="JZ158" s="25"/>
      <c r="KA158" s="25"/>
      <c r="KB158" s="36"/>
    </row>
    <row r="159" spans="2:288" ht="15" customHeight="1" x14ac:dyDescent="0.25">
      <c r="B159" s="216" t="str">
        <f t="shared" si="15"/>
        <v>Desk 46</v>
      </c>
      <c r="C159" s="218" t="str">
        <v/>
      </c>
      <c r="D159" s="218" t="str">
        <v/>
      </c>
      <c r="E159" s="218" t="str">
        <v/>
      </c>
      <c r="F159" s="218" t="str">
        <v/>
      </c>
      <c r="G159" s="402" t="str">
        <v/>
      </c>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36"/>
      <c r="DX159" s="25"/>
      <c r="DY159" s="25"/>
      <c r="DZ159" s="25"/>
      <c r="EA159" s="25"/>
      <c r="EB159" s="25"/>
      <c r="EC159" s="25"/>
      <c r="ED159" s="25"/>
      <c r="EE159" s="25"/>
      <c r="EF159" s="25"/>
      <c r="EG159" s="25"/>
      <c r="EH159" s="25"/>
      <c r="EI159" s="25"/>
      <c r="EJ159" s="25"/>
      <c r="EK159" s="25"/>
      <c r="EL159" s="25"/>
      <c r="EM159" s="25"/>
      <c r="EN159" s="25"/>
      <c r="EO159" s="25"/>
      <c r="EP159" s="25"/>
      <c r="EQ159" s="25"/>
      <c r="ER159" s="36"/>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36"/>
      <c r="JH159" s="25"/>
      <c r="JI159" s="25"/>
      <c r="JJ159" s="25"/>
      <c r="JK159" s="25"/>
      <c r="JL159" s="25"/>
      <c r="JM159" s="25"/>
      <c r="JN159" s="25"/>
      <c r="JO159" s="25"/>
      <c r="JP159" s="25"/>
      <c r="JQ159" s="25"/>
      <c r="JR159" s="25"/>
      <c r="JS159" s="25"/>
      <c r="JT159" s="25"/>
      <c r="JU159" s="25"/>
      <c r="JV159" s="25"/>
      <c r="JW159" s="25"/>
      <c r="JX159" s="25"/>
      <c r="JY159" s="25"/>
      <c r="JZ159" s="25"/>
      <c r="KA159" s="25"/>
      <c r="KB159" s="36"/>
    </row>
    <row r="160" spans="2:288" ht="15" customHeight="1" x14ac:dyDescent="0.25">
      <c r="B160" s="216" t="str">
        <f t="shared" si="15"/>
        <v>Desk 47</v>
      </c>
      <c r="C160" s="218" t="str">
        <v/>
      </c>
      <c r="D160" s="218" t="str">
        <v/>
      </c>
      <c r="E160" s="218" t="str">
        <v/>
      </c>
      <c r="F160" s="218" t="str">
        <v/>
      </c>
      <c r="G160" s="402" t="str">
        <v/>
      </c>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36"/>
      <c r="DX160" s="25"/>
      <c r="DY160" s="25"/>
      <c r="DZ160" s="25"/>
      <c r="EA160" s="25"/>
      <c r="EB160" s="25"/>
      <c r="EC160" s="25"/>
      <c r="ED160" s="25"/>
      <c r="EE160" s="25"/>
      <c r="EF160" s="25"/>
      <c r="EG160" s="25"/>
      <c r="EH160" s="25"/>
      <c r="EI160" s="25"/>
      <c r="EJ160" s="25"/>
      <c r="EK160" s="25"/>
      <c r="EL160" s="25"/>
      <c r="EM160" s="25"/>
      <c r="EN160" s="25"/>
      <c r="EO160" s="25"/>
      <c r="EP160" s="25"/>
      <c r="EQ160" s="25"/>
      <c r="ER160" s="36"/>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36"/>
      <c r="JH160" s="25"/>
      <c r="JI160" s="25"/>
      <c r="JJ160" s="25"/>
      <c r="JK160" s="25"/>
      <c r="JL160" s="25"/>
      <c r="JM160" s="25"/>
      <c r="JN160" s="25"/>
      <c r="JO160" s="25"/>
      <c r="JP160" s="25"/>
      <c r="JQ160" s="25"/>
      <c r="JR160" s="25"/>
      <c r="JS160" s="25"/>
      <c r="JT160" s="25"/>
      <c r="JU160" s="25"/>
      <c r="JV160" s="25"/>
      <c r="JW160" s="25"/>
      <c r="JX160" s="25"/>
      <c r="JY160" s="25"/>
      <c r="JZ160" s="25"/>
      <c r="KA160" s="25"/>
      <c r="KB160" s="36"/>
    </row>
    <row r="161" spans="2:288" ht="15" customHeight="1" x14ac:dyDescent="0.25">
      <c r="B161" s="216" t="str">
        <f t="shared" si="15"/>
        <v>Desk 48</v>
      </c>
      <c r="C161" s="218" t="str">
        <v/>
      </c>
      <c r="D161" s="218" t="str">
        <v/>
      </c>
      <c r="E161" s="218" t="str">
        <v/>
      </c>
      <c r="F161" s="218" t="str">
        <v/>
      </c>
      <c r="G161" s="402" t="str">
        <v/>
      </c>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36"/>
      <c r="DX161" s="25"/>
      <c r="DY161" s="25"/>
      <c r="DZ161" s="25"/>
      <c r="EA161" s="25"/>
      <c r="EB161" s="25"/>
      <c r="EC161" s="25"/>
      <c r="ED161" s="25"/>
      <c r="EE161" s="25"/>
      <c r="EF161" s="25"/>
      <c r="EG161" s="25"/>
      <c r="EH161" s="25"/>
      <c r="EI161" s="25"/>
      <c r="EJ161" s="25"/>
      <c r="EK161" s="25"/>
      <c r="EL161" s="25"/>
      <c r="EM161" s="25"/>
      <c r="EN161" s="25"/>
      <c r="EO161" s="25"/>
      <c r="EP161" s="25"/>
      <c r="EQ161" s="25"/>
      <c r="ER161" s="36"/>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36"/>
      <c r="JH161" s="25"/>
      <c r="JI161" s="25"/>
      <c r="JJ161" s="25"/>
      <c r="JK161" s="25"/>
      <c r="JL161" s="25"/>
      <c r="JM161" s="25"/>
      <c r="JN161" s="25"/>
      <c r="JO161" s="25"/>
      <c r="JP161" s="25"/>
      <c r="JQ161" s="25"/>
      <c r="JR161" s="25"/>
      <c r="JS161" s="25"/>
      <c r="JT161" s="25"/>
      <c r="JU161" s="25"/>
      <c r="JV161" s="25"/>
      <c r="JW161" s="25"/>
      <c r="JX161" s="25"/>
      <c r="JY161" s="25"/>
      <c r="JZ161" s="25"/>
      <c r="KA161" s="25"/>
      <c r="KB161" s="36"/>
    </row>
    <row r="162" spans="2:288" ht="15" customHeight="1" x14ac:dyDescent="0.25">
      <c r="B162" s="216" t="str">
        <f t="shared" si="15"/>
        <v>Desk 49</v>
      </c>
      <c r="C162" s="218" t="str">
        <v/>
      </c>
      <c r="D162" s="218" t="str">
        <v/>
      </c>
      <c r="E162" s="218" t="str">
        <v/>
      </c>
      <c r="F162" s="218" t="str">
        <v/>
      </c>
      <c r="G162" s="402" t="str">
        <v/>
      </c>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36"/>
      <c r="DX162" s="25"/>
      <c r="DY162" s="25"/>
      <c r="DZ162" s="25"/>
      <c r="EA162" s="25"/>
      <c r="EB162" s="25"/>
      <c r="EC162" s="25"/>
      <c r="ED162" s="25"/>
      <c r="EE162" s="25"/>
      <c r="EF162" s="25"/>
      <c r="EG162" s="25"/>
      <c r="EH162" s="25"/>
      <c r="EI162" s="25"/>
      <c r="EJ162" s="25"/>
      <c r="EK162" s="25"/>
      <c r="EL162" s="25"/>
      <c r="EM162" s="25"/>
      <c r="EN162" s="25"/>
      <c r="EO162" s="25"/>
      <c r="EP162" s="25"/>
      <c r="EQ162" s="25"/>
      <c r="ER162" s="36"/>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36"/>
      <c r="JH162" s="25"/>
      <c r="JI162" s="25"/>
      <c r="JJ162" s="25"/>
      <c r="JK162" s="25"/>
      <c r="JL162" s="25"/>
      <c r="JM162" s="25"/>
      <c r="JN162" s="25"/>
      <c r="JO162" s="25"/>
      <c r="JP162" s="25"/>
      <c r="JQ162" s="25"/>
      <c r="JR162" s="25"/>
      <c r="JS162" s="25"/>
      <c r="JT162" s="25"/>
      <c r="JU162" s="25"/>
      <c r="JV162" s="25"/>
      <c r="JW162" s="25"/>
      <c r="JX162" s="25"/>
      <c r="JY162" s="25"/>
      <c r="JZ162" s="25"/>
      <c r="KA162" s="25"/>
      <c r="KB162" s="36"/>
    </row>
    <row r="163" spans="2:288" ht="15" customHeight="1" x14ac:dyDescent="0.25">
      <c r="B163" s="216" t="str">
        <f t="shared" si="15"/>
        <v>Desk 50</v>
      </c>
      <c r="C163" s="218" t="str">
        <v/>
      </c>
      <c r="D163" s="218" t="str">
        <v/>
      </c>
      <c r="E163" s="218" t="str">
        <v/>
      </c>
      <c r="F163" s="218" t="str">
        <v/>
      </c>
      <c r="G163" s="402" t="str">
        <v/>
      </c>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36"/>
      <c r="DX163" s="25"/>
      <c r="DY163" s="25"/>
      <c r="DZ163" s="25"/>
      <c r="EA163" s="25"/>
      <c r="EB163" s="25"/>
      <c r="EC163" s="25"/>
      <c r="ED163" s="25"/>
      <c r="EE163" s="25"/>
      <c r="EF163" s="25"/>
      <c r="EG163" s="25"/>
      <c r="EH163" s="25"/>
      <c r="EI163" s="25"/>
      <c r="EJ163" s="25"/>
      <c r="EK163" s="25"/>
      <c r="EL163" s="25"/>
      <c r="EM163" s="25"/>
      <c r="EN163" s="25"/>
      <c r="EO163" s="25"/>
      <c r="EP163" s="25"/>
      <c r="EQ163" s="25"/>
      <c r="ER163" s="36"/>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36"/>
      <c r="JH163" s="25"/>
      <c r="JI163" s="25"/>
      <c r="JJ163" s="25"/>
      <c r="JK163" s="25"/>
      <c r="JL163" s="25"/>
      <c r="JM163" s="25"/>
      <c r="JN163" s="25"/>
      <c r="JO163" s="25"/>
      <c r="JP163" s="25"/>
      <c r="JQ163" s="25"/>
      <c r="JR163" s="25"/>
      <c r="JS163" s="25"/>
      <c r="JT163" s="25"/>
      <c r="JU163" s="25"/>
      <c r="JV163" s="25"/>
      <c r="JW163" s="25"/>
      <c r="JX163" s="25"/>
      <c r="JY163" s="25"/>
      <c r="JZ163" s="25"/>
      <c r="KA163" s="25"/>
      <c r="KB163" s="36"/>
    </row>
    <row r="164" spans="2:288" ht="15" customHeight="1" x14ac:dyDescent="0.25">
      <c r="B164" s="216" t="str">
        <f t="shared" si="15"/>
        <v>Desk 51</v>
      </c>
      <c r="C164" s="218" t="str">
        <v/>
      </c>
      <c r="D164" s="218" t="str">
        <v/>
      </c>
      <c r="E164" s="218" t="str">
        <v/>
      </c>
      <c r="F164" s="218" t="str">
        <v/>
      </c>
      <c r="G164" s="402" t="str">
        <v/>
      </c>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36"/>
      <c r="DX164" s="25"/>
      <c r="DY164" s="25"/>
      <c r="DZ164" s="25"/>
      <c r="EA164" s="25"/>
      <c r="EB164" s="25"/>
      <c r="EC164" s="25"/>
      <c r="ED164" s="25"/>
      <c r="EE164" s="25"/>
      <c r="EF164" s="25"/>
      <c r="EG164" s="25"/>
      <c r="EH164" s="25"/>
      <c r="EI164" s="25"/>
      <c r="EJ164" s="25"/>
      <c r="EK164" s="25"/>
      <c r="EL164" s="25"/>
      <c r="EM164" s="25"/>
      <c r="EN164" s="25"/>
      <c r="EO164" s="25"/>
      <c r="EP164" s="25"/>
      <c r="EQ164" s="25"/>
      <c r="ER164" s="36"/>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36"/>
      <c r="JH164" s="25"/>
      <c r="JI164" s="25"/>
      <c r="JJ164" s="25"/>
      <c r="JK164" s="25"/>
      <c r="JL164" s="25"/>
      <c r="JM164" s="25"/>
      <c r="JN164" s="25"/>
      <c r="JO164" s="25"/>
      <c r="JP164" s="25"/>
      <c r="JQ164" s="25"/>
      <c r="JR164" s="25"/>
      <c r="JS164" s="25"/>
      <c r="JT164" s="25"/>
      <c r="JU164" s="25"/>
      <c r="JV164" s="25"/>
      <c r="JW164" s="25"/>
      <c r="JX164" s="25"/>
      <c r="JY164" s="25"/>
      <c r="JZ164" s="25"/>
      <c r="KA164" s="25"/>
      <c r="KB164" s="36"/>
    </row>
    <row r="165" spans="2:288" ht="15" customHeight="1" x14ac:dyDescent="0.25">
      <c r="B165" s="216" t="str">
        <f t="shared" si="15"/>
        <v>Desk 52</v>
      </c>
      <c r="C165" s="218" t="str">
        <v/>
      </c>
      <c r="D165" s="218" t="str">
        <v/>
      </c>
      <c r="E165" s="218" t="str">
        <v/>
      </c>
      <c r="F165" s="218" t="str">
        <v/>
      </c>
      <c r="G165" s="402" t="str">
        <v/>
      </c>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36"/>
      <c r="DX165" s="25"/>
      <c r="DY165" s="25"/>
      <c r="DZ165" s="25"/>
      <c r="EA165" s="25"/>
      <c r="EB165" s="25"/>
      <c r="EC165" s="25"/>
      <c r="ED165" s="25"/>
      <c r="EE165" s="25"/>
      <c r="EF165" s="25"/>
      <c r="EG165" s="25"/>
      <c r="EH165" s="25"/>
      <c r="EI165" s="25"/>
      <c r="EJ165" s="25"/>
      <c r="EK165" s="25"/>
      <c r="EL165" s="25"/>
      <c r="EM165" s="25"/>
      <c r="EN165" s="25"/>
      <c r="EO165" s="25"/>
      <c r="EP165" s="25"/>
      <c r="EQ165" s="25"/>
      <c r="ER165" s="36"/>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36"/>
      <c r="JH165" s="25"/>
      <c r="JI165" s="25"/>
      <c r="JJ165" s="25"/>
      <c r="JK165" s="25"/>
      <c r="JL165" s="25"/>
      <c r="JM165" s="25"/>
      <c r="JN165" s="25"/>
      <c r="JO165" s="25"/>
      <c r="JP165" s="25"/>
      <c r="JQ165" s="25"/>
      <c r="JR165" s="25"/>
      <c r="JS165" s="25"/>
      <c r="JT165" s="25"/>
      <c r="JU165" s="25"/>
      <c r="JV165" s="25"/>
      <c r="JW165" s="25"/>
      <c r="JX165" s="25"/>
      <c r="JY165" s="25"/>
      <c r="JZ165" s="25"/>
      <c r="KA165" s="25"/>
      <c r="KB165" s="36"/>
    </row>
    <row r="166" spans="2:288" ht="15" customHeight="1" x14ac:dyDescent="0.25">
      <c r="B166" s="216" t="str">
        <f t="shared" si="15"/>
        <v>Desk 53</v>
      </c>
      <c r="C166" s="218" t="str">
        <v/>
      </c>
      <c r="D166" s="218" t="str">
        <v/>
      </c>
      <c r="E166" s="218" t="str">
        <v/>
      </c>
      <c r="F166" s="218" t="str">
        <v/>
      </c>
      <c r="G166" s="402" t="str">
        <v/>
      </c>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36"/>
      <c r="DX166" s="25"/>
      <c r="DY166" s="25"/>
      <c r="DZ166" s="25"/>
      <c r="EA166" s="25"/>
      <c r="EB166" s="25"/>
      <c r="EC166" s="25"/>
      <c r="ED166" s="25"/>
      <c r="EE166" s="25"/>
      <c r="EF166" s="25"/>
      <c r="EG166" s="25"/>
      <c r="EH166" s="25"/>
      <c r="EI166" s="25"/>
      <c r="EJ166" s="25"/>
      <c r="EK166" s="25"/>
      <c r="EL166" s="25"/>
      <c r="EM166" s="25"/>
      <c r="EN166" s="25"/>
      <c r="EO166" s="25"/>
      <c r="EP166" s="25"/>
      <c r="EQ166" s="25"/>
      <c r="ER166" s="36"/>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c r="HH166" s="25"/>
      <c r="HI166" s="25"/>
      <c r="HJ166" s="25"/>
      <c r="HK166" s="25"/>
      <c r="HL166" s="25"/>
      <c r="HM166" s="25"/>
      <c r="HN166" s="25"/>
      <c r="HO166" s="25"/>
      <c r="HP166" s="25"/>
      <c r="HQ166" s="25"/>
      <c r="HR166" s="25"/>
      <c r="HS166" s="25"/>
      <c r="HT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c r="IU166" s="25"/>
      <c r="IV166" s="25"/>
      <c r="IW166" s="25"/>
      <c r="IX166" s="25"/>
      <c r="IY166" s="25"/>
      <c r="IZ166" s="25"/>
      <c r="JA166" s="25"/>
      <c r="JB166" s="25"/>
      <c r="JC166" s="25"/>
      <c r="JD166" s="25"/>
      <c r="JE166" s="25"/>
      <c r="JF166" s="25"/>
      <c r="JG166" s="36"/>
      <c r="JH166" s="25"/>
      <c r="JI166" s="25"/>
      <c r="JJ166" s="25"/>
      <c r="JK166" s="25"/>
      <c r="JL166" s="25"/>
      <c r="JM166" s="25"/>
      <c r="JN166" s="25"/>
      <c r="JO166" s="25"/>
      <c r="JP166" s="25"/>
      <c r="JQ166" s="25"/>
      <c r="JR166" s="25"/>
      <c r="JS166" s="25"/>
      <c r="JT166" s="25"/>
      <c r="JU166" s="25"/>
      <c r="JV166" s="25"/>
      <c r="JW166" s="25"/>
      <c r="JX166" s="25"/>
      <c r="JY166" s="25"/>
      <c r="JZ166" s="25"/>
      <c r="KA166" s="25"/>
      <c r="KB166" s="36"/>
    </row>
    <row r="167" spans="2:288" ht="15" customHeight="1" x14ac:dyDescent="0.25">
      <c r="B167" s="216" t="str">
        <f t="shared" si="15"/>
        <v>Desk 54</v>
      </c>
      <c r="C167" s="218" t="str">
        <v/>
      </c>
      <c r="D167" s="218" t="str">
        <v/>
      </c>
      <c r="E167" s="218" t="str">
        <v/>
      </c>
      <c r="F167" s="218" t="str">
        <v/>
      </c>
      <c r="G167" s="402" t="str">
        <v/>
      </c>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36"/>
      <c r="DX167" s="25"/>
      <c r="DY167" s="25"/>
      <c r="DZ167" s="25"/>
      <c r="EA167" s="25"/>
      <c r="EB167" s="25"/>
      <c r="EC167" s="25"/>
      <c r="ED167" s="25"/>
      <c r="EE167" s="25"/>
      <c r="EF167" s="25"/>
      <c r="EG167" s="25"/>
      <c r="EH167" s="25"/>
      <c r="EI167" s="25"/>
      <c r="EJ167" s="25"/>
      <c r="EK167" s="25"/>
      <c r="EL167" s="25"/>
      <c r="EM167" s="25"/>
      <c r="EN167" s="25"/>
      <c r="EO167" s="25"/>
      <c r="EP167" s="25"/>
      <c r="EQ167" s="25"/>
      <c r="ER167" s="36"/>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c r="HH167" s="25"/>
      <c r="HI167" s="25"/>
      <c r="HJ167" s="25"/>
      <c r="HK167" s="25"/>
      <c r="HL167" s="25"/>
      <c r="HM167" s="25"/>
      <c r="HN167" s="25"/>
      <c r="HO167" s="25"/>
      <c r="HP167" s="25"/>
      <c r="HQ167" s="25"/>
      <c r="HR167" s="25"/>
      <c r="HS167" s="25"/>
      <c r="HT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c r="IU167" s="25"/>
      <c r="IV167" s="25"/>
      <c r="IW167" s="25"/>
      <c r="IX167" s="25"/>
      <c r="IY167" s="25"/>
      <c r="IZ167" s="25"/>
      <c r="JA167" s="25"/>
      <c r="JB167" s="25"/>
      <c r="JC167" s="25"/>
      <c r="JD167" s="25"/>
      <c r="JE167" s="25"/>
      <c r="JF167" s="25"/>
      <c r="JG167" s="36"/>
      <c r="JH167" s="25"/>
      <c r="JI167" s="25"/>
      <c r="JJ167" s="25"/>
      <c r="JK167" s="25"/>
      <c r="JL167" s="25"/>
      <c r="JM167" s="25"/>
      <c r="JN167" s="25"/>
      <c r="JO167" s="25"/>
      <c r="JP167" s="25"/>
      <c r="JQ167" s="25"/>
      <c r="JR167" s="25"/>
      <c r="JS167" s="25"/>
      <c r="JT167" s="25"/>
      <c r="JU167" s="25"/>
      <c r="JV167" s="25"/>
      <c r="JW167" s="25"/>
      <c r="JX167" s="25"/>
      <c r="JY167" s="25"/>
      <c r="JZ167" s="25"/>
      <c r="KA167" s="25"/>
      <c r="KB167" s="36"/>
    </row>
    <row r="168" spans="2:288" ht="15" customHeight="1" x14ac:dyDescent="0.25">
      <c r="B168" s="216" t="str">
        <f t="shared" si="15"/>
        <v>Desk 55</v>
      </c>
      <c r="C168" s="218" t="str">
        <v/>
      </c>
      <c r="D168" s="218" t="str">
        <v/>
      </c>
      <c r="E168" s="218" t="str">
        <v/>
      </c>
      <c r="F168" s="218" t="str">
        <v/>
      </c>
      <c r="G168" s="402" t="str">
        <v/>
      </c>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36"/>
      <c r="DX168" s="25"/>
      <c r="DY168" s="25"/>
      <c r="DZ168" s="25"/>
      <c r="EA168" s="25"/>
      <c r="EB168" s="25"/>
      <c r="EC168" s="25"/>
      <c r="ED168" s="25"/>
      <c r="EE168" s="25"/>
      <c r="EF168" s="25"/>
      <c r="EG168" s="25"/>
      <c r="EH168" s="25"/>
      <c r="EI168" s="25"/>
      <c r="EJ168" s="25"/>
      <c r="EK168" s="25"/>
      <c r="EL168" s="25"/>
      <c r="EM168" s="25"/>
      <c r="EN168" s="25"/>
      <c r="EO168" s="25"/>
      <c r="EP168" s="25"/>
      <c r="EQ168" s="25"/>
      <c r="ER168" s="36"/>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c r="HH168" s="25"/>
      <c r="HI168" s="25"/>
      <c r="HJ168" s="25"/>
      <c r="HK168" s="25"/>
      <c r="HL168" s="25"/>
      <c r="HM168" s="25"/>
      <c r="HN168" s="25"/>
      <c r="HO168" s="25"/>
      <c r="HP168" s="25"/>
      <c r="HQ168" s="25"/>
      <c r="HR168" s="25"/>
      <c r="HS168" s="25"/>
      <c r="HT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c r="IU168" s="25"/>
      <c r="IV168" s="25"/>
      <c r="IW168" s="25"/>
      <c r="IX168" s="25"/>
      <c r="IY168" s="25"/>
      <c r="IZ168" s="25"/>
      <c r="JA168" s="25"/>
      <c r="JB168" s="25"/>
      <c r="JC168" s="25"/>
      <c r="JD168" s="25"/>
      <c r="JE168" s="25"/>
      <c r="JF168" s="25"/>
      <c r="JG168" s="36"/>
      <c r="JH168" s="25"/>
      <c r="JI168" s="25"/>
      <c r="JJ168" s="25"/>
      <c r="JK168" s="25"/>
      <c r="JL168" s="25"/>
      <c r="JM168" s="25"/>
      <c r="JN168" s="25"/>
      <c r="JO168" s="25"/>
      <c r="JP168" s="25"/>
      <c r="JQ168" s="25"/>
      <c r="JR168" s="25"/>
      <c r="JS168" s="25"/>
      <c r="JT168" s="25"/>
      <c r="JU168" s="25"/>
      <c r="JV168" s="25"/>
      <c r="JW168" s="25"/>
      <c r="JX168" s="25"/>
      <c r="JY168" s="25"/>
      <c r="JZ168" s="25"/>
      <c r="KA168" s="25"/>
      <c r="KB168" s="36"/>
    </row>
    <row r="169" spans="2:288" ht="15" customHeight="1" x14ac:dyDescent="0.25">
      <c r="B169" s="216" t="str">
        <f t="shared" si="15"/>
        <v>Desk 56</v>
      </c>
      <c r="C169" s="218" t="str">
        <v/>
      </c>
      <c r="D169" s="218" t="str">
        <v/>
      </c>
      <c r="E169" s="218" t="str">
        <v/>
      </c>
      <c r="F169" s="218" t="str">
        <v/>
      </c>
      <c r="G169" s="402" t="str">
        <v/>
      </c>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36"/>
      <c r="DX169" s="25"/>
      <c r="DY169" s="25"/>
      <c r="DZ169" s="25"/>
      <c r="EA169" s="25"/>
      <c r="EB169" s="25"/>
      <c r="EC169" s="25"/>
      <c r="ED169" s="25"/>
      <c r="EE169" s="25"/>
      <c r="EF169" s="25"/>
      <c r="EG169" s="25"/>
      <c r="EH169" s="25"/>
      <c r="EI169" s="25"/>
      <c r="EJ169" s="25"/>
      <c r="EK169" s="25"/>
      <c r="EL169" s="25"/>
      <c r="EM169" s="25"/>
      <c r="EN169" s="25"/>
      <c r="EO169" s="25"/>
      <c r="EP169" s="25"/>
      <c r="EQ169" s="25"/>
      <c r="ER169" s="36"/>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c r="HG169" s="25"/>
      <c r="HH169" s="25"/>
      <c r="HI169" s="25"/>
      <c r="HJ169" s="25"/>
      <c r="HK169" s="25"/>
      <c r="HL169" s="25"/>
      <c r="HM169" s="25"/>
      <c r="HN169" s="25"/>
      <c r="HO169" s="25"/>
      <c r="HP169" s="25"/>
      <c r="HQ169" s="25"/>
      <c r="HR169" s="25"/>
      <c r="HS169" s="25"/>
      <c r="HT169" s="25"/>
      <c r="HU169" s="25"/>
      <c r="HV169" s="25"/>
      <c r="HW169" s="25"/>
      <c r="HX169" s="25"/>
      <c r="HY169" s="25"/>
      <c r="HZ169" s="25"/>
      <c r="IA169" s="25"/>
      <c r="IB169" s="25"/>
      <c r="IC169" s="25"/>
      <c r="ID169" s="25"/>
      <c r="IE169" s="25"/>
      <c r="IF169" s="25"/>
      <c r="IG169" s="25"/>
      <c r="IH169" s="25"/>
      <c r="II169" s="25"/>
      <c r="IJ169" s="25"/>
      <c r="IK169" s="25"/>
      <c r="IL169" s="25"/>
      <c r="IM169" s="25"/>
      <c r="IN169" s="25"/>
      <c r="IO169" s="25"/>
      <c r="IP169" s="25"/>
      <c r="IQ169" s="25"/>
      <c r="IR169" s="25"/>
      <c r="IS169" s="25"/>
      <c r="IT169" s="25"/>
      <c r="IU169" s="25"/>
      <c r="IV169" s="25"/>
      <c r="IW169" s="25"/>
      <c r="IX169" s="25"/>
      <c r="IY169" s="25"/>
      <c r="IZ169" s="25"/>
      <c r="JA169" s="25"/>
      <c r="JB169" s="25"/>
      <c r="JC169" s="25"/>
      <c r="JD169" s="25"/>
      <c r="JE169" s="25"/>
      <c r="JF169" s="25"/>
      <c r="JG169" s="36"/>
      <c r="JH169" s="25"/>
      <c r="JI169" s="25"/>
      <c r="JJ169" s="25"/>
      <c r="JK169" s="25"/>
      <c r="JL169" s="25"/>
      <c r="JM169" s="25"/>
      <c r="JN169" s="25"/>
      <c r="JO169" s="25"/>
      <c r="JP169" s="25"/>
      <c r="JQ169" s="25"/>
      <c r="JR169" s="25"/>
      <c r="JS169" s="25"/>
      <c r="JT169" s="25"/>
      <c r="JU169" s="25"/>
      <c r="JV169" s="25"/>
      <c r="JW169" s="25"/>
      <c r="JX169" s="25"/>
      <c r="JY169" s="25"/>
      <c r="JZ169" s="25"/>
      <c r="KA169" s="25"/>
      <c r="KB169" s="36"/>
    </row>
    <row r="170" spans="2:288" ht="15" customHeight="1" x14ac:dyDescent="0.25">
      <c r="B170" s="216" t="str">
        <f t="shared" si="15"/>
        <v>Desk 57</v>
      </c>
      <c r="C170" s="218" t="str">
        <v/>
      </c>
      <c r="D170" s="218" t="str">
        <v/>
      </c>
      <c r="E170" s="218" t="str">
        <v/>
      </c>
      <c r="F170" s="218" t="str">
        <v/>
      </c>
      <c r="G170" s="402" t="str">
        <v/>
      </c>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36"/>
      <c r="DX170" s="25"/>
      <c r="DY170" s="25"/>
      <c r="DZ170" s="25"/>
      <c r="EA170" s="25"/>
      <c r="EB170" s="25"/>
      <c r="EC170" s="25"/>
      <c r="ED170" s="25"/>
      <c r="EE170" s="25"/>
      <c r="EF170" s="25"/>
      <c r="EG170" s="25"/>
      <c r="EH170" s="25"/>
      <c r="EI170" s="25"/>
      <c r="EJ170" s="25"/>
      <c r="EK170" s="25"/>
      <c r="EL170" s="25"/>
      <c r="EM170" s="25"/>
      <c r="EN170" s="25"/>
      <c r="EO170" s="25"/>
      <c r="EP170" s="25"/>
      <c r="EQ170" s="25"/>
      <c r="ER170" s="36"/>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c r="HC170" s="25"/>
      <c r="HD170" s="25"/>
      <c r="HE170" s="25"/>
      <c r="HF170" s="25"/>
      <c r="HG170" s="25"/>
      <c r="HH170" s="25"/>
      <c r="HI170" s="25"/>
      <c r="HJ170" s="25"/>
      <c r="HK170" s="25"/>
      <c r="HL170" s="25"/>
      <c r="HM170" s="25"/>
      <c r="HN170" s="25"/>
      <c r="HO170" s="25"/>
      <c r="HP170" s="25"/>
      <c r="HQ170" s="25"/>
      <c r="HR170" s="25"/>
      <c r="HS170" s="25"/>
      <c r="HT170" s="25"/>
      <c r="HU170" s="25"/>
      <c r="HV170" s="25"/>
      <c r="HW170" s="25"/>
      <c r="HX170" s="25"/>
      <c r="HY170" s="25"/>
      <c r="HZ170" s="25"/>
      <c r="IA170" s="25"/>
      <c r="IB170" s="25"/>
      <c r="IC170" s="25"/>
      <c r="ID170" s="25"/>
      <c r="IE170" s="25"/>
      <c r="IF170" s="25"/>
      <c r="IG170" s="25"/>
      <c r="IH170" s="25"/>
      <c r="II170" s="25"/>
      <c r="IJ170" s="25"/>
      <c r="IK170" s="25"/>
      <c r="IL170" s="25"/>
      <c r="IM170" s="25"/>
      <c r="IN170" s="25"/>
      <c r="IO170" s="25"/>
      <c r="IP170" s="25"/>
      <c r="IQ170" s="25"/>
      <c r="IR170" s="25"/>
      <c r="IS170" s="25"/>
      <c r="IT170" s="25"/>
      <c r="IU170" s="25"/>
      <c r="IV170" s="25"/>
      <c r="IW170" s="25"/>
      <c r="IX170" s="25"/>
      <c r="IY170" s="25"/>
      <c r="IZ170" s="25"/>
      <c r="JA170" s="25"/>
      <c r="JB170" s="25"/>
      <c r="JC170" s="25"/>
      <c r="JD170" s="25"/>
      <c r="JE170" s="25"/>
      <c r="JF170" s="25"/>
      <c r="JG170" s="36"/>
      <c r="JH170" s="25"/>
      <c r="JI170" s="25"/>
      <c r="JJ170" s="25"/>
      <c r="JK170" s="25"/>
      <c r="JL170" s="25"/>
      <c r="JM170" s="25"/>
      <c r="JN170" s="25"/>
      <c r="JO170" s="25"/>
      <c r="JP170" s="25"/>
      <c r="JQ170" s="25"/>
      <c r="JR170" s="25"/>
      <c r="JS170" s="25"/>
      <c r="JT170" s="25"/>
      <c r="JU170" s="25"/>
      <c r="JV170" s="25"/>
      <c r="JW170" s="25"/>
      <c r="JX170" s="25"/>
      <c r="JY170" s="25"/>
      <c r="JZ170" s="25"/>
      <c r="KA170" s="25"/>
      <c r="KB170" s="36"/>
    </row>
    <row r="171" spans="2:288" ht="15" customHeight="1" x14ac:dyDescent="0.25">
      <c r="B171" s="216" t="str">
        <f t="shared" si="15"/>
        <v>Desk 58</v>
      </c>
      <c r="C171" s="218" t="str">
        <v/>
      </c>
      <c r="D171" s="218" t="str">
        <v/>
      </c>
      <c r="E171" s="218" t="str">
        <v/>
      </c>
      <c r="F171" s="218" t="str">
        <v/>
      </c>
      <c r="G171" s="402" t="str">
        <v/>
      </c>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36"/>
      <c r="DX171" s="25"/>
      <c r="DY171" s="25"/>
      <c r="DZ171" s="25"/>
      <c r="EA171" s="25"/>
      <c r="EB171" s="25"/>
      <c r="EC171" s="25"/>
      <c r="ED171" s="25"/>
      <c r="EE171" s="25"/>
      <c r="EF171" s="25"/>
      <c r="EG171" s="25"/>
      <c r="EH171" s="25"/>
      <c r="EI171" s="25"/>
      <c r="EJ171" s="25"/>
      <c r="EK171" s="25"/>
      <c r="EL171" s="25"/>
      <c r="EM171" s="25"/>
      <c r="EN171" s="25"/>
      <c r="EO171" s="25"/>
      <c r="EP171" s="25"/>
      <c r="EQ171" s="25"/>
      <c r="ER171" s="36"/>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36"/>
      <c r="JH171" s="25"/>
      <c r="JI171" s="25"/>
      <c r="JJ171" s="25"/>
      <c r="JK171" s="25"/>
      <c r="JL171" s="25"/>
      <c r="JM171" s="25"/>
      <c r="JN171" s="25"/>
      <c r="JO171" s="25"/>
      <c r="JP171" s="25"/>
      <c r="JQ171" s="25"/>
      <c r="JR171" s="25"/>
      <c r="JS171" s="25"/>
      <c r="JT171" s="25"/>
      <c r="JU171" s="25"/>
      <c r="JV171" s="25"/>
      <c r="JW171" s="25"/>
      <c r="JX171" s="25"/>
      <c r="JY171" s="25"/>
      <c r="JZ171" s="25"/>
      <c r="KA171" s="25"/>
      <c r="KB171" s="36"/>
    </row>
    <row r="172" spans="2:288" ht="15" customHeight="1" x14ac:dyDescent="0.25">
      <c r="B172" s="216" t="str">
        <f t="shared" si="15"/>
        <v>Desk 59</v>
      </c>
      <c r="C172" s="218" t="str">
        <v/>
      </c>
      <c r="D172" s="218" t="str">
        <v/>
      </c>
      <c r="E172" s="218" t="str">
        <v/>
      </c>
      <c r="F172" s="218" t="str">
        <v/>
      </c>
      <c r="G172" s="402" t="str">
        <v/>
      </c>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36"/>
      <c r="DX172" s="25"/>
      <c r="DY172" s="25"/>
      <c r="DZ172" s="25"/>
      <c r="EA172" s="25"/>
      <c r="EB172" s="25"/>
      <c r="EC172" s="25"/>
      <c r="ED172" s="25"/>
      <c r="EE172" s="25"/>
      <c r="EF172" s="25"/>
      <c r="EG172" s="25"/>
      <c r="EH172" s="25"/>
      <c r="EI172" s="25"/>
      <c r="EJ172" s="25"/>
      <c r="EK172" s="25"/>
      <c r="EL172" s="25"/>
      <c r="EM172" s="25"/>
      <c r="EN172" s="25"/>
      <c r="EO172" s="25"/>
      <c r="EP172" s="25"/>
      <c r="EQ172" s="25"/>
      <c r="ER172" s="36"/>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c r="HH172" s="25"/>
      <c r="HI172" s="25"/>
      <c r="HJ172" s="25"/>
      <c r="HK172" s="25"/>
      <c r="HL172" s="25"/>
      <c r="HM172" s="25"/>
      <c r="HN172" s="25"/>
      <c r="HO172" s="25"/>
      <c r="HP172" s="25"/>
      <c r="HQ172" s="25"/>
      <c r="HR172" s="25"/>
      <c r="HS172" s="25"/>
      <c r="HT172" s="25"/>
      <c r="HU172" s="25"/>
      <c r="HV172" s="25"/>
      <c r="HW172" s="25"/>
      <c r="HX172" s="25"/>
      <c r="HY172" s="25"/>
      <c r="HZ172" s="25"/>
      <c r="IA172" s="25"/>
      <c r="IB172" s="25"/>
      <c r="IC172" s="25"/>
      <c r="ID172" s="25"/>
      <c r="IE172" s="25"/>
      <c r="IF172" s="25"/>
      <c r="IG172" s="25"/>
      <c r="IH172" s="25"/>
      <c r="II172" s="25"/>
      <c r="IJ172" s="25"/>
      <c r="IK172" s="25"/>
      <c r="IL172" s="25"/>
      <c r="IM172" s="25"/>
      <c r="IN172" s="25"/>
      <c r="IO172" s="25"/>
      <c r="IP172" s="25"/>
      <c r="IQ172" s="25"/>
      <c r="IR172" s="25"/>
      <c r="IS172" s="25"/>
      <c r="IT172" s="25"/>
      <c r="IU172" s="25"/>
      <c r="IV172" s="25"/>
      <c r="IW172" s="25"/>
      <c r="IX172" s="25"/>
      <c r="IY172" s="25"/>
      <c r="IZ172" s="25"/>
      <c r="JA172" s="25"/>
      <c r="JB172" s="25"/>
      <c r="JC172" s="25"/>
      <c r="JD172" s="25"/>
      <c r="JE172" s="25"/>
      <c r="JF172" s="25"/>
      <c r="JG172" s="36"/>
      <c r="JH172" s="25"/>
      <c r="JI172" s="25"/>
      <c r="JJ172" s="25"/>
      <c r="JK172" s="25"/>
      <c r="JL172" s="25"/>
      <c r="JM172" s="25"/>
      <c r="JN172" s="25"/>
      <c r="JO172" s="25"/>
      <c r="JP172" s="25"/>
      <c r="JQ172" s="25"/>
      <c r="JR172" s="25"/>
      <c r="JS172" s="25"/>
      <c r="JT172" s="25"/>
      <c r="JU172" s="25"/>
      <c r="JV172" s="25"/>
      <c r="JW172" s="25"/>
      <c r="JX172" s="25"/>
      <c r="JY172" s="25"/>
      <c r="JZ172" s="25"/>
      <c r="KA172" s="25"/>
      <c r="KB172" s="36"/>
    </row>
    <row r="173" spans="2:288" ht="15" customHeight="1" x14ac:dyDescent="0.25">
      <c r="B173" s="216" t="str">
        <f t="shared" si="15"/>
        <v>Desk 60</v>
      </c>
      <c r="C173" s="218" t="str">
        <v/>
      </c>
      <c r="D173" s="218" t="str">
        <v/>
      </c>
      <c r="E173" s="218" t="str">
        <v/>
      </c>
      <c r="F173" s="218" t="str">
        <v/>
      </c>
      <c r="G173" s="402" t="str">
        <v/>
      </c>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36"/>
      <c r="DX173" s="25"/>
      <c r="DY173" s="25"/>
      <c r="DZ173" s="25"/>
      <c r="EA173" s="25"/>
      <c r="EB173" s="25"/>
      <c r="EC173" s="25"/>
      <c r="ED173" s="25"/>
      <c r="EE173" s="25"/>
      <c r="EF173" s="25"/>
      <c r="EG173" s="25"/>
      <c r="EH173" s="25"/>
      <c r="EI173" s="25"/>
      <c r="EJ173" s="25"/>
      <c r="EK173" s="25"/>
      <c r="EL173" s="25"/>
      <c r="EM173" s="25"/>
      <c r="EN173" s="25"/>
      <c r="EO173" s="25"/>
      <c r="EP173" s="25"/>
      <c r="EQ173" s="25"/>
      <c r="ER173" s="36"/>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c r="HH173" s="25"/>
      <c r="HI173" s="25"/>
      <c r="HJ173" s="25"/>
      <c r="HK173" s="25"/>
      <c r="HL173" s="25"/>
      <c r="HM173" s="25"/>
      <c r="HN173" s="25"/>
      <c r="HO173" s="25"/>
      <c r="HP173" s="25"/>
      <c r="HQ173" s="25"/>
      <c r="HR173" s="25"/>
      <c r="HS173" s="25"/>
      <c r="HT173" s="25"/>
      <c r="HU173" s="25"/>
      <c r="HV173" s="25"/>
      <c r="HW173" s="25"/>
      <c r="HX173" s="25"/>
      <c r="HY173" s="25"/>
      <c r="HZ173" s="25"/>
      <c r="IA173" s="25"/>
      <c r="IB173" s="25"/>
      <c r="IC173" s="25"/>
      <c r="ID173" s="25"/>
      <c r="IE173" s="25"/>
      <c r="IF173" s="25"/>
      <c r="IG173" s="25"/>
      <c r="IH173" s="25"/>
      <c r="II173" s="25"/>
      <c r="IJ173" s="25"/>
      <c r="IK173" s="25"/>
      <c r="IL173" s="25"/>
      <c r="IM173" s="25"/>
      <c r="IN173" s="25"/>
      <c r="IO173" s="25"/>
      <c r="IP173" s="25"/>
      <c r="IQ173" s="25"/>
      <c r="IR173" s="25"/>
      <c r="IS173" s="25"/>
      <c r="IT173" s="25"/>
      <c r="IU173" s="25"/>
      <c r="IV173" s="25"/>
      <c r="IW173" s="25"/>
      <c r="IX173" s="25"/>
      <c r="IY173" s="25"/>
      <c r="IZ173" s="25"/>
      <c r="JA173" s="25"/>
      <c r="JB173" s="25"/>
      <c r="JC173" s="25"/>
      <c r="JD173" s="25"/>
      <c r="JE173" s="25"/>
      <c r="JF173" s="25"/>
      <c r="JG173" s="36"/>
      <c r="JH173" s="25"/>
      <c r="JI173" s="25"/>
      <c r="JJ173" s="25"/>
      <c r="JK173" s="25"/>
      <c r="JL173" s="25"/>
      <c r="JM173" s="25"/>
      <c r="JN173" s="25"/>
      <c r="JO173" s="25"/>
      <c r="JP173" s="25"/>
      <c r="JQ173" s="25"/>
      <c r="JR173" s="25"/>
      <c r="JS173" s="25"/>
      <c r="JT173" s="25"/>
      <c r="JU173" s="25"/>
      <c r="JV173" s="25"/>
      <c r="JW173" s="25"/>
      <c r="JX173" s="25"/>
      <c r="JY173" s="25"/>
      <c r="JZ173" s="25"/>
      <c r="KA173" s="25"/>
      <c r="KB173" s="36"/>
    </row>
    <row r="174" spans="2:288" ht="15" customHeight="1" x14ac:dyDescent="0.25">
      <c r="B174" s="216" t="str">
        <f t="shared" si="15"/>
        <v>Desk 61</v>
      </c>
      <c r="C174" s="218" t="str">
        <v/>
      </c>
      <c r="D174" s="218" t="str">
        <v/>
      </c>
      <c r="E174" s="218" t="str">
        <v/>
      </c>
      <c r="F174" s="218" t="str">
        <v/>
      </c>
      <c r="G174" s="402" t="str">
        <v/>
      </c>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36"/>
      <c r="DX174" s="25"/>
      <c r="DY174" s="25"/>
      <c r="DZ174" s="25"/>
      <c r="EA174" s="25"/>
      <c r="EB174" s="25"/>
      <c r="EC174" s="25"/>
      <c r="ED174" s="25"/>
      <c r="EE174" s="25"/>
      <c r="EF174" s="25"/>
      <c r="EG174" s="25"/>
      <c r="EH174" s="25"/>
      <c r="EI174" s="25"/>
      <c r="EJ174" s="25"/>
      <c r="EK174" s="25"/>
      <c r="EL174" s="25"/>
      <c r="EM174" s="25"/>
      <c r="EN174" s="25"/>
      <c r="EO174" s="25"/>
      <c r="EP174" s="25"/>
      <c r="EQ174" s="25"/>
      <c r="ER174" s="36"/>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c r="HG174" s="25"/>
      <c r="HH174" s="25"/>
      <c r="HI174" s="25"/>
      <c r="HJ174" s="25"/>
      <c r="HK174" s="25"/>
      <c r="HL174" s="25"/>
      <c r="HM174" s="25"/>
      <c r="HN174" s="25"/>
      <c r="HO174" s="25"/>
      <c r="HP174" s="25"/>
      <c r="HQ174" s="25"/>
      <c r="HR174" s="25"/>
      <c r="HS174" s="25"/>
      <c r="HT174" s="25"/>
      <c r="HU174" s="25"/>
      <c r="HV174" s="25"/>
      <c r="HW174" s="25"/>
      <c r="HX174" s="25"/>
      <c r="HY174" s="25"/>
      <c r="HZ174" s="25"/>
      <c r="IA174" s="25"/>
      <c r="IB174" s="25"/>
      <c r="IC174" s="25"/>
      <c r="ID174" s="25"/>
      <c r="IE174" s="25"/>
      <c r="IF174" s="25"/>
      <c r="IG174" s="25"/>
      <c r="IH174" s="25"/>
      <c r="II174" s="25"/>
      <c r="IJ174" s="25"/>
      <c r="IK174" s="25"/>
      <c r="IL174" s="25"/>
      <c r="IM174" s="25"/>
      <c r="IN174" s="25"/>
      <c r="IO174" s="25"/>
      <c r="IP174" s="25"/>
      <c r="IQ174" s="25"/>
      <c r="IR174" s="25"/>
      <c r="IS174" s="25"/>
      <c r="IT174" s="25"/>
      <c r="IU174" s="25"/>
      <c r="IV174" s="25"/>
      <c r="IW174" s="25"/>
      <c r="IX174" s="25"/>
      <c r="IY174" s="25"/>
      <c r="IZ174" s="25"/>
      <c r="JA174" s="25"/>
      <c r="JB174" s="25"/>
      <c r="JC174" s="25"/>
      <c r="JD174" s="25"/>
      <c r="JE174" s="25"/>
      <c r="JF174" s="25"/>
      <c r="JG174" s="36"/>
      <c r="JH174" s="25"/>
      <c r="JI174" s="25"/>
      <c r="JJ174" s="25"/>
      <c r="JK174" s="25"/>
      <c r="JL174" s="25"/>
      <c r="JM174" s="25"/>
      <c r="JN174" s="25"/>
      <c r="JO174" s="25"/>
      <c r="JP174" s="25"/>
      <c r="JQ174" s="25"/>
      <c r="JR174" s="25"/>
      <c r="JS174" s="25"/>
      <c r="JT174" s="25"/>
      <c r="JU174" s="25"/>
      <c r="JV174" s="25"/>
      <c r="JW174" s="25"/>
      <c r="JX174" s="25"/>
      <c r="JY174" s="25"/>
      <c r="JZ174" s="25"/>
      <c r="KA174" s="25"/>
      <c r="KB174" s="36"/>
    </row>
    <row r="175" spans="2:288" ht="15" customHeight="1" x14ac:dyDescent="0.25">
      <c r="B175" s="216" t="str">
        <f t="shared" si="15"/>
        <v>Desk 62</v>
      </c>
      <c r="C175" s="218" t="str">
        <v/>
      </c>
      <c r="D175" s="218" t="str">
        <v/>
      </c>
      <c r="E175" s="218" t="str">
        <v/>
      </c>
      <c r="F175" s="218" t="str">
        <v/>
      </c>
      <c r="G175" s="402" t="str">
        <v/>
      </c>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36"/>
      <c r="DX175" s="25"/>
      <c r="DY175" s="25"/>
      <c r="DZ175" s="25"/>
      <c r="EA175" s="25"/>
      <c r="EB175" s="25"/>
      <c r="EC175" s="25"/>
      <c r="ED175" s="25"/>
      <c r="EE175" s="25"/>
      <c r="EF175" s="25"/>
      <c r="EG175" s="25"/>
      <c r="EH175" s="25"/>
      <c r="EI175" s="25"/>
      <c r="EJ175" s="25"/>
      <c r="EK175" s="25"/>
      <c r="EL175" s="25"/>
      <c r="EM175" s="25"/>
      <c r="EN175" s="25"/>
      <c r="EO175" s="25"/>
      <c r="EP175" s="25"/>
      <c r="EQ175" s="25"/>
      <c r="ER175" s="36"/>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c r="HC175" s="25"/>
      <c r="HD175" s="25"/>
      <c r="HE175" s="25"/>
      <c r="HF175" s="25"/>
      <c r="HG175" s="25"/>
      <c r="HH175" s="25"/>
      <c r="HI175" s="25"/>
      <c r="HJ175" s="25"/>
      <c r="HK175" s="25"/>
      <c r="HL175" s="25"/>
      <c r="HM175" s="25"/>
      <c r="HN175" s="25"/>
      <c r="HO175" s="25"/>
      <c r="HP175" s="25"/>
      <c r="HQ175" s="25"/>
      <c r="HR175" s="25"/>
      <c r="HS175" s="25"/>
      <c r="HT175" s="25"/>
      <c r="HU175" s="25"/>
      <c r="HV175" s="25"/>
      <c r="HW175" s="25"/>
      <c r="HX175" s="25"/>
      <c r="HY175" s="25"/>
      <c r="HZ175" s="25"/>
      <c r="IA175" s="25"/>
      <c r="IB175" s="25"/>
      <c r="IC175" s="25"/>
      <c r="ID175" s="25"/>
      <c r="IE175" s="25"/>
      <c r="IF175" s="25"/>
      <c r="IG175" s="25"/>
      <c r="IH175" s="25"/>
      <c r="II175" s="25"/>
      <c r="IJ175" s="25"/>
      <c r="IK175" s="25"/>
      <c r="IL175" s="25"/>
      <c r="IM175" s="25"/>
      <c r="IN175" s="25"/>
      <c r="IO175" s="25"/>
      <c r="IP175" s="25"/>
      <c r="IQ175" s="25"/>
      <c r="IR175" s="25"/>
      <c r="IS175" s="25"/>
      <c r="IT175" s="25"/>
      <c r="IU175" s="25"/>
      <c r="IV175" s="25"/>
      <c r="IW175" s="25"/>
      <c r="IX175" s="25"/>
      <c r="IY175" s="25"/>
      <c r="IZ175" s="25"/>
      <c r="JA175" s="25"/>
      <c r="JB175" s="25"/>
      <c r="JC175" s="25"/>
      <c r="JD175" s="25"/>
      <c r="JE175" s="25"/>
      <c r="JF175" s="25"/>
      <c r="JG175" s="36"/>
      <c r="JH175" s="25"/>
      <c r="JI175" s="25"/>
      <c r="JJ175" s="25"/>
      <c r="JK175" s="25"/>
      <c r="JL175" s="25"/>
      <c r="JM175" s="25"/>
      <c r="JN175" s="25"/>
      <c r="JO175" s="25"/>
      <c r="JP175" s="25"/>
      <c r="JQ175" s="25"/>
      <c r="JR175" s="25"/>
      <c r="JS175" s="25"/>
      <c r="JT175" s="25"/>
      <c r="JU175" s="25"/>
      <c r="JV175" s="25"/>
      <c r="JW175" s="25"/>
      <c r="JX175" s="25"/>
      <c r="JY175" s="25"/>
      <c r="JZ175" s="25"/>
      <c r="KA175" s="25"/>
      <c r="KB175" s="36"/>
    </row>
    <row r="176" spans="2:288" ht="15" customHeight="1" x14ac:dyDescent="0.25">
      <c r="B176" s="216" t="str">
        <f t="shared" si="15"/>
        <v>Desk 63</v>
      </c>
      <c r="C176" s="218" t="str">
        <v/>
      </c>
      <c r="D176" s="218" t="str">
        <v/>
      </c>
      <c r="E176" s="218" t="str">
        <v/>
      </c>
      <c r="F176" s="218" t="str">
        <v/>
      </c>
      <c r="G176" s="402" t="str">
        <v/>
      </c>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36"/>
      <c r="DX176" s="25"/>
      <c r="DY176" s="25"/>
      <c r="DZ176" s="25"/>
      <c r="EA176" s="25"/>
      <c r="EB176" s="25"/>
      <c r="EC176" s="25"/>
      <c r="ED176" s="25"/>
      <c r="EE176" s="25"/>
      <c r="EF176" s="25"/>
      <c r="EG176" s="25"/>
      <c r="EH176" s="25"/>
      <c r="EI176" s="25"/>
      <c r="EJ176" s="25"/>
      <c r="EK176" s="25"/>
      <c r="EL176" s="25"/>
      <c r="EM176" s="25"/>
      <c r="EN176" s="25"/>
      <c r="EO176" s="25"/>
      <c r="EP176" s="25"/>
      <c r="EQ176" s="25"/>
      <c r="ER176" s="36"/>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c r="HC176" s="25"/>
      <c r="HD176" s="25"/>
      <c r="HE176" s="25"/>
      <c r="HF176" s="25"/>
      <c r="HG176" s="25"/>
      <c r="HH176" s="25"/>
      <c r="HI176" s="25"/>
      <c r="HJ176" s="25"/>
      <c r="HK176" s="25"/>
      <c r="HL176" s="25"/>
      <c r="HM176" s="25"/>
      <c r="HN176" s="25"/>
      <c r="HO176" s="25"/>
      <c r="HP176" s="25"/>
      <c r="HQ176" s="25"/>
      <c r="HR176" s="25"/>
      <c r="HS176" s="25"/>
      <c r="HT176" s="25"/>
      <c r="HU176" s="25"/>
      <c r="HV176" s="25"/>
      <c r="HW176" s="25"/>
      <c r="HX176" s="25"/>
      <c r="HY176" s="25"/>
      <c r="HZ176" s="25"/>
      <c r="IA176" s="25"/>
      <c r="IB176" s="25"/>
      <c r="IC176" s="25"/>
      <c r="ID176" s="25"/>
      <c r="IE176" s="25"/>
      <c r="IF176" s="25"/>
      <c r="IG176" s="25"/>
      <c r="IH176" s="25"/>
      <c r="II176" s="25"/>
      <c r="IJ176" s="25"/>
      <c r="IK176" s="25"/>
      <c r="IL176" s="25"/>
      <c r="IM176" s="25"/>
      <c r="IN176" s="25"/>
      <c r="IO176" s="25"/>
      <c r="IP176" s="25"/>
      <c r="IQ176" s="25"/>
      <c r="IR176" s="25"/>
      <c r="IS176" s="25"/>
      <c r="IT176" s="25"/>
      <c r="IU176" s="25"/>
      <c r="IV176" s="25"/>
      <c r="IW176" s="25"/>
      <c r="IX176" s="25"/>
      <c r="IY176" s="25"/>
      <c r="IZ176" s="25"/>
      <c r="JA176" s="25"/>
      <c r="JB176" s="25"/>
      <c r="JC176" s="25"/>
      <c r="JD176" s="25"/>
      <c r="JE176" s="25"/>
      <c r="JF176" s="25"/>
      <c r="JG176" s="36"/>
      <c r="JH176" s="25"/>
      <c r="JI176" s="25"/>
      <c r="JJ176" s="25"/>
      <c r="JK176" s="25"/>
      <c r="JL176" s="25"/>
      <c r="JM176" s="25"/>
      <c r="JN176" s="25"/>
      <c r="JO176" s="25"/>
      <c r="JP176" s="25"/>
      <c r="JQ176" s="25"/>
      <c r="JR176" s="25"/>
      <c r="JS176" s="25"/>
      <c r="JT176" s="25"/>
      <c r="JU176" s="25"/>
      <c r="JV176" s="25"/>
      <c r="JW176" s="25"/>
      <c r="JX176" s="25"/>
      <c r="JY176" s="25"/>
      <c r="JZ176" s="25"/>
      <c r="KA176" s="25"/>
      <c r="KB176" s="36"/>
    </row>
    <row r="177" spans="2:288" ht="15" customHeight="1" x14ac:dyDescent="0.25">
      <c r="B177" s="216" t="str">
        <f t="shared" si="15"/>
        <v>Desk 64</v>
      </c>
      <c r="C177" s="218" t="str">
        <v/>
      </c>
      <c r="D177" s="218" t="str">
        <v/>
      </c>
      <c r="E177" s="218" t="str">
        <v/>
      </c>
      <c r="F177" s="218" t="str">
        <v/>
      </c>
      <c r="G177" s="402" t="str">
        <v/>
      </c>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36"/>
      <c r="DX177" s="25"/>
      <c r="DY177" s="25"/>
      <c r="DZ177" s="25"/>
      <c r="EA177" s="25"/>
      <c r="EB177" s="25"/>
      <c r="EC177" s="25"/>
      <c r="ED177" s="25"/>
      <c r="EE177" s="25"/>
      <c r="EF177" s="25"/>
      <c r="EG177" s="25"/>
      <c r="EH177" s="25"/>
      <c r="EI177" s="25"/>
      <c r="EJ177" s="25"/>
      <c r="EK177" s="25"/>
      <c r="EL177" s="25"/>
      <c r="EM177" s="25"/>
      <c r="EN177" s="25"/>
      <c r="EO177" s="25"/>
      <c r="EP177" s="25"/>
      <c r="EQ177" s="25"/>
      <c r="ER177" s="36"/>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c r="HG177" s="25"/>
      <c r="HH177" s="25"/>
      <c r="HI177" s="25"/>
      <c r="HJ177" s="25"/>
      <c r="HK177" s="25"/>
      <c r="HL177" s="25"/>
      <c r="HM177" s="25"/>
      <c r="HN177" s="25"/>
      <c r="HO177" s="25"/>
      <c r="HP177" s="25"/>
      <c r="HQ177" s="25"/>
      <c r="HR177" s="25"/>
      <c r="HS177" s="25"/>
      <c r="HT177" s="25"/>
      <c r="HU177" s="25"/>
      <c r="HV177" s="25"/>
      <c r="HW177" s="25"/>
      <c r="HX177" s="25"/>
      <c r="HY177" s="25"/>
      <c r="HZ177" s="25"/>
      <c r="IA177" s="25"/>
      <c r="IB177" s="25"/>
      <c r="IC177" s="25"/>
      <c r="ID177" s="25"/>
      <c r="IE177" s="25"/>
      <c r="IF177" s="25"/>
      <c r="IG177" s="25"/>
      <c r="IH177" s="25"/>
      <c r="II177" s="25"/>
      <c r="IJ177" s="25"/>
      <c r="IK177" s="25"/>
      <c r="IL177" s="25"/>
      <c r="IM177" s="25"/>
      <c r="IN177" s="25"/>
      <c r="IO177" s="25"/>
      <c r="IP177" s="25"/>
      <c r="IQ177" s="25"/>
      <c r="IR177" s="25"/>
      <c r="IS177" s="25"/>
      <c r="IT177" s="25"/>
      <c r="IU177" s="25"/>
      <c r="IV177" s="25"/>
      <c r="IW177" s="25"/>
      <c r="IX177" s="25"/>
      <c r="IY177" s="25"/>
      <c r="IZ177" s="25"/>
      <c r="JA177" s="25"/>
      <c r="JB177" s="25"/>
      <c r="JC177" s="25"/>
      <c r="JD177" s="25"/>
      <c r="JE177" s="25"/>
      <c r="JF177" s="25"/>
      <c r="JG177" s="36"/>
      <c r="JH177" s="25"/>
      <c r="JI177" s="25"/>
      <c r="JJ177" s="25"/>
      <c r="JK177" s="25"/>
      <c r="JL177" s="25"/>
      <c r="JM177" s="25"/>
      <c r="JN177" s="25"/>
      <c r="JO177" s="25"/>
      <c r="JP177" s="25"/>
      <c r="JQ177" s="25"/>
      <c r="JR177" s="25"/>
      <c r="JS177" s="25"/>
      <c r="JT177" s="25"/>
      <c r="JU177" s="25"/>
      <c r="JV177" s="25"/>
      <c r="JW177" s="25"/>
      <c r="JX177" s="25"/>
      <c r="JY177" s="25"/>
      <c r="JZ177" s="25"/>
      <c r="KA177" s="25"/>
      <c r="KB177" s="36"/>
    </row>
    <row r="178" spans="2:288" ht="15" customHeight="1" x14ac:dyDescent="0.25">
      <c r="B178" s="216" t="str">
        <f t="shared" ref="B178:B213" si="16">B75</f>
        <v>Desk 65</v>
      </c>
      <c r="C178" s="218" t="str">
        <v/>
      </c>
      <c r="D178" s="218" t="str">
        <v/>
      </c>
      <c r="E178" s="218" t="str">
        <v/>
      </c>
      <c r="F178" s="218" t="str">
        <v/>
      </c>
      <c r="G178" s="402" t="str">
        <v/>
      </c>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36"/>
      <c r="DX178" s="25"/>
      <c r="DY178" s="25"/>
      <c r="DZ178" s="25"/>
      <c r="EA178" s="25"/>
      <c r="EB178" s="25"/>
      <c r="EC178" s="25"/>
      <c r="ED178" s="25"/>
      <c r="EE178" s="25"/>
      <c r="EF178" s="25"/>
      <c r="EG178" s="25"/>
      <c r="EH178" s="25"/>
      <c r="EI178" s="25"/>
      <c r="EJ178" s="25"/>
      <c r="EK178" s="25"/>
      <c r="EL178" s="25"/>
      <c r="EM178" s="25"/>
      <c r="EN178" s="25"/>
      <c r="EO178" s="25"/>
      <c r="EP178" s="25"/>
      <c r="EQ178" s="25"/>
      <c r="ER178" s="36"/>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c r="HG178" s="25"/>
      <c r="HH178" s="25"/>
      <c r="HI178" s="25"/>
      <c r="HJ178" s="25"/>
      <c r="HK178" s="25"/>
      <c r="HL178" s="25"/>
      <c r="HM178" s="25"/>
      <c r="HN178" s="25"/>
      <c r="HO178" s="25"/>
      <c r="HP178" s="25"/>
      <c r="HQ178" s="25"/>
      <c r="HR178" s="25"/>
      <c r="HS178" s="25"/>
      <c r="HT178" s="25"/>
      <c r="HU178" s="25"/>
      <c r="HV178" s="25"/>
      <c r="HW178" s="25"/>
      <c r="HX178" s="25"/>
      <c r="HY178" s="25"/>
      <c r="HZ178" s="25"/>
      <c r="IA178" s="25"/>
      <c r="IB178" s="25"/>
      <c r="IC178" s="25"/>
      <c r="ID178" s="25"/>
      <c r="IE178" s="25"/>
      <c r="IF178" s="25"/>
      <c r="IG178" s="25"/>
      <c r="IH178" s="25"/>
      <c r="II178" s="25"/>
      <c r="IJ178" s="25"/>
      <c r="IK178" s="25"/>
      <c r="IL178" s="25"/>
      <c r="IM178" s="25"/>
      <c r="IN178" s="25"/>
      <c r="IO178" s="25"/>
      <c r="IP178" s="25"/>
      <c r="IQ178" s="25"/>
      <c r="IR178" s="25"/>
      <c r="IS178" s="25"/>
      <c r="IT178" s="25"/>
      <c r="IU178" s="25"/>
      <c r="IV178" s="25"/>
      <c r="IW178" s="25"/>
      <c r="IX178" s="25"/>
      <c r="IY178" s="25"/>
      <c r="IZ178" s="25"/>
      <c r="JA178" s="25"/>
      <c r="JB178" s="25"/>
      <c r="JC178" s="25"/>
      <c r="JD178" s="25"/>
      <c r="JE178" s="25"/>
      <c r="JF178" s="25"/>
      <c r="JG178" s="36"/>
      <c r="JH178" s="25"/>
      <c r="JI178" s="25"/>
      <c r="JJ178" s="25"/>
      <c r="JK178" s="25"/>
      <c r="JL178" s="25"/>
      <c r="JM178" s="25"/>
      <c r="JN178" s="25"/>
      <c r="JO178" s="25"/>
      <c r="JP178" s="25"/>
      <c r="JQ178" s="25"/>
      <c r="JR178" s="25"/>
      <c r="JS178" s="25"/>
      <c r="JT178" s="25"/>
      <c r="JU178" s="25"/>
      <c r="JV178" s="25"/>
      <c r="JW178" s="25"/>
      <c r="JX178" s="25"/>
      <c r="JY178" s="25"/>
      <c r="JZ178" s="25"/>
      <c r="KA178" s="25"/>
      <c r="KB178" s="36"/>
    </row>
    <row r="179" spans="2:288" ht="15" customHeight="1" x14ac:dyDescent="0.25">
      <c r="B179" s="216" t="str">
        <f t="shared" si="16"/>
        <v>Desk 66</v>
      </c>
      <c r="C179" s="218" t="str">
        <v/>
      </c>
      <c r="D179" s="218" t="str">
        <v/>
      </c>
      <c r="E179" s="218" t="str">
        <v/>
      </c>
      <c r="F179" s="218" t="str">
        <v/>
      </c>
      <c r="G179" s="402" t="str">
        <v/>
      </c>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36"/>
      <c r="DX179" s="25"/>
      <c r="DY179" s="25"/>
      <c r="DZ179" s="25"/>
      <c r="EA179" s="25"/>
      <c r="EB179" s="25"/>
      <c r="EC179" s="25"/>
      <c r="ED179" s="25"/>
      <c r="EE179" s="25"/>
      <c r="EF179" s="25"/>
      <c r="EG179" s="25"/>
      <c r="EH179" s="25"/>
      <c r="EI179" s="25"/>
      <c r="EJ179" s="25"/>
      <c r="EK179" s="25"/>
      <c r="EL179" s="25"/>
      <c r="EM179" s="25"/>
      <c r="EN179" s="25"/>
      <c r="EO179" s="25"/>
      <c r="EP179" s="25"/>
      <c r="EQ179" s="25"/>
      <c r="ER179" s="36"/>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c r="HH179" s="25"/>
      <c r="HI179" s="25"/>
      <c r="HJ179" s="25"/>
      <c r="HK179" s="25"/>
      <c r="HL179" s="25"/>
      <c r="HM179" s="25"/>
      <c r="HN179" s="25"/>
      <c r="HO179" s="25"/>
      <c r="HP179" s="25"/>
      <c r="HQ179" s="25"/>
      <c r="HR179" s="25"/>
      <c r="HS179" s="25"/>
      <c r="HT179" s="25"/>
      <c r="HU179" s="25"/>
      <c r="HV179" s="25"/>
      <c r="HW179" s="25"/>
      <c r="HX179" s="25"/>
      <c r="HY179" s="25"/>
      <c r="HZ179" s="25"/>
      <c r="IA179" s="25"/>
      <c r="IB179" s="25"/>
      <c r="IC179" s="25"/>
      <c r="ID179" s="25"/>
      <c r="IE179" s="25"/>
      <c r="IF179" s="25"/>
      <c r="IG179" s="25"/>
      <c r="IH179" s="25"/>
      <c r="II179" s="25"/>
      <c r="IJ179" s="25"/>
      <c r="IK179" s="25"/>
      <c r="IL179" s="25"/>
      <c r="IM179" s="25"/>
      <c r="IN179" s="25"/>
      <c r="IO179" s="25"/>
      <c r="IP179" s="25"/>
      <c r="IQ179" s="25"/>
      <c r="IR179" s="25"/>
      <c r="IS179" s="25"/>
      <c r="IT179" s="25"/>
      <c r="IU179" s="25"/>
      <c r="IV179" s="25"/>
      <c r="IW179" s="25"/>
      <c r="IX179" s="25"/>
      <c r="IY179" s="25"/>
      <c r="IZ179" s="25"/>
      <c r="JA179" s="25"/>
      <c r="JB179" s="25"/>
      <c r="JC179" s="25"/>
      <c r="JD179" s="25"/>
      <c r="JE179" s="25"/>
      <c r="JF179" s="25"/>
      <c r="JG179" s="36"/>
      <c r="JH179" s="25"/>
      <c r="JI179" s="25"/>
      <c r="JJ179" s="25"/>
      <c r="JK179" s="25"/>
      <c r="JL179" s="25"/>
      <c r="JM179" s="25"/>
      <c r="JN179" s="25"/>
      <c r="JO179" s="25"/>
      <c r="JP179" s="25"/>
      <c r="JQ179" s="25"/>
      <c r="JR179" s="25"/>
      <c r="JS179" s="25"/>
      <c r="JT179" s="25"/>
      <c r="JU179" s="25"/>
      <c r="JV179" s="25"/>
      <c r="JW179" s="25"/>
      <c r="JX179" s="25"/>
      <c r="JY179" s="25"/>
      <c r="JZ179" s="25"/>
      <c r="KA179" s="25"/>
      <c r="KB179" s="36"/>
    </row>
    <row r="180" spans="2:288" ht="15" customHeight="1" x14ac:dyDescent="0.25">
      <c r="B180" s="216" t="str">
        <f t="shared" si="16"/>
        <v>Desk 67</v>
      </c>
      <c r="C180" s="218" t="str">
        <v/>
      </c>
      <c r="D180" s="218" t="str">
        <v/>
      </c>
      <c r="E180" s="218" t="str">
        <v/>
      </c>
      <c r="F180" s="218" t="str">
        <v/>
      </c>
      <c r="G180" s="402" t="str">
        <v/>
      </c>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36"/>
      <c r="DX180" s="25"/>
      <c r="DY180" s="25"/>
      <c r="DZ180" s="25"/>
      <c r="EA180" s="25"/>
      <c r="EB180" s="25"/>
      <c r="EC180" s="25"/>
      <c r="ED180" s="25"/>
      <c r="EE180" s="25"/>
      <c r="EF180" s="25"/>
      <c r="EG180" s="25"/>
      <c r="EH180" s="25"/>
      <c r="EI180" s="25"/>
      <c r="EJ180" s="25"/>
      <c r="EK180" s="25"/>
      <c r="EL180" s="25"/>
      <c r="EM180" s="25"/>
      <c r="EN180" s="25"/>
      <c r="EO180" s="25"/>
      <c r="EP180" s="25"/>
      <c r="EQ180" s="25"/>
      <c r="ER180" s="36"/>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c r="HH180" s="25"/>
      <c r="HI180" s="25"/>
      <c r="HJ180" s="25"/>
      <c r="HK180" s="25"/>
      <c r="HL180" s="25"/>
      <c r="HM180" s="25"/>
      <c r="HN180" s="25"/>
      <c r="HO180" s="25"/>
      <c r="HP180" s="25"/>
      <c r="HQ180" s="25"/>
      <c r="HR180" s="25"/>
      <c r="HS180" s="25"/>
      <c r="HT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c r="IU180" s="25"/>
      <c r="IV180" s="25"/>
      <c r="IW180" s="25"/>
      <c r="IX180" s="25"/>
      <c r="IY180" s="25"/>
      <c r="IZ180" s="25"/>
      <c r="JA180" s="25"/>
      <c r="JB180" s="25"/>
      <c r="JC180" s="25"/>
      <c r="JD180" s="25"/>
      <c r="JE180" s="25"/>
      <c r="JF180" s="25"/>
      <c r="JG180" s="36"/>
      <c r="JH180" s="25"/>
      <c r="JI180" s="25"/>
      <c r="JJ180" s="25"/>
      <c r="JK180" s="25"/>
      <c r="JL180" s="25"/>
      <c r="JM180" s="25"/>
      <c r="JN180" s="25"/>
      <c r="JO180" s="25"/>
      <c r="JP180" s="25"/>
      <c r="JQ180" s="25"/>
      <c r="JR180" s="25"/>
      <c r="JS180" s="25"/>
      <c r="JT180" s="25"/>
      <c r="JU180" s="25"/>
      <c r="JV180" s="25"/>
      <c r="JW180" s="25"/>
      <c r="JX180" s="25"/>
      <c r="JY180" s="25"/>
      <c r="JZ180" s="25"/>
      <c r="KA180" s="25"/>
      <c r="KB180" s="36"/>
    </row>
    <row r="181" spans="2:288" ht="15" customHeight="1" x14ac:dyDescent="0.25">
      <c r="B181" s="216" t="str">
        <f t="shared" si="16"/>
        <v>Desk 68</v>
      </c>
      <c r="C181" s="218" t="str">
        <v/>
      </c>
      <c r="D181" s="218" t="str">
        <v/>
      </c>
      <c r="E181" s="218" t="str">
        <v/>
      </c>
      <c r="F181" s="218" t="str">
        <v/>
      </c>
      <c r="G181" s="402" t="str">
        <v/>
      </c>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36"/>
      <c r="DX181" s="25"/>
      <c r="DY181" s="25"/>
      <c r="DZ181" s="25"/>
      <c r="EA181" s="25"/>
      <c r="EB181" s="25"/>
      <c r="EC181" s="25"/>
      <c r="ED181" s="25"/>
      <c r="EE181" s="25"/>
      <c r="EF181" s="25"/>
      <c r="EG181" s="25"/>
      <c r="EH181" s="25"/>
      <c r="EI181" s="25"/>
      <c r="EJ181" s="25"/>
      <c r="EK181" s="25"/>
      <c r="EL181" s="25"/>
      <c r="EM181" s="25"/>
      <c r="EN181" s="25"/>
      <c r="EO181" s="25"/>
      <c r="EP181" s="25"/>
      <c r="EQ181" s="25"/>
      <c r="ER181" s="36"/>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c r="HH181" s="25"/>
      <c r="HI181" s="25"/>
      <c r="HJ181" s="25"/>
      <c r="HK181" s="25"/>
      <c r="HL181" s="25"/>
      <c r="HM181" s="25"/>
      <c r="HN181" s="25"/>
      <c r="HO181" s="25"/>
      <c r="HP181" s="25"/>
      <c r="HQ181" s="25"/>
      <c r="HR181" s="25"/>
      <c r="HS181" s="25"/>
      <c r="HT181" s="25"/>
      <c r="HU181" s="25"/>
      <c r="HV181" s="25"/>
      <c r="HW181" s="25"/>
      <c r="HX181" s="25"/>
      <c r="HY181" s="25"/>
      <c r="HZ181" s="25"/>
      <c r="IA181" s="25"/>
      <c r="IB181" s="25"/>
      <c r="IC181" s="25"/>
      <c r="ID181" s="25"/>
      <c r="IE181" s="25"/>
      <c r="IF181" s="25"/>
      <c r="IG181" s="25"/>
      <c r="IH181" s="25"/>
      <c r="II181" s="25"/>
      <c r="IJ181" s="25"/>
      <c r="IK181" s="25"/>
      <c r="IL181" s="25"/>
      <c r="IM181" s="25"/>
      <c r="IN181" s="25"/>
      <c r="IO181" s="25"/>
      <c r="IP181" s="25"/>
      <c r="IQ181" s="25"/>
      <c r="IR181" s="25"/>
      <c r="IS181" s="25"/>
      <c r="IT181" s="25"/>
      <c r="IU181" s="25"/>
      <c r="IV181" s="25"/>
      <c r="IW181" s="25"/>
      <c r="IX181" s="25"/>
      <c r="IY181" s="25"/>
      <c r="IZ181" s="25"/>
      <c r="JA181" s="25"/>
      <c r="JB181" s="25"/>
      <c r="JC181" s="25"/>
      <c r="JD181" s="25"/>
      <c r="JE181" s="25"/>
      <c r="JF181" s="25"/>
      <c r="JG181" s="36"/>
      <c r="JH181" s="25"/>
      <c r="JI181" s="25"/>
      <c r="JJ181" s="25"/>
      <c r="JK181" s="25"/>
      <c r="JL181" s="25"/>
      <c r="JM181" s="25"/>
      <c r="JN181" s="25"/>
      <c r="JO181" s="25"/>
      <c r="JP181" s="25"/>
      <c r="JQ181" s="25"/>
      <c r="JR181" s="25"/>
      <c r="JS181" s="25"/>
      <c r="JT181" s="25"/>
      <c r="JU181" s="25"/>
      <c r="JV181" s="25"/>
      <c r="JW181" s="25"/>
      <c r="JX181" s="25"/>
      <c r="JY181" s="25"/>
      <c r="JZ181" s="25"/>
      <c r="KA181" s="25"/>
      <c r="KB181" s="36"/>
    </row>
    <row r="182" spans="2:288" ht="15" customHeight="1" x14ac:dyDescent="0.25">
      <c r="B182" s="216" t="str">
        <f t="shared" si="16"/>
        <v>Desk 69</v>
      </c>
      <c r="C182" s="218" t="str">
        <v/>
      </c>
      <c r="D182" s="218" t="str">
        <v/>
      </c>
      <c r="E182" s="218" t="str">
        <v/>
      </c>
      <c r="F182" s="218" t="str">
        <v/>
      </c>
      <c r="G182" s="402" t="str">
        <v/>
      </c>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36"/>
      <c r="DX182" s="25"/>
      <c r="DY182" s="25"/>
      <c r="DZ182" s="25"/>
      <c r="EA182" s="25"/>
      <c r="EB182" s="25"/>
      <c r="EC182" s="25"/>
      <c r="ED182" s="25"/>
      <c r="EE182" s="25"/>
      <c r="EF182" s="25"/>
      <c r="EG182" s="25"/>
      <c r="EH182" s="25"/>
      <c r="EI182" s="25"/>
      <c r="EJ182" s="25"/>
      <c r="EK182" s="25"/>
      <c r="EL182" s="25"/>
      <c r="EM182" s="25"/>
      <c r="EN182" s="25"/>
      <c r="EO182" s="25"/>
      <c r="EP182" s="25"/>
      <c r="EQ182" s="25"/>
      <c r="ER182" s="36"/>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36"/>
      <c r="JH182" s="25"/>
      <c r="JI182" s="25"/>
      <c r="JJ182" s="25"/>
      <c r="JK182" s="25"/>
      <c r="JL182" s="25"/>
      <c r="JM182" s="25"/>
      <c r="JN182" s="25"/>
      <c r="JO182" s="25"/>
      <c r="JP182" s="25"/>
      <c r="JQ182" s="25"/>
      <c r="JR182" s="25"/>
      <c r="JS182" s="25"/>
      <c r="JT182" s="25"/>
      <c r="JU182" s="25"/>
      <c r="JV182" s="25"/>
      <c r="JW182" s="25"/>
      <c r="JX182" s="25"/>
      <c r="JY182" s="25"/>
      <c r="JZ182" s="25"/>
      <c r="KA182" s="25"/>
      <c r="KB182" s="36"/>
    </row>
    <row r="183" spans="2:288" ht="15" customHeight="1" x14ac:dyDescent="0.25">
      <c r="B183" s="216" t="str">
        <f t="shared" si="16"/>
        <v>Desk 70</v>
      </c>
      <c r="C183" s="218" t="str">
        <v/>
      </c>
      <c r="D183" s="218" t="str">
        <v/>
      </c>
      <c r="E183" s="218" t="str">
        <v/>
      </c>
      <c r="F183" s="218" t="str">
        <v/>
      </c>
      <c r="G183" s="402" t="str">
        <v/>
      </c>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36"/>
      <c r="DX183" s="25"/>
      <c r="DY183" s="25"/>
      <c r="DZ183" s="25"/>
      <c r="EA183" s="25"/>
      <c r="EB183" s="25"/>
      <c r="EC183" s="25"/>
      <c r="ED183" s="25"/>
      <c r="EE183" s="25"/>
      <c r="EF183" s="25"/>
      <c r="EG183" s="25"/>
      <c r="EH183" s="25"/>
      <c r="EI183" s="25"/>
      <c r="EJ183" s="25"/>
      <c r="EK183" s="25"/>
      <c r="EL183" s="25"/>
      <c r="EM183" s="25"/>
      <c r="EN183" s="25"/>
      <c r="EO183" s="25"/>
      <c r="EP183" s="25"/>
      <c r="EQ183" s="25"/>
      <c r="ER183" s="36"/>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36"/>
      <c r="JH183" s="25"/>
      <c r="JI183" s="25"/>
      <c r="JJ183" s="25"/>
      <c r="JK183" s="25"/>
      <c r="JL183" s="25"/>
      <c r="JM183" s="25"/>
      <c r="JN183" s="25"/>
      <c r="JO183" s="25"/>
      <c r="JP183" s="25"/>
      <c r="JQ183" s="25"/>
      <c r="JR183" s="25"/>
      <c r="JS183" s="25"/>
      <c r="JT183" s="25"/>
      <c r="JU183" s="25"/>
      <c r="JV183" s="25"/>
      <c r="JW183" s="25"/>
      <c r="JX183" s="25"/>
      <c r="JY183" s="25"/>
      <c r="JZ183" s="25"/>
      <c r="KA183" s="25"/>
      <c r="KB183" s="36"/>
    </row>
    <row r="184" spans="2:288" ht="15" customHeight="1" x14ac:dyDescent="0.25">
      <c r="B184" s="216" t="str">
        <f t="shared" si="16"/>
        <v>Desk 71</v>
      </c>
      <c r="C184" s="218" t="str">
        <v/>
      </c>
      <c r="D184" s="218" t="str">
        <v/>
      </c>
      <c r="E184" s="218" t="str">
        <v/>
      </c>
      <c r="F184" s="218" t="str">
        <v/>
      </c>
      <c r="G184" s="402" t="str">
        <v/>
      </c>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36"/>
      <c r="DX184" s="25"/>
      <c r="DY184" s="25"/>
      <c r="DZ184" s="25"/>
      <c r="EA184" s="25"/>
      <c r="EB184" s="25"/>
      <c r="EC184" s="25"/>
      <c r="ED184" s="25"/>
      <c r="EE184" s="25"/>
      <c r="EF184" s="25"/>
      <c r="EG184" s="25"/>
      <c r="EH184" s="25"/>
      <c r="EI184" s="25"/>
      <c r="EJ184" s="25"/>
      <c r="EK184" s="25"/>
      <c r="EL184" s="25"/>
      <c r="EM184" s="25"/>
      <c r="EN184" s="25"/>
      <c r="EO184" s="25"/>
      <c r="EP184" s="25"/>
      <c r="EQ184" s="25"/>
      <c r="ER184" s="36"/>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36"/>
      <c r="JH184" s="25"/>
      <c r="JI184" s="25"/>
      <c r="JJ184" s="25"/>
      <c r="JK184" s="25"/>
      <c r="JL184" s="25"/>
      <c r="JM184" s="25"/>
      <c r="JN184" s="25"/>
      <c r="JO184" s="25"/>
      <c r="JP184" s="25"/>
      <c r="JQ184" s="25"/>
      <c r="JR184" s="25"/>
      <c r="JS184" s="25"/>
      <c r="JT184" s="25"/>
      <c r="JU184" s="25"/>
      <c r="JV184" s="25"/>
      <c r="JW184" s="25"/>
      <c r="JX184" s="25"/>
      <c r="JY184" s="25"/>
      <c r="JZ184" s="25"/>
      <c r="KA184" s="25"/>
      <c r="KB184" s="36"/>
    </row>
    <row r="185" spans="2:288" ht="15" customHeight="1" x14ac:dyDescent="0.25">
      <c r="B185" s="216" t="str">
        <f t="shared" si="16"/>
        <v>Desk 72</v>
      </c>
      <c r="C185" s="218" t="str">
        <v/>
      </c>
      <c r="D185" s="218" t="str">
        <v/>
      </c>
      <c r="E185" s="218" t="str">
        <v/>
      </c>
      <c r="F185" s="218" t="str">
        <v/>
      </c>
      <c r="G185" s="402" t="str">
        <v/>
      </c>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36"/>
      <c r="DX185" s="25"/>
      <c r="DY185" s="25"/>
      <c r="DZ185" s="25"/>
      <c r="EA185" s="25"/>
      <c r="EB185" s="25"/>
      <c r="EC185" s="25"/>
      <c r="ED185" s="25"/>
      <c r="EE185" s="25"/>
      <c r="EF185" s="25"/>
      <c r="EG185" s="25"/>
      <c r="EH185" s="25"/>
      <c r="EI185" s="25"/>
      <c r="EJ185" s="25"/>
      <c r="EK185" s="25"/>
      <c r="EL185" s="25"/>
      <c r="EM185" s="25"/>
      <c r="EN185" s="25"/>
      <c r="EO185" s="25"/>
      <c r="EP185" s="25"/>
      <c r="EQ185" s="25"/>
      <c r="ER185" s="36"/>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36"/>
      <c r="JH185" s="25"/>
      <c r="JI185" s="25"/>
      <c r="JJ185" s="25"/>
      <c r="JK185" s="25"/>
      <c r="JL185" s="25"/>
      <c r="JM185" s="25"/>
      <c r="JN185" s="25"/>
      <c r="JO185" s="25"/>
      <c r="JP185" s="25"/>
      <c r="JQ185" s="25"/>
      <c r="JR185" s="25"/>
      <c r="JS185" s="25"/>
      <c r="JT185" s="25"/>
      <c r="JU185" s="25"/>
      <c r="JV185" s="25"/>
      <c r="JW185" s="25"/>
      <c r="JX185" s="25"/>
      <c r="JY185" s="25"/>
      <c r="JZ185" s="25"/>
      <c r="KA185" s="25"/>
      <c r="KB185" s="36"/>
    </row>
    <row r="186" spans="2:288" ht="15" customHeight="1" x14ac:dyDescent="0.25">
      <c r="B186" s="216" t="str">
        <f t="shared" si="16"/>
        <v>Desk 73</v>
      </c>
      <c r="C186" s="218" t="str">
        <v/>
      </c>
      <c r="D186" s="218" t="str">
        <v/>
      </c>
      <c r="E186" s="218" t="str">
        <v/>
      </c>
      <c r="F186" s="218" t="str">
        <v/>
      </c>
      <c r="G186" s="402" t="str">
        <v/>
      </c>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36"/>
      <c r="DX186" s="25"/>
      <c r="DY186" s="25"/>
      <c r="DZ186" s="25"/>
      <c r="EA186" s="25"/>
      <c r="EB186" s="25"/>
      <c r="EC186" s="25"/>
      <c r="ED186" s="25"/>
      <c r="EE186" s="25"/>
      <c r="EF186" s="25"/>
      <c r="EG186" s="25"/>
      <c r="EH186" s="25"/>
      <c r="EI186" s="25"/>
      <c r="EJ186" s="25"/>
      <c r="EK186" s="25"/>
      <c r="EL186" s="25"/>
      <c r="EM186" s="25"/>
      <c r="EN186" s="25"/>
      <c r="EO186" s="25"/>
      <c r="EP186" s="25"/>
      <c r="EQ186" s="25"/>
      <c r="ER186" s="36"/>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36"/>
      <c r="JH186" s="25"/>
      <c r="JI186" s="25"/>
      <c r="JJ186" s="25"/>
      <c r="JK186" s="25"/>
      <c r="JL186" s="25"/>
      <c r="JM186" s="25"/>
      <c r="JN186" s="25"/>
      <c r="JO186" s="25"/>
      <c r="JP186" s="25"/>
      <c r="JQ186" s="25"/>
      <c r="JR186" s="25"/>
      <c r="JS186" s="25"/>
      <c r="JT186" s="25"/>
      <c r="JU186" s="25"/>
      <c r="JV186" s="25"/>
      <c r="JW186" s="25"/>
      <c r="JX186" s="25"/>
      <c r="JY186" s="25"/>
      <c r="JZ186" s="25"/>
      <c r="KA186" s="25"/>
      <c r="KB186" s="36"/>
    </row>
    <row r="187" spans="2:288" ht="15" customHeight="1" x14ac:dyDescent="0.25">
      <c r="B187" s="216" t="str">
        <f t="shared" si="16"/>
        <v>Desk 74</v>
      </c>
      <c r="C187" s="218" t="str">
        <v/>
      </c>
      <c r="D187" s="218" t="str">
        <v/>
      </c>
      <c r="E187" s="218" t="str">
        <v/>
      </c>
      <c r="F187" s="218" t="str">
        <v/>
      </c>
      <c r="G187" s="402" t="str">
        <v/>
      </c>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36"/>
      <c r="DX187" s="25"/>
      <c r="DY187" s="25"/>
      <c r="DZ187" s="25"/>
      <c r="EA187" s="25"/>
      <c r="EB187" s="25"/>
      <c r="EC187" s="25"/>
      <c r="ED187" s="25"/>
      <c r="EE187" s="25"/>
      <c r="EF187" s="25"/>
      <c r="EG187" s="25"/>
      <c r="EH187" s="25"/>
      <c r="EI187" s="25"/>
      <c r="EJ187" s="25"/>
      <c r="EK187" s="25"/>
      <c r="EL187" s="25"/>
      <c r="EM187" s="25"/>
      <c r="EN187" s="25"/>
      <c r="EO187" s="25"/>
      <c r="EP187" s="25"/>
      <c r="EQ187" s="25"/>
      <c r="ER187" s="36"/>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36"/>
      <c r="JH187" s="25"/>
      <c r="JI187" s="25"/>
      <c r="JJ187" s="25"/>
      <c r="JK187" s="25"/>
      <c r="JL187" s="25"/>
      <c r="JM187" s="25"/>
      <c r="JN187" s="25"/>
      <c r="JO187" s="25"/>
      <c r="JP187" s="25"/>
      <c r="JQ187" s="25"/>
      <c r="JR187" s="25"/>
      <c r="JS187" s="25"/>
      <c r="JT187" s="25"/>
      <c r="JU187" s="25"/>
      <c r="JV187" s="25"/>
      <c r="JW187" s="25"/>
      <c r="JX187" s="25"/>
      <c r="JY187" s="25"/>
      <c r="JZ187" s="25"/>
      <c r="KA187" s="25"/>
      <c r="KB187" s="36"/>
    </row>
    <row r="188" spans="2:288" ht="15" customHeight="1" x14ac:dyDescent="0.25">
      <c r="B188" s="216" t="str">
        <f t="shared" si="16"/>
        <v>Desk 75</v>
      </c>
      <c r="C188" s="218" t="str">
        <v/>
      </c>
      <c r="D188" s="218" t="str">
        <v/>
      </c>
      <c r="E188" s="218" t="str">
        <v/>
      </c>
      <c r="F188" s="218" t="str">
        <v/>
      </c>
      <c r="G188" s="402" t="str">
        <v/>
      </c>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36"/>
      <c r="DX188" s="25"/>
      <c r="DY188" s="25"/>
      <c r="DZ188" s="25"/>
      <c r="EA188" s="25"/>
      <c r="EB188" s="25"/>
      <c r="EC188" s="25"/>
      <c r="ED188" s="25"/>
      <c r="EE188" s="25"/>
      <c r="EF188" s="25"/>
      <c r="EG188" s="25"/>
      <c r="EH188" s="25"/>
      <c r="EI188" s="25"/>
      <c r="EJ188" s="25"/>
      <c r="EK188" s="25"/>
      <c r="EL188" s="25"/>
      <c r="EM188" s="25"/>
      <c r="EN188" s="25"/>
      <c r="EO188" s="25"/>
      <c r="EP188" s="25"/>
      <c r="EQ188" s="25"/>
      <c r="ER188" s="36"/>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36"/>
      <c r="JH188" s="25"/>
      <c r="JI188" s="25"/>
      <c r="JJ188" s="25"/>
      <c r="JK188" s="25"/>
      <c r="JL188" s="25"/>
      <c r="JM188" s="25"/>
      <c r="JN188" s="25"/>
      <c r="JO188" s="25"/>
      <c r="JP188" s="25"/>
      <c r="JQ188" s="25"/>
      <c r="JR188" s="25"/>
      <c r="JS188" s="25"/>
      <c r="JT188" s="25"/>
      <c r="JU188" s="25"/>
      <c r="JV188" s="25"/>
      <c r="JW188" s="25"/>
      <c r="JX188" s="25"/>
      <c r="JY188" s="25"/>
      <c r="JZ188" s="25"/>
      <c r="KA188" s="25"/>
      <c r="KB188" s="36"/>
    </row>
    <row r="189" spans="2:288" ht="15" customHeight="1" x14ac:dyDescent="0.25">
      <c r="B189" s="216" t="str">
        <f t="shared" si="16"/>
        <v>Desk 76</v>
      </c>
      <c r="C189" s="218" t="str">
        <v/>
      </c>
      <c r="D189" s="218" t="str">
        <v/>
      </c>
      <c r="E189" s="218" t="str">
        <v/>
      </c>
      <c r="F189" s="218" t="str">
        <v/>
      </c>
      <c r="G189" s="402" t="str">
        <v/>
      </c>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36"/>
      <c r="DX189" s="25"/>
      <c r="DY189" s="25"/>
      <c r="DZ189" s="25"/>
      <c r="EA189" s="25"/>
      <c r="EB189" s="25"/>
      <c r="EC189" s="25"/>
      <c r="ED189" s="25"/>
      <c r="EE189" s="25"/>
      <c r="EF189" s="25"/>
      <c r="EG189" s="25"/>
      <c r="EH189" s="25"/>
      <c r="EI189" s="25"/>
      <c r="EJ189" s="25"/>
      <c r="EK189" s="25"/>
      <c r="EL189" s="25"/>
      <c r="EM189" s="25"/>
      <c r="EN189" s="25"/>
      <c r="EO189" s="25"/>
      <c r="EP189" s="25"/>
      <c r="EQ189" s="25"/>
      <c r="ER189" s="36"/>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36"/>
      <c r="JH189" s="25"/>
      <c r="JI189" s="25"/>
      <c r="JJ189" s="25"/>
      <c r="JK189" s="25"/>
      <c r="JL189" s="25"/>
      <c r="JM189" s="25"/>
      <c r="JN189" s="25"/>
      <c r="JO189" s="25"/>
      <c r="JP189" s="25"/>
      <c r="JQ189" s="25"/>
      <c r="JR189" s="25"/>
      <c r="JS189" s="25"/>
      <c r="JT189" s="25"/>
      <c r="JU189" s="25"/>
      <c r="JV189" s="25"/>
      <c r="JW189" s="25"/>
      <c r="JX189" s="25"/>
      <c r="JY189" s="25"/>
      <c r="JZ189" s="25"/>
      <c r="KA189" s="25"/>
      <c r="KB189" s="36"/>
    </row>
    <row r="190" spans="2:288" ht="15" customHeight="1" x14ac:dyDescent="0.25">
      <c r="B190" s="216" t="str">
        <f t="shared" si="16"/>
        <v>Desk 77</v>
      </c>
      <c r="C190" s="218" t="str">
        <v/>
      </c>
      <c r="D190" s="218" t="str">
        <v/>
      </c>
      <c r="E190" s="218" t="str">
        <v/>
      </c>
      <c r="F190" s="218" t="str">
        <v/>
      </c>
      <c r="G190" s="402" t="str">
        <v/>
      </c>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36"/>
      <c r="DX190" s="25"/>
      <c r="DY190" s="25"/>
      <c r="DZ190" s="25"/>
      <c r="EA190" s="25"/>
      <c r="EB190" s="25"/>
      <c r="EC190" s="25"/>
      <c r="ED190" s="25"/>
      <c r="EE190" s="25"/>
      <c r="EF190" s="25"/>
      <c r="EG190" s="25"/>
      <c r="EH190" s="25"/>
      <c r="EI190" s="25"/>
      <c r="EJ190" s="25"/>
      <c r="EK190" s="25"/>
      <c r="EL190" s="25"/>
      <c r="EM190" s="25"/>
      <c r="EN190" s="25"/>
      <c r="EO190" s="25"/>
      <c r="EP190" s="25"/>
      <c r="EQ190" s="25"/>
      <c r="ER190" s="36"/>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36"/>
      <c r="JH190" s="25"/>
      <c r="JI190" s="25"/>
      <c r="JJ190" s="25"/>
      <c r="JK190" s="25"/>
      <c r="JL190" s="25"/>
      <c r="JM190" s="25"/>
      <c r="JN190" s="25"/>
      <c r="JO190" s="25"/>
      <c r="JP190" s="25"/>
      <c r="JQ190" s="25"/>
      <c r="JR190" s="25"/>
      <c r="JS190" s="25"/>
      <c r="JT190" s="25"/>
      <c r="JU190" s="25"/>
      <c r="JV190" s="25"/>
      <c r="JW190" s="25"/>
      <c r="JX190" s="25"/>
      <c r="JY190" s="25"/>
      <c r="JZ190" s="25"/>
      <c r="KA190" s="25"/>
      <c r="KB190" s="36"/>
    </row>
    <row r="191" spans="2:288" ht="15" customHeight="1" x14ac:dyDescent="0.25">
      <c r="B191" s="216" t="str">
        <f t="shared" si="16"/>
        <v>Desk 78</v>
      </c>
      <c r="C191" s="218" t="str">
        <v/>
      </c>
      <c r="D191" s="218" t="str">
        <v/>
      </c>
      <c r="E191" s="218" t="str">
        <v/>
      </c>
      <c r="F191" s="218" t="str">
        <v/>
      </c>
      <c r="G191" s="402" t="str">
        <v/>
      </c>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36"/>
      <c r="DX191" s="25"/>
      <c r="DY191" s="25"/>
      <c r="DZ191" s="25"/>
      <c r="EA191" s="25"/>
      <c r="EB191" s="25"/>
      <c r="EC191" s="25"/>
      <c r="ED191" s="25"/>
      <c r="EE191" s="25"/>
      <c r="EF191" s="25"/>
      <c r="EG191" s="25"/>
      <c r="EH191" s="25"/>
      <c r="EI191" s="25"/>
      <c r="EJ191" s="25"/>
      <c r="EK191" s="25"/>
      <c r="EL191" s="25"/>
      <c r="EM191" s="25"/>
      <c r="EN191" s="25"/>
      <c r="EO191" s="25"/>
      <c r="EP191" s="25"/>
      <c r="EQ191" s="25"/>
      <c r="ER191" s="36"/>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36"/>
      <c r="JH191" s="25"/>
      <c r="JI191" s="25"/>
      <c r="JJ191" s="25"/>
      <c r="JK191" s="25"/>
      <c r="JL191" s="25"/>
      <c r="JM191" s="25"/>
      <c r="JN191" s="25"/>
      <c r="JO191" s="25"/>
      <c r="JP191" s="25"/>
      <c r="JQ191" s="25"/>
      <c r="JR191" s="25"/>
      <c r="JS191" s="25"/>
      <c r="JT191" s="25"/>
      <c r="JU191" s="25"/>
      <c r="JV191" s="25"/>
      <c r="JW191" s="25"/>
      <c r="JX191" s="25"/>
      <c r="JY191" s="25"/>
      <c r="JZ191" s="25"/>
      <c r="KA191" s="25"/>
      <c r="KB191" s="36"/>
    </row>
    <row r="192" spans="2:288" ht="15" customHeight="1" x14ac:dyDescent="0.25">
      <c r="B192" s="216" t="str">
        <f t="shared" si="16"/>
        <v>Desk 79</v>
      </c>
      <c r="C192" s="218" t="str">
        <v/>
      </c>
      <c r="D192" s="218" t="str">
        <v/>
      </c>
      <c r="E192" s="218" t="str">
        <v/>
      </c>
      <c r="F192" s="218" t="str">
        <v/>
      </c>
      <c r="G192" s="402" t="str">
        <v/>
      </c>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36"/>
      <c r="DX192" s="25"/>
      <c r="DY192" s="25"/>
      <c r="DZ192" s="25"/>
      <c r="EA192" s="25"/>
      <c r="EB192" s="25"/>
      <c r="EC192" s="25"/>
      <c r="ED192" s="25"/>
      <c r="EE192" s="25"/>
      <c r="EF192" s="25"/>
      <c r="EG192" s="25"/>
      <c r="EH192" s="25"/>
      <c r="EI192" s="25"/>
      <c r="EJ192" s="25"/>
      <c r="EK192" s="25"/>
      <c r="EL192" s="25"/>
      <c r="EM192" s="25"/>
      <c r="EN192" s="25"/>
      <c r="EO192" s="25"/>
      <c r="EP192" s="25"/>
      <c r="EQ192" s="25"/>
      <c r="ER192" s="36"/>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36"/>
      <c r="JH192" s="25"/>
      <c r="JI192" s="25"/>
      <c r="JJ192" s="25"/>
      <c r="JK192" s="25"/>
      <c r="JL192" s="25"/>
      <c r="JM192" s="25"/>
      <c r="JN192" s="25"/>
      <c r="JO192" s="25"/>
      <c r="JP192" s="25"/>
      <c r="JQ192" s="25"/>
      <c r="JR192" s="25"/>
      <c r="JS192" s="25"/>
      <c r="JT192" s="25"/>
      <c r="JU192" s="25"/>
      <c r="JV192" s="25"/>
      <c r="JW192" s="25"/>
      <c r="JX192" s="25"/>
      <c r="JY192" s="25"/>
      <c r="JZ192" s="25"/>
      <c r="KA192" s="25"/>
      <c r="KB192" s="36"/>
    </row>
    <row r="193" spans="2:288" ht="15" customHeight="1" x14ac:dyDescent="0.25">
      <c r="B193" s="216" t="str">
        <f t="shared" si="16"/>
        <v>Desk 80</v>
      </c>
      <c r="C193" s="218" t="str">
        <v/>
      </c>
      <c r="D193" s="218" t="str">
        <v/>
      </c>
      <c r="E193" s="218" t="str">
        <v/>
      </c>
      <c r="F193" s="218" t="str">
        <v/>
      </c>
      <c r="G193" s="402" t="str">
        <v/>
      </c>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36"/>
      <c r="DX193" s="25"/>
      <c r="DY193" s="25"/>
      <c r="DZ193" s="25"/>
      <c r="EA193" s="25"/>
      <c r="EB193" s="25"/>
      <c r="EC193" s="25"/>
      <c r="ED193" s="25"/>
      <c r="EE193" s="25"/>
      <c r="EF193" s="25"/>
      <c r="EG193" s="25"/>
      <c r="EH193" s="25"/>
      <c r="EI193" s="25"/>
      <c r="EJ193" s="25"/>
      <c r="EK193" s="25"/>
      <c r="EL193" s="25"/>
      <c r="EM193" s="25"/>
      <c r="EN193" s="25"/>
      <c r="EO193" s="25"/>
      <c r="EP193" s="25"/>
      <c r="EQ193" s="25"/>
      <c r="ER193" s="36"/>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36"/>
      <c r="JH193" s="25"/>
      <c r="JI193" s="25"/>
      <c r="JJ193" s="25"/>
      <c r="JK193" s="25"/>
      <c r="JL193" s="25"/>
      <c r="JM193" s="25"/>
      <c r="JN193" s="25"/>
      <c r="JO193" s="25"/>
      <c r="JP193" s="25"/>
      <c r="JQ193" s="25"/>
      <c r="JR193" s="25"/>
      <c r="JS193" s="25"/>
      <c r="JT193" s="25"/>
      <c r="JU193" s="25"/>
      <c r="JV193" s="25"/>
      <c r="JW193" s="25"/>
      <c r="JX193" s="25"/>
      <c r="JY193" s="25"/>
      <c r="JZ193" s="25"/>
      <c r="KA193" s="25"/>
      <c r="KB193" s="36"/>
    </row>
    <row r="194" spans="2:288" ht="15" customHeight="1" x14ac:dyDescent="0.25">
      <c r="B194" s="216" t="str">
        <f t="shared" si="16"/>
        <v>Desk 81</v>
      </c>
      <c r="C194" s="218" t="str">
        <v/>
      </c>
      <c r="D194" s="218" t="str">
        <v/>
      </c>
      <c r="E194" s="218" t="str">
        <v/>
      </c>
      <c r="F194" s="218" t="str">
        <v/>
      </c>
      <c r="G194" s="402" t="str">
        <v/>
      </c>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36"/>
      <c r="DX194" s="25"/>
      <c r="DY194" s="25"/>
      <c r="DZ194" s="25"/>
      <c r="EA194" s="25"/>
      <c r="EB194" s="25"/>
      <c r="EC194" s="25"/>
      <c r="ED194" s="25"/>
      <c r="EE194" s="25"/>
      <c r="EF194" s="25"/>
      <c r="EG194" s="25"/>
      <c r="EH194" s="25"/>
      <c r="EI194" s="25"/>
      <c r="EJ194" s="25"/>
      <c r="EK194" s="25"/>
      <c r="EL194" s="25"/>
      <c r="EM194" s="25"/>
      <c r="EN194" s="25"/>
      <c r="EO194" s="25"/>
      <c r="EP194" s="25"/>
      <c r="EQ194" s="25"/>
      <c r="ER194" s="36"/>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36"/>
      <c r="JH194" s="25"/>
      <c r="JI194" s="25"/>
      <c r="JJ194" s="25"/>
      <c r="JK194" s="25"/>
      <c r="JL194" s="25"/>
      <c r="JM194" s="25"/>
      <c r="JN194" s="25"/>
      <c r="JO194" s="25"/>
      <c r="JP194" s="25"/>
      <c r="JQ194" s="25"/>
      <c r="JR194" s="25"/>
      <c r="JS194" s="25"/>
      <c r="JT194" s="25"/>
      <c r="JU194" s="25"/>
      <c r="JV194" s="25"/>
      <c r="JW194" s="25"/>
      <c r="JX194" s="25"/>
      <c r="JY194" s="25"/>
      <c r="JZ194" s="25"/>
      <c r="KA194" s="25"/>
      <c r="KB194" s="36"/>
    </row>
    <row r="195" spans="2:288" ht="15" customHeight="1" x14ac:dyDescent="0.25">
      <c r="B195" s="216" t="str">
        <f t="shared" si="16"/>
        <v>Desk 82</v>
      </c>
      <c r="C195" s="218" t="str">
        <v/>
      </c>
      <c r="D195" s="218" t="str">
        <v/>
      </c>
      <c r="E195" s="218" t="str">
        <v/>
      </c>
      <c r="F195" s="218" t="str">
        <v/>
      </c>
      <c r="G195" s="402" t="str">
        <v/>
      </c>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36"/>
      <c r="DX195" s="25"/>
      <c r="DY195" s="25"/>
      <c r="DZ195" s="25"/>
      <c r="EA195" s="25"/>
      <c r="EB195" s="25"/>
      <c r="EC195" s="25"/>
      <c r="ED195" s="25"/>
      <c r="EE195" s="25"/>
      <c r="EF195" s="25"/>
      <c r="EG195" s="25"/>
      <c r="EH195" s="25"/>
      <c r="EI195" s="25"/>
      <c r="EJ195" s="25"/>
      <c r="EK195" s="25"/>
      <c r="EL195" s="25"/>
      <c r="EM195" s="25"/>
      <c r="EN195" s="25"/>
      <c r="EO195" s="25"/>
      <c r="EP195" s="25"/>
      <c r="EQ195" s="25"/>
      <c r="ER195" s="36"/>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c r="IW195" s="25"/>
      <c r="IX195" s="25"/>
      <c r="IY195" s="25"/>
      <c r="IZ195" s="25"/>
      <c r="JA195" s="25"/>
      <c r="JB195" s="25"/>
      <c r="JC195" s="25"/>
      <c r="JD195" s="25"/>
      <c r="JE195" s="25"/>
      <c r="JF195" s="25"/>
      <c r="JG195" s="36"/>
      <c r="JH195" s="25"/>
      <c r="JI195" s="25"/>
      <c r="JJ195" s="25"/>
      <c r="JK195" s="25"/>
      <c r="JL195" s="25"/>
      <c r="JM195" s="25"/>
      <c r="JN195" s="25"/>
      <c r="JO195" s="25"/>
      <c r="JP195" s="25"/>
      <c r="JQ195" s="25"/>
      <c r="JR195" s="25"/>
      <c r="JS195" s="25"/>
      <c r="JT195" s="25"/>
      <c r="JU195" s="25"/>
      <c r="JV195" s="25"/>
      <c r="JW195" s="25"/>
      <c r="JX195" s="25"/>
      <c r="JY195" s="25"/>
      <c r="JZ195" s="25"/>
      <c r="KA195" s="25"/>
      <c r="KB195" s="36"/>
    </row>
    <row r="196" spans="2:288" ht="15" customHeight="1" x14ac:dyDescent="0.25">
      <c r="B196" s="216" t="str">
        <f t="shared" si="16"/>
        <v>Desk 83</v>
      </c>
      <c r="C196" s="218" t="str">
        <v/>
      </c>
      <c r="D196" s="218" t="str">
        <v/>
      </c>
      <c r="E196" s="218" t="str">
        <v/>
      </c>
      <c r="F196" s="218" t="str">
        <v/>
      </c>
      <c r="G196" s="402" t="str">
        <v/>
      </c>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36"/>
      <c r="DX196" s="25"/>
      <c r="DY196" s="25"/>
      <c r="DZ196" s="25"/>
      <c r="EA196" s="25"/>
      <c r="EB196" s="25"/>
      <c r="EC196" s="25"/>
      <c r="ED196" s="25"/>
      <c r="EE196" s="25"/>
      <c r="EF196" s="25"/>
      <c r="EG196" s="25"/>
      <c r="EH196" s="25"/>
      <c r="EI196" s="25"/>
      <c r="EJ196" s="25"/>
      <c r="EK196" s="25"/>
      <c r="EL196" s="25"/>
      <c r="EM196" s="25"/>
      <c r="EN196" s="25"/>
      <c r="EO196" s="25"/>
      <c r="EP196" s="25"/>
      <c r="EQ196" s="25"/>
      <c r="ER196" s="36"/>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c r="HH196" s="25"/>
      <c r="HI196" s="25"/>
      <c r="HJ196" s="25"/>
      <c r="HK196" s="25"/>
      <c r="HL196" s="25"/>
      <c r="HM196" s="25"/>
      <c r="HN196" s="25"/>
      <c r="HO196" s="25"/>
      <c r="HP196" s="25"/>
      <c r="HQ196" s="25"/>
      <c r="HR196" s="25"/>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c r="IW196" s="25"/>
      <c r="IX196" s="25"/>
      <c r="IY196" s="25"/>
      <c r="IZ196" s="25"/>
      <c r="JA196" s="25"/>
      <c r="JB196" s="25"/>
      <c r="JC196" s="25"/>
      <c r="JD196" s="25"/>
      <c r="JE196" s="25"/>
      <c r="JF196" s="25"/>
      <c r="JG196" s="36"/>
      <c r="JH196" s="25"/>
      <c r="JI196" s="25"/>
      <c r="JJ196" s="25"/>
      <c r="JK196" s="25"/>
      <c r="JL196" s="25"/>
      <c r="JM196" s="25"/>
      <c r="JN196" s="25"/>
      <c r="JO196" s="25"/>
      <c r="JP196" s="25"/>
      <c r="JQ196" s="25"/>
      <c r="JR196" s="25"/>
      <c r="JS196" s="25"/>
      <c r="JT196" s="25"/>
      <c r="JU196" s="25"/>
      <c r="JV196" s="25"/>
      <c r="JW196" s="25"/>
      <c r="JX196" s="25"/>
      <c r="JY196" s="25"/>
      <c r="JZ196" s="25"/>
      <c r="KA196" s="25"/>
      <c r="KB196" s="36"/>
    </row>
    <row r="197" spans="2:288" ht="15" customHeight="1" x14ac:dyDescent="0.25">
      <c r="B197" s="216" t="str">
        <f t="shared" si="16"/>
        <v>Desk 84</v>
      </c>
      <c r="C197" s="218" t="str">
        <v/>
      </c>
      <c r="D197" s="218" t="str">
        <v/>
      </c>
      <c r="E197" s="218" t="str">
        <v/>
      </c>
      <c r="F197" s="218" t="str">
        <v/>
      </c>
      <c r="G197" s="402" t="str">
        <v/>
      </c>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36"/>
      <c r="DX197" s="25"/>
      <c r="DY197" s="25"/>
      <c r="DZ197" s="25"/>
      <c r="EA197" s="25"/>
      <c r="EB197" s="25"/>
      <c r="EC197" s="25"/>
      <c r="ED197" s="25"/>
      <c r="EE197" s="25"/>
      <c r="EF197" s="25"/>
      <c r="EG197" s="25"/>
      <c r="EH197" s="25"/>
      <c r="EI197" s="25"/>
      <c r="EJ197" s="25"/>
      <c r="EK197" s="25"/>
      <c r="EL197" s="25"/>
      <c r="EM197" s="25"/>
      <c r="EN197" s="25"/>
      <c r="EO197" s="25"/>
      <c r="EP197" s="25"/>
      <c r="EQ197" s="25"/>
      <c r="ER197" s="36"/>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c r="IW197" s="25"/>
      <c r="IX197" s="25"/>
      <c r="IY197" s="25"/>
      <c r="IZ197" s="25"/>
      <c r="JA197" s="25"/>
      <c r="JB197" s="25"/>
      <c r="JC197" s="25"/>
      <c r="JD197" s="25"/>
      <c r="JE197" s="25"/>
      <c r="JF197" s="25"/>
      <c r="JG197" s="36"/>
      <c r="JH197" s="25"/>
      <c r="JI197" s="25"/>
      <c r="JJ197" s="25"/>
      <c r="JK197" s="25"/>
      <c r="JL197" s="25"/>
      <c r="JM197" s="25"/>
      <c r="JN197" s="25"/>
      <c r="JO197" s="25"/>
      <c r="JP197" s="25"/>
      <c r="JQ197" s="25"/>
      <c r="JR197" s="25"/>
      <c r="JS197" s="25"/>
      <c r="JT197" s="25"/>
      <c r="JU197" s="25"/>
      <c r="JV197" s="25"/>
      <c r="JW197" s="25"/>
      <c r="JX197" s="25"/>
      <c r="JY197" s="25"/>
      <c r="JZ197" s="25"/>
      <c r="KA197" s="25"/>
      <c r="KB197" s="36"/>
    </row>
    <row r="198" spans="2:288" ht="15" customHeight="1" x14ac:dyDescent="0.25">
      <c r="B198" s="216" t="str">
        <f t="shared" si="16"/>
        <v>Desk 85</v>
      </c>
      <c r="C198" s="218" t="str">
        <v/>
      </c>
      <c r="D198" s="218" t="str">
        <v/>
      </c>
      <c r="E198" s="218" t="str">
        <v/>
      </c>
      <c r="F198" s="218" t="str">
        <v/>
      </c>
      <c r="G198" s="402" t="str">
        <v/>
      </c>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36"/>
      <c r="DX198" s="25"/>
      <c r="DY198" s="25"/>
      <c r="DZ198" s="25"/>
      <c r="EA198" s="25"/>
      <c r="EB198" s="25"/>
      <c r="EC198" s="25"/>
      <c r="ED198" s="25"/>
      <c r="EE198" s="25"/>
      <c r="EF198" s="25"/>
      <c r="EG198" s="25"/>
      <c r="EH198" s="25"/>
      <c r="EI198" s="25"/>
      <c r="EJ198" s="25"/>
      <c r="EK198" s="25"/>
      <c r="EL198" s="25"/>
      <c r="EM198" s="25"/>
      <c r="EN198" s="25"/>
      <c r="EO198" s="25"/>
      <c r="EP198" s="25"/>
      <c r="EQ198" s="25"/>
      <c r="ER198" s="36"/>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c r="HH198" s="25"/>
      <c r="HI198" s="25"/>
      <c r="HJ198" s="25"/>
      <c r="HK198" s="25"/>
      <c r="HL198" s="25"/>
      <c r="HM198" s="25"/>
      <c r="HN198" s="25"/>
      <c r="HO198" s="25"/>
      <c r="HP198" s="25"/>
      <c r="HQ198" s="25"/>
      <c r="HR198" s="25"/>
      <c r="HS198" s="25"/>
      <c r="HT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c r="IW198" s="25"/>
      <c r="IX198" s="25"/>
      <c r="IY198" s="25"/>
      <c r="IZ198" s="25"/>
      <c r="JA198" s="25"/>
      <c r="JB198" s="25"/>
      <c r="JC198" s="25"/>
      <c r="JD198" s="25"/>
      <c r="JE198" s="25"/>
      <c r="JF198" s="25"/>
      <c r="JG198" s="36"/>
      <c r="JH198" s="25"/>
      <c r="JI198" s="25"/>
      <c r="JJ198" s="25"/>
      <c r="JK198" s="25"/>
      <c r="JL198" s="25"/>
      <c r="JM198" s="25"/>
      <c r="JN198" s="25"/>
      <c r="JO198" s="25"/>
      <c r="JP198" s="25"/>
      <c r="JQ198" s="25"/>
      <c r="JR198" s="25"/>
      <c r="JS198" s="25"/>
      <c r="JT198" s="25"/>
      <c r="JU198" s="25"/>
      <c r="JV198" s="25"/>
      <c r="JW198" s="25"/>
      <c r="JX198" s="25"/>
      <c r="JY198" s="25"/>
      <c r="JZ198" s="25"/>
      <c r="KA198" s="25"/>
      <c r="KB198" s="36"/>
    </row>
    <row r="199" spans="2:288" ht="15" customHeight="1" x14ac:dyDescent="0.25">
      <c r="B199" s="216" t="str">
        <f t="shared" si="16"/>
        <v>Desk 86</v>
      </c>
      <c r="C199" s="218" t="str">
        <v/>
      </c>
      <c r="D199" s="218" t="str">
        <v/>
      </c>
      <c r="E199" s="218" t="str">
        <v/>
      </c>
      <c r="F199" s="218" t="str">
        <v/>
      </c>
      <c r="G199" s="402" t="str">
        <v/>
      </c>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36"/>
      <c r="DX199" s="25"/>
      <c r="DY199" s="25"/>
      <c r="DZ199" s="25"/>
      <c r="EA199" s="25"/>
      <c r="EB199" s="25"/>
      <c r="EC199" s="25"/>
      <c r="ED199" s="25"/>
      <c r="EE199" s="25"/>
      <c r="EF199" s="25"/>
      <c r="EG199" s="25"/>
      <c r="EH199" s="25"/>
      <c r="EI199" s="25"/>
      <c r="EJ199" s="25"/>
      <c r="EK199" s="25"/>
      <c r="EL199" s="25"/>
      <c r="EM199" s="25"/>
      <c r="EN199" s="25"/>
      <c r="EO199" s="25"/>
      <c r="EP199" s="25"/>
      <c r="EQ199" s="25"/>
      <c r="ER199" s="36"/>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36"/>
      <c r="JH199" s="25"/>
      <c r="JI199" s="25"/>
      <c r="JJ199" s="25"/>
      <c r="JK199" s="25"/>
      <c r="JL199" s="25"/>
      <c r="JM199" s="25"/>
      <c r="JN199" s="25"/>
      <c r="JO199" s="25"/>
      <c r="JP199" s="25"/>
      <c r="JQ199" s="25"/>
      <c r="JR199" s="25"/>
      <c r="JS199" s="25"/>
      <c r="JT199" s="25"/>
      <c r="JU199" s="25"/>
      <c r="JV199" s="25"/>
      <c r="JW199" s="25"/>
      <c r="JX199" s="25"/>
      <c r="JY199" s="25"/>
      <c r="JZ199" s="25"/>
      <c r="KA199" s="25"/>
      <c r="KB199" s="36"/>
    </row>
    <row r="200" spans="2:288" ht="15" customHeight="1" x14ac:dyDescent="0.25">
      <c r="B200" s="216" t="str">
        <f t="shared" si="16"/>
        <v>Desk 87</v>
      </c>
      <c r="C200" s="218" t="str">
        <v/>
      </c>
      <c r="D200" s="218" t="str">
        <v/>
      </c>
      <c r="E200" s="218" t="str">
        <v/>
      </c>
      <c r="F200" s="218" t="str">
        <v/>
      </c>
      <c r="G200" s="402" t="str">
        <v/>
      </c>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36"/>
      <c r="DX200" s="25"/>
      <c r="DY200" s="25"/>
      <c r="DZ200" s="25"/>
      <c r="EA200" s="25"/>
      <c r="EB200" s="25"/>
      <c r="EC200" s="25"/>
      <c r="ED200" s="25"/>
      <c r="EE200" s="25"/>
      <c r="EF200" s="25"/>
      <c r="EG200" s="25"/>
      <c r="EH200" s="25"/>
      <c r="EI200" s="25"/>
      <c r="EJ200" s="25"/>
      <c r="EK200" s="25"/>
      <c r="EL200" s="25"/>
      <c r="EM200" s="25"/>
      <c r="EN200" s="25"/>
      <c r="EO200" s="25"/>
      <c r="EP200" s="25"/>
      <c r="EQ200" s="25"/>
      <c r="ER200" s="36"/>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c r="IU200" s="25"/>
      <c r="IV200" s="25"/>
      <c r="IW200" s="25"/>
      <c r="IX200" s="25"/>
      <c r="IY200" s="25"/>
      <c r="IZ200" s="25"/>
      <c r="JA200" s="25"/>
      <c r="JB200" s="25"/>
      <c r="JC200" s="25"/>
      <c r="JD200" s="25"/>
      <c r="JE200" s="25"/>
      <c r="JF200" s="25"/>
      <c r="JG200" s="36"/>
      <c r="JH200" s="25"/>
      <c r="JI200" s="25"/>
      <c r="JJ200" s="25"/>
      <c r="JK200" s="25"/>
      <c r="JL200" s="25"/>
      <c r="JM200" s="25"/>
      <c r="JN200" s="25"/>
      <c r="JO200" s="25"/>
      <c r="JP200" s="25"/>
      <c r="JQ200" s="25"/>
      <c r="JR200" s="25"/>
      <c r="JS200" s="25"/>
      <c r="JT200" s="25"/>
      <c r="JU200" s="25"/>
      <c r="JV200" s="25"/>
      <c r="JW200" s="25"/>
      <c r="JX200" s="25"/>
      <c r="JY200" s="25"/>
      <c r="JZ200" s="25"/>
      <c r="KA200" s="25"/>
      <c r="KB200" s="36"/>
    </row>
    <row r="201" spans="2:288" ht="15" customHeight="1" x14ac:dyDescent="0.25">
      <c r="B201" s="216" t="str">
        <f t="shared" si="16"/>
        <v>Desk 88</v>
      </c>
      <c r="C201" s="218" t="str">
        <v/>
      </c>
      <c r="D201" s="218" t="str">
        <v/>
      </c>
      <c r="E201" s="218" t="str">
        <v/>
      </c>
      <c r="F201" s="218" t="str">
        <v/>
      </c>
      <c r="G201" s="402" t="str">
        <v/>
      </c>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36"/>
      <c r="DX201" s="25"/>
      <c r="DY201" s="25"/>
      <c r="DZ201" s="25"/>
      <c r="EA201" s="25"/>
      <c r="EB201" s="25"/>
      <c r="EC201" s="25"/>
      <c r="ED201" s="25"/>
      <c r="EE201" s="25"/>
      <c r="EF201" s="25"/>
      <c r="EG201" s="25"/>
      <c r="EH201" s="25"/>
      <c r="EI201" s="25"/>
      <c r="EJ201" s="25"/>
      <c r="EK201" s="25"/>
      <c r="EL201" s="25"/>
      <c r="EM201" s="25"/>
      <c r="EN201" s="25"/>
      <c r="EO201" s="25"/>
      <c r="EP201" s="25"/>
      <c r="EQ201" s="25"/>
      <c r="ER201" s="36"/>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25"/>
      <c r="IT201" s="25"/>
      <c r="IU201" s="25"/>
      <c r="IV201" s="25"/>
      <c r="IW201" s="25"/>
      <c r="IX201" s="25"/>
      <c r="IY201" s="25"/>
      <c r="IZ201" s="25"/>
      <c r="JA201" s="25"/>
      <c r="JB201" s="25"/>
      <c r="JC201" s="25"/>
      <c r="JD201" s="25"/>
      <c r="JE201" s="25"/>
      <c r="JF201" s="25"/>
      <c r="JG201" s="36"/>
      <c r="JH201" s="25"/>
      <c r="JI201" s="25"/>
      <c r="JJ201" s="25"/>
      <c r="JK201" s="25"/>
      <c r="JL201" s="25"/>
      <c r="JM201" s="25"/>
      <c r="JN201" s="25"/>
      <c r="JO201" s="25"/>
      <c r="JP201" s="25"/>
      <c r="JQ201" s="25"/>
      <c r="JR201" s="25"/>
      <c r="JS201" s="25"/>
      <c r="JT201" s="25"/>
      <c r="JU201" s="25"/>
      <c r="JV201" s="25"/>
      <c r="JW201" s="25"/>
      <c r="JX201" s="25"/>
      <c r="JY201" s="25"/>
      <c r="JZ201" s="25"/>
      <c r="KA201" s="25"/>
      <c r="KB201" s="36"/>
    </row>
    <row r="202" spans="2:288" ht="15" customHeight="1" x14ac:dyDescent="0.25">
      <c r="B202" s="216" t="str">
        <f t="shared" si="16"/>
        <v>Desk 89</v>
      </c>
      <c r="C202" s="218" t="str">
        <v/>
      </c>
      <c r="D202" s="218" t="str">
        <v/>
      </c>
      <c r="E202" s="218" t="str">
        <v/>
      </c>
      <c r="F202" s="218" t="str">
        <v/>
      </c>
      <c r="G202" s="402" t="str">
        <v/>
      </c>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36"/>
      <c r="DX202" s="25"/>
      <c r="DY202" s="25"/>
      <c r="DZ202" s="25"/>
      <c r="EA202" s="25"/>
      <c r="EB202" s="25"/>
      <c r="EC202" s="25"/>
      <c r="ED202" s="25"/>
      <c r="EE202" s="25"/>
      <c r="EF202" s="25"/>
      <c r="EG202" s="25"/>
      <c r="EH202" s="25"/>
      <c r="EI202" s="25"/>
      <c r="EJ202" s="25"/>
      <c r="EK202" s="25"/>
      <c r="EL202" s="25"/>
      <c r="EM202" s="25"/>
      <c r="EN202" s="25"/>
      <c r="EO202" s="25"/>
      <c r="EP202" s="25"/>
      <c r="EQ202" s="25"/>
      <c r="ER202" s="36"/>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c r="HH202" s="25"/>
      <c r="HI202" s="25"/>
      <c r="HJ202" s="25"/>
      <c r="HK202" s="25"/>
      <c r="HL202" s="25"/>
      <c r="HM202" s="25"/>
      <c r="HN202" s="25"/>
      <c r="HO202" s="25"/>
      <c r="HP202" s="25"/>
      <c r="HQ202" s="25"/>
      <c r="HR202" s="25"/>
      <c r="HS202" s="25"/>
      <c r="HT202" s="25"/>
      <c r="HU202" s="25"/>
      <c r="HV202" s="25"/>
      <c r="HW202" s="25"/>
      <c r="HX202" s="25"/>
      <c r="HY202" s="25"/>
      <c r="HZ202" s="25"/>
      <c r="IA202" s="25"/>
      <c r="IB202" s="25"/>
      <c r="IC202" s="25"/>
      <c r="ID202" s="25"/>
      <c r="IE202" s="25"/>
      <c r="IF202" s="25"/>
      <c r="IG202" s="25"/>
      <c r="IH202" s="25"/>
      <c r="II202" s="25"/>
      <c r="IJ202" s="25"/>
      <c r="IK202" s="25"/>
      <c r="IL202" s="25"/>
      <c r="IM202" s="25"/>
      <c r="IN202" s="25"/>
      <c r="IO202" s="25"/>
      <c r="IP202" s="25"/>
      <c r="IQ202" s="25"/>
      <c r="IR202" s="25"/>
      <c r="IS202" s="25"/>
      <c r="IT202" s="25"/>
      <c r="IU202" s="25"/>
      <c r="IV202" s="25"/>
      <c r="IW202" s="25"/>
      <c r="IX202" s="25"/>
      <c r="IY202" s="25"/>
      <c r="IZ202" s="25"/>
      <c r="JA202" s="25"/>
      <c r="JB202" s="25"/>
      <c r="JC202" s="25"/>
      <c r="JD202" s="25"/>
      <c r="JE202" s="25"/>
      <c r="JF202" s="25"/>
      <c r="JG202" s="36"/>
      <c r="JH202" s="25"/>
      <c r="JI202" s="25"/>
      <c r="JJ202" s="25"/>
      <c r="JK202" s="25"/>
      <c r="JL202" s="25"/>
      <c r="JM202" s="25"/>
      <c r="JN202" s="25"/>
      <c r="JO202" s="25"/>
      <c r="JP202" s="25"/>
      <c r="JQ202" s="25"/>
      <c r="JR202" s="25"/>
      <c r="JS202" s="25"/>
      <c r="JT202" s="25"/>
      <c r="JU202" s="25"/>
      <c r="JV202" s="25"/>
      <c r="JW202" s="25"/>
      <c r="JX202" s="25"/>
      <c r="JY202" s="25"/>
      <c r="JZ202" s="25"/>
      <c r="KA202" s="25"/>
      <c r="KB202" s="36"/>
    </row>
    <row r="203" spans="2:288" ht="15" customHeight="1" x14ac:dyDescent="0.25">
      <c r="B203" s="216" t="str">
        <f t="shared" si="16"/>
        <v>Desk 90</v>
      </c>
      <c r="C203" s="218" t="str">
        <v/>
      </c>
      <c r="D203" s="218" t="str">
        <v/>
      </c>
      <c r="E203" s="218" t="str">
        <v/>
      </c>
      <c r="F203" s="218" t="str">
        <v/>
      </c>
      <c r="G203" s="402" t="str">
        <v/>
      </c>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36"/>
      <c r="DX203" s="25"/>
      <c r="DY203" s="25"/>
      <c r="DZ203" s="25"/>
      <c r="EA203" s="25"/>
      <c r="EB203" s="25"/>
      <c r="EC203" s="25"/>
      <c r="ED203" s="25"/>
      <c r="EE203" s="25"/>
      <c r="EF203" s="25"/>
      <c r="EG203" s="25"/>
      <c r="EH203" s="25"/>
      <c r="EI203" s="25"/>
      <c r="EJ203" s="25"/>
      <c r="EK203" s="25"/>
      <c r="EL203" s="25"/>
      <c r="EM203" s="25"/>
      <c r="EN203" s="25"/>
      <c r="EO203" s="25"/>
      <c r="EP203" s="25"/>
      <c r="EQ203" s="25"/>
      <c r="ER203" s="36"/>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c r="IU203" s="25"/>
      <c r="IV203" s="25"/>
      <c r="IW203" s="25"/>
      <c r="IX203" s="25"/>
      <c r="IY203" s="25"/>
      <c r="IZ203" s="25"/>
      <c r="JA203" s="25"/>
      <c r="JB203" s="25"/>
      <c r="JC203" s="25"/>
      <c r="JD203" s="25"/>
      <c r="JE203" s="25"/>
      <c r="JF203" s="25"/>
      <c r="JG203" s="36"/>
      <c r="JH203" s="25"/>
      <c r="JI203" s="25"/>
      <c r="JJ203" s="25"/>
      <c r="JK203" s="25"/>
      <c r="JL203" s="25"/>
      <c r="JM203" s="25"/>
      <c r="JN203" s="25"/>
      <c r="JO203" s="25"/>
      <c r="JP203" s="25"/>
      <c r="JQ203" s="25"/>
      <c r="JR203" s="25"/>
      <c r="JS203" s="25"/>
      <c r="JT203" s="25"/>
      <c r="JU203" s="25"/>
      <c r="JV203" s="25"/>
      <c r="JW203" s="25"/>
      <c r="JX203" s="25"/>
      <c r="JY203" s="25"/>
      <c r="JZ203" s="25"/>
      <c r="KA203" s="25"/>
      <c r="KB203" s="36"/>
    </row>
    <row r="204" spans="2:288" ht="15" customHeight="1" x14ac:dyDescent="0.25">
      <c r="B204" s="216" t="str">
        <f t="shared" si="16"/>
        <v>Desk 91</v>
      </c>
      <c r="C204" s="218" t="str">
        <v/>
      </c>
      <c r="D204" s="218" t="str">
        <v/>
      </c>
      <c r="E204" s="218" t="str">
        <v/>
      </c>
      <c r="F204" s="218" t="str">
        <v/>
      </c>
      <c r="G204" s="402" t="str">
        <v/>
      </c>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36"/>
      <c r="DX204" s="25"/>
      <c r="DY204" s="25"/>
      <c r="DZ204" s="25"/>
      <c r="EA204" s="25"/>
      <c r="EB204" s="25"/>
      <c r="EC204" s="25"/>
      <c r="ED204" s="25"/>
      <c r="EE204" s="25"/>
      <c r="EF204" s="25"/>
      <c r="EG204" s="25"/>
      <c r="EH204" s="25"/>
      <c r="EI204" s="25"/>
      <c r="EJ204" s="25"/>
      <c r="EK204" s="25"/>
      <c r="EL204" s="25"/>
      <c r="EM204" s="25"/>
      <c r="EN204" s="25"/>
      <c r="EO204" s="25"/>
      <c r="EP204" s="25"/>
      <c r="EQ204" s="25"/>
      <c r="ER204" s="36"/>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36"/>
      <c r="JH204" s="25"/>
      <c r="JI204" s="25"/>
      <c r="JJ204" s="25"/>
      <c r="JK204" s="25"/>
      <c r="JL204" s="25"/>
      <c r="JM204" s="25"/>
      <c r="JN204" s="25"/>
      <c r="JO204" s="25"/>
      <c r="JP204" s="25"/>
      <c r="JQ204" s="25"/>
      <c r="JR204" s="25"/>
      <c r="JS204" s="25"/>
      <c r="JT204" s="25"/>
      <c r="JU204" s="25"/>
      <c r="JV204" s="25"/>
      <c r="JW204" s="25"/>
      <c r="JX204" s="25"/>
      <c r="JY204" s="25"/>
      <c r="JZ204" s="25"/>
      <c r="KA204" s="25"/>
      <c r="KB204" s="36"/>
    </row>
    <row r="205" spans="2:288" ht="15" customHeight="1" x14ac:dyDescent="0.25">
      <c r="B205" s="216" t="str">
        <f t="shared" si="16"/>
        <v>Desk 92</v>
      </c>
      <c r="C205" s="218" t="str">
        <v/>
      </c>
      <c r="D205" s="218" t="str">
        <v/>
      </c>
      <c r="E205" s="218" t="str">
        <v/>
      </c>
      <c r="F205" s="218" t="str">
        <v/>
      </c>
      <c r="G205" s="402" t="str">
        <v/>
      </c>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36"/>
      <c r="DX205" s="25"/>
      <c r="DY205" s="25"/>
      <c r="DZ205" s="25"/>
      <c r="EA205" s="25"/>
      <c r="EB205" s="25"/>
      <c r="EC205" s="25"/>
      <c r="ED205" s="25"/>
      <c r="EE205" s="25"/>
      <c r="EF205" s="25"/>
      <c r="EG205" s="25"/>
      <c r="EH205" s="25"/>
      <c r="EI205" s="25"/>
      <c r="EJ205" s="25"/>
      <c r="EK205" s="25"/>
      <c r="EL205" s="25"/>
      <c r="EM205" s="25"/>
      <c r="EN205" s="25"/>
      <c r="EO205" s="25"/>
      <c r="EP205" s="25"/>
      <c r="EQ205" s="25"/>
      <c r="ER205" s="36"/>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36"/>
      <c r="JH205" s="25"/>
      <c r="JI205" s="25"/>
      <c r="JJ205" s="25"/>
      <c r="JK205" s="25"/>
      <c r="JL205" s="25"/>
      <c r="JM205" s="25"/>
      <c r="JN205" s="25"/>
      <c r="JO205" s="25"/>
      <c r="JP205" s="25"/>
      <c r="JQ205" s="25"/>
      <c r="JR205" s="25"/>
      <c r="JS205" s="25"/>
      <c r="JT205" s="25"/>
      <c r="JU205" s="25"/>
      <c r="JV205" s="25"/>
      <c r="JW205" s="25"/>
      <c r="JX205" s="25"/>
      <c r="JY205" s="25"/>
      <c r="JZ205" s="25"/>
      <c r="KA205" s="25"/>
      <c r="KB205" s="36"/>
    </row>
    <row r="206" spans="2:288" ht="15" customHeight="1" x14ac:dyDescent="0.25">
      <c r="B206" s="216" t="str">
        <f t="shared" si="16"/>
        <v>Desk 93</v>
      </c>
      <c r="C206" s="218" t="str">
        <v/>
      </c>
      <c r="D206" s="218" t="str">
        <v/>
      </c>
      <c r="E206" s="218" t="str">
        <v/>
      </c>
      <c r="F206" s="218" t="str">
        <v/>
      </c>
      <c r="G206" s="402" t="str">
        <v/>
      </c>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36"/>
      <c r="DX206" s="25"/>
      <c r="DY206" s="25"/>
      <c r="DZ206" s="25"/>
      <c r="EA206" s="25"/>
      <c r="EB206" s="25"/>
      <c r="EC206" s="25"/>
      <c r="ED206" s="25"/>
      <c r="EE206" s="25"/>
      <c r="EF206" s="25"/>
      <c r="EG206" s="25"/>
      <c r="EH206" s="25"/>
      <c r="EI206" s="25"/>
      <c r="EJ206" s="25"/>
      <c r="EK206" s="25"/>
      <c r="EL206" s="25"/>
      <c r="EM206" s="25"/>
      <c r="EN206" s="25"/>
      <c r="EO206" s="25"/>
      <c r="EP206" s="25"/>
      <c r="EQ206" s="25"/>
      <c r="ER206" s="36"/>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36"/>
      <c r="JH206" s="25"/>
      <c r="JI206" s="25"/>
      <c r="JJ206" s="25"/>
      <c r="JK206" s="25"/>
      <c r="JL206" s="25"/>
      <c r="JM206" s="25"/>
      <c r="JN206" s="25"/>
      <c r="JO206" s="25"/>
      <c r="JP206" s="25"/>
      <c r="JQ206" s="25"/>
      <c r="JR206" s="25"/>
      <c r="JS206" s="25"/>
      <c r="JT206" s="25"/>
      <c r="JU206" s="25"/>
      <c r="JV206" s="25"/>
      <c r="JW206" s="25"/>
      <c r="JX206" s="25"/>
      <c r="JY206" s="25"/>
      <c r="JZ206" s="25"/>
      <c r="KA206" s="25"/>
      <c r="KB206" s="36"/>
    </row>
    <row r="207" spans="2:288" ht="15" customHeight="1" x14ac:dyDescent="0.25">
      <c r="B207" s="216" t="str">
        <f t="shared" si="16"/>
        <v>Desk 94</v>
      </c>
      <c r="C207" s="218" t="str">
        <v/>
      </c>
      <c r="D207" s="218" t="str">
        <v/>
      </c>
      <c r="E207" s="218" t="str">
        <v/>
      </c>
      <c r="F207" s="218" t="str">
        <v/>
      </c>
      <c r="G207" s="402" t="str">
        <v/>
      </c>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36"/>
      <c r="DX207" s="25"/>
      <c r="DY207" s="25"/>
      <c r="DZ207" s="25"/>
      <c r="EA207" s="25"/>
      <c r="EB207" s="25"/>
      <c r="EC207" s="25"/>
      <c r="ED207" s="25"/>
      <c r="EE207" s="25"/>
      <c r="EF207" s="25"/>
      <c r="EG207" s="25"/>
      <c r="EH207" s="25"/>
      <c r="EI207" s="25"/>
      <c r="EJ207" s="25"/>
      <c r="EK207" s="25"/>
      <c r="EL207" s="25"/>
      <c r="EM207" s="25"/>
      <c r="EN207" s="25"/>
      <c r="EO207" s="25"/>
      <c r="EP207" s="25"/>
      <c r="EQ207" s="25"/>
      <c r="ER207" s="36"/>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c r="IU207" s="25"/>
      <c r="IV207" s="25"/>
      <c r="IW207" s="25"/>
      <c r="IX207" s="25"/>
      <c r="IY207" s="25"/>
      <c r="IZ207" s="25"/>
      <c r="JA207" s="25"/>
      <c r="JB207" s="25"/>
      <c r="JC207" s="25"/>
      <c r="JD207" s="25"/>
      <c r="JE207" s="25"/>
      <c r="JF207" s="25"/>
      <c r="JG207" s="36"/>
      <c r="JH207" s="25"/>
      <c r="JI207" s="25"/>
      <c r="JJ207" s="25"/>
      <c r="JK207" s="25"/>
      <c r="JL207" s="25"/>
      <c r="JM207" s="25"/>
      <c r="JN207" s="25"/>
      <c r="JO207" s="25"/>
      <c r="JP207" s="25"/>
      <c r="JQ207" s="25"/>
      <c r="JR207" s="25"/>
      <c r="JS207" s="25"/>
      <c r="JT207" s="25"/>
      <c r="JU207" s="25"/>
      <c r="JV207" s="25"/>
      <c r="JW207" s="25"/>
      <c r="JX207" s="25"/>
      <c r="JY207" s="25"/>
      <c r="JZ207" s="25"/>
      <c r="KA207" s="25"/>
      <c r="KB207" s="36"/>
    </row>
    <row r="208" spans="2:288" ht="15" customHeight="1" x14ac:dyDescent="0.25">
      <c r="B208" s="216" t="str">
        <f t="shared" si="16"/>
        <v>Desk 95</v>
      </c>
      <c r="C208" s="218" t="str">
        <v/>
      </c>
      <c r="D208" s="218" t="str">
        <v/>
      </c>
      <c r="E208" s="218" t="str">
        <v/>
      </c>
      <c r="F208" s="218" t="str">
        <v/>
      </c>
      <c r="G208" s="402" t="str">
        <v/>
      </c>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36"/>
      <c r="DX208" s="25"/>
      <c r="DY208" s="25"/>
      <c r="DZ208" s="25"/>
      <c r="EA208" s="25"/>
      <c r="EB208" s="25"/>
      <c r="EC208" s="25"/>
      <c r="ED208" s="25"/>
      <c r="EE208" s="25"/>
      <c r="EF208" s="25"/>
      <c r="EG208" s="25"/>
      <c r="EH208" s="25"/>
      <c r="EI208" s="25"/>
      <c r="EJ208" s="25"/>
      <c r="EK208" s="25"/>
      <c r="EL208" s="25"/>
      <c r="EM208" s="25"/>
      <c r="EN208" s="25"/>
      <c r="EO208" s="25"/>
      <c r="EP208" s="25"/>
      <c r="EQ208" s="25"/>
      <c r="ER208" s="36"/>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36"/>
      <c r="JH208" s="25"/>
      <c r="JI208" s="25"/>
      <c r="JJ208" s="25"/>
      <c r="JK208" s="25"/>
      <c r="JL208" s="25"/>
      <c r="JM208" s="25"/>
      <c r="JN208" s="25"/>
      <c r="JO208" s="25"/>
      <c r="JP208" s="25"/>
      <c r="JQ208" s="25"/>
      <c r="JR208" s="25"/>
      <c r="JS208" s="25"/>
      <c r="JT208" s="25"/>
      <c r="JU208" s="25"/>
      <c r="JV208" s="25"/>
      <c r="JW208" s="25"/>
      <c r="JX208" s="25"/>
      <c r="JY208" s="25"/>
      <c r="JZ208" s="25"/>
      <c r="KA208" s="25"/>
      <c r="KB208" s="36"/>
    </row>
    <row r="209" spans="1:289" ht="15" customHeight="1" x14ac:dyDescent="0.25">
      <c r="B209" s="216" t="str">
        <f t="shared" si="16"/>
        <v>Desk 96</v>
      </c>
      <c r="C209" s="218" t="str">
        <v/>
      </c>
      <c r="D209" s="218" t="str">
        <v/>
      </c>
      <c r="E209" s="218" t="str">
        <v/>
      </c>
      <c r="F209" s="218" t="str">
        <v/>
      </c>
      <c r="G209" s="402" t="str">
        <v/>
      </c>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36"/>
      <c r="DX209" s="25"/>
      <c r="DY209" s="25"/>
      <c r="DZ209" s="25"/>
      <c r="EA209" s="25"/>
      <c r="EB209" s="25"/>
      <c r="EC209" s="25"/>
      <c r="ED209" s="25"/>
      <c r="EE209" s="25"/>
      <c r="EF209" s="25"/>
      <c r="EG209" s="25"/>
      <c r="EH209" s="25"/>
      <c r="EI209" s="25"/>
      <c r="EJ209" s="25"/>
      <c r="EK209" s="25"/>
      <c r="EL209" s="25"/>
      <c r="EM209" s="25"/>
      <c r="EN209" s="25"/>
      <c r="EO209" s="25"/>
      <c r="EP209" s="25"/>
      <c r="EQ209" s="25"/>
      <c r="ER209" s="36"/>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36"/>
      <c r="JH209" s="25"/>
      <c r="JI209" s="25"/>
      <c r="JJ209" s="25"/>
      <c r="JK209" s="25"/>
      <c r="JL209" s="25"/>
      <c r="JM209" s="25"/>
      <c r="JN209" s="25"/>
      <c r="JO209" s="25"/>
      <c r="JP209" s="25"/>
      <c r="JQ209" s="25"/>
      <c r="JR209" s="25"/>
      <c r="JS209" s="25"/>
      <c r="JT209" s="25"/>
      <c r="JU209" s="25"/>
      <c r="JV209" s="25"/>
      <c r="JW209" s="25"/>
      <c r="JX209" s="25"/>
      <c r="JY209" s="25"/>
      <c r="JZ209" s="25"/>
      <c r="KA209" s="25"/>
      <c r="KB209" s="36"/>
    </row>
    <row r="210" spans="1:289" ht="15" customHeight="1" x14ac:dyDescent="0.25">
      <c r="B210" s="216" t="str">
        <f t="shared" si="16"/>
        <v>Desk 97</v>
      </c>
      <c r="C210" s="218" t="str">
        <v/>
      </c>
      <c r="D210" s="218" t="str">
        <v/>
      </c>
      <c r="E210" s="218" t="str">
        <v/>
      </c>
      <c r="F210" s="218" t="str">
        <v/>
      </c>
      <c r="G210" s="402" t="str">
        <v/>
      </c>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36"/>
      <c r="DX210" s="25"/>
      <c r="DY210" s="25"/>
      <c r="DZ210" s="25"/>
      <c r="EA210" s="25"/>
      <c r="EB210" s="25"/>
      <c r="EC210" s="25"/>
      <c r="ED210" s="25"/>
      <c r="EE210" s="25"/>
      <c r="EF210" s="25"/>
      <c r="EG210" s="25"/>
      <c r="EH210" s="25"/>
      <c r="EI210" s="25"/>
      <c r="EJ210" s="25"/>
      <c r="EK210" s="25"/>
      <c r="EL210" s="25"/>
      <c r="EM210" s="25"/>
      <c r="EN210" s="25"/>
      <c r="EO210" s="25"/>
      <c r="EP210" s="25"/>
      <c r="EQ210" s="25"/>
      <c r="ER210" s="36"/>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c r="IU210" s="25"/>
      <c r="IV210" s="25"/>
      <c r="IW210" s="25"/>
      <c r="IX210" s="25"/>
      <c r="IY210" s="25"/>
      <c r="IZ210" s="25"/>
      <c r="JA210" s="25"/>
      <c r="JB210" s="25"/>
      <c r="JC210" s="25"/>
      <c r="JD210" s="25"/>
      <c r="JE210" s="25"/>
      <c r="JF210" s="25"/>
      <c r="JG210" s="36"/>
      <c r="JH210" s="25"/>
      <c r="JI210" s="25"/>
      <c r="JJ210" s="25"/>
      <c r="JK210" s="25"/>
      <c r="JL210" s="25"/>
      <c r="JM210" s="25"/>
      <c r="JN210" s="25"/>
      <c r="JO210" s="25"/>
      <c r="JP210" s="25"/>
      <c r="JQ210" s="25"/>
      <c r="JR210" s="25"/>
      <c r="JS210" s="25"/>
      <c r="JT210" s="25"/>
      <c r="JU210" s="25"/>
      <c r="JV210" s="25"/>
      <c r="JW210" s="25"/>
      <c r="JX210" s="25"/>
      <c r="JY210" s="25"/>
      <c r="JZ210" s="25"/>
      <c r="KA210" s="25"/>
      <c r="KB210" s="36"/>
    </row>
    <row r="211" spans="1:289" ht="15" customHeight="1" x14ac:dyDescent="0.25">
      <c r="B211" s="216" t="str">
        <f t="shared" si="16"/>
        <v>Desk 98</v>
      </c>
      <c r="C211" s="218" t="str">
        <v/>
      </c>
      <c r="D211" s="218" t="str">
        <v/>
      </c>
      <c r="E211" s="218" t="str">
        <v/>
      </c>
      <c r="F211" s="218" t="str">
        <v/>
      </c>
      <c r="G211" s="402" t="str">
        <v/>
      </c>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36"/>
      <c r="DX211" s="25"/>
      <c r="DY211" s="25"/>
      <c r="DZ211" s="25"/>
      <c r="EA211" s="25"/>
      <c r="EB211" s="25"/>
      <c r="EC211" s="25"/>
      <c r="ED211" s="25"/>
      <c r="EE211" s="25"/>
      <c r="EF211" s="25"/>
      <c r="EG211" s="25"/>
      <c r="EH211" s="25"/>
      <c r="EI211" s="25"/>
      <c r="EJ211" s="25"/>
      <c r="EK211" s="25"/>
      <c r="EL211" s="25"/>
      <c r="EM211" s="25"/>
      <c r="EN211" s="25"/>
      <c r="EO211" s="25"/>
      <c r="EP211" s="25"/>
      <c r="EQ211" s="25"/>
      <c r="ER211" s="36"/>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c r="HH211" s="25"/>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c r="IU211" s="25"/>
      <c r="IV211" s="25"/>
      <c r="IW211" s="25"/>
      <c r="IX211" s="25"/>
      <c r="IY211" s="25"/>
      <c r="IZ211" s="25"/>
      <c r="JA211" s="25"/>
      <c r="JB211" s="25"/>
      <c r="JC211" s="25"/>
      <c r="JD211" s="25"/>
      <c r="JE211" s="25"/>
      <c r="JF211" s="25"/>
      <c r="JG211" s="36"/>
      <c r="JH211" s="25"/>
      <c r="JI211" s="25"/>
      <c r="JJ211" s="25"/>
      <c r="JK211" s="25"/>
      <c r="JL211" s="25"/>
      <c r="JM211" s="25"/>
      <c r="JN211" s="25"/>
      <c r="JO211" s="25"/>
      <c r="JP211" s="25"/>
      <c r="JQ211" s="25"/>
      <c r="JR211" s="25"/>
      <c r="JS211" s="25"/>
      <c r="JT211" s="25"/>
      <c r="JU211" s="25"/>
      <c r="JV211" s="25"/>
      <c r="JW211" s="25"/>
      <c r="JX211" s="25"/>
      <c r="JY211" s="25"/>
      <c r="JZ211" s="25"/>
      <c r="KA211" s="25"/>
      <c r="KB211" s="36"/>
    </row>
    <row r="212" spans="1:289" ht="15" customHeight="1" x14ac:dyDescent="0.25">
      <c r="B212" s="216" t="str">
        <f t="shared" si="16"/>
        <v>Desk 99</v>
      </c>
      <c r="C212" s="218" t="str">
        <v/>
      </c>
      <c r="D212" s="218" t="str">
        <v/>
      </c>
      <c r="E212" s="218" t="str">
        <v/>
      </c>
      <c r="F212" s="218" t="str">
        <v/>
      </c>
      <c r="G212" s="402" t="str">
        <v/>
      </c>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36"/>
      <c r="DX212" s="25"/>
      <c r="DY212" s="25"/>
      <c r="DZ212" s="25"/>
      <c r="EA212" s="25"/>
      <c r="EB212" s="25"/>
      <c r="EC212" s="25"/>
      <c r="ED212" s="25"/>
      <c r="EE212" s="25"/>
      <c r="EF212" s="25"/>
      <c r="EG212" s="25"/>
      <c r="EH212" s="25"/>
      <c r="EI212" s="25"/>
      <c r="EJ212" s="25"/>
      <c r="EK212" s="25"/>
      <c r="EL212" s="25"/>
      <c r="EM212" s="25"/>
      <c r="EN212" s="25"/>
      <c r="EO212" s="25"/>
      <c r="EP212" s="25"/>
      <c r="EQ212" s="25"/>
      <c r="ER212" s="36"/>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36"/>
      <c r="JH212" s="25"/>
      <c r="JI212" s="25"/>
      <c r="JJ212" s="25"/>
      <c r="JK212" s="25"/>
      <c r="JL212" s="25"/>
      <c r="JM212" s="25"/>
      <c r="JN212" s="25"/>
      <c r="JO212" s="25"/>
      <c r="JP212" s="25"/>
      <c r="JQ212" s="25"/>
      <c r="JR212" s="25"/>
      <c r="JS212" s="25"/>
      <c r="JT212" s="25"/>
      <c r="JU212" s="25"/>
      <c r="JV212" s="25"/>
      <c r="JW212" s="25"/>
      <c r="JX212" s="25"/>
      <c r="JY212" s="25"/>
      <c r="JZ212" s="25"/>
      <c r="KA212" s="25"/>
      <c r="KB212" s="36"/>
    </row>
    <row r="213" spans="1:289" ht="15" customHeight="1" x14ac:dyDescent="0.25">
      <c r="B213" s="217" t="str">
        <f t="shared" si="16"/>
        <v>Desk 100</v>
      </c>
      <c r="C213" s="220" t="str">
        <v/>
      </c>
      <c r="D213" s="220" t="str">
        <v/>
      </c>
      <c r="E213" s="220" t="str">
        <v/>
      </c>
      <c r="F213" s="220" t="str">
        <v/>
      </c>
      <c r="G213" s="402" t="str">
        <v/>
      </c>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62"/>
      <c r="DX213" s="31"/>
      <c r="DY213" s="31"/>
      <c r="DZ213" s="31"/>
      <c r="EA213" s="31"/>
      <c r="EB213" s="31"/>
      <c r="EC213" s="31"/>
      <c r="ED213" s="31"/>
      <c r="EE213" s="31"/>
      <c r="EF213" s="31"/>
      <c r="EG213" s="31"/>
      <c r="EH213" s="31"/>
      <c r="EI213" s="31"/>
      <c r="EJ213" s="31"/>
      <c r="EK213" s="31"/>
      <c r="EL213" s="31"/>
      <c r="EM213" s="31"/>
      <c r="EN213" s="31"/>
      <c r="EO213" s="31"/>
      <c r="EP213" s="31"/>
      <c r="EQ213" s="31"/>
      <c r="ER213" s="62"/>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62"/>
      <c r="JH213" s="31"/>
      <c r="JI213" s="31"/>
      <c r="JJ213" s="31"/>
      <c r="JK213" s="31"/>
      <c r="JL213" s="31"/>
      <c r="JM213" s="31"/>
      <c r="JN213" s="31"/>
      <c r="JO213" s="31"/>
      <c r="JP213" s="31"/>
      <c r="JQ213" s="31"/>
      <c r="JR213" s="31"/>
      <c r="JS213" s="31"/>
      <c r="JT213" s="31"/>
      <c r="JU213" s="31"/>
      <c r="JV213" s="31"/>
      <c r="JW213" s="31"/>
      <c r="JX213" s="31"/>
      <c r="JY213" s="31"/>
      <c r="JZ213" s="31"/>
      <c r="KA213" s="31"/>
      <c r="KB213" s="62"/>
    </row>
    <row r="214" spans="1:289" ht="15" customHeight="1" x14ac:dyDescent="0.25">
      <c r="B214" s="449" t="s">
        <v>406</v>
      </c>
      <c r="C214" s="403"/>
      <c r="D214" s="403"/>
      <c r="E214" s="403"/>
      <c r="F214" s="403"/>
      <c r="G214" s="403"/>
      <c r="H214" s="450"/>
      <c r="I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450"/>
      <c r="AF214" s="450"/>
      <c r="AG214" s="450"/>
      <c r="AH214" s="450"/>
      <c r="AI214" s="450"/>
      <c r="AJ214" s="450"/>
      <c r="AK214" s="450"/>
      <c r="AL214" s="450"/>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35"/>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35"/>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35"/>
      <c r="JH214" s="450"/>
      <c r="JI214" s="450"/>
      <c r="JJ214" s="450"/>
      <c r="JK214" s="450"/>
      <c r="JL214" s="450"/>
      <c r="JM214" s="450"/>
      <c r="JN214" s="450"/>
      <c r="JO214" s="450"/>
      <c r="JP214" s="450"/>
      <c r="JQ214" s="450"/>
      <c r="JR214" s="450"/>
      <c r="JS214" s="450"/>
      <c r="JT214" s="450"/>
      <c r="JU214" s="450"/>
      <c r="JV214" s="450"/>
      <c r="JW214" s="450"/>
      <c r="JX214" s="450"/>
      <c r="JY214" s="450"/>
      <c r="JZ214" s="450"/>
      <c r="KA214" s="450"/>
      <c r="KB214" s="1596"/>
    </row>
    <row r="215" spans="1:289" ht="60" customHeight="1" x14ac:dyDescent="0.25">
      <c r="A215" s="412" t="s">
        <v>2220</v>
      </c>
      <c r="B215" s="104"/>
      <c r="C215" s="104"/>
      <c r="D215" s="143"/>
      <c r="E215" s="143"/>
      <c r="F215" s="143"/>
      <c r="G215" s="143"/>
      <c r="H215" s="325"/>
      <c r="I215" s="325"/>
      <c r="J215" s="325"/>
      <c r="K215" s="325"/>
      <c r="L215" s="325"/>
      <c r="M215" s="325"/>
      <c r="N215" s="325"/>
      <c r="O215" s="325"/>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c r="AR215" s="325"/>
      <c r="AS215" s="325"/>
      <c r="AT215" s="325"/>
      <c r="AU215" s="325"/>
      <c r="AV215" s="325"/>
      <c r="AW215" s="325"/>
      <c r="AX215" s="325"/>
      <c r="AY215" s="325"/>
      <c r="AZ215" s="325"/>
      <c r="BA215" s="325"/>
      <c r="BB215" s="325"/>
      <c r="BC215" s="325"/>
      <c r="BD215" s="325"/>
      <c r="BE215" s="325"/>
      <c r="BF215" s="325"/>
      <c r="BG215" s="325"/>
      <c r="BH215" s="325"/>
      <c r="BI215" s="325"/>
      <c r="BJ215" s="325"/>
      <c r="BK215" s="325"/>
      <c r="BL215" s="325"/>
      <c r="BM215" s="325"/>
      <c r="BN215" s="325"/>
      <c r="BO215" s="325"/>
      <c r="BP215" s="325"/>
      <c r="BQ215" s="325"/>
      <c r="BR215" s="325"/>
      <c r="BS215" s="325"/>
      <c r="BT215" s="325"/>
      <c r="BU215" s="325"/>
      <c r="BV215" s="325"/>
      <c r="BW215" s="325"/>
      <c r="BX215" s="325"/>
      <c r="BY215" s="325"/>
      <c r="BZ215" s="325"/>
      <c r="CA215" s="325"/>
      <c r="CB215" s="325"/>
      <c r="CC215" s="325"/>
      <c r="CD215" s="325"/>
      <c r="CE215" s="325"/>
      <c r="CF215" s="325"/>
      <c r="CG215" s="325"/>
      <c r="CH215" s="325"/>
      <c r="CI215" s="325"/>
      <c r="CJ215" s="325"/>
      <c r="CK215" s="325"/>
      <c r="CL215" s="325"/>
      <c r="CM215" s="325"/>
      <c r="CN215" s="325"/>
      <c r="CO215" s="325"/>
      <c r="CP215" s="325"/>
      <c r="CQ215" s="325"/>
      <c r="CR215" s="325"/>
      <c r="CS215" s="325"/>
      <c r="CT215" s="325"/>
      <c r="CU215" s="325"/>
      <c r="CV215" s="325"/>
      <c r="CW215" s="325"/>
      <c r="CX215" s="325"/>
      <c r="CY215" s="325"/>
      <c r="CZ215" s="325"/>
      <c r="DA215" s="325"/>
      <c r="DB215" s="325"/>
      <c r="DC215" s="325"/>
      <c r="DD215" s="325"/>
      <c r="DE215" s="325"/>
      <c r="DF215" s="325"/>
      <c r="DG215" s="325"/>
      <c r="DH215" s="325"/>
      <c r="DI215" s="325"/>
      <c r="DJ215" s="325"/>
      <c r="DK215" s="325"/>
      <c r="DL215" s="325"/>
      <c r="DM215" s="325"/>
      <c r="DN215" s="325"/>
      <c r="DO215" s="325"/>
      <c r="DP215" s="325"/>
      <c r="DQ215" s="325"/>
      <c r="DR215" s="325"/>
      <c r="DS215" s="325"/>
      <c r="DT215" s="325"/>
      <c r="DU215" s="325"/>
      <c r="DV215" s="325"/>
      <c r="DW215" s="325"/>
      <c r="DX215" s="325"/>
      <c r="DY215" s="325"/>
      <c r="DZ215" s="325"/>
      <c r="EA215" s="325"/>
      <c r="EB215" s="325"/>
      <c r="EC215" s="325"/>
      <c r="ED215" s="325"/>
      <c r="EE215" s="325"/>
      <c r="EF215" s="325"/>
      <c r="EG215" s="325"/>
      <c r="EH215" s="325"/>
      <c r="EI215" s="325"/>
      <c r="EJ215" s="325"/>
      <c r="EK215" s="325"/>
      <c r="EL215" s="325"/>
      <c r="EM215" s="325"/>
      <c r="EN215" s="325"/>
      <c r="EO215" s="325"/>
      <c r="EP215" s="325"/>
      <c r="EQ215" s="325"/>
      <c r="ER215" s="325"/>
      <c r="ES215" s="325"/>
      <c r="ET215" s="325"/>
      <c r="EU215" s="325"/>
      <c r="EV215" s="325"/>
      <c r="EW215" s="325"/>
      <c r="EX215" s="325"/>
      <c r="EY215" s="325"/>
      <c r="EZ215" s="325"/>
      <c r="FA215" s="325"/>
      <c r="FB215" s="325"/>
      <c r="FC215" s="325"/>
      <c r="FD215" s="325"/>
      <c r="FE215" s="325"/>
      <c r="FF215" s="325"/>
      <c r="FG215" s="325"/>
      <c r="FH215" s="325"/>
      <c r="FI215" s="325"/>
      <c r="FJ215" s="325"/>
      <c r="FK215" s="325"/>
      <c r="FL215" s="325"/>
      <c r="FM215" s="325"/>
      <c r="FN215" s="325"/>
      <c r="FO215" s="325"/>
      <c r="FP215" s="325"/>
      <c r="FQ215" s="325"/>
      <c r="FR215" s="325"/>
      <c r="FS215" s="325"/>
      <c r="FT215" s="325"/>
      <c r="FU215" s="325"/>
      <c r="FV215" s="325"/>
      <c r="FW215" s="325"/>
      <c r="FX215" s="325"/>
      <c r="FY215" s="325"/>
      <c r="FZ215" s="325"/>
      <c r="GA215" s="325"/>
      <c r="GB215" s="325"/>
      <c r="GC215" s="325"/>
      <c r="GD215" s="325"/>
      <c r="GE215" s="325"/>
      <c r="GF215" s="325"/>
      <c r="GG215" s="325"/>
      <c r="GH215" s="325"/>
      <c r="GI215" s="325"/>
      <c r="GJ215" s="325"/>
      <c r="GK215" s="325"/>
      <c r="GL215" s="325"/>
      <c r="GM215" s="325"/>
      <c r="GN215" s="325"/>
      <c r="GO215" s="325"/>
      <c r="GP215" s="325"/>
      <c r="GQ215" s="325"/>
      <c r="GR215" s="325"/>
      <c r="GS215" s="325"/>
      <c r="GT215" s="325"/>
      <c r="GU215" s="325"/>
      <c r="GV215" s="325"/>
      <c r="GW215" s="325"/>
      <c r="GX215" s="325"/>
      <c r="GY215" s="325"/>
      <c r="GZ215" s="325"/>
      <c r="HA215" s="325"/>
      <c r="HB215" s="325"/>
      <c r="HC215" s="325"/>
      <c r="HD215" s="325"/>
      <c r="HE215" s="325"/>
      <c r="HF215" s="325"/>
      <c r="HG215" s="325"/>
      <c r="HH215" s="325"/>
      <c r="HI215" s="325"/>
      <c r="HJ215" s="325"/>
      <c r="HK215" s="325"/>
      <c r="HL215" s="325"/>
      <c r="HM215" s="325"/>
      <c r="HN215" s="325"/>
      <c r="HO215" s="325"/>
      <c r="HP215" s="325"/>
      <c r="HQ215" s="325"/>
      <c r="HR215" s="325"/>
      <c r="HS215" s="325"/>
      <c r="HT215" s="325"/>
      <c r="HU215" s="325"/>
      <c r="HV215" s="325"/>
      <c r="HW215" s="325"/>
      <c r="HX215" s="325"/>
      <c r="HY215" s="325"/>
      <c r="HZ215" s="325"/>
      <c r="IA215" s="325"/>
      <c r="IB215" s="325"/>
      <c r="IC215" s="325"/>
      <c r="ID215" s="325"/>
      <c r="IE215" s="325"/>
      <c r="IF215" s="325"/>
      <c r="IG215" s="325"/>
      <c r="IH215" s="325"/>
      <c r="II215" s="325"/>
      <c r="IJ215" s="325"/>
      <c r="IK215" s="325"/>
      <c r="IL215" s="325"/>
      <c r="IM215" s="325"/>
      <c r="IN215" s="325"/>
      <c r="IO215" s="325"/>
      <c r="IP215" s="325"/>
      <c r="IQ215" s="325"/>
      <c r="IR215" s="325"/>
      <c r="IS215" s="325"/>
      <c r="IT215" s="325"/>
      <c r="IU215" s="325"/>
      <c r="IV215" s="325"/>
      <c r="IW215" s="325"/>
      <c r="IX215" s="325"/>
      <c r="IY215" s="325"/>
      <c r="IZ215" s="325"/>
      <c r="JA215" s="325"/>
      <c r="JB215" s="325"/>
      <c r="JC215" s="325"/>
      <c r="JD215" s="325"/>
      <c r="JE215" s="325"/>
      <c r="JF215" s="325"/>
      <c r="JG215" s="325"/>
      <c r="JH215" s="325"/>
      <c r="JI215" s="325"/>
      <c r="JJ215" s="325"/>
      <c r="JK215" s="325"/>
      <c r="JL215" s="325"/>
      <c r="JM215" s="325"/>
      <c r="JN215" s="325"/>
      <c r="JO215" s="325"/>
      <c r="JP215" s="325"/>
      <c r="JQ215" s="325"/>
      <c r="JR215" s="325"/>
      <c r="JS215" s="325"/>
      <c r="JT215" s="325"/>
      <c r="JU215" s="325"/>
      <c r="JV215" s="325"/>
      <c r="JW215" s="325"/>
      <c r="JX215" s="325"/>
      <c r="JY215" s="325"/>
      <c r="JZ215" s="325"/>
      <c r="KA215" s="325"/>
      <c r="KB215" s="325"/>
      <c r="KC215" s="441"/>
    </row>
    <row r="216" spans="1:289" ht="60" customHeight="1" x14ac:dyDescent="0.25">
      <c r="B216" s="442" t="s">
        <v>305</v>
      </c>
      <c r="C216" s="400" t="s">
        <v>454</v>
      </c>
      <c r="D216" s="443" t="s">
        <v>432</v>
      </c>
      <c r="E216" s="400" t="s">
        <v>433</v>
      </c>
      <c r="F216" s="2018" t="s">
        <v>1192</v>
      </c>
      <c r="G216" s="2018" t="s">
        <v>1526</v>
      </c>
      <c r="H216" s="400" t="s">
        <v>303</v>
      </c>
      <c r="I216" s="400" t="str">
        <f t="shared" ref="I216:BT216" si="17">"T+" &amp; (COLUMN(I216)-COLUMN($H216))</f>
        <v>T+1</v>
      </c>
      <c r="J216" s="400" t="str">
        <f t="shared" si="17"/>
        <v>T+2</v>
      </c>
      <c r="K216" s="400" t="str">
        <f t="shared" si="17"/>
        <v>T+3</v>
      </c>
      <c r="L216" s="400" t="str">
        <f t="shared" si="17"/>
        <v>T+4</v>
      </c>
      <c r="M216" s="400" t="str">
        <f t="shared" si="17"/>
        <v>T+5</v>
      </c>
      <c r="N216" s="400" t="str">
        <f t="shared" si="17"/>
        <v>T+6</v>
      </c>
      <c r="O216" s="400" t="str">
        <f t="shared" si="17"/>
        <v>T+7</v>
      </c>
      <c r="P216" s="400" t="str">
        <f t="shared" si="17"/>
        <v>T+8</v>
      </c>
      <c r="Q216" s="400" t="str">
        <f t="shared" si="17"/>
        <v>T+9</v>
      </c>
      <c r="R216" s="400" t="str">
        <f t="shared" si="17"/>
        <v>T+10</v>
      </c>
      <c r="S216" s="400" t="str">
        <f t="shared" si="17"/>
        <v>T+11</v>
      </c>
      <c r="T216" s="400" t="str">
        <f t="shared" si="17"/>
        <v>T+12</v>
      </c>
      <c r="U216" s="400" t="str">
        <f t="shared" si="17"/>
        <v>T+13</v>
      </c>
      <c r="V216" s="400" t="str">
        <f t="shared" si="17"/>
        <v>T+14</v>
      </c>
      <c r="W216" s="400" t="str">
        <f t="shared" si="17"/>
        <v>T+15</v>
      </c>
      <c r="X216" s="400" t="str">
        <f t="shared" si="17"/>
        <v>T+16</v>
      </c>
      <c r="Y216" s="400" t="str">
        <f t="shared" si="17"/>
        <v>T+17</v>
      </c>
      <c r="Z216" s="400" t="str">
        <f t="shared" si="17"/>
        <v>T+18</v>
      </c>
      <c r="AA216" s="400" t="str">
        <f t="shared" si="17"/>
        <v>T+19</v>
      </c>
      <c r="AB216" s="400" t="str">
        <f t="shared" si="17"/>
        <v>T+20</v>
      </c>
      <c r="AC216" s="400" t="str">
        <f t="shared" si="17"/>
        <v>T+21</v>
      </c>
      <c r="AD216" s="400" t="str">
        <f t="shared" si="17"/>
        <v>T+22</v>
      </c>
      <c r="AE216" s="400" t="str">
        <f t="shared" si="17"/>
        <v>T+23</v>
      </c>
      <c r="AF216" s="400" t="str">
        <f t="shared" si="17"/>
        <v>T+24</v>
      </c>
      <c r="AG216" s="400" t="str">
        <f t="shared" si="17"/>
        <v>T+25</v>
      </c>
      <c r="AH216" s="400" t="str">
        <f t="shared" si="17"/>
        <v>T+26</v>
      </c>
      <c r="AI216" s="400" t="str">
        <f t="shared" si="17"/>
        <v>T+27</v>
      </c>
      <c r="AJ216" s="400" t="str">
        <f t="shared" si="17"/>
        <v>T+28</v>
      </c>
      <c r="AK216" s="400" t="str">
        <f t="shared" si="17"/>
        <v>T+29</v>
      </c>
      <c r="AL216" s="400" t="str">
        <f t="shared" si="17"/>
        <v>T+30</v>
      </c>
      <c r="AM216" s="400" t="str">
        <f t="shared" si="17"/>
        <v>T+31</v>
      </c>
      <c r="AN216" s="400" t="str">
        <f t="shared" si="17"/>
        <v>T+32</v>
      </c>
      <c r="AO216" s="400" t="str">
        <f t="shared" si="17"/>
        <v>T+33</v>
      </c>
      <c r="AP216" s="400" t="str">
        <f t="shared" si="17"/>
        <v>T+34</v>
      </c>
      <c r="AQ216" s="400" t="str">
        <f t="shared" si="17"/>
        <v>T+35</v>
      </c>
      <c r="AR216" s="400" t="str">
        <f t="shared" si="17"/>
        <v>T+36</v>
      </c>
      <c r="AS216" s="400" t="str">
        <f t="shared" si="17"/>
        <v>T+37</v>
      </c>
      <c r="AT216" s="400" t="str">
        <f t="shared" si="17"/>
        <v>T+38</v>
      </c>
      <c r="AU216" s="400" t="str">
        <f t="shared" si="17"/>
        <v>T+39</v>
      </c>
      <c r="AV216" s="400" t="str">
        <f t="shared" si="17"/>
        <v>T+40</v>
      </c>
      <c r="AW216" s="400" t="str">
        <f t="shared" si="17"/>
        <v>T+41</v>
      </c>
      <c r="AX216" s="400" t="str">
        <f t="shared" si="17"/>
        <v>T+42</v>
      </c>
      <c r="AY216" s="400" t="str">
        <f t="shared" si="17"/>
        <v>T+43</v>
      </c>
      <c r="AZ216" s="400" t="str">
        <f t="shared" si="17"/>
        <v>T+44</v>
      </c>
      <c r="BA216" s="400" t="str">
        <f t="shared" si="17"/>
        <v>T+45</v>
      </c>
      <c r="BB216" s="400" t="str">
        <f t="shared" si="17"/>
        <v>T+46</v>
      </c>
      <c r="BC216" s="400" t="str">
        <f t="shared" si="17"/>
        <v>T+47</v>
      </c>
      <c r="BD216" s="400" t="str">
        <f t="shared" si="17"/>
        <v>T+48</v>
      </c>
      <c r="BE216" s="400" t="str">
        <f t="shared" si="17"/>
        <v>T+49</v>
      </c>
      <c r="BF216" s="400" t="str">
        <f t="shared" si="17"/>
        <v>T+50</v>
      </c>
      <c r="BG216" s="400" t="str">
        <f t="shared" si="17"/>
        <v>T+51</v>
      </c>
      <c r="BH216" s="400" t="str">
        <f t="shared" si="17"/>
        <v>T+52</v>
      </c>
      <c r="BI216" s="400" t="str">
        <f t="shared" si="17"/>
        <v>T+53</v>
      </c>
      <c r="BJ216" s="400" t="str">
        <f t="shared" si="17"/>
        <v>T+54</v>
      </c>
      <c r="BK216" s="400" t="str">
        <f t="shared" si="17"/>
        <v>T+55</v>
      </c>
      <c r="BL216" s="400" t="str">
        <f t="shared" si="17"/>
        <v>T+56</v>
      </c>
      <c r="BM216" s="400" t="str">
        <f t="shared" si="17"/>
        <v>T+57</v>
      </c>
      <c r="BN216" s="400" t="str">
        <f t="shared" si="17"/>
        <v>T+58</v>
      </c>
      <c r="BO216" s="400" t="str">
        <f t="shared" si="17"/>
        <v>T+59</v>
      </c>
      <c r="BP216" s="400" t="str">
        <f t="shared" si="17"/>
        <v>T+60</v>
      </c>
      <c r="BQ216" s="400" t="str">
        <f t="shared" si="17"/>
        <v>T+61</v>
      </c>
      <c r="BR216" s="400" t="str">
        <f t="shared" si="17"/>
        <v>T+62</v>
      </c>
      <c r="BS216" s="400" t="str">
        <f t="shared" si="17"/>
        <v>T+63</v>
      </c>
      <c r="BT216" s="400" t="str">
        <f t="shared" si="17"/>
        <v>T+64</v>
      </c>
      <c r="BU216" s="400" t="str">
        <f t="shared" ref="BU216:EF216" si="18">"T+" &amp; (COLUMN(BU216)-COLUMN($H216))</f>
        <v>T+65</v>
      </c>
      <c r="BV216" s="400" t="str">
        <f t="shared" si="18"/>
        <v>T+66</v>
      </c>
      <c r="BW216" s="400" t="str">
        <f t="shared" si="18"/>
        <v>T+67</v>
      </c>
      <c r="BX216" s="400" t="str">
        <f t="shared" si="18"/>
        <v>T+68</v>
      </c>
      <c r="BY216" s="400" t="str">
        <f t="shared" si="18"/>
        <v>T+69</v>
      </c>
      <c r="BZ216" s="400" t="str">
        <f t="shared" si="18"/>
        <v>T+70</v>
      </c>
      <c r="CA216" s="400" t="str">
        <f t="shared" si="18"/>
        <v>T+71</v>
      </c>
      <c r="CB216" s="400" t="str">
        <f t="shared" si="18"/>
        <v>T+72</v>
      </c>
      <c r="CC216" s="400" t="str">
        <f t="shared" si="18"/>
        <v>T+73</v>
      </c>
      <c r="CD216" s="400" t="str">
        <f t="shared" si="18"/>
        <v>T+74</v>
      </c>
      <c r="CE216" s="400" t="str">
        <f t="shared" si="18"/>
        <v>T+75</v>
      </c>
      <c r="CF216" s="400" t="str">
        <f t="shared" si="18"/>
        <v>T+76</v>
      </c>
      <c r="CG216" s="400" t="str">
        <f t="shared" si="18"/>
        <v>T+77</v>
      </c>
      <c r="CH216" s="400" t="str">
        <f t="shared" si="18"/>
        <v>T+78</v>
      </c>
      <c r="CI216" s="400" t="str">
        <f t="shared" si="18"/>
        <v>T+79</v>
      </c>
      <c r="CJ216" s="400" t="str">
        <f t="shared" si="18"/>
        <v>T+80</v>
      </c>
      <c r="CK216" s="400" t="str">
        <f t="shared" si="18"/>
        <v>T+81</v>
      </c>
      <c r="CL216" s="400" t="str">
        <f t="shared" si="18"/>
        <v>T+82</v>
      </c>
      <c r="CM216" s="400" t="str">
        <f t="shared" si="18"/>
        <v>T+83</v>
      </c>
      <c r="CN216" s="400" t="str">
        <f t="shared" si="18"/>
        <v>T+84</v>
      </c>
      <c r="CO216" s="400" t="str">
        <f t="shared" si="18"/>
        <v>T+85</v>
      </c>
      <c r="CP216" s="400" t="str">
        <f t="shared" si="18"/>
        <v>T+86</v>
      </c>
      <c r="CQ216" s="400" t="str">
        <f t="shared" si="18"/>
        <v>T+87</v>
      </c>
      <c r="CR216" s="400" t="str">
        <f t="shared" si="18"/>
        <v>T+88</v>
      </c>
      <c r="CS216" s="400" t="str">
        <f t="shared" si="18"/>
        <v>T+89</v>
      </c>
      <c r="CT216" s="400" t="str">
        <f t="shared" si="18"/>
        <v>T+90</v>
      </c>
      <c r="CU216" s="400" t="str">
        <f t="shared" si="18"/>
        <v>T+91</v>
      </c>
      <c r="CV216" s="400" t="str">
        <f t="shared" si="18"/>
        <v>T+92</v>
      </c>
      <c r="CW216" s="400" t="str">
        <f t="shared" si="18"/>
        <v>T+93</v>
      </c>
      <c r="CX216" s="400" t="str">
        <f t="shared" si="18"/>
        <v>T+94</v>
      </c>
      <c r="CY216" s="400" t="str">
        <f t="shared" si="18"/>
        <v>T+95</v>
      </c>
      <c r="CZ216" s="400" t="str">
        <f t="shared" si="18"/>
        <v>T+96</v>
      </c>
      <c r="DA216" s="400" t="str">
        <f t="shared" si="18"/>
        <v>T+97</v>
      </c>
      <c r="DB216" s="400" t="str">
        <f t="shared" si="18"/>
        <v>T+98</v>
      </c>
      <c r="DC216" s="400" t="str">
        <f t="shared" si="18"/>
        <v>T+99</v>
      </c>
      <c r="DD216" s="400" t="str">
        <f t="shared" si="18"/>
        <v>T+100</v>
      </c>
      <c r="DE216" s="400" t="str">
        <f t="shared" si="18"/>
        <v>T+101</v>
      </c>
      <c r="DF216" s="400" t="str">
        <f t="shared" si="18"/>
        <v>T+102</v>
      </c>
      <c r="DG216" s="400" t="str">
        <f t="shared" si="18"/>
        <v>T+103</v>
      </c>
      <c r="DH216" s="400" t="str">
        <f t="shared" si="18"/>
        <v>T+104</v>
      </c>
      <c r="DI216" s="400" t="str">
        <f t="shared" si="18"/>
        <v>T+105</v>
      </c>
      <c r="DJ216" s="400" t="str">
        <f t="shared" si="18"/>
        <v>T+106</v>
      </c>
      <c r="DK216" s="400" t="str">
        <f t="shared" si="18"/>
        <v>T+107</v>
      </c>
      <c r="DL216" s="400" t="str">
        <f t="shared" si="18"/>
        <v>T+108</v>
      </c>
      <c r="DM216" s="400" t="str">
        <f t="shared" si="18"/>
        <v>T+109</v>
      </c>
      <c r="DN216" s="400" t="str">
        <f t="shared" si="18"/>
        <v>T+110</v>
      </c>
      <c r="DO216" s="400" t="str">
        <f t="shared" si="18"/>
        <v>T+111</v>
      </c>
      <c r="DP216" s="400" t="str">
        <f t="shared" si="18"/>
        <v>T+112</v>
      </c>
      <c r="DQ216" s="400" t="str">
        <f t="shared" si="18"/>
        <v>T+113</v>
      </c>
      <c r="DR216" s="400" t="str">
        <f t="shared" si="18"/>
        <v>T+114</v>
      </c>
      <c r="DS216" s="400" t="str">
        <f t="shared" si="18"/>
        <v>T+115</v>
      </c>
      <c r="DT216" s="400" t="str">
        <f t="shared" si="18"/>
        <v>T+116</v>
      </c>
      <c r="DU216" s="400" t="str">
        <f t="shared" si="18"/>
        <v>T+117</v>
      </c>
      <c r="DV216" s="400" t="str">
        <f t="shared" si="18"/>
        <v>T+118</v>
      </c>
      <c r="DW216" s="400" t="str">
        <f t="shared" si="18"/>
        <v>T+119</v>
      </c>
      <c r="DX216" s="400" t="str">
        <f t="shared" si="18"/>
        <v>T+120</v>
      </c>
      <c r="DY216" s="400" t="str">
        <f t="shared" si="18"/>
        <v>T+121</v>
      </c>
      <c r="DZ216" s="400" t="str">
        <f t="shared" si="18"/>
        <v>T+122</v>
      </c>
      <c r="EA216" s="400" t="str">
        <f t="shared" si="18"/>
        <v>T+123</v>
      </c>
      <c r="EB216" s="400" t="str">
        <f t="shared" si="18"/>
        <v>T+124</v>
      </c>
      <c r="EC216" s="400" t="str">
        <f t="shared" si="18"/>
        <v>T+125</v>
      </c>
      <c r="ED216" s="400" t="str">
        <f t="shared" si="18"/>
        <v>T+126</v>
      </c>
      <c r="EE216" s="400" t="str">
        <f t="shared" si="18"/>
        <v>T+127</v>
      </c>
      <c r="EF216" s="400" t="str">
        <f t="shared" si="18"/>
        <v>T+128</v>
      </c>
      <c r="EG216" s="400" t="str">
        <f t="shared" ref="EG216:GR216" si="19">"T+" &amp; (COLUMN(EG216)-COLUMN($H216))</f>
        <v>T+129</v>
      </c>
      <c r="EH216" s="400" t="str">
        <f t="shared" si="19"/>
        <v>T+130</v>
      </c>
      <c r="EI216" s="400" t="str">
        <f t="shared" si="19"/>
        <v>T+131</v>
      </c>
      <c r="EJ216" s="400" t="str">
        <f t="shared" si="19"/>
        <v>T+132</v>
      </c>
      <c r="EK216" s="400" t="str">
        <f t="shared" si="19"/>
        <v>T+133</v>
      </c>
      <c r="EL216" s="400" t="str">
        <f t="shared" si="19"/>
        <v>T+134</v>
      </c>
      <c r="EM216" s="400" t="str">
        <f t="shared" si="19"/>
        <v>T+135</v>
      </c>
      <c r="EN216" s="400" t="str">
        <f t="shared" si="19"/>
        <v>T+136</v>
      </c>
      <c r="EO216" s="400" t="str">
        <f t="shared" si="19"/>
        <v>T+137</v>
      </c>
      <c r="EP216" s="400" t="str">
        <f t="shared" si="19"/>
        <v>T+138</v>
      </c>
      <c r="EQ216" s="400" t="str">
        <f t="shared" si="19"/>
        <v>T+139</v>
      </c>
      <c r="ER216" s="400" t="str">
        <f t="shared" si="19"/>
        <v>T+140</v>
      </c>
      <c r="ES216" s="400" t="str">
        <f t="shared" si="19"/>
        <v>T+141</v>
      </c>
      <c r="ET216" s="400" t="str">
        <f t="shared" si="19"/>
        <v>T+142</v>
      </c>
      <c r="EU216" s="400" t="str">
        <f t="shared" si="19"/>
        <v>T+143</v>
      </c>
      <c r="EV216" s="400" t="str">
        <f t="shared" si="19"/>
        <v>T+144</v>
      </c>
      <c r="EW216" s="400" t="str">
        <f t="shared" si="19"/>
        <v>T+145</v>
      </c>
      <c r="EX216" s="400" t="str">
        <f t="shared" si="19"/>
        <v>T+146</v>
      </c>
      <c r="EY216" s="400" t="str">
        <f t="shared" si="19"/>
        <v>T+147</v>
      </c>
      <c r="EZ216" s="400" t="str">
        <f t="shared" si="19"/>
        <v>T+148</v>
      </c>
      <c r="FA216" s="400" t="str">
        <f t="shared" si="19"/>
        <v>T+149</v>
      </c>
      <c r="FB216" s="400" t="str">
        <f t="shared" si="19"/>
        <v>T+150</v>
      </c>
      <c r="FC216" s="400" t="str">
        <f t="shared" si="19"/>
        <v>T+151</v>
      </c>
      <c r="FD216" s="400" t="str">
        <f t="shared" si="19"/>
        <v>T+152</v>
      </c>
      <c r="FE216" s="400" t="str">
        <f t="shared" si="19"/>
        <v>T+153</v>
      </c>
      <c r="FF216" s="400" t="str">
        <f t="shared" si="19"/>
        <v>T+154</v>
      </c>
      <c r="FG216" s="400" t="str">
        <f t="shared" si="19"/>
        <v>T+155</v>
      </c>
      <c r="FH216" s="400" t="str">
        <f t="shared" si="19"/>
        <v>T+156</v>
      </c>
      <c r="FI216" s="400" t="str">
        <f t="shared" si="19"/>
        <v>T+157</v>
      </c>
      <c r="FJ216" s="400" t="str">
        <f t="shared" si="19"/>
        <v>T+158</v>
      </c>
      <c r="FK216" s="400" t="str">
        <f t="shared" si="19"/>
        <v>T+159</v>
      </c>
      <c r="FL216" s="400" t="str">
        <f t="shared" si="19"/>
        <v>T+160</v>
      </c>
      <c r="FM216" s="400" t="str">
        <f t="shared" si="19"/>
        <v>T+161</v>
      </c>
      <c r="FN216" s="400" t="str">
        <f t="shared" si="19"/>
        <v>T+162</v>
      </c>
      <c r="FO216" s="400" t="str">
        <f t="shared" si="19"/>
        <v>T+163</v>
      </c>
      <c r="FP216" s="400" t="str">
        <f t="shared" si="19"/>
        <v>T+164</v>
      </c>
      <c r="FQ216" s="400" t="str">
        <f t="shared" si="19"/>
        <v>T+165</v>
      </c>
      <c r="FR216" s="400" t="str">
        <f t="shared" si="19"/>
        <v>T+166</v>
      </c>
      <c r="FS216" s="400" t="str">
        <f t="shared" si="19"/>
        <v>T+167</v>
      </c>
      <c r="FT216" s="400" t="str">
        <f t="shared" si="19"/>
        <v>T+168</v>
      </c>
      <c r="FU216" s="400" t="str">
        <f t="shared" si="19"/>
        <v>T+169</v>
      </c>
      <c r="FV216" s="400" t="str">
        <f t="shared" si="19"/>
        <v>T+170</v>
      </c>
      <c r="FW216" s="400" t="str">
        <f t="shared" si="19"/>
        <v>T+171</v>
      </c>
      <c r="FX216" s="400" t="str">
        <f t="shared" si="19"/>
        <v>T+172</v>
      </c>
      <c r="FY216" s="400" t="str">
        <f t="shared" si="19"/>
        <v>T+173</v>
      </c>
      <c r="FZ216" s="400" t="str">
        <f t="shared" si="19"/>
        <v>T+174</v>
      </c>
      <c r="GA216" s="400" t="str">
        <f t="shared" si="19"/>
        <v>T+175</v>
      </c>
      <c r="GB216" s="400" t="str">
        <f t="shared" si="19"/>
        <v>T+176</v>
      </c>
      <c r="GC216" s="400" t="str">
        <f t="shared" si="19"/>
        <v>T+177</v>
      </c>
      <c r="GD216" s="400" t="str">
        <f t="shared" si="19"/>
        <v>T+178</v>
      </c>
      <c r="GE216" s="400" t="str">
        <f t="shared" si="19"/>
        <v>T+179</v>
      </c>
      <c r="GF216" s="400" t="str">
        <f t="shared" si="19"/>
        <v>T+180</v>
      </c>
      <c r="GG216" s="400" t="str">
        <f t="shared" si="19"/>
        <v>T+181</v>
      </c>
      <c r="GH216" s="400" t="str">
        <f t="shared" si="19"/>
        <v>T+182</v>
      </c>
      <c r="GI216" s="400" t="str">
        <f t="shared" si="19"/>
        <v>T+183</v>
      </c>
      <c r="GJ216" s="400" t="str">
        <f t="shared" si="19"/>
        <v>T+184</v>
      </c>
      <c r="GK216" s="400" t="str">
        <f t="shared" si="19"/>
        <v>T+185</v>
      </c>
      <c r="GL216" s="400" t="str">
        <f t="shared" si="19"/>
        <v>T+186</v>
      </c>
      <c r="GM216" s="400" t="str">
        <f t="shared" si="19"/>
        <v>T+187</v>
      </c>
      <c r="GN216" s="400" t="str">
        <f t="shared" si="19"/>
        <v>T+188</v>
      </c>
      <c r="GO216" s="400" t="str">
        <f t="shared" si="19"/>
        <v>T+189</v>
      </c>
      <c r="GP216" s="400" t="str">
        <f t="shared" si="19"/>
        <v>T+190</v>
      </c>
      <c r="GQ216" s="400" t="str">
        <f t="shared" si="19"/>
        <v>T+191</v>
      </c>
      <c r="GR216" s="400" t="str">
        <f t="shared" si="19"/>
        <v>T+192</v>
      </c>
      <c r="GS216" s="400" t="str">
        <f t="shared" ref="GS216:JD216" si="20">"T+" &amp; (COLUMN(GS216)-COLUMN($H216))</f>
        <v>T+193</v>
      </c>
      <c r="GT216" s="400" t="str">
        <f t="shared" si="20"/>
        <v>T+194</v>
      </c>
      <c r="GU216" s="400" t="str">
        <f t="shared" si="20"/>
        <v>T+195</v>
      </c>
      <c r="GV216" s="400" t="str">
        <f t="shared" si="20"/>
        <v>T+196</v>
      </c>
      <c r="GW216" s="400" t="str">
        <f t="shared" si="20"/>
        <v>T+197</v>
      </c>
      <c r="GX216" s="400" t="str">
        <f t="shared" si="20"/>
        <v>T+198</v>
      </c>
      <c r="GY216" s="400" t="str">
        <f t="shared" si="20"/>
        <v>T+199</v>
      </c>
      <c r="GZ216" s="400" t="str">
        <f t="shared" si="20"/>
        <v>T+200</v>
      </c>
      <c r="HA216" s="400" t="str">
        <f t="shared" si="20"/>
        <v>T+201</v>
      </c>
      <c r="HB216" s="400" t="str">
        <f t="shared" si="20"/>
        <v>T+202</v>
      </c>
      <c r="HC216" s="400" t="str">
        <f t="shared" si="20"/>
        <v>T+203</v>
      </c>
      <c r="HD216" s="400" t="str">
        <f t="shared" si="20"/>
        <v>T+204</v>
      </c>
      <c r="HE216" s="400" t="str">
        <f t="shared" si="20"/>
        <v>T+205</v>
      </c>
      <c r="HF216" s="400" t="str">
        <f t="shared" si="20"/>
        <v>T+206</v>
      </c>
      <c r="HG216" s="400" t="str">
        <f t="shared" si="20"/>
        <v>T+207</v>
      </c>
      <c r="HH216" s="400" t="str">
        <f t="shared" si="20"/>
        <v>T+208</v>
      </c>
      <c r="HI216" s="400" t="str">
        <f t="shared" si="20"/>
        <v>T+209</v>
      </c>
      <c r="HJ216" s="400" t="str">
        <f t="shared" si="20"/>
        <v>T+210</v>
      </c>
      <c r="HK216" s="400" t="str">
        <f t="shared" si="20"/>
        <v>T+211</v>
      </c>
      <c r="HL216" s="400" t="str">
        <f t="shared" si="20"/>
        <v>T+212</v>
      </c>
      <c r="HM216" s="400" t="str">
        <f t="shared" si="20"/>
        <v>T+213</v>
      </c>
      <c r="HN216" s="400" t="str">
        <f t="shared" si="20"/>
        <v>T+214</v>
      </c>
      <c r="HO216" s="400" t="str">
        <f t="shared" si="20"/>
        <v>T+215</v>
      </c>
      <c r="HP216" s="400" t="str">
        <f t="shared" si="20"/>
        <v>T+216</v>
      </c>
      <c r="HQ216" s="400" t="str">
        <f t="shared" si="20"/>
        <v>T+217</v>
      </c>
      <c r="HR216" s="400" t="str">
        <f t="shared" si="20"/>
        <v>T+218</v>
      </c>
      <c r="HS216" s="400" t="str">
        <f t="shared" si="20"/>
        <v>T+219</v>
      </c>
      <c r="HT216" s="400" t="str">
        <f t="shared" si="20"/>
        <v>T+220</v>
      </c>
      <c r="HU216" s="400" t="str">
        <f t="shared" si="20"/>
        <v>T+221</v>
      </c>
      <c r="HV216" s="400" t="str">
        <f t="shared" si="20"/>
        <v>T+222</v>
      </c>
      <c r="HW216" s="400" t="str">
        <f t="shared" si="20"/>
        <v>T+223</v>
      </c>
      <c r="HX216" s="400" t="str">
        <f t="shared" si="20"/>
        <v>T+224</v>
      </c>
      <c r="HY216" s="400" t="str">
        <f t="shared" si="20"/>
        <v>T+225</v>
      </c>
      <c r="HZ216" s="400" t="str">
        <f t="shared" si="20"/>
        <v>T+226</v>
      </c>
      <c r="IA216" s="400" t="str">
        <f t="shared" si="20"/>
        <v>T+227</v>
      </c>
      <c r="IB216" s="400" t="str">
        <f t="shared" si="20"/>
        <v>T+228</v>
      </c>
      <c r="IC216" s="400" t="str">
        <f t="shared" si="20"/>
        <v>T+229</v>
      </c>
      <c r="ID216" s="400" t="str">
        <f t="shared" si="20"/>
        <v>T+230</v>
      </c>
      <c r="IE216" s="400" t="str">
        <f t="shared" si="20"/>
        <v>T+231</v>
      </c>
      <c r="IF216" s="400" t="str">
        <f t="shared" si="20"/>
        <v>T+232</v>
      </c>
      <c r="IG216" s="400" t="str">
        <f t="shared" si="20"/>
        <v>T+233</v>
      </c>
      <c r="IH216" s="400" t="str">
        <f t="shared" si="20"/>
        <v>T+234</v>
      </c>
      <c r="II216" s="400" t="str">
        <f t="shared" si="20"/>
        <v>T+235</v>
      </c>
      <c r="IJ216" s="400" t="str">
        <f t="shared" si="20"/>
        <v>T+236</v>
      </c>
      <c r="IK216" s="400" t="str">
        <f t="shared" si="20"/>
        <v>T+237</v>
      </c>
      <c r="IL216" s="400" t="str">
        <f t="shared" si="20"/>
        <v>T+238</v>
      </c>
      <c r="IM216" s="400" t="str">
        <f t="shared" si="20"/>
        <v>T+239</v>
      </c>
      <c r="IN216" s="400" t="str">
        <f t="shared" si="20"/>
        <v>T+240</v>
      </c>
      <c r="IO216" s="400" t="str">
        <f t="shared" si="20"/>
        <v>T+241</v>
      </c>
      <c r="IP216" s="400" t="str">
        <f t="shared" si="20"/>
        <v>T+242</v>
      </c>
      <c r="IQ216" s="400" t="str">
        <f t="shared" si="20"/>
        <v>T+243</v>
      </c>
      <c r="IR216" s="400" t="str">
        <f t="shared" si="20"/>
        <v>T+244</v>
      </c>
      <c r="IS216" s="400" t="str">
        <f t="shared" si="20"/>
        <v>T+245</v>
      </c>
      <c r="IT216" s="400" t="str">
        <f t="shared" si="20"/>
        <v>T+246</v>
      </c>
      <c r="IU216" s="400" t="str">
        <f t="shared" si="20"/>
        <v>T+247</v>
      </c>
      <c r="IV216" s="400" t="str">
        <f t="shared" si="20"/>
        <v>T+248</v>
      </c>
      <c r="IW216" s="400" t="str">
        <f t="shared" si="20"/>
        <v>T+249</v>
      </c>
      <c r="IX216" s="400" t="str">
        <f t="shared" si="20"/>
        <v>T+250</v>
      </c>
      <c r="IY216" s="400" t="str">
        <f t="shared" si="20"/>
        <v>T+251</v>
      </c>
      <c r="IZ216" s="400" t="str">
        <f t="shared" si="20"/>
        <v>T+252</v>
      </c>
      <c r="JA216" s="400" t="str">
        <f t="shared" si="20"/>
        <v>T+253</v>
      </c>
      <c r="JB216" s="400" t="str">
        <f t="shared" si="20"/>
        <v>T+254</v>
      </c>
      <c r="JC216" s="400" t="str">
        <f t="shared" si="20"/>
        <v>T+255</v>
      </c>
      <c r="JD216" s="400" t="str">
        <f t="shared" si="20"/>
        <v>T+256</v>
      </c>
      <c r="JE216" s="400" t="str">
        <f t="shared" ref="JE216:KB216" si="21">"T+" &amp; (COLUMN(JE216)-COLUMN($H216))</f>
        <v>T+257</v>
      </c>
      <c r="JF216" s="400" t="str">
        <f t="shared" si="21"/>
        <v>T+258</v>
      </c>
      <c r="JG216" s="400" t="str">
        <f t="shared" si="21"/>
        <v>T+259</v>
      </c>
      <c r="JH216" s="400" t="str">
        <f t="shared" si="21"/>
        <v>T+260</v>
      </c>
      <c r="JI216" s="400" t="str">
        <f t="shared" si="21"/>
        <v>T+261</v>
      </c>
      <c r="JJ216" s="400" t="str">
        <f t="shared" si="21"/>
        <v>T+262</v>
      </c>
      <c r="JK216" s="400" t="str">
        <f t="shared" si="21"/>
        <v>T+263</v>
      </c>
      <c r="JL216" s="400" t="str">
        <f t="shared" si="21"/>
        <v>T+264</v>
      </c>
      <c r="JM216" s="400" t="str">
        <f t="shared" si="21"/>
        <v>T+265</v>
      </c>
      <c r="JN216" s="400" t="str">
        <f t="shared" si="21"/>
        <v>T+266</v>
      </c>
      <c r="JO216" s="400" t="str">
        <f t="shared" si="21"/>
        <v>T+267</v>
      </c>
      <c r="JP216" s="400" t="str">
        <f t="shared" si="21"/>
        <v>T+268</v>
      </c>
      <c r="JQ216" s="400" t="str">
        <f t="shared" si="21"/>
        <v>T+269</v>
      </c>
      <c r="JR216" s="400" t="str">
        <f t="shared" si="21"/>
        <v>T+270</v>
      </c>
      <c r="JS216" s="400" t="str">
        <f t="shared" si="21"/>
        <v>T+271</v>
      </c>
      <c r="JT216" s="400" t="str">
        <f t="shared" si="21"/>
        <v>T+272</v>
      </c>
      <c r="JU216" s="400" t="str">
        <f t="shared" si="21"/>
        <v>T+273</v>
      </c>
      <c r="JV216" s="400" t="str">
        <f t="shared" si="21"/>
        <v>T+274</v>
      </c>
      <c r="JW216" s="400" t="str">
        <f t="shared" si="21"/>
        <v>T+275</v>
      </c>
      <c r="JX216" s="400" t="str">
        <f t="shared" si="21"/>
        <v>T+276</v>
      </c>
      <c r="JY216" s="400" t="str">
        <f t="shared" si="21"/>
        <v>T+277</v>
      </c>
      <c r="JZ216" s="400" t="str">
        <f t="shared" si="21"/>
        <v>T+278</v>
      </c>
      <c r="KA216" s="400" t="str">
        <f t="shared" si="21"/>
        <v>T+279</v>
      </c>
      <c r="KB216" s="1585" t="str">
        <f t="shared" si="21"/>
        <v>T+280</v>
      </c>
    </row>
    <row r="217" spans="1:289" ht="15" customHeight="1" x14ac:dyDescent="0.25">
      <c r="B217" s="447" t="str">
        <f t="shared" ref="B217:B280" si="22">B11</f>
        <v>Desk 1</v>
      </c>
      <c r="C217" s="448" t="str">
        <f t="array" ref="C217:D316" xml:space="preserve"> IF(ISBLANK(TB!C$170:'TB'!D$269), "", TB!C$170:'TB'!D$269)</f>
        <v/>
      </c>
      <c r="D217" s="448" t="str">
        <v/>
      </c>
      <c r="E217" s="448" t="str">
        <f t="array" ref="E217:E316" xml:space="preserve"> IF(ISBLANK(TB!G$170:'TB'!G$269), "", TB!G$170:'TB'!G$269)</f>
        <v/>
      </c>
      <c r="F217" s="448" t="str">
        <f t="array" ref="F217:F316" xml:space="preserve"> IF(ISBLANK(TB!I$170:'TB'!I$269), "", TB!I$170:'TB'!I$269)</f>
        <v/>
      </c>
      <c r="G217" s="402" t="str">
        <f t="array" ref="G217:G316" xml:space="preserve"> IF(ISBLANK(TB!J$170:'TB'!J$269), "", TB!J$170:'TB'!J$269)</f>
        <v/>
      </c>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381"/>
      <c r="DG217" s="381"/>
      <c r="DH217" s="381"/>
      <c r="DI217" s="381"/>
      <c r="DJ217" s="381"/>
      <c r="DK217" s="381"/>
      <c r="DL217" s="381"/>
      <c r="DM217" s="381"/>
      <c r="DN217" s="381"/>
      <c r="DO217" s="381"/>
      <c r="DP217" s="381"/>
      <c r="DQ217" s="381"/>
      <c r="DR217" s="381"/>
      <c r="DS217" s="381"/>
      <c r="DT217" s="381"/>
      <c r="DU217" s="381"/>
      <c r="DV217" s="381"/>
      <c r="DW217" s="277"/>
      <c r="DX217" s="381"/>
      <c r="DY217" s="381"/>
      <c r="DZ217" s="381"/>
      <c r="EA217" s="381"/>
      <c r="EB217" s="381"/>
      <c r="EC217" s="381"/>
      <c r="ED217" s="381"/>
      <c r="EE217" s="381"/>
      <c r="EF217" s="381"/>
      <c r="EG217" s="381"/>
      <c r="EH217" s="381"/>
      <c r="EI217" s="381"/>
      <c r="EJ217" s="381"/>
      <c r="EK217" s="381"/>
      <c r="EL217" s="381"/>
      <c r="EM217" s="381"/>
      <c r="EN217" s="381"/>
      <c r="EO217" s="381"/>
      <c r="EP217" s="381"/>
      <c r="EQ217" s="381"/>
      <c r="ER217" s="277"/>
      <c r="ES217" s="381"/>
      <c r="ET217" s="381"/>
      <c r="EU217" s="381"/>
      <c r="EV217" s="381"/>
      <c r="EW217" s="381"/>
      <c r="EX217" s="381"/>
      <c r="EY217" s="381"/>
      <c r="EZ217" s="381"/>
      <c r="FA217" s="381"/>
      <c r="FB217" s="381"/>
      <c r="FC217" s="381"/>
      <c r="FD217" s="381"/>
      <c r="FE217" s="381"/>
      <c r="FF217" s="381"/>
      <c r="FG217" s="381"/>
      <c r="FH217" s="381"/>
      <c r="FI217" s="381"/>
      <c r="FJ217" s="381"/>
      <c r="FK217" s="381"/>
      <c r="FL217" s="381"/>
      <c r="FM217" s="381"/>
      <c r="FN217" s="381"/>
      <c r="FO217" s="381"/>
      <c r="FP217" s="381"/>
      <c r="FQ217" s="381"/>
      <c r="FR217" s="381"/>
      <c r="FS217" s="381"/>
      <c r="FT217" s="381"/>
      <c r="FU217" s="381"/>
      <c r="FV217" s="381"/>
      <c r="FW217" s="381"/>
      <c r="FX217" s="381"/>
      <c r="FY217" s="381"/>
      <c r="FZ217" s="381"/>
      <c r="GA217" s="381"/>
      <c r="GB217" s="381"/>
      <c r="GC217" s="381"/>
      <c r="GD217" s="381"/>
      <c r="GE217" s="381"/>
      <c r="GF217" s="381"/>
      <c r="GG217" s="381"/>
      <c r="GH217" s="381"/>
      <c r="GI217" s="381"/>
      <c r="GJ217" s="381"/>
      <c r="GK217" s="381"/>
      <c r="GL217" s="381"/>
      <c r="GM217" s="381"/>
      <c r="GN217" s="381"/>
      <c r="GO217" s="381"/>
      <c r="GP217" s="381"/>
      <c r="GQ217" s="381"/>
      <c r="GR217" s="381"/>
      <c r="GS217" s="381"/>
      <c r="GT217" s="381"/>
      <c r="GU217" s="381"/>
      <c r="GV217" s="381"/>
      <c r="GW217" s="381"/>
      <c r="GX217" s="381"/>
      <c r="GY217" s="381"/>
      <c r="GZ217" s="381"/>
      <c r="HA217" s="381"/>
      <c r="HB217" s="381"/>
      <c r="HC217" s="381"/>
      <c r="HD217" s="381"/>
      <c r="HE217" s="381"/>
      <c r="HF217" s="381"/>
      <c r="HG217" s="381"/>
      <c r="HH217" s="381"/>
      <c r="HI217" s="381"/>
      <c r="HJ217" s="381"/>
      <c r="HK217" s="381"/>
      <c r="HL217" s="381"/>
      <c r="HM217" s="381"/>
      <c r="HN217" s="381"/>
      <c r="HO217" s="381"/>
      <c r="HP217" s="381"/>
      <c r="HQ217" s="381"/>
      <c r="HR217" s="381"/>
      <c r="HS217" s="381"/>
      <c r="HT217" s="381"/>
      <c r="HU217" s="381"/>
      <c r="HV217" s="381"/>
      <c r="HW217" s="381"/>
      <c r="HX217" s="381"/>
      <c r="HY217" s="381"/>
      <c r="HZ217" s="381"/>
      <c r="IA217" s="381"/>
      <c r="IB217" s="381"/>
      <c r="IC217" s="381"/>
      <c r="ID217" s="381"/>
      <c r="IE217" s="381"/>
      <c r="IF217" s="381"/>
      <c r="IG217" s="381"/>
      <c r="IH217" s="381"/>
      <c r="II217" s="381"/>
      <c r="IJ217" s="381"/>
      <c r="IK217" s="381"/>
      <c r="IL217" s="381"/>
      <c r="IM217" s="381"/>
      <c r="IN217" s="381"/>
      <c r="IO217" s="381"/>
      <c r="IP217" s="381"/>
      <c r="IQ217" s="381"/>
      <c r="IR217" s="381"/>
      <c r="IS217" s="381"/>
      <c r="IT217" s="381"/>
      <c r="IU217" s="381"/>
      <c r="IV217" s="381"/>
      <c r="IW217" s="381"/>
      <c r="IX217" s="381"/>
      <c r="IY217" s="381"/>
      <c r="IZ217" s="381"/>
      <c r="JA217" s="381"/>
      <c r="JB217" s="381"/>
      <c r="JC217" s="381"/>
      <c r="JD217" s="381"/>
      <c r="JE217" s="381"/>
      <c r="JF217" s="381"/>
      <c r="JG217" s="277"/>
      <c r="JH217" s="381"/>
      <c r="JI217" s="381"/>
      <c r="JJ217" s="381"/>
      <c r="JK217" s="381"/>
      <c r="JL217" s="381"/>
      <c r="JM217" s="381"/>
      <c r="JN217" s="381"/>
      <c r="JO217" s="381"/>
      <c r="JP217" s="381"/>
      <c r="JQ217" s="381"/>
      <c r="JR217" s="381"/>
      <c r="JS217" s="381"/>
      <c r="JT217" s="381"/>
      <c r="JU217" s="381"/>
      <c r="JV217" s="381"/>
      <c r="JW217" s="381"/>
      <c r="JX217" s="381"/>
      <c r="JY217" s="381"/>
      <c r="JZ217" s="381"/>
      <c r="KA217" s="381"/>
      <c r="KB217" s="277"/>
    </row>
    <row r="218" spans="1:289" ht="15" customHeight="1" x14ac:dyDescent="0.25">
      <c r="B218" s="216" t="str">
        <f t="shared" si="22"/>
        <v>Desk 2</v>
      </c>
      <c r="C218" s="218" t="str">
        <v/>
      </c>
      <c r="D218" s="218" t="str">
        <v/>
      </c>
      <c r="E218" s="218" t="str">
        <v/>
      </c>
      <c r="F218" s="218" t="str">
        <v/>
      </c>
      <c r="G218" s="402" t="str">
        <v/>
      </c>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381"/>
      <c r="AG218" s="381"/>
      <c r="AH218" s="381"/>
      <c r="AI218" s="381"/>
      <c r="AJ218" s="381"/>
      <c r="AK218" s="381"/>
      <c r="AL218" s="381"/>
      <c r="AM218" s="381"/>
      <c r="AN218" s="381"/>
      <c r="AO218" s="381"/>
      <c r="AP218" s="381"/>
      <c r="AQ218" s="381"/>
      <c r="AR218" s="381"/>
      <c r="AS218" s="381"/>
      <c r="AT218" s="381"/>
      <c r="AU218" s="381"/>
      <c r="AV218" s="381"/>
      <c r="AW218" s="381"/>
      <c r="AX218" s="381"/>
      <c r="AY218" s="381"/>
      <c r="AZ218" s="381"/>
      <c r="BA218" s="381"/>
      <c r="BB218" s="381"/>
      <c r="BC218" s="381"/>
      <c r="BD218" s="381"/>
      <c r="BE218" s="381"/>
      <c r="BF218" s="381"/>
      <c r="BG218" s="381"/>
      <c r="BH218" s="381"/>
      <c r="BI218" s="381"/>
      <c r="BJ218" s="381"/>
      <c r="BK218" s="381"/>
      <c r="BL218" s="381"/>
      <c r="BM218" s="381"/>
      <c r="BN218" s="381"/>
      <c r="BO218" s="381"/>
      <c r="BP218" s="381"/>
      <c r="BQ218" s="381"/>
      <c r="BR218" s="381"/>
      <c r="BS218" s="381"/>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c r="CN218" s="381"/>
      <c r="CO218" s="381"/>
      <c r="CP218" s="381"/>
      <c r="CQ218" s="381"/>
      <c r="CR218" s="381"/>
      <c r="CS218" s="381"/>
      <c r="CT218" s="381"/>
      <c r="CU218" s="381"/>
      <c r="CV218" s="381"/>
      <c r="CW218" s="381"/>
      <c r="CX218" s="381"/>
      <c r="CY218" s="381"/>
      <c r="CZ218" s="381"/>
      <c r="DA218" s="381"/>
      <c r="DB218" s="381"/>
      <c r="DC218" s="381"/>
      <c r="DD218" s="381"/>
      <c r="DE218" s="381"/>
      <c r="DF218" s="381"/>
      <c r="DG218" s="381"/>
      <c r="DH218" s="381"/>
      <c r="DI218" s="381"/>
      <c r="DJ218" s="381"/>
      <c r="DK218" s="381"/>
      <c r="DL218" s="381"/>
      <c r="DM218" s="381"/>
      <c r="DN218" s="381"/>
      <c r="DO218" s="381"/>
      <c r="DP218" s="381"/>
      <c r="DQ218" s="381"/>
      <c r="DR218" s="381"/>
      <c r="DS218" s="381"/>
      <c r="DT218" s="381"/>
      <c r="DU218" s="381"/>
      <c r="DV218" s="381"/>
      <c r="DW218" s="277"/>
      <c r="DX218" s="381"/>
      <c r="DY218" s="381"/>
      <c r="DZ218" s="381"/>
      <c r="EA218" s="381"/>
      <c r="EB218" s="381"/>
      <c r="EC218" s="381"/>
      <c r="ED218" s="381"/>
      <c r="EE218" s="381"/>
      <c r="EF218" s="381"/>
      <c r="EG218" s="381"/>
      <c r="EH218" s="381"/>
      <c r="EI218" s="381"/>
      <c r="EJ218" s="381"/>
      <c r="EK218" s="381"/>
      <c r="EL218" s="381"/>
      <c r="EM218" s="381"/>
      <c r="EN218" s="381"/>
      <c r="EO218" s="381"/>
      <c r="EP218" s="381"/>
      <c r="EQ218" s="381"/>
      <c r="ER218" s="277"/>
      <c r="ES218" s="381"/>
      <c r="ET218" s="381"/>
      <c r="EU218" s="381"/>
      <c r="EV218" s="381"/>
      <c r="EW218" s="381"/>
      <c r="EX218" s="381"/>
      <c r="EY218" s="381"/>
      <c r="EZ218" s="381"/>
      <c r="FA218" s="381"/>
      <c r="FB218" s="381"/>
      <c r="FC218" s="381"/>
      <c r="FD218" s="381"/>
      <c r="FE218" s="381"/>
      <c r="FF218" s="381"/>
      <c r="FG218" s="381"/>
      <c r="FH218" s="381"/>
      <c r="FI218" s="381"/>
      <c r="FJ218" s="381"/>
      <c r="FK218" s="381"/>
      <c r="FL218" s="381"/>
      <c r="FM218" s="381"/>
      <c r="FN218" s="381"/>
      <c r="FO218" s="381"/>
      <c r="FP218" s="381"/>
      <c r="FQ218" s="381"/>
      <c r="FR218" s="381"/>
      <c r="FS218" s="381"/>
      <c r="FT218" s="381"/>
      <c r="FU218" s="381"/>
      <c r="FV218" s="381"/>
      <c r="FW218" s="381"/>
      <c r="FX218" s="381"/>
      <c r="FY218" s="381"/>
      <c r="FZ218" s="381"/>
      <c r="GA218" s="381"/>
      <c r="GB218" s="381"/>
      <c r="GC218" s="381"/>
      <c r="GD218" s="381"/>
      <c r="GE218" s="381"/>
      <c r="GF218" s="381"/>
      <c r="GG218" s="381"/>
      <c r="GH218" s="381"/>
      <c r="GI218" s="381"/>
      <c r="GJ218" s="381"/>
      <c r="GK218" s="381"/>
      <c r="GL218" s="381"/>
      <c r="GM218" s="381"/>
      <c r="GN218" s="381"/>
      <c r="GO218" s="381"/>
      <c r="GP218" s="381"/>
      <c r="GQ218" s="381"/>
      <c r="GR218" s="381"/>
      <c r="GS218" s="381"/>
      <c r="GT218" s="381"/>
      <c r="GU218" s="381"/>
      <c r="GV218" s="381"/>
      <c r="GW218" s="381"/>
      <c r="GX218" s="381"/>
      <c r="GY218" s="381"/>
      <c r="GZ218" s="381"/>
      <c r="HA218" s="381"/>
      <c r="HB218" s="381"/>
      <c r="HC218" s="381"/>
      <c r="HD218" s="381"/>
      <c r="HE218" s="381"/>
      <c r="HF218" s="381"/>
      <c r="HG218" s="381"/>
      <c r="HH218" s="381"/>
      <c r="HI218" s="381"/>
      <c r="HJ218" s="381"/>
      <c r="HK218" s="381"/>
      <c r="HL218" s="381"/>
      <c r="HM218" s="381"/>
      <c r="HN218" s="381"/>
      <c r="HO218" s="381"/>
      <c r="HP218" s="381"/>
      <c r="HQ218" s="381"/>
      <c r="HR218" s="381"/>
      <c r="HS218" s="381"/>
      <c r="HT218" s="381"/>
      <c r="HU218" s="381"/>
      <c r="HV218" s="381"/>
      <c r="HW218" s="381"/>
      <c r="HX218" s="381"/>
      <c r="HY218" s="381"/>
      <c r="HZ218" s="381"/>
      <c r="IA218" s="381"/>
      <c r="IB218" s="381"/>
      <c r="IC218" s="381"/>
      <c r="ID218" s="381"/>
      <c r="IE218" s="381"/>
      <c r="IF218" s="381"/>
      <c r="IG218" s="381"/>
      <c r="IH218" s="381"/>
      <c r="II218" s="381"/>
      <c r="IJ218" s="381"/>
      <c r="IK218" s="381"/>
      <c r="IL218" s="381"/>
      <c r="IM218" s="381"/>
      <c r="IN218" s="381"/>
      <c r="IO218" s="381"/>
      <c r="IP218" s="381"/>
      <c r="IQ218" s="381"/>
      <c r="IR218" s="381"/>
      <c r="IS218" s="381"/>
      <c r="IT218" s="381"/>
      <c r="IU218" s="381"/>
      <c r="IV218" s="381"/>
      <c r="IW218" s="381"/>
      <c r="IX218" s="381"/>
      <c r="IY218" s="381"/>
      <c r="IZ218" s="381"/>
      <c r="JA218" s="381"/>
      <c r="JB218" s="381"/>
      <c r="JC218" s="381"/>
      <c r="JD218" s="381"/>
      <c r="JE218" s="381"/>
      <c r="JF218" s="381"/>
      <c r="JG218" s="277"/>
      <c r="JH218" s="381"/>
      <c r="JI218" s="381"/>
      <c r="JJ218" s="381"/>
      <c r="JK218" s="381"/>
      <c r="JL218" s="381"/>
      <c r="JM218" s="381"/>
      <c r="JN218" s="381"/>
      <c r="JO218" s="381"/>
      <c r="JP218" s="381"/>
      <c r="JQ218" s="381"/>
      <c r="JR218" s="381"/>
      <c r="JS218" s="381"/>
      <c r="JT218" s="381"/>
      <c r="JU218" s="381"/>
      <c r="JV218" s="381"/>
      <c r="JW218" s="381"/>
      <c r="JX218" s="381"/>
      <c r="JY218" s="381"/>
      <c r="JZ218" s="381"/>
      <c r="KA218" s="381"/>
      <c r="KB218" s="277"/>
    </row>
    <row r="219" spans="1:289" ht="15" customHeight="1" x14ac:dyDescent="0.25">
      <c r="B219" s="216" t="str">
        <f t="shared" si="22"/>
        <v>Desk 3</v>
      </c>
      <c r="C219" s="218" t="str">
        <v/>
      </c>
      <c r="D219" s="218" t="str">
        <v/>
      </c>
      <c r="E219" s="218" t="str">
        <v/>
      </c>
      <c r="F219" s="218" t="str">
        <v/>
      </c>
      <c r="G219" s="402" t="str">
        <v/>
      </c>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381"/>
      <c r="DG219" s="381"/>
      <c r="DH219" s="381"/>
      <c r="DI219" s="381"/>
      <c r="DJ219" s="381"/>
      <c r="DK219" s="381"/>
      <c r="DL219" s="381"/>
      <c r="DM219" s="381"/>
      <c r="DN219" s="381"/>
      <c r="DO219" s="381"/>
      <c r="DP219" s="381"/>
      <c r="DQ219" s="381"/>
      <c r="DR219" s="381"/>
      <c r="DS219" s="381"/>
      <c r="DT219" s="381"/>
      <c r="DU219" s="381"/>
      <c r="DV219" s="381"/>
      <c r="DW219" s="277"/>
      <c r="DX219" s="381"/>
      <c r="DY219" s="381"/>
      <c r="DZ219" s="381"/>
      <c r="EA219" s="381"/>
      <c r="EB219" s="381"/>
      <c r="EC219" s="381"/>
      <c r="ED219" s="381"/>
      <c r="EE219" s="381"/>
      <c r="EF219" s="381"/>
      <c r="EG219" s="381"/>
      <c r="EH219" s="381"/>
      <c r="EI219" s="381"/>
      <c r="EJ219" s="381"/>
      <c r="EK219" s="381"/>
      <c r="EL219" s="381"/>
      <c r="EM219" s="381"/>
      <c r="EN219" s="381"/>
      <c r="EO219" s="381"/>
      <c r="EP219" s="381"/>
      <c r="EQ219" s="381"/>
      <c r="ER219" s="277"/>
      <c r="ES219" s="381"/>
      <c r="ET219" s="381"/>
      <c r="EU219" s="381"/>
      <c r="EV219" s="381"/>
      <c r="EW219" s="381"/>
      <c r="EX219" s="381"/>
      <c r="EY219" s="381"/>
      <c r="EZ219" s="381"/>
      <c r="FA219" s="381"/>
      <c r="FB219" s="381"/>
      <c r="FC219" s="381"/>
      <c r="FD219" s="381"/>
      <c r="FE219" s="381"/>
      <c r="FF219" s="381"/>
      <c r="FG219" s="381"/>
      <c r="FH219" s="381"/>
      <c r="FI219" s="381"/>
      <c r="FJ219" s="381"/>
      <c r="FK219" s="381"/>
      <c r="FL219" s="381"/>
      <c r="FM219" s="381"/>
      <c r="FN219" s="381"/>
      <c r="FO219" s="381"/>
      <c r="FP219" s="381"/>
      <c r="FQ219" s="381"/>
      <c r="FR219" s="381"/>
      <c r="FS219" s="381"/>
      <c r="FT219" s="381"/>
      <c r="FU219" s="381"/>
      <c r="FV219" s="381"/>
      <c r="FW219" s="381"/>
      <c r="FX219" s="381"/>
      <c r="FY219" s="381"/>
      <c r="FZ219" s="381"/>
      <c r="GA219" s="381"/>
      <c r="GB219" s="381"/>
      <c r="GC219" s="381"/>
      <c r="GD219" s="381"/>
      <c r="GE219" s="381"/>
      <c r="GF219" s="381"/>
      <c r="GG219" s="381"/>
      <c r="GH219" s="381"/>
      <c r="GI219" s="381"/>
      <c r="GJ219" s="381"/>
      <c r="GK219" s="381"/>
      <c r="GL219" s="381"/>
      <c r="GM219" s="381"/>
      <c r="GN219" s="381"/>
      <c r="GO219" s="381"/>
      <c r="GP219" s="381"/>
      <c r="GQ219" s="381"/>
      <c r="GR219" s="381"/>
      <c r="GS219" s="381"/>
      <c r="GT219" s="381"/>
      <c r="GU219" s="381"/>
      <c r="GV219" s="381"/>
      <c r="GW219" s="381"/>
      <c r="GX219" s="381"/>
      <c r="GY219" s="381"/>
      <c r="GZ219" s="381"/>
      <c r="HA219" s="381"/>
      <c r="HB219" s="381"/>
      <c r="HC219" s="381"/>
      <c r="HD219" s="381"/>
      <c r="HE219" s="381"/>
      <c r="HF219" s="381"/>
      <c r="HG219" s="381"/>
      <c r="HH219" s="381"/>
      <c r="HI219" s="381"/>
      <c r="HJ219" s="381"/>
      <c r="HK219" s="381"/>
      <c r="HL219" s="381"/>
      <c r="HM219" s="381"/>
      <c r="HN219" s="381"/>
      <c r="HO219" s="381"/>
      <c r="HP219" s="381"/>
      <c r="HQ219" s="381"/>
      <c r="HR219" s="381"/>
      <c r="HS219" s="381"/>
      <c r="HT219" s="381"/>
      <c r="HU219" s="381"/>
      <c r="HV219" s="381"/>
      <c r="HW219" s="381"/>
      <c r="HX219" s="381"/>
      <c r="HY219" s="381"/>
      <c r="HZ219" s="381"/>
      <c r="IA219" s="381"/>
      <c r="IB219" s="381"/>
      <c r="IC219" s="381"/>
      <c r="ID219" s="381"/>
      <c r="IE219" s="381"/>
      <c r="IF219" s="381"/>
      <c r="IG219" s="381"/>
      <c r="IH219" s="381"/>
      <c r="II219" s="381"/>
      <c r="IJ219" s="381"/>
      <c r="IK219" s="381"/>
      <c r="IL219" s="381"/>
      <c r="IM219" s="381"/>
      <c r="IN219" s="381"/>
      <c r="IO219" s="381"/>
      <c r="IP219" s="381"/>
      <c r="IQ219" s="381"/>
      <c r="IR219" s="381"/>
      <c r="IS219" s="381"/>
      <c r="IT219" s="381"/>
      <c r="IU219" s="381"/>
      <c r="IV219" s="381"/>
      <c r="IW219" s="381"/>
      <c r="IX219" s="381"/>
      <c r="IY219" s="381"/>
      <c r="IZ219" s="381"/>
      <c r="JA219" s="381"/>
      <c r="JB219" s="381"/>
      <c r="JC219" s="381"/>
      <c r="JD219" s="381"/>
      <c r="JE219" s="381"/>
      <c r="JF219" s="381"/>
      <c r="JG219" s="277"/>
      <c r="JH219" s="381"/>
      <c r="JI219" s="381"/>
      <c r="JJ219" s="381"/>
      <c r="JK219" s="381"/>
      <c r="JL219" s="381"/>
      <c r="JM219" s="381"/>
      <c r="JN219" s="381"/>
      <c r="JO219" s="381"/>
      <c r="JP219" s="381"/>
      <c r="JQ219" s="381"/>
      <c r="JR219" s="381"/>
      <c r="JS219" s="381"/>
      <c r="JT219" s="381"/>
      <c r="JU219" s="381"/>
      <c r="JV219" s="381"/>
      <c r="JW219" s="381"/>
      <c r="JX219" s="381"/>
      <c r="JY219" s="381"/>
      <c r="JZ219" s="381"/>
      <c r="KA219" s="381"/>
      <c r="KB219" s="277"/>
    </row>
    <row r="220" spans="1:289" ht="15" customHeight="1" x14ac:dyDescent="0.25">
      <c r="B220" s="216" t="str">
        <f t="shared" si="22"/>
        <v>Desk 4</v>
      </c>
      <c r="C220" s="218" t="str">
        <v/>
      </c>
      <c r="D220" s="218" t="str">
        <v/>
      </c>
      <c r="E220" s="218" t="str">
        <v/>
      </c>
      <c r="F220" s="218" t="str">
        <v/>
      </c>
      <c r="G220" s="402" t="str">
        <v/>
      </c>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381"/>
      <c r="DG220" s="381"/>
      <c r="DH220" s="381"/>
      <c r="DI220" s="381"/>
      <c r="DJ220" s="381"/>
      <c r="DK220" s="381"/>
      <c r="DL220" s="381"/>
      <c r="DM220" s="381"/>
      <c r="DN220" s="381"/>
      <c r="DO220" s="381"/>
      <c r="DP220" s="381"/>
      <c r="DQ220" s="381"/>
      <c r="DR220" s="381"/>
      <c r="DS220" s="381"/>
      <c r="DT220" s="381"/>
      <c r="DU220" s="381"/>
      <c r="DV220" s="381"/>
      <c r="DW220" s="277"/>
      <c r="DX220" s="381"/>
      <c r="DY220" s="381"/>
      <c r="DZ220" s="381"/>
      <c r="EA220" s="381"/>
      <c r="EB220" s="381"/>
      <c r="EC220" s="381"/>
      <c r="ED220" s="381"/>
      <c r="EE220" s="381"/>
      <c r="EF220" s="381"/>
      <c r="EG220" s="381"/>
      <c r="EH220" s="381"/>
      <c r="EI220" s="381"/>
      <c r="EJ220" s="381"/>
      <c r="EK220" s="381"/>
      <c r="EL220" s="381"/>
      <c r="EM220" s="381"/>
      <c r="EN220" s="381"/>
      <c r="EO220" s="381"/>
      <c r="EP220" s="381"/>
      <c r="EQ220" s="381"/>
      <c r="ER220" s="277"/>
      <c r="ES220" s="381"/>
      <c r="ET220" s="381"/>
      <c r="EU220" s="381"/>
      <c r="EV220" s="381"/>
      <c r="EW220" s="381"/>
      <c r="EX220" s="381"/>
      <c r="EY220" s="381"/>
      <c r="EZ220" s="381"/>
      <c r="FA220" s="381"/>
      <c r="FB220" s="381"/>
      <c r="FC220" s="381"/>
      <c r="FD220" s="381"/>
      <c r="FE220" s="381"/>
      <c r="FF220" s="381"/>
      <c r="FG220" s="381"/>
      <c r="FH220" s="381"/>
      <c r="FI220" s="381"/>
      <c r="FJ220" s="381"/>
      <c r="FK220" s="381"/>
      <c r="FL220" s="381"/>
      <c r="FM220" s="381"/>
      <c r="FN220" s="381"/>
      <c r="FO220" s="381"/>
      <c r="FP220" s="381"/>
      <c r="FQ220" s="381"/>
      <c r="FR220" s="381"/>
      <c r="FS220" s="381"/>
      <c r="FT220" s="381"/>
      <c r="FU220" s="381"/>
      <c r="FV220" s="381"/>
      <c r="FW220" s="381"/>
      <c r="FX220" s="381"/>
      <c r="FY220" s="381"/>
      <c r="FZ220" s="381"/>
      <c r="GA220" s="381"/>
      <c r="GB220" s="381"/>
      <c r="GC220" s="381"/>
      <c r="GD220" s="381"/>
      <c r="GE220" s="381"/>
      <c r="GF220" s="381"/>
      <c r="GG220" s="381"/>
      <c r="GH220" s="381"/>
      <c r="GI220" s="381"/>
      <c r="GJ220" s="381"/>
      <c r="GK220" s="381"/>
      <c r="GL220" s="381"/>
      <c r="GM220" s="381"/>
      <c r="GN220" s="381"/>
      <c r="GO220" s="381"/>
      <c r="GP220" s="381"/>
      <c r="GQ220" s="381"/>
      <c r="GR220" s="381"/>
      <c r="GS220" s="381"/>
      <c r="GT220" s="381"/>
      <c r="GU220" s="381"/>
      <c r="GV220" s="381"/>
      <c r="GW220" s="381"/>
      <c r="GX220" s="381"/>
      <c r="GY220" s="381"/>
      <c r="GZ220" s="381"/>
      <c r="HA220" s="381"/>
      <c r="HB220" s="381"/>
      <c r="HC220" s="381"/>
      <c r="HD220" s="381"/>
      <c r="HE220" s="381"/>
      <c r="HF220" s="381"/>
      <c r="HG220" s="381"/>
      <c r="HH220" s="381"/>
      <c r="HI220" s="381"/>
      <c r="HJ220" s="381"/>
      <c r="HK220" s="381"/>
      <c r="HL220" s="381"/>
      <c r="HM220" s="381"/>
      <c r="HN220" s="381"/>
      <c r="HO220" s="381"/>
      <c r="HP220" s="381"/>
      <c r="HQ220" s="381"/>
      <c r="HR220" s="381"/>
      <c r="HS220" s="381"/>
      <c r="HT220" s="381"/>
      <c r="HU220" s="381"/>
      <c r="HV220" s="381"/>
      <c r="HW220" s="381"/>
      <c r="HX220" s="381"/>
      <c r="HY220" s="381"/>
      <c r="HZ220" s="381"/>
      <c r="IA220" s="381"/>
      <c r="IB220" s="381"/>
      <c r="IC220" s="381"/>
      <c r="ID220" s="381"/>
      <c r="IE220" s="381"/>
      <c r="IF220" s="381"/>
      <c r="IG220" s="381"/>
      <c r="IH220" s="381"/>
      <c r="II220" s="381"/>
      <c r="IJ220" s="381"/>
      <c r="IK220" s="381"/>
      <c r="IL220" s="381"/>
      <c r="IM220" s="381"/>
      <c r="IN220" s="381"/>
      <c r="IO220" s="381"/>
      <c r="IP220" s="381"/>
      <c r="IQ220" s="381"/>
      <c r="IR220" s="381"/>
      <c r="IS220" s="381"/>
      <c r="IT220" s="381"/>
      <c r="IU220" s="381"/>
      <c r="IV220" s="381"/>
      <c r="IW220" s="381"/>
      <c r="IX220" s="381"/>
      <c r="IY220" s="381"/>
      <c r="IZ220" s="381"/>
      <c r="JA220" s="381"/>
      <c r="JB220" s="381"/>
      <c r="JC220" s="381"/>
      <c r="JD220" s="381"/>
      <c r="JE220" s="381"/>
      <c r="JF220" s="381"/>
      <c r="JG220" s="277"/>
      <c r="JH220" s="381"/>
      <c r="JI220" s="381"/>
      <c r="JJ220" s="381"/>
      <c r="JK220" s="381"/>
      <c r="JL220" s="381"/>
      <c r="JM220" s="381"/>
      <c r="JN220" s="381"/>
      <c r="JO220" s="381"/>
      <c r="JP220" s="381"/>
      <c r="JQ220" s="381"/>
      <c r="JR220" s="381"/>
      <c r="JS220" s="381"/>
      <c r="JT220" s="381"/>
      <c r="JU220" s="381"/>
      <c r="JV220" s="381"/>
      <c r="JW220" s="381"/>
      <c r="JX220" s="381"/>
      <c r="JY220" s="381"/>
      <c r="JZ220" s="381"/>
      <c r="KA220" s="381"/>
      <c r="KB220" s="277"/>
    </row>
    <row r="221" spans="1:289" ht="15" customHeight="1" x14ac:dyDescent="0.25">
      <c r="B221" s="216" t="str">
        <f t="shared" si="22"/>
        <v>Desk 5</v>
      </c>
      <c r="C221" s="218" t="str">
        <v/>
      </c>
      <c r="D221" s="218" t="str">
        <v/>
      </c>
      <c r="E221" s="218" t="str">
        <v/>
      </c>
      <c r="F221" s="218" t="str">
        <v/>
      </c>
      <c r="G221" s="402" t="str">
        <v/>
      </c>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c r="AG221" s="381"/>
      <c r="AH221" s="381"/>
      <c r="AI221" s="381"/>
      <c r="AJ221" s="381"/>
      <c r="AK221" s="381"/>
      <c r="AL221" s="381"/>
      <c r="AM221" s="381"/>
      <c r="AN221" s="381"/>
      <c r="AO221" s="381"/>
      <c r="AP221" s="381"/>
      <c r="AQ221" s="381"/>
      <c r="AR221" s="381"/>
      <c r="AS221" s="381"/>
      <c r="AT221" s="381"/>
      <c r="AU221" s="381"/>
      <c r="AV221" s="381"/>
      <c r="AW221" s="381"/>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381"/>
      <c r="DG221" s="381"/>
      <c r="DH221" s="381"/>
      <c r="DI221" s="381"/>
      <c r="DJ221" s="381"/>
      <c r="DK221" s="381"/>
      <c r="DL221" s="381"/>
      <c r="DM221" s="381"/>
      <c r="DN221" s="381"/>
      <c r="DO221" s="381"/>
      <c r="DP221" s="381"/>
      <c r="DQ221" s="381"/>
      <c r="DR221" s="381"/>
      <c r="DS221" s="381"/>
      <c r="DT221" s="381"/>
      <c r="DU221" s="381"/>
      <c r="DV221" s="381"/>
      <c r="DW221" s="277"/>
      <c r="DX221" s="381"/>
      <c r="DY221" s="381"/>
      <c r="DZ221" s="381"/>
      <c r="EA221" s="381"/>
      <c r="EB221" s="381"/>
      <c r="EC221" s="381"/>
      <c r="ED221" s="381"/>
      <c r="EE221" s="381"/>
      <c r="EF221" s="381"/>
      <c r="EG221" s="381"/>
      <c r="EH221" s="381"/>
      <c r="EI221" s="381"/>
      <c r="EJ221" s="381"/>
      <c r="EK221" s="381"/>
      <c r="EL221" s="381"/>
      <c r="EM221" s="381"/>
      <c r="EN221" s="381"/>
      <c r="EO221" s="381"/>
      <c r="EP221" s="381"/>
      <c r="EQ221" s="381"/>
      <c r="ER221" s="277"/>
      <c r="ES221" s="381"/>
      <c r="ET221" s="381"/>
      <c r="EU221" s="381"/>
      <c r="EV221" s="381"/>
      <c r="EW221" s="381"/>
      <c r="EX221" s="381"/>
      <c r="EY221" s="381"/>
      <c r="EZ221" s="381"/>
      <c r="FA221" s="381"/>
      <c r="FB221" s="381"/>
      <c r="FC221" s="381"/>
      <c r="FD221" s="381"/>
      <c r="FE221" s="381"/>
      <c r="FF221" s="381"/>
      <c r="FG221" s="381"/>
      <c r="FH221" s="381"/>
      <c r="FI221" s="381"/>
      <c r="FJ221" s="381"/>
      <c r="FK221" s="381"/>
      <c r="FL221" s="381"/>
      <c r="FM221" s="381"/>
      <c r="FN221" s="381"/>
      <c r="FO221" s="381"/>
      <c r="FP221" s="381"/>
      <c r="FQ221" s="381"/>
      <c r="FR221" s="381"/>
      <c r="FS221" s="381"/>
      <c r="FT221" s="381"/>
      <c r="FU221" s="381"/>
      <c r="FV221" s="381"/>
      <c r="FW221" s="381"/>
      <c r="FX221" s="381"/>
      <c r="FY221" s="381"/>
      <c r="FZ221" s="381"/>
      <c r="GA221" s="381"/>
      <c r="GB221" s="381"/>
      <c r="GC221" s="381"/>
      <c r="GD221" s="381"/>
      <c r="GE221" s="381"/>
      <c r="GF221" s="381"/>
      <c r="GG221" s="381"/>
      <c r="GH221" s="381"/>
      <c r="GI221" s="381"/>
      <c r="GJ221" s="381"/>
      <c r="GK221" s="381"/>
      <c r="GL221" s="381"/>
      <c r="GM221" s="381"/>
      <c r="GN221" s="381"/>
      <c r="GO221" s="381"/>
      <c r="GP221" s="381"/>
      <c r="GQ221" s="381"/>
      <c r="GR221" s="381"/>
      <c r="GS221" s="381"/>
      <c r="GT221" s="381"/>
      <c r="GU221" s="381"/>
      <c r="GV221" s="381"/>
      <c r="GW221" s="381"/>
      <c r="GX221" s="381"/>
      <c r="GY221" s="381"/>
      <c r="GZ221" s="381"/>
      <c r="HA221" s="381"/>
      <c r="HB221" s="381"/>
      <c r="HC221" s="381"/>
      <c r="HD221" s="381"/>
      <c r="HE221" s="381"/>
      <c r="HF221" s="381"/>
      <c r="HG221" s="381"/>
      <c r="HH221" s="381"/>
      <c r="HI221" s="381"/>
      <c r="HJ221" s="381"/>
      <c r="HK221" s="381"/>
      <c r="HL221" s="381"/>
      <c r="HM221" s="381"/>
      <c r="HN221" s="381"/>
      <c r="HO221" s="381"/>
      <c r="HP221" s="381"/>
      <c r="HQ221" s="381"/>
      <c r="HR221" s="381"/>
      <c r="HS221" s="381"/>
      <c r="HT221" s="381"/>
      <c r="HU221" s="381"/>
      <c r="HV221" s="381"/>
      <c r="HW221" s="381"/>
      <c r="HX221" s="381"/>
      <c r="HY221" s="381"/>
      <c r="HZ221" s="381"/>
      <c r="IA221" s="381"/>
      <c r="IB221" s="381"/>
      <c r="IC221" s="381"/>
      <c r="ID221" s="381"/>
      <c r="IE221" s="381"/>
      <c r="IF221" s="381"/>
      <c r="IG221" s="381"/>
      <c r="IH221" s="381"/>
      <c r="II221" s="381"/>
      <c r="IJ221" s="381"/>
      <c r="IK221" s="381"/>
      <c r="IL221" s="381"/>
      <c r="IM221" s="381"/>
      <c r="IN221" s="381"/>
      <c r="IO221" s="381"/>
      <c r="IP221" s="381"/>
      <c r="IQ221" s="381"/>
      <c r="IR221" s="381"/>
      <c r="IS221" s="381"/>
      <c r="IT221" s="381"/>
      <c r="IU221" s="381"/>
      <c r="IV221" s="381"/>
      <c r="IW221" s="381"/>
      <c r="IX221" s="381"/>
      <c r="IY221" s="381"/>
      <c r="IZ221" s="381"/>
      <c r="JA221" s="381"/>
      <c r="JB221" s="381"/>
      <c r="JC221" s="381"/>
      <c r="JD221" s="381"/>
      <c r="JE221" s="381"/>
      <c r="JF221" s="381"/>
      <c r="JG221" s="277"/>
      <c r="JH221" s="381"/>
      <c r="JI221" s="381"/>
      <c r="JJ221" s="381"/>
      <c r="JK221" s="381"/>
      <c r="JL221" s="381"/>
      <c r="JM221" s="381"/>
      <c r="JN221" s="381"/>
      <c r="JO221" s="381"/>
      <c r="JP221" s="381"/>
      <c r="JQ221" s="381"/>
      <c r="JR221" s="381"/>
      <c r="JS221" s="381"/>
      <c r="JT221" s="381"/>
      <c r="JU221" s="381"/>
      <c r="JV221" s="381"/>
      <c r="JW221" s="381"/>
      <c r="JX221" s="381"/>
      <c r="JY221" s="381"/>
      <c r="JZ221" s="381"/>
      <c r="KA221" s="381"/>
      <c r="KB221" s="277"/>
    </row>
    <row r="222" spans="1:289" ht="15" customHeight="1" x14ac:dyDescent="0.25">
      <c r="B222" s="216" t="str">
        <f t="shared" si="22"/>
        <v>Desk 6</v>
      </c>
      <c r="C222" s="218" t="str">
        <v/>
      </c>
      <c r="D222" s="218" t="str">
        <v/>
      </c>
      <c r="E222" s="218" t="str">
        <v/>
      </c>
      <c r="F222" s="218" t="str">
        <v/>
      </c>
      <c r="G222" s="402" t="str">
        <v/>
      </c>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381"/>
      <c r="DG222" s="381"/>
      <c r="DH222" s="381"/>
      <c r="DI222" s="381"/>
      <c r="DJ222" s="381"/>
      <c r="DK222" s="381"/>
      <c r="DL222" s="381"/>
      <c r="DM222" s="381"/>
      <c r="DN222" s="381"/>
      <c r="DO222" s="381"/>
      <c r="DP222" s="381"/>
      <c r="DQ222" s="381"/>
      <c r="DR222" s="381"/>
      <c r="DS222" s="381"/>
      <c r="DT222" s="381"/>
      <c r="DU222" s="381"/>
      <c r="DV222" s="381"/>
      <c r="DW222" s="277"/>
      <c r="DX222" s="381"/>
      <c r="DY222" s="381"/>
      <c r="DZ222" s="381"/>
      <c r="EA222" s="381"/>
      <c r="EB222" s="381"/>
      <c r="EC222" s="381"/>
      <c r="ED222" s="381"/>
      <c r="EE222" s="381"/>
      <c r="EF222" s="381"/>
      <c r="EG222" s="381"/>
      <c r="EH222" s="381"/>
      <c r="EI222" s="381"/>
      <c r="EJ222" s="381"/>
      <c r="EK222" s="381"/>
      <c r="EL222" s="381"/>
      <c r="EM222" s="381"/>
      <c r="EN222" s="381"/>
      <c r="EO222" s="381"/>
      <c r="EP222" s="381"/>
      <c r="EQ222" s="381"/>
      <c r="ER222" s="277"/>
      <c r="ES222" s="381"/>
      <c r="ET222" s="381"/>
      <c r="EU222" s="381"/>
      <c r="EV222" s="381"/>
      <c r="EW222" s="381"/>
      <c r="EX222" s="381"/>
      <c r="EY222" s="381"/>
      <c r="EZ222" s="381"/>
      <c r="FA222" s="381"/>
      <c r="FB222" s="381"/>
      <c r="FC222" s="381"/>
      <c r="FD222" s="381"/>
      <c r="FE222" s="381"/>
      <c r="FF222" s="381"/>
      <c r="FG222" s="381"/>
      <c r="FH222" s="381"/>
      <c r="FI222" s="381"/>
      <c r="FJ222" s="381"/>
      <c r="FK222" s="381"/>
      <c r="FL222" s="381"/>
      <c r="FM222" s="381"/>
      <c r="FN222" s="381"/>
      <c r="FO222" s="381"/>
      <c r="FP222" s="381"/>
      <c r="FQ222" s="381"/>
      <c r="FR222" s="381"/>
      <c r="FS222" s="381"/>
      <c r="FT222" s="381"/>
      <c r="FU222" s="381"/>
      <c r="FV222" s="381"/>
      <c r="FW222" s="381"/>
      <c r="FX222" s="381"/>
      <c r="FY222" s="381"/>
      <c r="FZ222" s="381"/>
      <c r="GA222" s="381"/>
      <c r="GB222" s="381"/>
      <c r="GC222" s="381"/>
      <c r="GD222" s="381"/>
      <c r="GE222" s="381"/>
      <c r="GF222" s="381"/>
      <c r="GG222" s="381"/>
      <c r="GH222" s="381"/>
      <c r="GI222" s="381"/>
      <c r="GJ222" s="381"/>
      <c r="GK222" s="381"/>
      <c r="GL222" s="381"/>
      <c r="GM222" s="381"/>
      <c r="GN222" s="381"/>
      <c r="GO222" s="381"/>
      <c r="GP222" s="381"/>
      <c r="GQ222" s="381"/>
      <c r="GR222" s="381"/>
      <c r="GS222" s="381"/>
      <c r="GT222" s="381"/>
      <c r="GU222" s="381"/>
      <c r="GV222" s="381"/>
      <c r="GW222" s="381"/>
      <c r="GX222" s="381"/>
      <c r="GY222" s="381"/>
      <c r="GZ222" s="381"/>
      <c r="HA222" s="381"/>
      <c r="HB222" s="381"/>
      <c r="HC222" s="381"/>
      <c r="HD222" s="381"/>
      <c r="HE222" s="381"/>
      <c r="HF222" s="381"/>
      <c r="HG222" s="381"/>
      <c r="HH222" s="381"/>
      <c r="HI222" s="381"/>
      <c r="HJ222" s="381"/>
      <c r="HK222" s="381"/>
      <c r="HL222" s="381"/>
      <c r="HM222" s="381"/>
      <c r="HN222" s="381"/>
      <c r="HO222" s="381"/>
      <c r="HP222" s="381"/>
      <c r="HQ222" s="381"/>
      <c r="HR222" s="381"/>
      <c r="HS222" s="381"/>
      <c r="HT222" s="381"/>
      <c r="HU222" s="381"/>
      <c r="HV222" s="381"/>
      <c r="HW222" s="381"/>
      <c r="HX222" s="381"/>
      <c r="HY222" s="381"/>
      <c r="HZ222" s="381"/>
      <c r="IA222" s="381"/>
      <c r="IB222" s="381"/>
      <c r="IC222" s="381"/>
      <c r="ID222" s="381"/>
      <c r="IE222" s="381"/>
      <c r="IF222" s="381"/>
      <c r="IG222" s="381"/>
      <c r="IH222" s="381"/>
      <c r="II222" s="381"/>
      <c r="IJ222" s="381"/>
      <c r="IK222" s="381"/>
      <c r="IL222" s="381"/>
      <c r="IM222" s="381"/>
      <c r="IN222" s="381"/>
      <c r="IO222" s="381"/>
      <c r="IP222" s="381"/>
      <c r="IQ222" s="381"/>
      <c r="IR222" s="381"/>
      <c r="IS222" s="381"/>
      <c r="IT222" s="381"/>
      <c r="IU222" s="381"/>
      <c r="IV222" s="381"/>
      <c r="IW222" s="381"/>
      <c r="IX222" s="381"/>
      <c r="IY222" s="381"/>
      <c r="IZ222" s="381"/>
      <c r="JA222" s="381"/>
      <c r="JB222" s="381"/>
      <c r="JC222" s="381"/>
      <c r="JD222" s="381"/>
      <c r="JE222" s="381"/>
      <c r="JF222" s="381"/>
      <c r="JG222" s="277"/>
      <c r="JH222" s="381"/>
      <c r="JI222" s="381"/>
      <c r="JJ222" s="381"/>
      <c r="JK222" s="381"/>
      <c r="JL222" s="381"/>
      <c r="JM222" s="381"/>
      <c r="JN222" s="381"/>
      <c r="JO222" s="381"/>
      <c r="JP222" s="381"/>
      <c r="JQ222" s="381"/>
      <c r="JR222" s="381"/>
      <c r="JS222" s="381"/>
      <c r="JT222" s="381"/>
      <c r="JU222" s="381"/>
      <c r="JV222" s="381"/>
      <c r="JW222" s="381"/>
      <c r="JX222" s="381"/>
      <c r="JY222" s="381"/>
      <c r="JZ222" s="381"/>
      <c r="KA222" s="381"/>
      <c r="KB222" s="277"/>
    </row>
    <row r="223" spans="1:289" ht="15" customHeight="1" x14ac:dyDescent="0.25">
      <c r="B223" s="216" t="str">
        <f t="shared" si="22"/>
        <v>Desk 7</v>
      </c>
      <c r="C223" s="218" t="str">
        <v/>
      </c>
      <c r="D223" s="218" t="str">
        <v/>
      </c>
      <c r="E223" s="218" t="str">
        <v/>
      </c>
      <c r="F223" s="218" t="str">
        <v/>
      </c>
      <c r="G223" s="402" t="str">
        <v/>
      </c>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381"/>
      <c r="DG223" s="381"/>
      <c r="DH223" s="381"/>
      <c r="DI223" s="381"/>
      <c r="DJ223" s="381"/>
      <c r="DK223" s="381"/>
      <c r="DL223" s="381"/>
      <c r="DM223" s="381"/>
      <c r="DN223" s="381"/>
      <c r="DO223" s="381"/>
      <c r="DP223" s="381"/>
      <c r="DQ223" s="381"/>
      <c r="DR223" s="381"/>
      <c r="DS223" s="381"/>
      <c r="DT223" s="381"/>
      <c r="DU223" s="381"/>
      <c r="DV223" s="381"/>
      <c r="DW223" s="277"/>
      <c r="DX223" s="381"/>
      <c r="DY223" s="381"/>
      <c r="DZ223" s="381"/>
      <c r="EA223" s="381"/>
      <c r="EB223" s="381"/>
      <c r="EC223" s="381"/>
      <c r="ED223" s="381"/>
      <c r="EE223" s="381"/>
      <c r="EF223" s="381"/>
      <c r="EG223" s="381"/>
      <c r="EH223" s="381"/>
      <c r="EI223" s="381"/>
      <c r="EJ223" s="381"/>
      <c r="EK223" s="381"/>
      <c r="EL223" s="381"/>
      <c r="EM223" s="381"/>
      <c r="EN223" s="381"/>
      <c r="EO223" s="381"/>
      <c r="EP223" s="381"/>
      <c r="EQ223" s="381"/>
      <c r="ER223" s="277"/>
      <c r="ES223" s="381"/>
      <c r="ET223" s="381"/>
      <c r="EU223" s="381"/>
      <c r="EV223" s="381"/>
      <c r="EW223" s="381"/>
      <c r="EX223" s="381"/>
      <c r="EY223" s="381"/>
      <c r="EZ223" s="381"/>
      <c r="FA223" s="381"/>
      <c r="FB223" s="381"/>
      <c r="FC223" s="381"/>
      <c r="FD223" s="381"/>
      <c r="FE223" s="381"/>
      <c r="FF223" s="381"/>
      <c r="FG223" s="381"/>
      <c r="FH223" s="381"/>
      <c r="FI223" s="381"/>
      <c r="FJ223" s="381"/>
      <c r="FK223" s="381"/>
      <c r="FL223" s="381"/>
      <c r="FM223" s="381"/>
      <c r="FN223" s="381"/>
      <c r="FO223" s="381"/>
      <c r="FP223" s="381"/>
      <c r="FQ223" s="381"/>
      <c r="FR223" s="381"/>
      <c r="FS223" s="381"/>
      <c r="FT223" s="381"/>
      <c r="FU223" s="381"/>
      <c r="FV223" s="381"/>
      <c r="FW223" s="381"/>
      <c r="FX223" s="381"/>
      <c r="FY223" s="381"/>
      <c r="FZ223" s="381"/>
      <c r="GA223" s="381"/>
      <c r="GB223" s="381"/>
      <c r="GC223" s="381"/>
      <c r="GD223" s="381"/>
      <c r="GE223" s="381"/>
      <c r="GF223" s="381"/>
      <c r="GG223" s="381"/>
      <c r="GH223" s="381"/>
      <c r="GI223" s="381"/>
      <c r="GJ223" s="381"/>
      <c r="GK223" s="381"/>
      <c r="GL223" s="381"/>
      <c r="GM223" s="381"/>
      <c r="GN223" s="381"/>
      <c r="GO223" s="381"/>
      <c r="GP223" s="381"/>
      <c r="GQ223" s="381"/>
      <c r="GR223" s="381"/>
      <c r="GS223" s="381"/>
      <c r="GT223" s="381"/>
      <c r="GU223" s="381"/>
      <c r="GV223" s="381"/>
      <c r="GW223" s="381"/>
      <c r="GX223" s="381"/>
      <c r="GY223" s="381"/>
      <c r="GZ223" s="381"/>
      <c r="HA223" s="381"/>
      <c r="HB223" s="381"/>
      <c r="HC223" s="381"/>
      <c r="HD223" s="381"/>
      <c r="HE223" s="381"/>
      <c r="HF223" s="381"/>
      <c r="HG223" s="381"/>
      <c r="HH223" s="381"/>
      <c r="HI223" s="381"/>
      <c r="HJ223" s="381"/>
      <c r="HK223" s="381"/>
      <c r="HL223" s="381"/>
      <c r="HM223" s="381"/>
      <c r="HN223" s="381"/>
      <c r="HO223" s="381"/>
      <c r="HP223" s="381"/>
      <c r="HQ223" s="381"/>
      <c r="HR223" s="381"/>
      <c r="HS223" s="381"/>
      <c r="HT223" s="381"/>
      <c r="HU223" s="381"/>
      <c r="HV223" s="381"/>
      <c r="HW223" s="381"/>
      <c r="HX223" s="381"/>
      <c r="HY223" s="381"/>
      <c r="HZ223" s="381"/>
      <c r="IA223" s="381"/>
      <c r="IB223" s="381"/>
      <c r="IC223" s="381"/>
      <c r="ID223" s="381"/>
      <c r="IE223" s="381"/>
      <c r="IF223" s="381"/>
      <c r="IG223" s="381"/>
      <c r="IH223" s="381"/>
      <c r="II223" s="381"/>
      <c r="IJ223" s="381"/>
      <c r="IK223" s="381"/>
      <c r="IL223" s="381"/>
      <c r="IM223" s="381"/>
      <c r="IN223" s="381"/>
      <c r="IO223" s="381"/>
      <c r="IP223" s="381"/>
      <c r="IQ223" s="381"/>
      <c r="IR223" s="381"/>
      <c r="IS223" s="381"/>
      <c r="IT223" s="381"/>
      <c r="IU223" s="381"/>
      <c r="IV223" s="381"/>
      <c r="IW223" s="381"/>
      <c r="IX223" s="381"/>
      <c r="IY223" s="381"/>
      <c r="IZ223" s="381"/>
      <c r="JA223" s="381"/>
      <c r="JB223" s="381"/>
      <c r="JC223" s="381"/>
      <c r="JD223" s="381"/>
      <c r="JE223" s="381"/>
      <c r="JF223" s="381"/>
      <c r="JG223" s="277"/>
      <c r="JH223" s="381"/>
      <c r="JI223" s="381"/>
      <c r="JJ223" s="381"/>
      <c r="JK223" s="381"/>
      <c r="JL223" s="381"/>
      <c r="JM223" s="381"/>
      <c r="JN223" s="381"/>
      <c r="JO223" s="381"/>
      <c r="JP223" s="381"/>
      <c r="JQ223" s="381"/>
      <c r="JR223" s="381"/>
      <c r="JS223" s="381"/>
      <c r="JT223" s="381"/>
      <c r="JU223" s="381"/>
      <c r="JV223" s="381"/>
      <c r="JW223" s="381"/>
      <c r="JX223" s="381"/>
      <c r="JY223" s="381"/>
      <c r="JZ223" s="381"/>
      <c r="KA223" s="381"/>
      <c r="KB223" s="277"/>
    </row>
    <row r="224" spans="1:289" ht="15" customHeight="1" x14ac:dyDescent="0.25">
      <c r="B224" s="216" t="str">
        <f t="shared" si="22"/>
        <v>Desk 8</v>
      </c>
      <c r="C224" s="218" t="str">
        <v/>
      </c>
      <c r="D224" s="218" t="str">
        <v/>
      </c>
      <c r="E224" s="218" t="str">
        <v/>
      </c>
      <c r="F224" s="218" t="str">
        <v/>
      </c>
      <c r="G224" s="402" t="str">
        <v/>
      </c>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381"/>
      <c r="DG224" s="381"/>
      <c r="DH224" s="381"/>
      <c r="DI224" s="381"/>
      <c r="DJ224" s="381"/>
      <c r="DK224" s="381"/>
      <c r="DL224" s="381"/>
      <c r="DM224" s="381"/>
      <c r="DN224" s="381"/>
      <c r="DO224" s="381"/>
      <c r="DP224" s="381"/>
      <c r="DQ224" s="381"/>
      <c r="DR224" s="381"/>
      <c r="DS224" s="381"/>
      <c r="DT224" s="381"/>
      <c r="DU224" s="381"/>
      <c r="DV224" s="381"/>
      <c r="DW224" s="277"/>
      <c r="DX224" s="381"/>
      <c r="DY224" s="381"/>
      <c r="DZ224" s="381"/>
      <c r="EA224" s="381"/>
      <c r="EB224" s="381"/>
      <c r="EC224" s="381"/>
      <c r="ED224" s="381"/>
      <c r="EE224" s="381"/>
      <c r="EF224" s="381"/>
      <c r="EG224" s="381"/>
      <c r="EH224" s="381"/>
      <c r="EI224" s="381"/>
      <c r="EJ224" s="381"/>
      <c r="EK224" s="381"/>
      <c r="EL224" s="381"/>
      <c r="EM224" s="381"/>
      <c r="EN224" s="381"/>
      <c r="EO224" s="381"/>
      <c r="EP224" s="381"/>
      <c r="EQ224" s="381"/>
      <c r="ER224" s="277"/>
      <c r="ES224" s="381"/>
      <c r="ET224" s="381"/>
      <c r="EU224" s="381"/>
      <c r="EV224" s="381"/>
      <c r="EW224" s="381"/>
      <c r="EX224" s="381"/>
      <c r="EY224" s="381"/>
      <c r="EZ224" s="381"/>
      <c r="FA224" s="381"/>
      <c r="FB224" s="381"/>
      <c r="FC224" s="381"/>
      <c r="FD224" s="381"/>
      <c r="FE224" s="381"/>
      <c r="FF224" s="381"/>
      <c r="FG224" s="381"/>
      <c r="FH224" s="381"/>
      <c r="FI224" s="381"/>
      <c r="FJ224" s="381"/>
      <c r="FK224" s="381"/>
      <c r="FL224" s="381"/>
      <c r="FM224" s="381"/>
      <c r="FN224" s="381"/>
      <c r="FO224" s="381"/>
      <c r="FP224" s="381"/>
      <c r="FQ224" s="381"/>
      <c r="FR224" s="381"/>
      <c r="FS224" s="381"/>
      <c r="FT224" s="381"/>
      <c r="FU224" s="381"/>
      <c r="FV224" s="381"/>
      <c r="FW224" s="381"/>
      <c r="FX224" s="381"/>
      <c r="FY224" s="381"/>
      <c r="FZ224" s="381"/>
      <c r="GA224" s="381"/>
      <c r="GB224" s="381"/>
      <c r="GC224" s="381"/>
      <c r="GD224" s="381"/>
      <c r="GE224" s="381"/>
      <c r="GF224" s="381"/>
      <c r="GG224" s="381"/>
      <c r="GH224" s="381"/>
      <c r="GI224" s="381"/>
      <c r="GJ224" s="381"/>
      <c r="GK224" s="381"/>
      <c r="GL224" s="381"/>
      <c r="GM224" s="381"/>
      <c r="GN224" s="381"/>
      <c r="GO224" s="381"/>
      <c r="GP224" s="381"/>
      <c r="GQ224" s="381"/>
      <c r="GR224" s="381"/>
      <c r="GS224" s="381"/>
      <c r="GT224" s="381"/>
      <c r="GU224" s="381"/>
      <c r="GV224" s="381"/>
      <c r="GW224" s="381"/>
      <c r="GX224" s="381"/>
      <c r="GY224" s="381"/>
      <c r="GZ224" s="381"/>
      <c r="HA224" s="381"/>
      <c r="HB224" s="381"/>
      <c r="HC224" s="381"/>
      <c r="HD224" s="381"/>
      <c r="HE224" s="381"/>
      <c r="HF224" s="381"/>
      <c r="HG224" s="381"/>
      <c r="HH224" s="381"/>
      <c r="HI224" s="381"/>
      <c r="HJ224" s="381"/>
      <c r="HK224" s="381"/>
      <c r="HL224" s="381"/>
      <c r="HM224" s="381"/>
      <c r="HN224" s="381"/>
      <c r="HO224" s="381"/>
      <c r="HP224" s="381"/>
      <c r="HQ224" s="381"/>
      <c r="HR224" s="381"/>
      <c r="HS224" s="381"/>
      <c r="HT224" s="381"/>
      <c r="HU224" s="381"/>
      <c r="HV224" s="381"/>
      <c r="HW224" s="381"/>
      <c r="HX224" s="381"/>
      <c r="HY224" s="381"/>
      <c r="HZ224" s="381"/>
      <c r="IA224" s="381"/>
      <c r="IB224" s="381"/>
      <c r="IC224" s="381"/>
      <c r="ID224" s="381"/>
      <c r="IE224" s="381"/>
      <c r="IF224" s="381"/>
      <c r="IG224" s="381"/>
      <c r="IH224" s="381"/>
      <c r="II224" s="381"/>
      <c r="IJ224" s="381"/>
      <c r="IK224" s="381"/>
      <c r="IL224" s="381"/>
      <c r="IM224" s="381"/>
      <c r="IN224" s="381"/>
      <c r="IO224" s="381"/>
      <c r="IP224" s="381"/>
      <c r="IQ224" s="381"/>
      <c r="IR224" s="381"/>
      <c r="IS224" s="381"/>
      <c r="IT224" s="381"/>
      <c r="IU224" s="381"/>
      <c r="IV224" s="381"/>
      <c r="IW224" s="381"/>
      <c r="IX224" s="381"/>
      <c r="IY224" s="381"/>
      <c r="IZ224" s="381"/>
      <c r="JA224" s="381"/>
      <c r="JB224" s="381"/>
      <c r="JC224" s="381"/>
      <c r="JD224" s="381"/>
      <c r="JE224" s="381"/>
      <c r="JF224" s="381"/>
      <c r="JG224" s="277"/>
      <c r="JH224" s="381"/>
      <c r="JI224" s="381"/>
      <c r="JJ224" s="381"/>
      <c r="JK224" s="381"/>
      <c r="JL224" s="381"/>
      <c r="JM224" s="381"/>
      <c r="JN224" s="381"/>
      <c r="JO224" s="381"/>
      <c r="JP224" s="381"/>
      <c r="JQ224" s="381"/>
      <c r="JR224" s="381"/>
      <c r="JS224" s="381"/>
      <c r="JT224" s="381"/>
      <c r="JU224" s="381"/>
      <c r="JV224" s="381"/>
      <c r="JW224" s="381"/>
      <c r="JX224" s="381"/>
      <c r="JY224" s="381"/>
      <c r="JZ224" s="381"/>
      <c r="KA224" s="381"/>
      <c r="KB224" s="277"/>
    </row>
    <row r="225" spans="2:288" ht="15" customHeight="1" x14ac:dyDescent="0.25">
      <c r="B225" s="216" t="str">
        <f t="shared" si="22"/>
        <v>Desk 9</v>
      </c>
      <c r="C225" s="218" t="str">
        <v/>
      </c>
      <c r="D225" s="218" t="str">
        <v/>
      </c>
      <c r="E225" s="218" t="str">
        <v/>
      </c>
      <c r="F225" s="218" t="str">
        <v/>
      </c>
      <c r="G225" s="402" t="str">
        <v/>
      </c>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381"/>
      <c r="DG225" s="381"/>
      <c r="DH225" s="381"/>
      <c r="DI225" s="381"/>
      <c r="DJ225" s="381"/>
      <c r="DK225" s="381"/>
      <c r="DL225" s="381"/>
      <c r="DM225" s="381"/>
      <c r="DN225" s="381"/>
      <c r="DO225" s="381"/>
      <c r="DP225" s="381"/>
      <c r="DQ225" s="381"/>
      <c r="DR225" s="381"/>
      <c r="DS225" s="381"/>
      <c r="DT225" s="381"/>
      <c r="DU225" s="381"/>
      <c r="DV225" s="381"/>
      <c r="DW225" s="277"/>
      <c r="DX225" s="381"/>
      <c r="DY225" s="381"/>
      <c r="DZ225" s="381"/>
      <c r="EA225" s="381"/>
      <c r="EB225" s="381"/>
      <c r="EC225" s="381"/>
      <c r="ED225" s="381"/>
      <c r="EE225" s="381"/>
      <c r="EF225" s="381"/>
      <c r="EG225" s="381"/>
      <c r="EH225" s="381"/>
      <c r="EI225" s="381"/>
      <c r="EJ225" s="381"/>
      <c r="EK225" s="381"/>
      <c r="EL225" s="381"/>
      <c r="EM225" s="381"/>
      <c r="EN225" s="381"/>
      <c r="EO225" s="381"/>
      <c r="EP225" s="381"/>
      <c r="EQ225" s="381"/>
      <c r="ER225" s="277"/>
      <c r="ES225" s="381"/>
      <c r="ET225" s="381"/>
      <c r="EU225" s="381"/>
      <c r="EV225" s="381"/>
      <c r="EW225" s="381"/>
      <c r="EX225" s="381"/>
      <c r="EY225" s="381"/>
      <c r="EZ225" s="381"/>
      <c r="FA225" s="381"/>
      <c r="FB225" s="381"/>
      <c r="FC225" s="381"/>
      <c r="FD225" s="381"/>
      <c r="FE225" s="381"/>
      <c r="FF225" s="381"/>
      <c r="FG225" s="381"/>
      <c r="FH225" s="381"/>
      <c r="FI225" s="381"/>
      <c r="FJ225" s="381"/>
      <c r="FK225" s="381"/>
      <c r="FL225" s="381"/>
      <c r="FM225" s="381"/>
      <c r="FN225" s="381"/>
      <c r="FO225" s="381"/>
      <c r="FP225" s="381"/>
      <c r="FQ225" s="381"/>
      <c r="FR225" s="381"/>
      <c r="FS225" s="381"/>
      <c r="FT225" s="381"/>
      <c r="FU225" s="381"/>
      <c r="FV225" s="381"/>
      <c r="FW225" s="381"/>
      <c r="FX225" s="381"/>
      <c r="FY225" s="381"/>
      <c r="FZ225" s="381"/>
      <c r="GA225" s="381"/>
      <c r="GB225" s="381"/>
      <c r="GC225" s="381"/>
      <c r="GD225" s="381"/>
      <c r="GE225" s="381"/>
      <c r="GF225" s="381"/>
      <c r="GG225" s="381"/>
      <c r="GH225" s="381"/>
      <c r="GI225" s="381"/>
      <c r="GJ225" s="381"/>
      <c r="GK225" s="381"/>
      <c r="GL225" s="381"/>
      <c r="GM225" s="381"/>
      <c r="GN225" s="381"/>
      <c r="GO225" s="381"/>
      <c r="GP225" s="381"/>
      <c r="GQ225" s="381"/>
      <c r="GR225" s="381"/>
      <c r="GS225" s="381"/>
      <c r="GT225" s="381"/>
      <c r="GU225" s="381"/>
      <c r="GV225" s="381"/>
      <c r="GW225" s="381"/>
      <c r="GX225" s="381"/>
      <c r="GY225" s="381"/>
      <c r="GZ225" s="381"/>
      <c r="HA225" s="381"/>
      <c r="HB225" s="381"/>
      <c r="HC225" s="381"/>
      <c r="HD225" s="381"/>
      <c r="HE225" s="381"/>
      <c r="HF225" s="381"/>
      <c r="HG225" s="381"/>
      <c r="HH225" s="381"/>
      <c r="HI225" s="381"/>
      <c r="HJ225" s="381"/>
      <c r="HK225" s="381"/>
      <c r="HL225" s="381"/>
      <c r="HM225" s="381"/>
      <c r="HN225" s="381"/>
      <c r="HO225" s="381"/>
      <c r="HP225" s="381"/>
      <c r="HQ225" s="381"/>
      <c r="HR225" s="381"/>
      <c r="HS225" s="381"/>
      <c r="HT225" s="381"/>
      <c r="HU225" s="381"/>
      <c r="HV225" s="381"/>
      <c r="HW225" s="381"/>
      <c r="HX225" s="381"/>
      <c r="HY225" s="381"/>
      <c r="HZ225" s="381"/>
      <c r="IA225" s="381"/>
      <c r="IB225" s="381"/>
      <c r="IC225" s="381"/>
      <c r="ID225" s="381"/>
      <c r="IE225" s="381"/>
      <c r="IF225" s="381"/>
      <c r="IG225" s="381"/>
      <c r="IH225" s="381"/>
      <c r="II225" s="381"/>
      <c r="IJ225" s="381"/>
      <c r="IK225" s="381"/>
      <c r="IL225" s="381"/>
      <c r="IM225" s="381"/>
      <c r="IN225" s="381"/>
      <c r="IO225" s="381"/>
      <c r="IP225" s="381"/>
      <c r="IQ225" s="381"/>
      <c r="IR225" s="381"/>
      <c r="IS225" s="381"/>
      <c r="IT225" s="381"/>
      <c r="IU225" s="381"/>
      <c r="IV225" s="381"/>
      <c r="IW225" s="381"/>
      <c r="IX225" s="381"/>
      <c r="IY225" s="381"/>
      <c r="IZ225" s="381"/>
      <c r="JA225" s="381"/>
      <c r="JB225" s="381"/>
      <c r="JC225" s="381"/>
      <c r="JD225" s="381"/>
      <c r="JE225" s="381"/>
      <c r="JF225" s="381"/>
      <c r="JG225" s="277"/>
      <c r="JH225" s="381"/>
      <c r="JI225" s="381"/>
      <c r="JJ225" s="381"/>
      <c r="JK225" s="381"/>
      <c r="JL225" s="381"/>
      <c r="JM225" s="381"/>
      <c r="JN225" s="381"/>
      <c r="JO225" s="381"/>
      <c r="JP225" s="381"/>
      <c r="JQ225" s="381"/>
      <c r="JR225" s="381"/>
      <c r="JS225" s="381"/>
      <c r="JT225" s="381"/>
      <c r="JU225" s="381"/>
      <c r="JV225" s="381"/>
      <c r="JW225" s="381"/>
      <c r="JX225" s="381"/>
      <c r="JY225" s="381"/>
      <c r="JZ225" s="381"/>
      <c r="KA225" s="381"/>
      <c r="KB225" s="277"/>
    </row>
    <row r="226" spans="2:288" ht="15" customHeight="1" x14ac:dyDescent="0.25">
      <c r="B226" s="216" t="str">
        <f t="shared" si="22"/>
        <v>Desk 10</v>
      </c>
      <c r="C226" s="218" t="str">
        <v/>
      </c>
      <c r="D226" s="218" t="str">
        <v/>
      </c>
      <c r="E226" s="218" t="str">
        <v/>
      </c>
      <c r="F226" s="218" t="str">
        <v/>
      </c>
      <c r="G226" s="402" t="str">
        <v/>
      </c>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381"/>
      <c r="AP226" s="381"/>
      <c r="AQ226" s="381"/>
      <c r="AR226" s="381"/>
      <c r="AS226" s="381"/>
      <c r="AT226" s="381"/>
      <c r="AU226" s="381"/>
      <c r="AV226" s="381"/>
      <c r="AW226" s="381"/>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381"/>
      <c r="DG226" s="381"/>
      <c r="DH226" s="381"/>
      <c r="DI226" s="381"/>
      <c r="DJ226" s="381"/>
      <c r="DK226" s="381"/>
      <c r="DL226" s="381"/>
      <c r="DM226" s="381"/>
      <c r="DN226" s="381"/>
      <c r="DO226" s="381"/>
      <c r="DP226" s="381"/>
      <c r="DQ226" s="381"/>
      <c r="DR226" s="381"/>
      <c r="DS226" s="381"/>
      <c r="DT226" s="381"/>
      <c r="DU226" s="381"/>
      <c r="DV226" s="381"/>
      <c r="DW226" s="277"/>
      <c r="DX226" s="381"/>
      <c r="DY226" s="381"/>
      <c r="DZ226" s="381"/>
      <c r="EA226" s="381"/>
      <c r="EB226" s="381"/>
      <c r="EC226" s="381"/>
      <c r="ED226" s="381"/>
      <c r="EE226" s="381"/>
      <c r="EF226" s="381"/>
      <c r="EG226" s="381"/>
      <c r="EH226" s="381"/>
      <c r="EI226" s="381"/>
      <c r="EJ226" s="381"/>
      <c r="EK226" s="381"/>
      <c r="EL226" s="381"/>
      <c r="EM226" s="381"/>
      <c r="EN226" s="381"/>
      <c r="EO226" s="381"/>
      <c r="EP226" s="381"/>
      <c r="EQ226" s="381"/>
      <c r="ER226" s="277"/>
      <c r="ES226" s="381"/>
      <c r="ET226" s="381"/>
      <c r="EU226" s="381"/>
      <c r="EV226" s="381"/>
      <c r="EW226" s="381"/>
      <c r="EX226" s="381"/>
      <c r="EY226" s="381"/>
      <c r="EZ226" s="381"/>
      <c r="FA226" s="381"/>
      <c r="FB226" s="381"/>
      <c r="FC226" s="381"/>
      <c r="FD226" s="381"/>
      <c r="FE226" s="381"/>
      <c r="FF226" s="381"/>
      <c r="FG226" s="381"/>
      <c r="FH226" s="381"/>
      <c r="FI226" s="381"/>
      <c r="FJ226" s="381"/>
      <c r="FK226" s="381"/>
      <c r="FL226" s="381"/>
      <c r="FM226" s="381"/>
      <c r="FN226" s="381"/>
      <c r="FO226" s="381"/>
      <c r="FP226" s="381"/>
      <c r="FQ226" s="381"/>
      <c r="FR226" s="381"/>
      <c r="FS226" s="381"/>
      <c r="FT226" s="381"/>
      <c r="FU226" s="381"/>
      <c r="FV226" s="381"/>
      <c r="FW226" s="381"/>
      <c r="FX226" s="381"/>
      <c r="FY226" s="381"/>
      <c r="FZ226" s="381"/>
      <c r="GA226" s="381"/>
      <c r="GB226" s="381"/>
      <c r="GC226" s="381"/>
      <c r="GD226" s="381"/>
      <c r="GE226" s="381"/>
      <c r="GF226" s="381"/>
      <c r="GG226" s="381"/>
      <c r="GH226" s="381"/>
      <c r="GI226" s="381"/>
      <c r="GJ226" s="381"/>
      <c r="GK226" s="381"/>
      <c r="GL226" s="381"/>
      <c r="GM226" s="381"/>
      <c r="GN226" s="381"/>
      <c r="GO226" s="381"/>
      <c r="GP226" s="381"/>
      <c r="GQ226" s="381"/>
      <c r="GR226" s="381"/>
      <c r="GS226" s="381"/>
      <c r="GT226" s="381"/>
      <c r="GU226" s="381"/>
      <c r="GV226" s="381"/>
      <c r="GW226" s="381"/>
      <c r="GX226" s="381"/>
      <c r="GY226" s="381"/>
      <c r="GZ226" s="381"/>
      <c r="HA226" s="381"/>
      <c r="HB226" s="381"/>
      <c r="HC226" s="381"/>
      <c r="HD226" s="381"/>
      <c r="HE226" s="381"/>
      <c r="HF226" s="381"/>
      <c r="HG226" s="381"/>
      <c r="HH226" s="381"/>
      <c r="HI226" s="381"/>
      <c r="HJ226" s="381"/>
      <c r="HK226" s="381"/>
      <c r="HL226" s="381"/>
      <c r="HM226" s="381"/>
      <c r="HN226" s="381"/>
      <c r="HO226" s="381"/>
      <c r="HP226" s="381"/>
      <c r="HQ226" s="381"/>
      <c r="HR226" s="381"/>
      <c r="HS226" s="381"/>
      <c r="HT226" s="381"/>
      <c r="HU226" s="381"/>
      <c r="HV226" s="381"/>
      <c r="HW226" s="381"/>
      <c r="HX226" s="381"/>
      <c r="HY226" s="381"/>
      <c r="HZ226" s="381"/>
      <c r="IA226" s="381"/>
      <c r="IB226" s="381"/>
      <c r="IC226" s="381"/>
      <c r="ID226" s="381"/>
      <c r="IE226" s="381"/>
      <c r="IF226" s="381"/>
      <c r="IG226" s="381"/>
      <c r="IH226" s="381"/>
      <c r="II226" s="381"/>
      <c r="IJ226" s="381"/>
      <c r="IK226" s="381"/>
      <c r="IL226" s="381"/>
      <c r="IM226" s="381"/>
      <c r="IN226" s="381"/>
      <c r="IO226" s="381"/>
      <c r="IP226" s="381"/>
      <c r="IQ226" s="381"/>
      <c r="IR226" s="381"/>
      <c r="IS226" s="381"/>
      <c r="IT226" s="381"/>
      <c r="IU226" s="381"/>
      <c r="IV226" s="381"/>
      <c r="IW226" s="381"/>
      <c r="IX226" s="381"/>
      <c r="IY226" s="381"/>
      <c r="IZ226" s="381"/>
      <c r="JA226" s="381"/>
      <c r="JB226" s="381"/>
      <c r="JC226" s="381"/>
      <c r="JD226" s="381"/>
      <c r="JE226" s="381"/>
      <c r="JF226" s="381"/>
      <c r="JG226" s="277"/>
      <c r="JH226" s="381"/>
      <c r="JI226" s="381"/>
      <c r="JJ226" s="381"/>
      <c r="JK226" s="381"/>
      <c r="JL226" s="381"/>
      <c r="JM226" s="381"/>
      <c r="JN226" s="381"/>
      <c r="JO226" s="381"/>
      <c r="JP226" s="381"/>
      <c r="JQ226" s="381"/>
      <c r="JR226" s="381"/>
      <c r="JS226" s="381"/>
      <c r="JT226" s="381"/>
      <c r="JU226" s="381"/>
      <c r="JV226" s="381"/>
      <c r="JW226" s="381"/>
      <c r="JX226" s="381"/>
      <c r="JY226" s="381"/>
      <c r="JZ226" s="381"/>
      <c r="KA226" s="381"/>
      <c r="KB226" s="277"/>
    </row>
    <row r="227" spans="2:288" ht="15" customHeight="1" x14ac:dyDescent="0.25">
      <c r="B227" s="216" t="str">
        <f t="shared" si="22"/>
        <v>Desk 11</v>
      </c>
      <c r="C227" s="218" t="str">
        <v/>
      </c>
      <c r="D227" s="218" t="str">
        <v/>
      </c>
      <c r="E227" s="218" t="str">
        <v/>
      </c>
      <c r="F227" s="218" t="str">
        <v/>
      </c>
      <c r="G227" s="402" t="str">
        <v/>
      </c>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381"/>
      <c r="DA227" s="381"/>
      <c r="DB227" s="381"/>
      <c r="DC227" s="381"/>
      <c r="DD227" s="381"/>
      <c r="DE227" s="381"/>
      <c r="DF227" s="381"/>
      <c r="DG227" s="381"/>
      <c r="DH227" s="381"/>
      <c r="DI227" s="381"/>
      <c r="DJ227" s="381"/>
      <c r="DK227" s="381"/>
      <c r="DL227" s="381"/>
      <c r="DM227" s="381"/>
      <c r="DN227" s="381"/>
      <c r="DO227" s="381"/>
      <c r="DP227" s="381"/>
      <c r="DQ227" s="381"/>
      <c r="DR227" s="381"/>
      <c r="DS227" s="381"/>
      <c r="DT227" s="381"/>
      <c r="DU227" s="381"/>
      <c r="DV227" s="381"/>
      <c r="DW227" s="277"/>
      <c r="DX227" s="381"/>
      <c r="DY227" s="381"/>
      <c r="DZ227" s="381"/>
      <c r="EA227" s="381"/>
      <c r="EB227" s="381"/>
      <c r="EC227" s="381"/>
      <c r="ED227" s="381"/>
      <c r="EE227" s="381"/>
      <c r="EF227" s="381"/>
      <c r="EG227" s="381"/>
      <c r="EH227" s="381"/>
      <c r="EI227" s="381"/>
      <c r="EJ227" s="381"/>
      <c r="EK227" s="381"/>
      <c r="EL227" s="381"/>
      <c r="EM227" s="381"/>
      <c r="EN227" s="381"/>
      <c r="EO227" s="381"/>
      <c r="EP227" s="381"/>
      <c r="EQ227" s="381"/>
      <c r="ER227" s="277"/>
      <c r="ES227" s="381"/>
      <c r="ET227" s="381"/>
      <c r="EU227" s="381"/>
      <c r="EV227" s="381"/>
      <c r="EW227" s="381"/>
      <c r="EX227" s="381"/>
      <c r="EY227" s="381"/>
      <c r="EZ227" s="381"/>
      <c r="FA227" s="381"/>
      <c r="FB227" s="381"/>
      <c r="FC227" s="381"/>
      <c r="FD227" s="381"/>
      <c r="FE227" s="381"/>
      <c r="FF227" s="381"/>
      <c r="FG227" s="381"/>
      <c r="FH227" s="381"/>
      <c r="FI227" s="381"/>
      <c r="FJ227" s="381"/>
      <c r="FK227" s="381"/>
      <c r="FL227" s="381"/>
      <c r="FM227" s="381"/>
      <c r="FN227" s="381"/>
      <c r="FO227" s="381"/>
      <c r="FP227" s="381"/>
      <c r="FQ227" s="381"/>
      <c r="FR227" s="381"/>
      <c r="FS227" s="381"/>
      <c r="FT227" s="381"/>
      <c r="FU227" s="381"/>
      <c r="FV227" s="381"/>
      <c r="FW227" s="381"/>
      <c r="FX227" s="381"/>
      <c r="FY227" s="381"/>
      <c r="FZ227" s="381"/>
      <c r="GA227" s="381"/>
      <c r="GB227" s="381"/>
      <c r="GC227" s="381"/>
      <c r="GD227" s="381"/>
      <c r="GE227" s="381"/>
      <c r="GF227" s="381"/>
      <c r="GG227" s="381"/>
      <c r="GH227" s="381"/>
      <c r="GI227" s="381"/>
      <c r="GJ227" s="381"/>
      <c r="GK227" s="381"/>
      <c r="GL227" s="381"/>
      <c r="GM227" s="381"/>
      <c r="GN227" s="381"/>
      <c r="GO227" s="381"/>
      <c r="GP227" s="381"/>
      <c r="GQ227" s="381"/>
      <c r="GR227" s="381"/>
      <c r="GS227" s="381"/>
      <c r="GT227" s="381"/>
      <c r="GU227" s="381"/>
      <c r="GV227" s="381"/>
      <c r="GW227" s="381"/>
      <c r="GX227" s="381"/>
      <c r="GY227" s="381"/>
      <c r="GZ227" s="381"/>
      <c r="HA227" s="381"/>
      <c r="HB227" s="381"/>
      <c r="HC227" s="381"/>
      <c r="HD227" s="381"/>
      <c r="HE227" s="381"/>
      <c r="HF227" s="381"/>
      <c r="HG227" s="381"/>
      <c r="HH227" s="381"/>
      <c r="HI227" s="381"/>
      <c r="HJ227" s="381"/>
      <c r="HK227" s="381"/>
      <c r="HL227" s="381"/>
      <c r="HM227" s="381"/>
      <c r="HN227" s="381"/>
      <c r="HO227" s="381"/>
      <c r="HP227" s="381"/>
      <c r="HQ227" s="381"/>
      <c r="HR227" s="381"/>
      <c r="HS227" s="381"/>
      <c r="HT227" s="381"/>
      <c r="HU227" s="381"/>
      <c r="HV227" s="381"/>
      <c r="HW227" s="381"/>
      <c r="HX227" s="381"/>
      <c r="HY227" s="381"/>
      <c r="HZ227" s="381"/>
      <c r="IA227" s="381"/>
      <c r="IB227" s="381"/>
      <c r="IC227" s="381"/>
      <c r="ID227" s="381"/>
      <c r="IE227" s="381"/>
      <c r="IF227" s="381"/>
      <c r="IG227" s="381"/>
      <c r="IH227" s="381"/>
      <c r="II227" s="381"/>
      <c r="IJ227" s="381"/>
      <c r="IK227" s="381"/>
      <c r="IL227" s="381"/>
      <c r="IM227" s="381"/>
      <c r="IN227" s="381"/>
      <c r="IO227" s="381"/>
      <c r="IP227" s="381"/>
      <c r="IQ227" s="381"/>
      <c r="IR227" s="381"/>
      <c r="IS227" s="381"/>
      <c r="IT227" s="381"/>
      <c r="IU227" s="381"/>
      <c r="IV227" s="381"/>
      <c r="IW227" s="381"/>
      <c r="IX227" s="381"/>
      <c r="IY227" s="381"/>
      <c r="IZ227" s="381"/>
      <c r="JA227" s="381"/>
      <c r="JB227" s="381"/>
      <c r="JC227" s="381"/>
      <c r="JD227" s="381"/>
      <c r="JE227" s="381"/>
      <c r="JF227" s="381"/>
      <c r="JG227" s="277"/>
      <c r="JH227" s="381"/>
      <c r="JI227" s="381"/>
      <c r="JJ227" s="381"/>
      <c r="JK227" s="381"/>
      <c r="JL227" s="381"/>
      <c r="JM227" s="381"/>
      <c r="JN227" s="381"/>
      <c r="JO227" s="381"/>
      <c r="JP227" s="381"/>
      <c r="JQ227" s="381"/>
      <c r="JR227" s="381"/>
      <c r="JS227" s="381"/>
      <c r="JT227" s="381"/>
      <c r="JU227" s="381"/>
      <c r="JV227" s="381"/>
      <c r="JW227" s="381"/>
      <c r="JX227" s="381"/>
      <c r="JY227" s="381"/>
      <c r="JZ227" s="381"/>
      <c r="KA227" s="381"/>
      <c r="KB227" s="277"/>
    </row>
    <row r="228" spans="2:288" ht="15" customHeight="1" x14ac:dyDescent="0.25">
      <c r="B228" s="216" t="str">
        <f t="shared" si="22"/>
        <v>Desk 12</v>
      </c>
      <c r="C228" s="218" t="str">
        <v/>
      </c>
      <c r="D228" s="218" t="str">
        <v/>
      </c>
      <c r="E228" s="218" t="str">
        <v/>
      </c>
      <c r="F228" s="218" t="str">
        <v/>
      </c>
      <c r="G228" s="402" t="str">
        <v/>
      </c>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381"/>
      <c r="DG228" s="381"/>
      <c r="DH228" s="381"/>
      <c r="DI228" s="381"/>
      <c r="DJ228" s="381"/>
      <c r="DK228" s="381"/>
      <c r="DL228" s="381"/>
      <c r="DM228" s="381"/>
      <c r="DN228" s="381"/>
      <c r="DO228" s="381"/>
      <c r="DP228" s="381"/>
      <c r="DQ228" s="381"/>
      <c r="DR228" s="381"/>
      <c r="DS228" s="381"/>
      <c r="DT228" s="381"/>
      <c r="DU228" s="381"/>
      <c r="DV228" s="381"/>
      <c r="DW228" s="277"/>
      <c r="DX228" s="381"/>
      <c r="DY228" s="381"/>
      <c r="DZ228" s="381"/>
      <c r="EA228" s="381"/>
      <c r="EB228" s="381"/>
      <c r="EC228" s="381"/>
      <c r="ED228" s="381"/>
      <c r="EE228" s="381"/>
      <c r="EF228" s="381"/>
      <c r="EG228" s="381"/>
      <c r="EH228" s="381"/>
      <c r="EI228" s="381"/>
      <c r="EJ228" s="381"/>
      <c r="EK228" s="381"/>
      <c r="EL228" s="381"/>
      <c r="EM228" s="381"/>
      <c r="EN228" s="381"/>
      <c r="EO228" s="381"/>
      <c r="EP228" s="381"/>
      <c r="EQ228" s="381"/>
      <c r="ER228" s="277"/>
      <c r="ES228" s="381"/>
      <c r="ET228" s="381"/>
      <c r="EU228" s="381"/>
      <c r="EV228" s="381"/>
      <c r="EW228" s="381"/>
      <c r="EX228" s="381"/>
      <c r="EY228" s="381"/>
      <c r="EZ228" s="381"/>
      <c r="FA228" s="381"/>
      <c r="FB228" s="381"/>
      <c r="FC228" s="381"/>
      <c r="FD228" s="381"/>
      <c r="FE228" s="381"/>
      <c r="FF228" s="381"/>
      <c r="FG228" s="381"/>
      <c r="FH228" s="381"/>
      <c r="FI228" s="381"/>
      <c r="FJ228" s="381"/>
      <c r="FK228" s="381"/>
      <c r="FL228" s="381"/>
      <c r="FM228" s="381"/>
      <c r="FN228" s="381"/>
      <c r="FO228" s="381"/>
      <c r="FP228" s="381"/>
      <c r="FQ228" s="381"/>
      <c r="FR228" s="381"/>
      <c r="FS228" s="381"/>
      <c r="FT228" s="381"/>
      <c r="FU228" s="381"/>
      <c r="FV228" s="381"/>
      <c r="FW228" s="381"/>
      <c r="FX228" s="381"/>
      <c r="FY228" s="381"/>
      <c r="FZ228" s="381"/>
      <c r="GA228" s="381"/>
      <c r="GB228" s="381"/>
      <c r="GC228" s="381"/>
      <c r="GD228" s="381"/>
      <c r="GE228" s="381"/>
      <c r="GF228" s="381"/>
      <c r="GG228" s="381"/>
      <c r="GH228" s="381"/>
      <c r="GI228" s="381"/>
      <c r="GJ228" s="381"/>
      <c r="GK228" s="381"/>
      <c r="GL228" s="381"/>
      <c r="GM228" s="381"/>
      <c r="GN228" s="381"/>
      <c r="GO228" s="381"/>
      <c r="GP228" s="381"/>
      <c r="GQ228" s="381"/>
      <c r="GR228" s="381"/>
      <c r="GS228" s="381"/>
      <c r="GT228" s="381"/>
      <c r="GU228" s="381"/>
      <c r="GV228" s="381"/>
      <c r="GW228" s="381"/>
      <c r="GX228" s="381"/>
      <c r="GY228" s="381"/>
      <c r="GZ228" s="381"/>
      <c r="HA228" s="381"/>
      <c r="HB228" s="381"/>
      <c r="HC228" s="381"/>
      <c r="HD228" s="381"/>
      <c r="HE228" s="381"/>
      <c r="HF228" s="381"/>
      <c r="HG228" s="381"/>
      <c r="HH228" s="381"/>
      <c r="HI228" s="381"/>
      <c r="HJ228" s="381"/>
      <c r="HK228" s="381"/>
      <c r="HL228" s="381"/>
      <c r="HM228" s="381"/>
      <c r="HN228" s="381"/>
      <c r="HO228" s="381"/>
      <c r="HP228" s="381"/>
      <c r="HQ228" s="381"/>
      <c r="HR228" s="381"/>
      <c r="HS228" s="381"/>
      <c r="HT228" s="381"/>
      <c r="HU228" s="381"/>
      <c r="HV228" s="381"/>
      <c r="HW228" s="381"/>
      <c r="HX228" s="381"/>
      <c r="HY228" s="381"/>
      <c r="HZ228" s="381"/>
      <c r="IA228" s="381"/>
      <c r="IB228" s="381"/>
      <c r="IC228" s="381"/>
      <c r="ID228" s="381"/>
      <c r="IE228" s="381"/>
      <c r="IF228" s="381"/>
      <c r="IG228" s="381"/>
      <c r="IH228" s="381"/>
      <c r="II228" s="381"/>
      <c r="IJ228" s="381"/>
      <c r="IK228" s="381"/>
      <c r="IL228" s="381"/>
      <c r="IM228" s="381"/>
      <c r="IN228" s="381"/>
      <c r="IO228" s="381"/>
      <c r="IP228" s="381"/>
      <c r="IQ228" s="381"/>
      <c r="IR228" s="381"/>
      <c r="IS228" s="381"/>
      <c r="IT228" s="381"/>
      <c r="IU228" s="381"/>
      <c r="IV228" s="381"/>
      <c r="IW228" s="381"/>
      <c r="IX228" s="381"/>
      <c r="IY228" s="381"/>
      <c r="IZ228" s="381"/>
      <c r="JA228" s="381"/>
      <c r="JB228" s="381"/>
      <c r="JC228" s="381"/>
      <c r="JD228" s="381"/>
      <c r="JE228" s="381"/>
      <c r="JF228" s="381"/>
      <c r="JG228" s="277"/>
      <c r="JH228" s="381"/>
      <c r="JI228" s="381"/>
      <c r="JJ228" s="381"/>
      <c r="JK228" s="381"/>
      <c r="JL228" s="381"/>
      <c r="JM228" s="381"/>
      <c r="JN228" s="381"/>
      <c r="JO228" s="381"/>
      <c r="JP228" s="381"/>
      <c r="JQ228" s="381"/>
      <c r="JR228" s="381"/>
      <c r="JS228" s="381"/>
      <c r="JT228" s="381"/>
      <c r="JU228" s="381"/>
      <c r="JV228" s="381"/>
      <c r="JW228" s="381"/>
      <c r="JX228" s="381"/>
      <c r="JY228" s="381"/>
      <c r="JZ228" s="381"/>
      <c r="KA228" s="381"/>
      <c r="KB228" s="277"/>
    </row>
    <row r="229" spans="2:288" ht="15" customHeight="1" x14ac:dyDescent="0.25">
      <c r="B229" s="216" t="str">
        <f t="shared" si="22"/>
        <v>Desk 13</v>
      </c>
      <c r="C229" s="218" t="str">
        <v/>
      </c>
      <c r="D229" s="218" t="str">
        <v/>
      </c>
      <c r="E229" s="218" t="str">
        <v/>
      </c>
      <c r="F229" s="218" t="str">
        <v/>
      </c>
      <c r="G229" s="402" t="str">
        <v/>
      </c>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1"/>
      <c r="DU229" s="381"/>
      <c r="DV229" s="381"/>
      <c r="DW229" s="277"/>
      <c r="DX229" s="381"/>
      <c r="DY229" s="381"/>
      <c r="DZ229" s="381"/>
      <c r="EA229" s="381"/>
      <c r="EB229" s="381"/>
      <c r="EC229" s="381"/>
      <c r="ED229" s="381"/>
      <c r="EE229" s="381"/>
      <c r="EF229" s="381"/>
      <c r="EG229" s="381"/>
      <c r="EH229" s="381"/>
      <c r="EI229" s="381"/>
      <c r="EJ229" s="381"/>
      <c r="EK229" s="381"/>
      <c r="EL229" s="381"/>
      <c r="EM229" s="381"/>
      <c r="EN229" s="381"/>
      <c r="EO229" s="381"/>
      <c r="EP229" s="381"/>
      <c r="EQ229" s="381"/>
      <c r="ER229" s="277"/>
      <c r="ES229" s="381"/>
      <c r="ET229" s="381"/>
      <c r="EU229" s="381"/>
      <c r="EV229" s="381"/>
      <c r="EW229" s="381"/>
      <c r="EX229" s="381"/>
      <c r="EY229" s="381"/>
      <c r="EZ229" s="381"/>
      <c r="FA229" s="381"/>
      <c r="FB229" s="381"/>
      <c r="FC229" s="381"/>
      <c r="FD229" s="381"/>
      <c r="FE229" s="381"/>
      <c r="FF229" s="381"/>
      <c r="FG229" s="381"/>
      <c r="FH229" s="381"/>
      <c r="FI229" s="381"/>
      <c r="FJ229" s="381"/>
      <c r="FK229" s="381"/>
      <c r="FL229" s="381"/>
      <c r="FM229" s="381"/>
      <c r="FN229" s="381"/>
      <c r="FO229" s="381"/>
      <c r="FP229" s="381"/>
      <c r="FQ229" s="381"/>
      <c r="FR229" s="381"/>
      <c r="FS229" s="381"/>
      <c r="FT229" s="381"/>
      <c r="FU229" s="381"/>
      <c r="FV229" s="381"/>
      <c r="FW229" s="381"/>
      <c r="FX229" s="381"/>
      <c r="FY229" s="381"/>
      <c r="FZ229" s="381"/>
      <c r="GA229" s="381"/>
      <c r="GB229" s="381"/>
      <c r="GC229" s="381"/>
      <c r="GD229" s="381"/>
      <c r="GE229" s="381"/>
      <c r="GF229" s="381"/>
      <c r="GG229" s="381"/>
      <c r="GH229" s="381"/>
      <c r="GI229" s="381"/>
      <c r="GJ229" s="381"/>
      <c r="GK229" s="381"/>
      <c r="GL229" s="381"/>
      <c r="GM229" s="381"/>
      <c r="GN229" s="381"/>
      <c r="GO229" s="381"/>
      <c r="GP229" s="381"/>
      <c r="GQ229" s="381"/>
      <c r="GR229" s="381"/>
      <c r="GS229" s="381"/>
      <c r="GT229" s="381"/>
      <c r="GU229" s="381"/>
      <c r="GV229" s="381"/>
      <c r="GW229" s="381"/>
      <c r="GX229" s="381"/>
      <c r="GY229" s="381"/>
      <c r="GZ229" s="381"/>
      <c r="HA229" s="381"/>
      <c r="HB229" s="381"/>
      <c r="HC229" s="381"/>
      <c r="HD229" s="381"/>
      <c r="HE229" s="381"/>
      <c r="HF229" s="381"/>
      <c r="HG229" s="381"/>
      <c r="HH229" s="381"/>
      <c r="HI229" s="381"/>
      <c r="HJ229" s="381"/>
      <c r="HK229" s="381"/>
      <c r="HL229" s="381"/>
      <c r="HM229" s="381"/>
      <c r="HN229" s="381"/>
      <c r="HO229" s="381"/>
      <c r="HP229" s="381"/>
      <c r="HQ229" s="381"/>
      <c r="HR229" s="381"/>
      <c r="HS229" s="381"/>
      <c r="HT229" s="381"/>
      <c r="HU229" s="381"/>
      <c r="HV229" s="381"/>
      <c r="HW229" s="381"/>
      <c r="HX229" s="381"/>
      <c r="HY229" s="381"/>
      <c r="HZ229" s="381"/>
      <c r="IA229" s="381"/>
      <c r="IB229" s="381"/>
      <c r="IC229" s="381"/>
      <c r="ID229" s="381"/>
      <c r="IE229" s="381"/>
      <c r="IF229" s="381"/>
      <c r="IG229" s="381"/>
      <c r="IH229" s="381"/>
      <c r="II229" s="381"/>
      <c r="IJ229" s="381"/>
      <c r="IK229" s="381"/>
      <c r="IL229" s="381"/>
      <c r="IM229" s="381"/>
      <c r="IN229" s="381"/>
      <c r="IO229" s="381"/>
      <c r="IP229" s="381"/>
      <c r="IQ229" s="381"/>
      <c r="IR229" s="381"/>
      <c r="IS229" s="381"/>
      <c r="IT229" s="381"/>
      <c r="IU229" s="381"/>
      <c r="IV229" s="381"/>
      <c r="IW229" s="381"/>
      <c r="IX229" s="381"/>
      <c r="IY229" s="381"/>
      <c r="IZ229" s="381"/>
      <c r="JA229" s="381"/>
      <c r="JB229" s="381"/>
      <c r="JC229" s="381"/>
      <c r="JD229" s="381"/>
      <c r="JE229" s="381"/>
      <c r="JF229" s="381"/>
      <c r="JG229" s="277"/>
      <c r="JH229" s="381"/>
      <c r="JI229" s="381"/>
      <c r="JJ229" s="381"/>
      <c r="JK229" s="381"/>
      <c r="JL229" s="381"/>
      <c r="JM229" s="381"/>
      <c r="JN229" s="381"/>
      <c r="JO229" s="381"/>
      <c r="JP229" s="381"/>
      <c r="JQ229" s="381"/>
      <c r="JR229" s="381"/>
      <c r="JS229" s="381"/>
      <c r="JT229" s="381"/>
      <c r="JU229" s="381"/>
      <c r="JV229" s="381"/>
      <c r="JW229" s="381"/>
      <c r="JX229" s="381"/>
      <c r="JY229" s="381"/>
      <c r="JZ229" s="381"/>
      <c r="KA229" s="381"/>
      <c r="KB229" s="277"/>
    </row>
    <row r="230" spans="2:288" ht="15" customHeight="1" x14ac:dyDescent="0.25">
      <c r="B230" s="216" t="str">
        <f t="shared" si="22"/>
        <v>Desk 14</v>
      </c>
      <c r="C230" s="218" t="str">
        <v/>
      </c>
      <c r="D230" s="218" t="str">
        <v/>
      </c>
      <c r="E230" s="218" t="str">
        <v/>
      </c>
      <c r="F230" s="218" t="str">
        <v/>
      </c>
      <c r="G230" s="402" t="str">
        <v/>
      </c>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381"/>
      <c r="DG230" s="381"/>
      <c r="DH230" s="381"/>
      <c r="DI230" s="381"/>
      <c r="DJ230" s="381"/>
      <c r="DK230" s="381"/>
      <c r="DL230" s="381"/>
      <c r="DM230" s="381"/>
      <c r="DN230" s="381"/>
      <c r="DO230" s="381"/>
      <c r="DP230" s="381"/>
      <c r="DQ230" s="381"/>
      <c r="DR230" s="381"/>
      <c r="DS230" s="381"/>
      <c r="DT230" s="381"/>
      <c r="DU230" s="381"/>
      <c r="DV230" s="381"/>
      <c r="DW230" s="277"/>
      <c r="DX230" s="381"/>
      <c r="DY230" s="381"/>
      <c r="DZ230" s="381"/>
      <c r="EA230" s="381"/>
      <c r="EB230" s="381"/>
      <c r="EC230" s="381"/>
      <c r="ED230" s="381"/>
      <c r="EE230" s="381"/>
      <c r="EF230" s="381"/>
      <c r="EG230" s="381"/>
      <c r="EH230" s="381"/>
      <c r="EI230" s="381"/>
      <c r="EJ230" s="381"/>
      <c r="EK230" s="381"/>
      <c r="EL230" s="381"/>
      <c r="EM230" s="381"/>
      <c r="EN230" s="381"/>
      <c r="EO230" s="381"/>
      <c r="EP230" s="381"/>
      <c r="EQ230" s="381"/>
      <c r="ER230" s="277"/>
      <c r="ES230" s="381"/>
      <c r="ET230" s="381"/>
      <c r="EU230" s="381"/>
      <c r="EV230" s="381"/>
      <c r="EW230" s="381"/>
      <c r="EX230" s="381"/>
      <c r="EY230" s="381"/>
      <c r="EZ230" s="381"/>
      <c r="FA230" s="381"/>
      <c r="FB230" s="381"/>
      <c r="FC230" s="381"/>
      <c r="FD230" s="381"/>
      <c r="FE230" s="381"/>
      <c r="FF230" s="381"/>
      <c r="FG230" s="381"/>
      <c r="FH230" s="381"/>
      <c r="FI230" s="381"/>
      <c r="FJ230" s="381"/>
      <c r="FK230" s="381"/>
      <c r="FL230" s="381"/>
      <c r="FM230" s="381"/>
      <c r="FN230" s="381"/>
      <c r="FO230" s="381"/>
      <c r="FP230" s="381"/>
      <c r="FQ230" s="381"/>
      <c r="FR230" s="381"/>
      <c r="FS230" s="381"/>
      <c r="FT230" s="381"/>
      <c r="FU230" s="381"/>
      <c r="FV230" s="381"/>
      <c r="FW230" s="381"/>
      <c r="FX230" s="381"/>
      <c r="FY230" s="381"/>
      <c r="FZ230" s="381"/>
      <c r="GA230" s="381"/>
      <c r="GB230" s="381"/>
      <c r="GC230" s="381"/>
      <c r="GD230" s="381"/>
      <c r="GE230" s="381"/>
      <c r="GF230" s="381"/>
      <c r="GG230" s="381"/>
      <c r="GH230" s="381"/>
      <c r="GI230" s="381"/>
      <c r="GJ230" s="381"/>
      <c r="GK230" s="381"/>
      <c r="GL230" s="381"/>
      <c r="GM230" s="381"/>
      <c r="GN230" s="381"/>
      <c r="GO230" s="381"/>
      <c r="GP230" s="381"/>
      <c r="GQ230" s="381"/>
      <c r="GR230" s="381"/>
      <c r="GS230" s="381"/>
      <c r="GT230" s="381"/>
      <c r="GU230" s="381"/>
      <c r="GV230" s="381"/>
      <c r="GW230" s="381"/>
      <c r="GX230" s="381"/>
      <c r="GY230" s="381"/>
      <c r="GZ230" s="381"/>
      <c r="HA230" s="381"/>
      <c r="HB230" s="381"/>
      <c r="HC230" s="381"/>
      <c r="HD230" s="381"/>
      <c r="HE230" s="381"/>
      <c r="HF230" s="381"/>
      <c r="HG230" s="381"/>
      <c r="HH230" s="381"/>
      <c r="HI230" s="381"/>
      <c r="HJ230" s="381"/>
      <c r="HK230" s="381"/>
      <c r="HL230" s="381"/>
      <c r="HM230" s="381"/>
      <c r="HN230" s="381"/>
      <c r="HO230" s="381"/>
      <c r="HP230" s="381"/>
      <c r="HQ230" s="381"/>
      <c r="HR230" s="381"/>
      <c r="HS230" s="381"/>
      <c r="HT230" s="381"/>
      <c r="HU230" s="381"/>
      <c r="HV230" s="381"/>
      <c r="HW230" s="381"/>
      <c r="HX230" s="381"/>
      <c r="HY230" s="381"/>
      <c r="HZ230" s="381"/>
      <c r="IA230" s="381"/>
      <c r="IB230" s="381"/>
      <c r="IC230" s="381"/>
      <c r="ID230" s="381"/>
      <c r="IE230" s="381"/>
      <c r="IF230" s="381"/>
      <c r="IG230" s="381"/>
      <c r="IH230" s="381"/>
      <c r="II230" s="381"/>
      <c r="IJ230" s="381"/>
      <c r="IK230" s="381"/>
      <c r="IL230" s="381"/>
      <c r="IM230" s="381"/>
      <c r="IN230" s="381"/>
      <c r="IO230" s="381"/>
      <c r="IP230" s="381"/>
      <c r="IQ230" s="381"/>
      <c r="IR230" s="381"/>
      <c r="IS230" s="381"/>
      <c r="IT230" s="381"/>
      <c r="IU230" s="381"/>
      <c r="IV230" s="381"/>
      <c r="IW230" s="381"/>
      <c r="IX230" s="381"/>
      <c r="IY230" s="381"/>
      <c r="IZ230" s="381"/>
      <c r="JA230" s="381"/>
      <c r="JB230" s="381"/>
      <c r="JC230" s="381"/>
      <c r="JD230" s="381"/>
      <c r="JE230" s="381"/>
      <c r="JF230" s="381"/>
      <c r="JG230" s="277"/>
      <c r="JH230" s="381"/>
      <c r="JI230" s="381"/>
      <c r="JJ230" s="381"/>
      <c r="JK230" s="381"/>
      <c r="JL230" s="381"/>
      <c r="JM230" s="381"/>
      <c r="JN230" s="381"/>
      <c r="JO230" s="381"/>
      <c r="JP230" s="381"/>
      <c r="JQ230" s="381"/>
      <c r="JR230" s="381"/>
      <c r="JS230" s="381"/>
      <c r="JT230" s="381"/>
      <c r="JU230" s="381"/>
      <c r="JV230" s="381"/>
      <c r="JW230" s="381"/>
      <c r="JX230" s="381"/>
      <c r="JY230" s="381"/>
      <c r="JZ230" s="381"/>
      <c r="KA230" s="381"/>
      <c r="KB230" s="277"/>
    </row>
    <row r="231" spans="2:288" ht="15" customHeight="1" x14ac:dyDescent="0.25">
      <c r="B231" s="216" t="str">
        <f t="shared" si="22"/>
        <v>Desk 15</v>
      </c>
      <c r="C231" s="218" t="str">
        <v/>
      </c>
      <c r="D231" s="218" t="str">
        <v/>
      </c>
      <c r="E231" s="218" t="str">
        <v/>
      </c>
      <c r="F231" s="218" t="str">
        <v/>
      </c>
      <c r="G231" s="402" t="str">
        <v/>
      </c>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381"/>
      <c r="DG231" s="381"/>
      <c r="DH231" s="381"/>
      <c r="DI231" s="381"/>
      <c r="DJ231" s="381"/>
      <c r="DK231" s="381"/>
      <c r="DL231" s="381"/>
      <c r="DM231" s="381"/>
      <c r="DN231" s="381"/>
      <c r="DO231" s="381"/>
      <c r="DP231" s="381"/>
      <c r="DQ231" s="381"/>
      <c r="DR231" s="381"/>
      <c r="DS231" s="381"/>
      <c r="DT231" s="381"/>
      <c r="DU231" s="381"/>
      <c r="DV231" s="381"/>
      <c r="DW231" s="277"/>
      <c r="DX231" s="381"/>
      <c r="DY231" s="381"/>
      <c r="DZ231" s="381"/>
      <c r="EA231" s="381"/>
      <c r="EB231" s="381"/>
      <c r="EC231" s="381"/>
      <c r="ED231" s="381"/>
      <c r="EE231" s="381"/>
      <c r="EF231" s="381"/>
      <c r="EG231" s="381"/>
      <c r="EH231" s="381"/>
      <c r="EI231" s="381"/>
      <c r="EJ231" s="381"/>
      <c r="EK231" s="381"/>
      <c r="EL231" s="381"/>
      <c r="EM231" s="381"/>
      <c r="EN231" s="381"/>
      <c r="EO231" s="381"/>
      <c r="EP231" s="381"/>
      <c r="EQ231" s="381"/>
      <c r="ER231" s="277"/>
      <c r="ES231" s="381"/>
      <c r="ET231" s="381"/>
      <c r="EU231" s="381"/>
      <c r="EV231" s="381"/>
      <c r="EW231" s="381"/>
      <c r="EX231" s="381"/>
      <c r="EY231" s="381"/>
      <c r="EZ231" s="381"/>
      <c r="FA231" s="381"/>
      <c r="FB231" s="381"/>
      <c r="FC231" s="381"/>
      <c r="FD231" s="381"/>
      <c r="FE231" s="381"/>
      <c r="FF231" s="381"/>
      <c r="FG231" s="381"/>
      <c r="FH231" s="381"/>
      <c r="FI231" s="381"/>
      <c r="FJ231" s="381"/>
      <c r="FK231" s="381"/>
      <c r="FL231" s="381"/>
      <c r="FM231" s="381"/>
      <c r="FN231" s="381"/>
      <c r="FO231" s="381"/>
      <c r="FP231" s="381"/>
      <c r="FQ231" s="381"/>
      <c r="FR231" s="381"/>
      <c r="FS231" s="381"/>
      <c r="FT231" s="381"/>
      <c r="FU231" s="381"/>
      <c r="FV231" s="381"/>
      <c r="FW231" s="381"/>
      <c r="FX231" s="381"/>
      <c r="FY231" s="381"/>
      <c r="FZ231" s="381"/>
      <c r="GA231" s="381"/>
      <c r="GB231" s="381"/>
      <c r="GC231" s="381"/>
      <c r="GD231" s="381"/>
      <c r="GE231" s="381"/>
      <c r="GF231" s="381"/>
      <c r="GG231" s="381"/>
      <c r="GH231" s="381"/>
      <c r="GI231" s="381"/>
      <c r="GJ231" s="381"/>
      <c r="GK231" s="381"/>
      <c r="GL231" s="381"/>
      <c r="GM231" s="381"/>
      <c r="GN231" s="381"/>
      <c r="GO231" s="381"/>
      <c r="GP231" s="381"/>
      <c r="GQ231" s="381"/>
      <c r="GR231" s="381"/>
      <c r="GS231" s="381"/>
      <c r="GT231" s="381"/>
      <c r="GU231" s="381"/>
      <c r="GV231" s="381"/>
      <c r="GW231" s="381"/>
      <c r="GX231" s="381"/>
      <c r="GY231" s="381"/>
      <c r="GZ231" s="381"/>
      <c r="HA231" s="381"/>
      <c r="HB231" s="381"/>
      <c r="HC231" s="381"/>
      <c r="HD231" s="381"/>
      <c r="HE231" s="381"/>
      <c r="HF231" s="381"/>
      <c r="HG231" s="381"/>
      <c r="HH231" s="381"/>
      <c r="HI231" s="381"/>
      <c r="HJ231" s="381"/>
      <c r="HK231" s="381"/>
      <c r="HL231" s="381"/>
      <c r="HM231" s="381"/>
      <c r="HN231" s="381"/>
      <c r="HO231" s="381"/>
      <c r="HP231" s="381"/>
      <c r="HQ231" s="381"/>
      <c r="HR231" s="381"/>
      <c r="HS231" s="381"/>
      <c r="HT231" s="381"/>
      <c r="HU231" s="381"/>
      <c r="HV231" s="381"/>
      <c r="HW231" s="381"/>
      <c r="HX231" s="381"/>
      <c r="HY231" s="381"/>
      <c r="HZ231" s="381"/>
      <c r="IA231" s="381"/>
      <c r="IB231" s="381"/>
      <c r="IC231" s="381"/>
      <c r="ID231" s="381"/>
      <c r="IE231" s="381"/>
      <c r="IF231" s="381"/>
      <c r="IG231" s="381"/>
      <c r="IH231" s="381"/>
      <c r="II231" s="381"/>
      <c r="IJ231" s="381"/>
      <c r="IK231" s="381"/>
      <c r="IL231" s="381"/>
      <c r="IM231" s="381"/>
      <c r="IN231" s="381"/>
      <c r="IO231" s="381"/>
      <c r="IP231" s="381"/>
      <c r="IQ231" s="381"/>
      <c r="IR231" s="381"/>
      <c r="IS231" s="381"/>
      <c r="IT231" s="381"/>
      <c r="IU231" s="381"/>
      <c r="IV231" s="381"/>
      <c r="IW231" s="381"/>
      <c r="IX231" s="381"/>
      <c r="IY231" s="381"/>
      <c r="IZ231" s="381"/>
      <c r="JA231" s="381"/>
      <c r="JB231" s="381"/>
      <c r="JC231" s="381"/>
      <c r="JD231" s="381"/>
      <c r="JE231" s="381"/>
      <c r="JF231" s="381"/>
      <c r="JG231" s="277"/>
      <c r="JH231" s="381"/>
      <c r="JI231" s="381"/>
      <c r="JJ231" s="381"/>
      <c r="JK231" s="381"/>
      <c r="JL231" s="381"/>
      <c r="JM231" s="381"/>
      <c r="JN231" s="381"/>
      <c r="JO231" s="381"/>
      <c r="JP231" s="381"/>
      <c r="JQ231" s="381"/>
      <c r="JR231" s="381"/>
      <c r="JS231" s="381"/>
      <c r="JT231" s="381"/>
      <c r="JU231" s="381"/>
      <c r="JV231" s="381"/>
      <c r="JW231" s="381"/>
      <c r="JX231" s="381"/>
      <c r="JY231" s="381"/>
      <c r="JZ231" s="381"/>
      <c r="KA231" s="381"/>
      <c r="KB231" s="277"/>
    </row>
    <row r="232" spans="2:288" ht="15" customHeight="1" x14ac:dyDescent="0.25">
      <c r="B232" s="216" t="str">
        <f t="shared" si="22"/>
        <v>Desk 16</v>
      </c>
      <c r="C232" s="218" t="str">
        <v/>
      </c>
      <c r="D232" s="218" t="str">
        <v/>
      </c>
      <c r="E232" s="218" t="str">
        <v/>
      </c>
      <c r="F232" s="218" t="str">
        <v/>
      </c>
      <c r="G232" s="402" t="str">
        <v/>
      </c>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381"/>
      <c r="DG232" s="381"/>
      <c r="DH232" s="381"/>
      <c r="DI232" s="381"/>
      <c r="DJ232" s="381"/>
      <c r="DK232" s="381"/>
      <c r="DL232" s="381"/>
      <c r="DM232" s="381"/>
      <c r="DN232" s="381"/>
      <c r="DO232" s="381"/>
      <c r="DP232" s="381"/>
      <c r="DQ232" s="381"/>
      <c r="DR232" s="381"/>
      <c r="DS232" s="381"/>
      <c r="DT232" s="381"/>
      <c r="DU232" s="381"/>
      <c r="DV232" s="381"/>
      <c r="DW232" s="277"/>
      <c r="DX232" s="381"/>
      <c r="DY232" s="381"/>
      <c r="DZ232" s="381"/>
      <c r="EA232" s="381"/>
      <c r="EB232" s="381"/>
      <c r="EC232" s="381"/>
      <c r="ED232" s="381"/>
      <c r="EE232" s="381"/>
      <c r="EF232" s="381"/>
      <c r="EG232" s="381"/>
      <c r="EH232" s="381"/>
      <c r="EI232" s="381"/>
      <c r="EJ232" s="381"/>
      <c r="EK232" s="381"/>
      <c r="EL232" s="381"/>
      <c r="EM232" s="381"/>
      <c r="EN232" s="381"/>
      <c r="EO232" s="381"/>
      <c r="EP232" s="381"/>
      <c r="EQ232" s="381"/>
      <c r="ER232" s="277"/>
      <c r="ES232" s="381"/>
      <c r="ET232" s="381"/>
      <c r="EU232" s="381"/>
      <c r="EV232" s="381"/>
      <c r="EW232" s="381"/>
      <c r="EX232" s="381"/>
      <c r="EY232" s="381"/>
      <c r="EZ232" s="381"/>
      <c r="FA232" s="381"/>
      <c r="FB232" s="381"/>
      <c r="FC232" s="381"/>
      <c r="FD232" s="381"/>
      <c r="FE232" s="381"/>
      <c r="FF232" s="381"/>
      <c r="FG232" s="381"/>
      <c r="FH232" s="381"/>
      <c r="FI232" s="381"/>
      <c r="FJ232" s="381"/>
      <c r="FK232" s="381"/>
      <c r="FL232" s="381"/>
      <c r="FM232" s="381"/>
      <c r="FN232" s="381"/>
      <c r="FO232" s="381"/>
      <c r="FP232" s="381"/>
      <c r="FQ232" s="381"/>
      <c r="FR232" s="381"/>
      <c r="FS232" s="381"/>
      <c r="FT232" s="381"/>
      <c r="FU232" s="381"/>
      <c r="FV232" s="381"/>
      <c r="FW232" s="381"/>
      <c r="FX232" s="381"/>
      <c r="FY232" s="381"/>
      <c r="FZ232" s="381"/>
      <c r="GA232" s="381"/>
      <c r="GB232" s="381"/>
      <c r="GC232" s="381"/>
      <c r="GD232" s="381"/>
      <c r="GE232" s="381"/>
      <c r="GF232" s="381"/>
      <c r="GG232" s="381"/>
      <c r="GH232" s="381"/>
      <c r="GI232" s="381"/>
      <c r="GJ232" s="381"/>
      <c r="GK232" s="381"/>
      <c r="GL232" s="381"/>
      <c r="GM232" s="381"/>
      <c r="GN232" s="381"/>
      <c r="GO232" s="381"/>
      <c r="GP232" s="381"/>
      <c r="GQ232" s="381"/>
      <c r="GR232" s="381"/>
      <c r="GS232" s="381"/>
      <c r="GT232" s="381"/>
      <c r="GU232" s="381"/>
      <c r="GV232" s="381"/>
      <c r="GW232" s="381"/>
      <c r="GX232" s="381"/>
      <c r="GY232" s="381"/>
      <c r="GZ232" s="381"/>
      <c r="HA232" s="381"/>
      <c r="HB232" s="381"/>
      <c r="HC232" s="381"/>
      <c r="HD232" s="381"/>
      <c r="HE232" s="381"/>
      <c r="HF232" s="381"/>
      <c r="HG232" s="381"/>
      <c r="HH232" s="381"/>
      <c r="HI232" s="381"/>
      <c r="HJ232" s="381"/>
      <c r="HK232" s="381"/>
      <c r="HL232" s="381"/>
      <c r="HM232" s="381"/>
      <c r="HN232" s="381"/>
      <c r="HO232" s="381"/>
      <c r="HP232" s="381"/>
      <c r="HQ232" s="381"/>
      <c r="HR232" s="381"/>
      <c r="HS232" s="381"/>
      <c r="HT232" s="381"/>
      <c r="HU232" s="381"/>
      <c r="HV232" s="381"/>
      <c r="HW232" s="381"/>
      <c r="HX232" s="381"/>
      <c r="HY232" s="381"/>
      <c r="HZ232" s="381"/>
      <c r="IA232" s="381"/>
      <c r="IB232" s="381"/>
      <c r="IC232" s="381"/>
      <c r="ID232" s="381"/>
      <c r="IE232" s="381"/>
      <c r="IF232" s="381"/>
      <c r="IG232" s="381"/>
      <c r="IH232" s="381"/>
      <c r="II232" s="381"/>
      <c r="IJ232" s="381"/>
      <c r="IK232" s="381"/>
      <c r="IL232" s="381"/>
      <c r="IM232" s="381"/>
      <c r="IN232" s="381"/>
      <c r="IO232" s="381"/>
      <c r="IP232" s="381"/>
      <c r="IQ232" s="381"/>
      <c r="IR232" s="381"/>
      <c r="IS232" s="381"/>
      <c r="IT232" s="381"/>
      <c r="IU232" s="381"/>
      <c r="IV232" s="381"/>
      <c r="IW232" s="381"/>
      <c r="IX232" s="381"/>
      <c r="IY232" s="381"/>
      <c r="IZ232" s="381"/>
      <c r="JA232" s="381"/>
      <c r="JB232" s="381"/>
      <c r="JC232" s="381"/>
      <c r="JD232" s="381"/>
      <c r="JE232" s="381"/>
      <c r="JF232" s="381"/>
      <c r="JG232" s="277"/>
      <c r="JH232" s="381"/>
      <c r="JI232" s="381"/>
      <c r="JJ232" s="381"/>
      <c r="JK232" s="381"/>
      <c r="JL232" s="381"/>
      <c r="JM232" s="381"/>
      <c r="JN232" s="381"/>
      <c r="JO232" s="381"/>
      <c r="JP232" s="381"/>
      <c r="JQ232" s="381"/>
      <c r="JR232" s="381"/>
      <c r="JS232" s="381"/>
      <c r="JT232" s="381"/>
      <c r="JU232" s="381"/>
      <c r="JV232" s="381"/>
      <c r="JW232" s="381"/>
      <c r="JX232" s="381"/>
      <c r="JY232" s="381"/>
      <c r="JZ232" s="381"/>
      <c r="KA232" s="381"/>
      <c r="KB232" s="277"/>
    </row>
    <row r="233" spans="2:288" ht="15" customHeight="1" x14ac:dyDescent="0.25">
      <c r="B233" s="216" t="str">
        <f t="shared" si="22"/>
        <v>Desk 17</v>
      </c>
      <c r="C233" s="218" t="str">
        <v/>
      </c>
      <c r="D233" s="218" t="str">
        <v/>
      </c>
      <c r="E233" s="218" t="str">
        <v/>
      </c>
      <c r="F233" s="218" t="str">
        <v/>
      </c>
      <c r="G233" s="402" t="str">
        <v/>
      </c>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c r="AG233" s="381"/>
      <c r="AH233" s="381"/>
      <c r="AI233" s="381"/>
      <c r="AJ233" s="381"/>
      <c r="AK233" s="381"/>
      <c r="AL233" s="381"/>
      <c r="AM233" s="381"/>
      <c r="AN233" s="381"/>
      <c r="AO233" s="381"/>
      <c r="AP233" s="381"/>
      <c r="AQ233" s="381"/>
      <c r="AR233" s="381"/>
      <c r="AS233" s="381"/>
      <c r="AT233" s="381"/>
      <c r="AU233" s="381"/>
      <c r="AV233" s="381"/>
      <c r="AW233" s="381"/>
      <c r="AX233" s="381"/>
      <c r="AY233" s="381"/>
      <c r="AZ233" s="381"/>
      <c r="BA233" s="381"/>
      <c r="BB233" s="381"/>
      <c r="BC233" s="381"/>
      <c r="BD233" s="381"/>
      <c r="BE233" s="381"/>
      <c r="BF233" s="381"/>
      <c r="BG233" s="381"/>
      <c r="BH233" s="381"/>
      <c r="BI233" s="381"/>
      <c r="BJ233" s="381"/>
      <c r="BK233" s="381"/>
      <c r="BL233" s="381"/>
      <c r="BM233" s="381"/>
      <c r="BN233" s="381"/>
      <c r="BO233" s="381"/>
      <c r="BP233" s="381"/>
      <c r="BQ233" s="381"/>
      <c r="BR233" s="381"/>
      <c r="BS233" s="381"/>
      <c r="BT233" s="381"/>
      <c r="BU233" s="381"/>
      <c r="BV233" s="381"/>
      <c r="BW233" s="381"/>
      <c r="BX233" s="381"/>
      <c r="BY233" s="381"/>
      <c r="BZ233" s="381"/>
      <c r="CA233" s="381"/>
      <c r="CB233" s="381"/>
      <c r="CC233" s="381"/>
      <c r="CD233" s="381"/>
      <c r="CE233" s="381"/>
      <c r="CF233" s="381"/>
      <c r="CG233" s="381"/>
      <c r="CH233" s="381"/>
      <c r="CI233" s="381"/>
      <c r="CJ233" s="381"/>
      <c r="CK233" s="381"/>
      <c r="CL233" s="381"/>
      <c r="CM233" s="381"/>
      <c r="CN233" s="381"/>
      <c r="CO233" s="381"/>
      <c r="CP233" s="381"/>
      <c r="CQ233" s="381"/>
      <c r="CR233" s="381"/>
      <c r="CS233" s="381"/>
      <c r="CT233" s="381"/>
      <c r="CU233" s="381"/>
      <c r="CV233" s="381"/>
      <c r="CW233" s="381"/>
      <c r="CX233" s="381"/>
      <c r="CY233" s="381"/>
      <c r="CZ233" s="381"/>
      <c r="DA233" s="381"/>
      <c r="DB233" s="381"/>
      <c r="DC233" s="381"/>
      <c r="DD233" s="381"/>
      <c r="DE233" s="381"/>
      <c r="DF233" s="381"/>
      <c r="DG233" s="381"/>
      <c r="DH233" s="381"/>
      <c r="DI233" s="381"/>
      <c r="DJ233" s="381"/>
      <c r="DK233" s="381"/>
      <c r="DL233" s="381"/>
      <c r="DM233" s="381"/>
      <c r="DN233" s="381"/>
      <c r="DO233" s="381"/>
      <c r="DP233" s="381"/>
      <c r="DQ233" s="381"/>
      <c r="DR233" s="381"/>
      <c r="DS233" s="381"/>
      <c r="DT233" s="381"/>
      <c r="DU233" s="381"/>
      <c r="DV233" s="381"/>
      <c r="DW233" s="277"/>
      <c r="DX233" s="381"/>
      <c r="DY233" s="381"/>
      <c r="DZ233" s="381"/>
      <c r="EA233" s="381"/>
      <c r="EB233" s="381"/>
      <c r="EC233" s="381"/>
      <c r="ED233" s="381"/>
      <c r="EE233" s="381"/>
      <c r="EF233" s="381"/>
      <c r="EG233" s="381"/>
      <c r="EH233" s="381"/>
      <c r="EI233" s="381"/>
      <c r="EJ233" s="381"/>
      <c r="EK233" s="381"/>
      <c r="EL233" s="381"/>
      <c r="EM233" s="381"/>
      <c r="EN233" s="381"/>
      <c r="EO233" s="381"/>
      <c r="EP233" s="381"/>
      <c r="EQ233" s="381"/>
      <c r="ER233" s="277"/>
      <c r="ES233" s="381"/>
      <c r="ET233" s="381"/>
      <c r="EU233" s="381"/>
      <c r="EV233" s="381"/>
      <c r="EW233" s="381"/>
      <c r="EX233" s="381"/>
      <c r="EY233" s="381"/>
      <c r="EZ233" s="381"/>
      <c r="FA233" s="381"/>
      <c r="FB233" s="381"/>
      <c r="FC233" s="381"/>
      <c r="FD233" s="381"/>
      <c r="FE233" s="381"/>
      <c r="FF233" s="381"/>
      <c r="FG233" s="381"/>
      <c r="FH233" s="381"/>
      <c r="FI233" s="381"/>
      <c r="FJ233" s="381"/>
      <c r="FK233" s="381"/>
      <c r="FL233" s="381"/>
      <c r="FM233" s="381"/>
      <c r="FN233" s="381"/>
      <c r="FO233" s="381"/>
      <c r="FP233" s="381"/>
      <c r="FQ233" s="381"/>
      <c r="FR233" s="381"/>
      <c r="FS233" s="381"/>
      <c r="FT233" s="381"/>
      <c r="FU233" s="381"/>
      <c r="FV233" s="381"/>
      <c r="FW233" s="381"/>
      <c r="FX233" s="381"/>
      <c r="FY233" s="381"/>
      <c r="FZ233" s="381"/>
      <c r="GA233" s="381"/>
      <c r="GB233" s="381"/>
      <c r="GC233" s="381"/>
      <c r="GD233" s="381"/>
      <c r="GE233" s="381"/>
      <c r="GF233" s="381"/>
      <c r="GG233" s="381"/>
      <c r="GH233" s="381"/>
      <c r="GI233" s="381"/>
      <c r="GJ233" s="381"/>
      <c r="GK233" s="381"/>
      <c r="GL233" s="381"/>
      <c r="GM233" s="381"/>
      <c r="GN233" s="381"/>
      <c r="GO233" s="381"/>
      <c r="GP233" s="381"/>
      <c r="GQ233" s="381"/>
      <c r="GR233" s="381"/>
      <c r="GS233" s="381"/>
      <c r="GT233" s="381"/>
      <c r="GU233" s="381"/>
      <c r="GV233" s="381"/>
      <c r="GW233" s="381"/>
      <c r="GX233" s="381"/>
      <c r="GY233" s="381"/>
      <c r="GZ233" s="381"/>
      <c r="HA233" s="381"/>
      <c r="HB233" s="381"/>
      <c r="HC233" s="381"/>
      <c r="HD233" s="381"/>
      <c r="HE233" s="381"/>
      <c r="HF233" s="381"/>
      <c r="HG233" s="381"/>
      <c r="HH233" s="381"/>
      <c r="HI233" s="381"/>
      <c r="HJ233" s="381"/>
      <c r="HK233" s="381"/>
      <c r="HL233" s="381"/>
      <c r="HM233" s="381"/>
      <c r="HN233" s="381"/>
      <c r="HO233" s="381"/>
      <c r="HP233" s="381"/>
      <c r="HQ233" s="381"/>
      <c r="HR233" s="381"/>
      <c r="HS233" s="381"/>
      <c r="HT233" s="381"/>
      <c r="HU233" s="381"/>
      <c r="HV233" s="381"/>
      <c r="HW233" s="381"/>
      <c r="HX233" s="381"/>
      <c r="HY233" s="381"/>
      <c r="HZ233" s="381"/>
      <c r="IA233" s="381"/>
      <c r="IB233" s="381"/>
      <c r="IC233" s="381"/>
      <c r="ID233" s="381"/>
      <c r="IE233" s="381"/>
      <c r="IF233" s="381"/>
      <c r="IG233" s="381"/>
      <c r="IH233" s="381"/>
      <c r="II233" s="381"/>
      <c r="IJ233" s="381"/>
      <c r="IK233" s="381"/>
      <c r="IL233" s="381"/>
      <c r="IM233" s="381"/>
      <c r="IN233" s="381"/>
      <c r="IO233" s="381"/>
      <c r="IP233" s="381"/>
      <c r="IQ233" s="381"/>
      <c r="IR233" s="381"/>
      <c r="IS233" s="381"/>
      <c r="IT233" s="381"/>
      <c r="IU233" s="381"/>
      <c r="IV233" s="381"/>
      <c r="IW233" s="381"/>
      <c r="IX233" s="381"/>
      <c r="IY233" s="381"/>
      <c r="IZ233" s="381"/>
      <c r="JA233" s="381"/>
      <c r="JB233" s="381"/>
      <c r="JC233" s="381"/>
      <c r="JD233" s="381"/>
      <c r="JE233" s="381"/>
      <c r="JF233" s="381"/>
      <c r="JG233" s="277"/>
      <c r="JH233" s="381"/>
      <c r="JI233" s="381"/>
      <c r="JJ233" s="381"/>
      <c r="JK233" s="381"/>
      <c r="JL233" s="381"/>
      <c r="JM233" s="381"/>
      <c r="JN233" s="381"/>
      <c r="JO233" s="381"/>
      <c r="JP233" s="381"/>
      <c r="JQ233" s="381"/>
      <c r="JR233" s="381"/>
      <c r="JS233" s="381"/>
      <c r="JT233" s="381"/>
      <c r="JU233" s="381"/>
      <c r="JV233" s="381"/>
      <c r="JW233" s="381"/>
      <c r="JX233" s="381"/>
      <c r="JY233" s="381"/>
      <c r="JZ233" s="381"/>
      <c r="KA233" s="381"/>
      <c r="KB233" s="277"/>
    </row>
    <row r="234" spans="2:288" ht="15" customHeight="1" x14ac:dyDescent="0.25">
      <c r="B234" s="216" t="str">
        <f t="shared" si="22"/>
        <v>Desk 18</v>
      </c>
      <c r="C234" s="218" t="str">
        <v/>
      </c>
      <c r="D234" s="218" t="str">
        <v/>
      </c>
      <c r="E234" s="218" t="str">
        <v/>
      </c>
      <c r="F234" s="218" t="str">
        <v/>
      </c>
      <c r="G234" s="402" t="str">
        <v/>
      </c>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381"/>
      <c r="AG234" s="381"/>
      <c r="AH234" s="381"/>
      <c r="AI234" s="381"/>
      <c r="AJ234" s="381"/>
      <c r="AK234" s="381"/>
      <c r="AL234" s="381"/>
      <c r="AM234" s="381"/>
      <c r="AN234" s="381"/>
      <c r="AO234" s="381"/>
      <c r="AP234" s="381"/>
      <c r="AQ234" s="381"/>
      <c r="AR234" s="381"/>
      <c r="AS234" s="381"/>
      <c r="AT234" s="381"/>
      <c r="AU234" s="381"/>
      <c r="AV234" s="381"/>
      <c r="AW234" s="381"/>
      <c r="AX234" s="381"/>
      <c r="AY234" s="381"/>
      <c r="AZ234" s="381"/>
      <c r="BA234" s="381"/>
      <c r="BB234" s="381"/>
      <c r="BC234" s="381"/>
      <c r="BD234" s="381"/>
      <c r="BE234" s="381"/>
      <c r="BF234" s="381"/>
      <c r="BG234" s="381"/>
      <c r="BH234" s="381"/>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381"/>
      <c r="DG234" s="381"/>
      <c r="DH234" s="381"/>
      <c r="DI234" s="381"/>
      <c r="DJ234" s="381"/>
      <c r="DK234" s="381"/>
      <c r="DL234" s="381"/>
      <c r="DM234" s="381"/>
      <c r="DN234" s="381"/>
      <c r="DO234" s="381"/>
      <c r="DP234" s="381"/>
      <c r="DQ234" s="381"/>
      <c r="DR234" s="381"/>
      <c r="DS234" s="381"/>
      <c r="DT234" s="381"/>
      <c r="DU234" s="381"/>
      <c r="DV234" s="381"/>
      <c r="DW234" s="277"/>
      <c r="DX234" s="381"/>
      <c r="DY234" s="381"/>
      <c r="DZ234" s="381"/>
      <c r="EA234" s="381"/>
      <c r="EB234" s="381"/>
      <c r="EC234" s="381"/>
      <c r="ED234" s="381"/>
      <c r="EE234" s="381"/>
      <c r="EF234" s="381"/>
      <c r="EG234" s="381"/>
      <c r="EH234" s="381"/>
      <c r="EI234" s="381"/>
      <c r="EJ234" s="381"/>
      <c r="EK234" s="381"/>
      <c r="EL234" s="381"/>
      <c r="EM234" s="381"/>
      <c r="EN234" s="381"/>
      <c r="EO234" s="381"/>
      <c r="EP234" s="381"/>
      <c r="EQ234" s="381"/>
      <c r="ER234" s="277"/>
      <c r="ES234" s="381"/>
      <c r="ET234" s="381"/>
      <c r="EU234" s="381"/>
      <c r="EV234" s="381"/>
      <c r="EW234" s="381"/>
      <c r="EX234" s="381"/>
      <c r="EY234" s="381"/>
      <c r="EZ234" s="381"/>
      <c r="FA234" s="381"/>
      <c r="FB234" s="381"/>
      <c r="FC234" s="381"/>
      <c r="FD234" s="381"/>
      <c r="FE234" s="381"/>
      <c r="FF234" s="381"/>
      <c r="FG234" s="381"/>
      <c r="FH234" s="381"/>
      <c r="FI234" s="381"/>
      <c r="FJ234" s="381"/>
      <c r="FK234" s="381"/>
      <c r="FL234" s="381"/>
      <c r="FM234" s="381"/>
      <c r="FN234" s="381"/>
      <c r="FO234" s="381"/>
      <c r="FP234" s="381"/>
      <c r="FQ234" s="381"/>
      <c r="FR234" s="381"/>
      <c r="FS234" s="381"/>
      <c r="FT234" s="381"/>
      <c r="FU234" s="381"/>
      <c r="FV234" s="381"/>
      <c r="FW234" s="381"/>
      <c r="FX234" s="381"/>
      <c r="FY234" s="381"/>
      <c r="FZ234" s="381"/>
      <c r="GA234" s="381"/>
      <c r="GB234" s="381"/>
      <c r="GC234" s="381"/>
      <c r="GD234" s="381"/>
      <c r="GE234" s="381"/>
      <c r="GF234" s="381"/>
      <c r="GG234" s="381"/>
      <c r="GH234" s="381"/>
      <c r="GI234" s="381"/>
      <c r="GJ234" s="381"/>
      <c r="GK234" s="381"/>
      <c r="GL234" s="381"/>
      <c r="GM234" s="381"/>
      <c r="GN234" s="381"/>
      <c r="GO234" s="381"/>
      <c r="GP234" s="381"/>
      <c r="GQ234" s="381"/>
      <c r="GR234" s="381"/>
      <c r="GS234" s="381"/>
      <c r="GT234" s="381"/>
      <c r="GU234" s="381"/>
      <c r="GV234" s="381"/>
      <c r="GW234" s="381"/>
      <c r="GX234" s="381"/>
      <c r="GY234" s="381"/>
      <c r="GZ234" s="381"/>
      <c r="HA234" s="381"/>
      <c r="HB234" s="381"/>
      <c r="HC234" s="381"/>
      <c r="HD234" s="381"/>
      <c r="HE234" s="381"/>
      <c r="HF234" s="381"/>
      <c r="HG234" s="381"/>
      <c r="HH234" s="381"/>
      <c r="HI234" s="381"/>
      <c r="HJ234" s="381"/>
      <c r="HK234" s="381"/>
      <c r="HL234" s="381"/>
      <c r="HM234" s="381"/>
      <c r="HN234" s="381"/>
      <c r="HO234" s="381"/>
      <c r="HP234" s="381"/>
      <c r="HQ234" s="381"/>
      <c r="HR234" s="381"/>
      <c r="HS234" s="381"/>
      <c r="HT234" s="381"/>
      <c r="HU234" s="381"/>
      <c r="HV234" s="381"/>
      <c r="HW234" s="381"/>
      <c r="HX234" s="381"/>
      <c r="HY234" s="381"/>
      <c r="HZ234" s="381"/>
      <c r="IA234" s="381"/>
      <c r="IB234" s="381"/>
      <c r="IC234" s="381"/>
      <c r="ID234" s="381"/>
      <c r="IE234" s="381"/>
      <c r="IF234" s="381"/>
      <c r="IG234" s="381"/>
      <c r="IH234" s="381"/>
      <c r="II234" s="381"/>
      <c r="IJ234" s="381"/>
      <c r="IK234" s="381"/>
      <c r="IL234" s="381"/>
      <c r="IM234" s="381"/>
      <c r="IN234" s="381"/>
      <c r="IO234" s="381"/>
      <c r="IP234" s="381"/>
      <c r="IQ234" s="381"/>
      <c r="IR234" s="381"/>
      <c r="IS234" s="381"/>
      <c r="IT234" s="381"/>
      <c r="IU234" s="381"/>
      <c r="IV234" s="381"/>
      <c r="IW234" s="381"/>
      <c r="IX234" s="381"/>
      <c r="IY234" s="381"/>
      <c r="IZ234" s="381"/>
      <c r="JA234" s="381"/>
      <c r="JB234" s="381"/>
      <c r="JC234" s="381"/>
      <c r="JD234" s="381"/>
      <c r="JE234" s="381"/>
      <c r="JF234" s="381"/>
      <c r="JG234" s="277"/>
      <c r="JH234" s="381"/>
      <c r="JI234" s="381"/>
      <c r="JJ234" s="381"/>
      <c r="JK234" s="381"/>
      <c r="JL234" s="381"/>
      <c r="JM234" s="381"/>
      <c r="JN234" s="381"/>
      <c r="JO234" s="381"/>
      <c r="JP234" s="381"/>
      <c r="JQ234" s="381"/>
      <c r="JR234" s="381"/>
      <c r="JS234" s="381"/>
      <c r="JT234" s="381"/>
      <c r="JU234" s="381"/>
      <c r="JV234" s="381"/>
      <c r="JW234" s="381"/>
      <c r="JX234" s="381"/>
      <c r="JY234" s="381"/>
      <c r="JZ234" s="381"/>
      <c r="KA234" s="381"/>
      <c r="KB234" s="277"/>
    </row>
    <row r="235" spans="2:288" ht="15" customHeight="1" x14ac:dyDescent="0.25">
      <c r="B235" s="216" t="str">
        <f t="shared" si="22"/>
        <v>Desk 19</v>
      </c>
      <c r="C235" s="218" t="str">
        <v/>
      </c>
      <c r="D235" s="218" t="str">
        <v/>
      </c>
      <c r="E235" s="218" t="str">
        <v/>
      </c>
      <c r="F235" s="218" t="str">
        <v/>
      </c>
      <c r="G235" s="402" t="str">
        <v/>
      </c>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c r="AG235" s="381"/>
      <c r="AH235" s="381"/>
      <c r="AI235" s="381"/>
      <c r="AJ235" s="381"/>
      <c r="AK235" s="381"/>
      <c r="AL235" s="381"/>
      <c r="AM235" s="381"/>
      <c r="AN235" s="381"/>
      <c r="AO235" s="381"/>
      <c r="AP235" s="381"/>
      <c r="AQ235" s="381"/>
      <c r="AR235" s="381"/>
      <c r="AS235" s="381"/>
      <c r="AT235" s="381"/>
      <c r="AU235" s="381"/>
      <c r="AV235" s="381"/>
      <c r="AW235" s="381"/>
      <c r="AX235" s="381"/>
      <c r="AY235" s="381"/>
      <c r="AZ235" s="381"/>
      <c r="BA235" s="381"/>
      <c r="BB235" s="381"/>
      <c r="BC235" s="381"/>
      <c r="BD235" s="381"/>
      <c r="BE235" s="381"/>
      <c r="BF235" s="381"/>
      <c r="BG235" s="381"/>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381"/>
      <c r="DG235" s="381"/>
      <c r="DH235" s="381"/>
      <c r="DI235" s="381"/>
      <c r="DJ235" s="381"/>
      <c r="DK235" s="381"/>
      <c r="DL235" s="381"/>
      <c r="DM235" s="381"/>
      <c r="DN235" s="381"/>
      <c r="DO235" s="381"/>
      <c r="DP235" s="381"/>
      <c r="DQ235" s="381"/>
      <c r="DR235" s="381"/>
      <c r="DS235" s="381"/>
      <c r="DT235" s="381"/>
      <c r="DU235" s="381"/>
      <c r="DV235" s="381"/>
      <c r="DW235" s="277"/>
      <c r="DX235" s="381"/>
      <c r="DY235" s="381"/>
      <c r="DZ235" s="381"/>
      <c r="EA235" s="381"/>
      <c r="EB235" s="381"/>
      <c r="EC235" s="381"/>
      <c r="ED235" s="381"/>
      <c r="EE235" s="381"/>
      <c r="EF235" s="381"/>
      <c r="EG235" s="381"/>
      <c r="EH235" s="381"/>
      <c r="EI235" s="381"/>
      <c r="EJ235" s="381"/>
      <c r="EK235" s="381"/>
      <c r="EL235" s="381"/>
      <c r="EM235" s="381"/>
      <c r="EN235" s="381"/>
      <c r="EO235" s="381"/>
      <c r="EP235" s="381"/>
      <c r="EQ235" s="381"/>
      <c r="ER235" s="277"/>
      <c r="ES235" s="381"/>
      <c r="ET235" s="381"/>
      <c r="EU235" s="381"/>
      <c r="EV235" s="381"/>
      <c r="EW235" s="381"/>
      <c r="EX235" s="381"/>
      <c r="EY235" s="381"/>
      <c r="EZ235" s="381"/>
      <c r="FA235" s="381"/>
      <c r="FB235" s="381"/>
      <c r="FC235" s="381"/>
      <c r="FD235" s="381"/>
      <c r="FE235" s="381"/>
      <c r="FF235" s="381"/>
      <c r="FG235" s="381"/>
      <c r="FH235" s="381"/>
      <c r="FI235" s="381"/>
      <c r="FJ235" s="381"/>
      <c r="FK235" s="381"/>
      <c r="FL235" s="381"/>
      <c r="FM235" s="381"/>
      <c r="FN235" s="381"/>
      <c r="FO235" s="381"/>
      <c r="FP235" s="381"/>
      <c r="FQ235" s="381"/>
      <c r="FR235" s="381"/>
      <c r="FS235" s="381"/>
      <c r="FT235" s="381"/>
      <c r="FU235" s="381"/>
      <c r="FV235" s="381"/>
      <c r="FW235" s="381"/>
      <c r="FX235" s="381"/>
      <c r="FY235" s="381"/>
      <c r="FZ235" s="381"/>
      <c r="GA235" s="381"/>
      <c r="GB235" s="381"/>
      <c r="GC235" s="381"/>
      <c r="GD235" s="381"/>
      <c r="GE235" s="381"/>
      <c r="GF235" s="381"/>
      <c r="GG235" s="381"/>
      <c r="GH235" s="381"/>
      <c r="GI235" s="381"/>
      <c r="GJ235" s="381"/>
      <c r="GK235" s="381"/>
      <c r="GL235" s="381"/>
      <c r="GM235" s="381"/>
      <c r="GN235" s="381"/>
      <c r="GO235" s="381"/>
      <c r="GP235" s="381"/>
      <c r="GQ235" s="381"/>
      <c r="GR235" s="381"/>
      <c r="GS235" s="381"/>
      <c r="GT235" s="381"/>
      <c r="GU235" s="381"/>
      <c r="GV235" s="381"/>
      <c r="GW235" s="381"/>
      <c r="GX235" s="381"/>
      <c r="GY235" s="381"/>
      <c r="GZ235" s="381"/>
      <c r="HA235" s="381"/>
      <c r="HB235" s="381"/>
      <c r="HC235" s="381"/>
      <c r="HD235" s="381"/>
      <c r="HE235" s="381"/>
      <c r="HF235" s="381"/>
      <c r="HG235" s="381"/>
      <c r="HH235" s="381"/>
      <c r="HI235" s="381"/>
      <c r="HJ235" s="381"/>
      <c r="HK235" s="381"/>
      <c r="HL235" s="381"/>
      <c r="HM235" s="381"/>
      <c r="HN235" s="381"/>
      <c r="HO235" s="381"/>
      <c r="HP235" s="381"/>
      <c r="HQ235" s="381"/>
      <c r="HR235" s="381"/>
      <c r="HS235" s="381"/>
      <c r="HT235" s="381"/>
      <c r="HU235" s="381"/>
      <c r="HV235" s="381"/>
      <c r="HW235" s="381"/>
      <c r="HX235" s="381"/>
      <c r="HY235" s="381"/>
      <c r="HZ235" s="381"/>
      <c r="IA235" s="381"/>
      <c r="IB235" s="381"/>
      <c r="IC235" s="381"/>
      <c r="ID235" s="381"/>
      <c r="IE235" s="381"/>
      <c r="IF235" s="381"/>
      <c r="IG235" s="381"/>
      <c r="IH235" s="381"/>
      <c r="II235" s="381"/>
      <c r="IJ235" s="381"/>
      <c r="IK235" s="381"/>
      <c r="IL235" s="381"/>
      <c r="IM235" s="381"/>
      <c r="IN235" s="381"/>
      <c r="IO235" s="381"/>
      <c r="IP235" s="381"/>
      <c r="IQ235" s="381"/>
      <c r="IR235" s="381"/>
      <c r="IS235" s="381"/>
      <c r="IT235" s="381"/>
      <c r="IU235" s="381"/>
      <c r="IV235" s="381"/>
      <c r="IW235" s="381"/>
      <c r="IX235" s="381"/>
      <c r="IY235" s="381"/>
      <c r="IZ235" s="381"/>
      <c r="JA235" s="381"/>
      <c r="JB235" s="381"/>
      <c r="JC235" s="381"/>
      <c r="JD235" s="381"/>
      <c r="JE235" s="381"/>
      <c r="JF235" s="381"/>
      <c r="JG235" s="277"/>
      <c r="JH235" s="381"/>
      <c r="JI235" s="381"/>
      <c r="JJ235" s="381"/>
      <c r="JK235" s="381"/>
      <c r="JL235" s="381"/>
      <c r="JM235" s="381"/>
      <c r="JN235" s="381"/>
      <c r="JO235" s="381"/>
      <c r="JP235" s="381"/>
      <c r="JQ235" s="381"/>
      <c r="JR235" s="381"/>
      <c r="JS235" s="381"/>
      <c r="JT235" s="381"/>
      <c r="JU235" s="381"/>
      <c r="JV235" s="381"/>
      <c r="JW235" s="381"/>
      <c r="JX235" s="381"/>
      <c r="JY235" s="381"/>
      <c r="JZ235" s="381"/>
      <c r="KA235" s="381"/>
      <c r="KB235" s="277"/>
    </row>
    <row r="236" spans="2:288" ht="15" customHeight="1" x14ac:dyDescent="0.25">
      <c r="B236" s="216" t="str">
        <f t="shared" si="22"/>
        <v>Desk 20</v>
      </c>
      <c r="C236" s="218" t="str">
        <v/>
      </c>
      <c r="D236" s="218" t="str">
        <v/>
      </c>
      <c r="E236" s="218" t="str">
        <v/>
      </c>
      <c r="F236" s="218" t="str">
        <v/>
      </c>
      <c r="G236" s="402" t="str">
        <v/>
      </c>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381"/>
      <c r="DG236" s="381"/>
      <c r="DH236" s="381"/>
      <c r="DI236" s="381"/>
      <c r="DJ236" s="381"/>
      <c r="DK236" s="381"/>
      <c r="DL236" s="381"/>
      <c r="DM236" s="381"/>
      <c r="DN236" s="381"/>
      <c r="DO236" s="381"/>
      <c r="DP236" s="381"/>
      <c r="DQ236" s="381"/>
      <c r="DR236" s="381"/>
      <c r="DS236" s="381"/>
      <c r="DT236" s="381"/>
      <c r="DU236" s="381"/>
      <c r="DV236" s="381"/>
      <c r="DW236" s="277"/>
      <c r="DX236" s="381"/>
      <c r="DY236" s="381"/>
      <c r="DZ236" s="381"/>
      <c r="EA236" s="381"/>
      <c r="EB236" s="381"/>
      <c r="EC236" s="381"/>
      <c r="ED236" s="381"/>
      <c r="EE236" s="381"/>
      <c r="EF236" s="381"/>
      <c r="EG236" s="381"/>
      <c r="EH236" s="381"/>
      <c r="EI236" s="381"/>
      <c r="EJ236" s="381"/>
      <c r="EK236" s="381"/>
      <c r="EL236" s="381"/>
      <c r="EM236" s="381"/>
      <c r="EN236" s="381"/>
      <c r="EO236" s="381"/>
      <c r="EP236" s="381"/>
      <c r="EQ236" s="381"/>
      <c r="ER236" s="277"/>
      <c r="ES236" s="381"/>
      <c r="ET236" s="381"/>
      <c r="EU236" s="381"/>
      <c r="EV236" s="381"/>
      <c r="EW236" s="381"/>
      <c r="EX236" s="381"/>
      <c r="EY236" s="381"/>
      <c r="EZ236" s="381"/>
      <c r="FA236" s="381"/>
      <c r="FB236" s="381"/>
      <c r="FC236" s="381"/>
      <c r="FD236" s="381"/>
      <c r="FE236" s="381"/>
      <c r="FF236" s="381"/>
      <c r="FG236" s="381"/>
      <c r="FH236" s="381"/>
      <c r="FI236" s="381"/>
      <c r="FJ236" s="381"/>
      <c r="FK236" s="381"/>
      <c r="FL236" s="381"/>
      <c r="FM236" s="381"/>
      <c r="FN236" s="381"/>
      <c r="FO236" s="381"/>
      <c r="FP236" s="381"/>
      <c r="FQ236" s="381"/>
      <c r="FR236" s="381"/>
      <c r="FS236" s="381"/>
      <c r="FT236" s="381"/>
      <c r="FU236" s="381"/>
      <c r="FV236" s="381"/>
      <c r="FW236" s="381"/>
      <c r="FX236" s="381"/>
      <c r="FY236" s="381"/>
      <c r="FZ236" s="381"/>
      <c r="GA236" s="381"/>
      <c r="GB236" s="381"/>
      <c r="GC236" s="381"/>
      <c r="GD236" s="381"/>
      <c r="GE236" s="381"/>
      <c r="GF236" s="381"/>
      <c r="GG236" s="381"/>
      <c r="GH236" s="381"/>
      <c r="GI236" s="381"/>
      <c r="GJ236" s="381"/>
      <c r="GK236" s="381"/>
      <c r="GL236" s="381"/>
      <c r="GM236" s="381"/>
      <c r="GN236" s="381"/>
      <c r="GO236" s="381"/>
      <c r="GP236" s="381"/>
      <c r="GQ236" s="381"/>
      <c r="GR236" s="381"/>
      <c r="GS236" s="381"/>
      <c r="GT236" s="381"/>
      <c r="GU236" s="381"/>
      <c r="GV236" s="381"/>
      <c r="GW236" s="381"/>
      <c r="GX236" s="381"/>
      <c r="GY236" s="381"/>
      <c r="GZ236" s="381"/>
      <c r="HA236" s="381"/>
      <c r="HB236" s="381"/>
      <c r="HC236" s="381"/>
      <c r="HD236" s="381"/>
      <c r="HE236" s="381"/>
      <c r="HF236" s="381"/>
      <c r="HG236" s="381"/>
      <c r="HH236" s="381"/>
      <c r="HI236" s="381"/>
      <c r="HJ236" s="381"/>
      <c r="HK236" s="381"/>
      <c r="HL236" s="381"/>
      <c r="HM236" s="381"/>
      <c r="HN236" s="381"/>
      <c r="HO236" s="381"/>
      <c r="HP236" s="381"/>
      <c r="HQ236" s="381"/>
      <c r="HR236" s="381"/>
      <c r="HS236" s="381"/>
      <c r="HT236" s="381"/>
      <c r="HU236" s="381"/>
      <c r="HV236" s="381"/>
      <c r="HW236" s="381"/>
      <c r="HX236" s="381"/>
      <c r="HY236" s="381"/>
      <c r="HZ236" s="381"/>
      <c r="IA236" s="381"/>
      <c r="IB236" s="381"/>
      <c r="IC236" s="381"/>
      <c r="ID236" s="381"/>
      <c r="IE236" s="381"/>
      <c r="IF236" s="381"/>
      <c r="IG236" s="381"/>
      <c r="IH236" s="381"/>
      <c r="II236" s="381"/>
      <c r="IJ236" s="381"/>
      <c r="IK236" s="381"/>
      <c r="IL236" s="381"/>
      <c r="IM236" s="381"/>
      <c r="IN236" s="381"/>
      <c r="IO236" s="381"/>
      <c r="IP236" s="381"/>
      <c r="IQ236" s="381"/>
      <c r="IR236" s="381"/>
      <c r="IS236" s="381"/>
      <c r="IT236" s="381"/>
      <c r="IU236" s="381"/>
      <c r="IV236" s="381"/>
      <c r="IW236" s="381"/>
      <c r="IX236" s="381"/>
      <c r="IY236" s="381"/>
      <c r="IZ236" s="381"/>
      <c r="JA236" s="381"/>
      <c r="JB236" s="381"/>
      <c r="JC236" s="381"/>
      <c r="JD236" s="381"/>
      <c r="JE236" s="381"/>
      <c r="JF236" s="381"/>
      <c r="JG236" s="277"/>
      <c r="JH236" s="381"/>
      <c r="JI236" s="381"/>
      <c r="JJ236" s="381"/>
      <c r="JK236" s="381"/>
      <c r="JL236" s="381"/>
      <c r="JM236" s="381"/>
      <c r="JN236" s="381"/>
      <c r="JO236" s="381"/>
      <c r="JP236" s="381"/>
      <c r="JQ236" s="381"/>
      <c r="JR236" s="381"/>
      <c r="JS236" s="381"/>
      <c r="JT236" s="381"/>
      <c r="JU236" s="381"/>
      <c r="JV236" s="381"/>
      <c r="JW236" s="381"/>
      <c r="JX236" s="381"/>
      <c r="JY236" s="381"/>
      <c r="JZ236" s="381"/>
      <c r="KA236" s="381"/>
      <c r="KB236" s="277"/>
    </row>
    <row r="237" spans="2:288" ht="15" customHeight="1" x14ac:dyDescent="0.25">
      <c r="B237" s="216" t="str">
        <f t="shared" si="22"/>
        <v>Desk 21</v>
      </c>
      <c r="C237" s="218" t="str">
        <v/>
      </c>
      <c r="D237" s="218" t="str">
        <v/>
      </c>
      <c r="E237" s="218" t="str">
        <v/>
      </c>
      <c r="F237" s="218" t="str">
        <v/>
      </c>
      <c r="G237" s="402" t="str">
        <v/>
      </c>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c r="AG237" s="381"/>
      <c r="AH237" s="381"/>
      <c r="AI237" s="381"/>
      <c r="AJ237" s="381"/>
      <c r="AK237" s="381"/>
      <c r="AL237" s="381"/>
      <c r="AM237" s="381"/>
      <c r="AN237" s="381"/>
      <c r="AO237" s="381"/>
      <c r="AP237" s="381"/>
      <c r="AQ237" s="381"/>
      <c r="AR237" s="381"/>
      <c r="AS237" s="381"/>
      <c r="AT237" s="381"/>
      <c r="AU237" s="381"/>
      <c r="AV237" s="381"/>
      <c r="AW237" s="381"/>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381"/>
      <c r="DG237" s="381"/>
      <c r="DH237" s="381"/>
      <c r="DI237" s="381"/>
      <c r="DJ237" s="381"/>
      <c r="DK237" s="381"/>
      <c r="DL237" s="381"/>
      <c r="DM237" s="381"/>
      <c r="DN237" s="381"/>
      <c r="DO237" s="381"/>
      <c r="DP237" s="381"/>
      <c r="DQ237" s="381"/>
      <c r="DR237" s="381"/>
      <c r="DS237" s="381"/>
      <c r="DT237" s="381"/>
      <c r="DU237" s="381"/>
      <c r="DV237" s="381"/>
      <c r="DW237" s="277"/>
      <c r="DX237" s="381"/>
      <c r="DY237" s="381"/>
      <c r="DZ237" s="381"/>
      <c r="EA237" s="381"/>
      <c r="EB237" s="381"/>
      <c r="EC237" s="381"/>
      <c r="ED237" s="381"/>
      <c r="EE237" s="381"/>
      <c r="EF237" s="381"/>
      <c r="EG237" s="381"/>
      <c r="EH237" s="381"/>
      <c r="EI237" s="381"/>
      <c r="EJ237" s="381"/>
      <c r="EK237" s="381"/>
      <c r="EL237" s="381"/>
      <c r="EM237" s="381"/>
      <c r="EN237" s="381"/>
      <c r="EO237" s="381"/>
      <c r="EP237" s="381"/>
      <c r="EQ237" s="381"/>
      <c r="ER237" s="277"/>
      <c r="ES237" s="381"/>
      <c r="ET237" s="381"/>
      <c r="EU237" s="381"/>
      <c r="EV237" s="381"/>
      <c r="EW237" s="381"/>
      <c r="EX237" s="381"/>
      <c r="EY237" s="381"/>
      <c r="EZ237" s="381"/>
      <c r="FA237" s="381"/>
      <c r="FB237" s="381"/>
      <c r="FC237" s="381"/>
      <c r="FD237" s="381"/>
      <c r="FE237" s="381"/>
      <c r="FF237" s="381"/>
      <c r="FG237" s="381"/>
      <c r="FH237" s="381"/>
      <c r="FI237" s="381"/>
      <c r="FJ237" s="381"/>
      <c r="FK237" s="381"/>
      <c r="FL237" s="381"/>
      <c r="FM237" s="381"/>
      <c r="FN237" s="381"/>
      <c r="FO237" s="381"/>
      <c r="FP237" s="381"/>
      <c r="FQ237" s="381"/>
      <c r="FR237" s="381"/>
      <c r="FS237" s="381"/>
      <c r="FT237" s="381"/>
      <c r="FU237" s="381"/>
      <c r="FV237" s="381"/>
      <c r="FW237" s="381"/>
      <c r="FX237" s="381"/>
      <c r="FY237" s="381"/>
      <c r="FZ237" s="381"/>
      <c r="GA237" s="381"/>
      <c r="GB237" s="381"/>
      <c r="GC237" s="381"/>
      <c r="GD237" s="381"/>
      <c r="GE237" s="381"/>
      <c r="GF237" s="381"/>
      <c r="GG237" s="381"/>
      <c r="GH237" s="381"/>
      <c r="GI237" s="381"/>
      <c r="GJ237" s="381"/>
      <c r="GK237" s="381"/>
      <c r="GL237" s="381"/>
      <c r="GM237" s="381"/>
      <c r="GN237" s="381"/>
      <c r="GO237" s="381"/>
      <c r="GP237" s="381"/>
      <c r="GQ237" s="381"/>
      <c r="GR237" s="381"/>
      <c r="GS237" s="381"/>
      <c r="GT237" s="381"/>
      <c r="GU237" s="381"/>
      <c r="GV237" s="381"/>
      <c r="GW237" s="381"/>
      <c r="GX237" s="381"/>
      <c r="GY237" s="381"/>
      <c r="GZ237" s="381"/>
      <c r="HA237" s="381"/>
      <c r="HB237" s="381"/>
      <c r="HC237" s="381"/>
      <c r="HD237" s="381"/>
      <c r="HE237" s="381"/>
      <c r="HF237" s="381"/>
      <c r="HG237" s="381"/>
      <c r="HH237" s="381"/>
      <c r="HI237" s="381"/>
      <c r="HJ237" s="381"/>
      <c r="HK237" s="381"/>
      <c r="HL237" s="381"/>
      <c r="HM237" s="381"/>
      <c r="HN237" s="381"/>
      <c r="HO237" s="381"/>
      <c r="HP237" s="381"/>
      <c r="HQ237" s="381"/>
      <c r="HR237" s="381"/>
      <c r="HS237" s="381"/>
      <c r="HT237" s="381"/>
      <c r="HU237" s="381"/>
      <c r="HV237" s="381"/>
      <c r="HW237" s="381"/>
      <c r="HX237" s="381"/>
      <c r="HY237" s="381"/>
      <c r="HZ237" s="381"/>
      <c r="IA237" s="381"/>
      <c r="IB237" s="381"/>
      <c r="IC237" s="381"/>
      <c r="ID237" s="381"/>
      <c r="IE237" s="381"/>
      <c r="IF237" s="381"/>
      <c r="IG237" s="381"/>
      <c r="IH237" s="381"/>
      <c r="II237" s="381"/>
      <c r="IJ237" s="381"/>
      <c r="IK237" s="381"/>
      <c r="IL237" s="381"/>
      <c r="IM237" s="381"/>
      <c r="IN237" s="381"/>
      <c r="IO237" s="381"/>
      <c r="IP237" s="381"/>
      <c r="IQ237" s="381"/>
      <c r="IR237" s="381"/>
      <c r="IS237" s="381"/>
      <c r="IT237" s="381"/>
      <c r="IU237" s="381"/>
      <c r="IV237" s="381"/>
      <c r="IW237" s="381"/>
      <c r="IX237" s="381"/>
      <c r="IY237" s="381"/>
      <c r="IZ237" s="381"/>
      <c r="JA237" s="381"/>
      <c r="JB237" s="381"/>
      <c r="JC237" s="381"/>
      <c r="JD237" s="381"/>
      <c r="JE237" s="381"/>
      <c r="JF237" s="381"/>
      <c r="JG237" s="277"/>
      <c r="JH237" s="381"/>
      <c r="JI237" s="381"/>
      <c r="JJ237" s="381"/>
      <c r="JK237" s="381"/>
      <c r="JL237" s="381"/>
      <c r="JM237" s="381"/>
      <c r="JN237" s="381"/>
      <c r="JO237" s="381"/>
      <c r="JP237" s="381"/>
      <c r="JQ237" s="381"/>
      <c r="JR237" s="381"/>
      <c r="JS237" s="381"/>
      <c r="JT237" s="381"/>
      <c r="JU237" s="381"/>
      <c r="JV237" s="381"/>
      <c r="JW237" s="381"/>
      <c r="JX237" s="381"/>
      <c r="JY237" s="381"/>
      <c r="JZ237" s="381"/>
      <c r="KA237" s="381"/>
      <c r="KB237" s="277"/>
    </row>
    <row r="238" spans="2:288" ht="15" customHeight="1" x14ac:dyDescent="0.25">
      <c r="B238" s="216" t="str">
        <f t="shared" si="22"/>
        <v>Desk 22</v>
      </c>
      <c r="C238" s="218" t="str">
        <v/>
      </c>
      <c r="D238" s="218" t="str">
        <v/>
      </c>
      <c r="E238" s="218" t="str">
        <v/>
      </c>
      <c r="F238" s="218" t="str">
        <v/>
      </c>
      <c r="G238" s="402" t="str">
        <v/>
      </c>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c r="AD238" s="381"/>
      <c r="AE238" s="381"/>
      <c r="AF238" s="381"/>
      <c r="AG238" s="381"/>
      <c r="AH238" s="381"/>
      <c r="AI238" s="381"/>
      <c r="AJ238" s="381"/>
      <c r="AK238" s="381"/>
      <c r="AL238" s="381"/>
      <c r="AM238" s="381"/>
      <c r="AN238" s="381"/>
      <c r="AO238" s="381"/>
      <c r="AP238" s="381"/>
      <c r="AQ238" s="381"/>
      <c r="AR238" s="381"/>
      <c r="AS238" s="381"/>
      <c r="AT238" s="381"/>
      <c r="AU238" s="381"/>
      <c r="AV238" s="381"/>
      <c r="AW238" s="381"/>
      <c r="AX238" s="381"/>
      <c r="AY238" s="381"/>
      <c r="AZ238" s="381"/>
      <c r="BA238" s="381"/>
      <c r="BB238" s="381"/>
      <c r="BC238" s="381"/>
      <c r="BD238" s="381"/>
      <c r="BE238" s="381"/>
      <c r="BF238" s="381"/>
      <c r="BG238" s="381"/>
      <c r="BH238" s="381"/>
      <c r="BI238" s="381"/>
      <c r="BJ238" s="381"/>
      <c r="BK238" s="381"/>
      <c r="BL238" s="381"/>
      <c r="BM238" s="381"/>
      <c r="BN238" s="381"/>
      <c r="BO238" s="381"/>
      <c r="BP238" s="381"/>
      <c r="BQ238" s="381"/>
      <c r="BR238" s="381"/>
      <c r="BS238" s="381"/>
      <c r="BT238" s="381"/>
      <c r="BU238" s="381"/>
      <c r="BV238" s="381"/>
      <c r="BW238" s="381"/>
      <c r="BX238" s="381"/>
      <c r="BY238" s="381"/>
      <c r="BZ238" s="381"/>
      <c r="CA238" s="381"/>
      <c r="CB238" s="381"/>
      <c r="CC238" s="381"/>
      <c r="CD238" s="381"/>
      <c r="CE238" s="381"/>
      <c r="CF238" s="381"/>
      <c r="CG238" s="381"/>
      <c r="CH238" s="381"/>
      <c r="CI238" s="381"/>
      <c r="CJ238" s="381"/>
      <c r="CK238" s="381"/>
      <c r="CL238" s="381"/>
      <c r="CM238" s="381"/>
      <c r="CN238" s="381"/>
      <c r="CO238" s="381"/>
      <c r="CP238" s="381"/>
      <c r="CQ238" s="381"/>
      <c r="CR238" s="381"/>
      <c r="CS238" s="381"/>
      <c r="CT238" s="381"/>
      <c r="CU238" s="381"/>
      <c r="CV238" s="381"/>
      <c r="CW238" s="381"/>
      <c r="CX238" s="381"/>
      <c r="CY238" s="381"/>
      <c r="CZ238" s="381"/>
      <c r="DA238" s="381"/>
      <c r="DB238" s="381"/>
      <c r="DC238" s="381"/>
      <c r="DD238" s="381"/>
      <c r="DE238" s="381"/>
      <c r="DF238" s="381"/>
      <c r="DG238" s="381"/>
      <c r="DH238" s="381"/>
      <c r="DI238" s="381"/>
      <c r="DJ238" s="381"/>
      <c r="DK238" s="381"/>
      <c r="DL238" s="381"/>
      <c r="DM238" s="381"/>
      <c r="DN238" s="381"/>
      <c r="DO238" s="381"/>
      <c r="DP238" s="381"/>
      <c r="DQ238" s="381"/>
      <c r="DR238" s="381"/>
      <c r="DS238" s="381"/>
      <c r="DT238" s="381"/>
      <c r="DU238" s="381"/>
      <c r="DV238" s="381"/>
      <c r="DW238" s="277"/>
      <c r="DX238" s="381"/>
      <c r="DY238" s="381"/>
      <c r="DZ238" s="381"/>
      <c r="EA238" s="381"/>
      <c r="EB238" s="381"/>
      <c r="EC238" s="381"/>
      <c r="ED238" s="381"/>
      <c r="EE238" s="381"/>
      <c r="EF238" s="381"/>
      <c r="EG238" s="381"/>
      <c r="EH238" s="381"/>
      <c r="EI238" s="381"/>
      <c r="EJ238" s="381"/>
      <c r="EK238" s="381"/>
      <c r="EL238" s="381"/>
      <c r="EM238" s="381"/>
      <c r="EN238" s="381"/>
      <c r="EO238" s="381"/>
      <c r="EP238" s="381"/>
      <c r="EQ238" s="381"/>
      <c r="ER238" s="277"/>
      <c r="ES238" s="381"/>
      <c r="ET238" s="381"/>
      <c r="EU238" s="381"/>
      <c r="EV238" s="381"/>
      <c r="EW238" s="381"/>
      <c r="EX238" s="381"/>
      <c r="EY238" s="381"/>
      <c r="EZ238" s="381"/>
      <c r="FA238" s="381"/>
      <c r="FB238" s="381"/>
      <c r="FC238" s="381"/>
      <c r="FD238" s="381"/>
      <c r="FE238" s="381"/>
      <c r="FF238" s="381"/>
      <c r="FG238" s="381"/>
      <c r="FH238" s="381"/>
      <c r="FI238" s="381"/>
      <c r="FJ238" s="381"/>
      <c r="FK238" s="381"/>
      <c r="FL238" s="381"/>
      <c r="FM238" s="381"/>
      <c r="FN238" s="381"/>
      <c r="FO238" s="381"/>
      <c r="FP238" s="381"/>
      <c r="FQ238" s="381"/>
      <c r="FR238" s="381"/>
      <c r="FS238" s="381"/>
      <c r="FT238" s="381"/>
      <c r="FU238" s="381"/>
      <c r="FV238" s="381"/>
      <c r="FW238" s="381"/>
      <c r="FX238" s="381"/>
      <c r="FY238" s="381"/>
      <c r="FZ238" s="381"/>
      <c r="GA238" s="381"/>
      <c r="GB238" s="381"/>
      <c r="GC238" s="381"/>
      <c r="GD238" s="381"/>
      <c r="GE238" s="381"/>
      <c r="GF238" s="381"/>
      <c r="GG238" s="381"/>
      <c r="GH238" s="381"/>
      <c r="GI238" s="381"/>
      <c r="GJ238" s="381"/>
      <c r="GK238" s="381"/>
      <c r="GL238" s="381"/>
      <c r="GM238" s="381"/>
      <c r="GN238" s="381"/>
      <c r="GO238" s="381"/>
      <c r="GP238" s="381"/>
      <c r="GQ238" s="381"/>
      <c r="GR238" s="381"/>
      <c r="GS238" s="381"/>
      <c r="GT238" s="381"/>
      <c r="GU238" s="381"/>
      <c r="GV238" s="381"/>
      <c r="GW238" s="381"/>
      <c r="GX238" s="381"/>
      <c r="GY238" s="381"/>
      <c r="GZ238" s="381"/>
      <c r="HA238" s="381"/>
      <c r="HB238" s="381"/>
      <c r="HC238" s="381"/>
      <c r="HD238" s="381"/>
      <c r="HE238" s="381"/>
      <c r="HF238" s="381"/>
      <c r="HG238" s="381"/>
      <c r="HH238" s="381"/>
      <c r="HI238" s="381"/>
      <c r="HJ238" s="381"/>
      <c r="HK238" s="381"/>
      <c r="HL238" s="381"/>
      <c r="HM238" s="381"/>
      <c r="HN238" s="381"/>
      <c r="HO238" s="381"/>
      <c r="HP238" s="381"/>
      <c r="HQ238" s="381"/>
      <c r="HR238" s="381"/>
      <c r="HS238" s="381"/>
      <c r="HT238" s="381"/>
      <c r="HU238" s="381"/>
      <c r="HV238" s="381"/>
      <c r="HW238" s="381"/>
      <c r="HX238" s="381"/>
      <c r="HY238" s="381"/>
      <c r="HZ238" s="381"/>
      <c r="IA238" s="381"/>
      <c r="IB238" s="381"/>
      <c r="IC238" s="381"/>
      <c r="ID238" s="381"/>
      <c r="IE238" s="381"/>
      <c r="IF238" s="381"/>
      <c r="IG238" s="381"/>
      <c r="IH238" s="381"/>
      <c r="II238" s="381"/>
      <c r="IJ238" s="381"/>
      <c r="IK238" s="381"/>
      <c r="IL238" s="381"/>
      <c r="IM238" s="381"/>
      <c r="IN238" s="381"/>
      <c r="IO238" s="381"/>
      <c r="IP238" s="381"/>
      <c r="IQ238" s="381"/>
      <c r="IR238" s="381"/>
      <c r="IS238" s="381"/>
      <c r="IT238" s="381"/>
      <c r="IU238" s="381"/>
      <c r="IV238" s="381"/>
      <c r="IW238" s="381"/>
      <c r="IX238" s="381"/>
      <c r="IY238" s="381"/>
      <c r="IZ238" s="381"/>
      <c r="JA238" s="381"/>
      <c r="JB238" s="381"/>
      <c r="JC238" s="381"/>
      <c r="JD238" s="381"/>
      <c r="JE238" s="381"/>
      <c r="JF238" s="381"/>
      <c r="JG238" s="277"/>
      <c r="JH238" s="381"/>
      <c r="JI238" s="381"/>
      <c r="JJ238" s="381"/>
      <c r="JK238" s="381"/>
      <c r="JL238" s="381"/>
      <c r="JM238" s="381"/>
      <c r="JN238" s="381"/>
      <c r="JO238" s="381"/>
      <c r="JP238" s="381"/>
      <c r="JQ238" s="381"/>
      <c r="JR238" s="381"/>
      <c r="JS238" s="381"/>
      <c r="JT238" s="381"/>
      <c r="JU238" s="381"/>
      <c r="JV238" s="381"/>
      <c r="JW238" s="381"/>
      <c r="JX238" s="381"/>
      <c r="JY238" s="381"/>
      <c r="JZ238" s="381"/>
      <c r="KA238" s="381"/>
      <c r="KB238" s="277"/>
    </row>
    <row r="239" spans="2:288" ht="15" customHeight="1" x14ac:dyDescent="0.25">
      <c r="B239" s="216" t="str">
        <f t="shared" si="22"/>
        <v>Desk 23</v>
      </c>
      <c r="C239" s="218" t="str">
        <v/>
      </c>
      <c r="D239" s="218" t="str">
        <v/>
      </c>
      <c r="E239" s="218" t="str">
        <v/>
      </c>
      <c r="F239" s="218" t="str">
        <v/>
      </c>
      <c r="G239" s="402" t="str">
        <v/>
      </c>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1"/>
      <c r="AS239" s="381"/>
      <c r="AT239" s="381"/>
      <c r="AU239" s="381"/>
      <c r="AV239" s="381"/>
      <c r="AW239" s="381"/>
      <c r="AX239" s="381"/>
      <c r="AY239" s="381"/>
      <c r="AZ239" s="381"/>
      <c r="BA239" s="381"/>
      <c r="BB239" s="381"/>
      <c r="BC239" s="381"/>
      <c r="BD239" s="381"/>
      <c r="BE239" s="381"/>
      <c r="BF239" s="381"/>
      <c r="BG239" s="381"/>
      <c r="BH239" s="381"/>
      <c r="BI239" s="381"/>
      <c r="BJ239" s="381"/>
      <c r="BK239" s="381"/>
      <c r="BL239" s="381"/>
      <c r="BM239" s="381"/>
      <c r="BN239" s="381"/>
      <c r="BO239" s="381"/>
      <c r="BP239" s="381"/>
      <c r="BQ239" s="381"/>
      <c r="BR239" s="381"/>
      <c r="BS239" s="381"/>
      <c r="BT239" s="381"/>
      <c r="BU239" s="381"/>
      <c r="BV239" s="381"/>
      <c r="BW239" s="381"/>
      <c r="BX239" s="381"/>
      <c r="BY239" s="381"/>
      <c r="BZ239" s="381"/>
      <c r="CA239" s="381"/>
      <c r="CB239" s="381"/>
      <c r="CC239" s="381"/>
      <c r="CD239" s="381"/>
      <c r="CE239" s="381"/>
      <c r="CF239" s="381"/>
      <c r="CG239" s="381"/>
      <c r="CH239" s="381"/>
      <c r="CI239" s="381"/>
      <c r="CJ239" s="381"/>
      <c r="CK239" s="381"/>
      <c r="CL239" s="381"/>
      <c r="CM239" s="381"/>
      <c r="CN239" s="381"/>
      <c r="CO239" s="381"/>
      <c r="CP239" s="381"/>
      <c r="CQ239" s="381"/>
      <c r="CR239" s="381"/>
      <c r="CS239" s="381"/>
      <c r="CT239" s="381"/>
      <c r="CU239" s="381"/>
      <c r="CV239" s="381"/>
      <c r="CW239" s="381"/>
      <c r="CX239" s="381"/>
      <c r="CY239" s="381"/>
      <c r="CZ239" s="381"/>
      <c r="DA239" s="381"/>
      <c r="DB239" s="381"/>
      <c r="DC239" s="381"/>
      <c r="DD239" s="381"/>
      <c r="DE239" s="381"/>
      <c r="DF239" s="381"/>
      <c r="DG239" s="381"/>
      <c r="DH239" s="381"/>
      <c r="DI239" s="381"/>
      <c r="DJ239" s="381"/>
      <c r="DK239" s="381"/>
      <c r="DL239" s="381"/>
      <c r="DM239" s="381"/>
      <c r="DN239" s="381"/>
      <c r="DO239" s="381"/>
      <c r="DP239" s="381"/>
      <c r="DQ239" s="381"/>
      <c r="DR239" s="381"/>
      <c r="DS239" s="381"/>
      <c r="DT239" s="381"/>
      <c r="DU239" s="381"/>
      <c r="DV239" s="381"/>
      <c r="DW239" s="277"/>
      <c r="DX239" s="381"/>
      <c r="DY239" s="381"/>
      <c r="DZ239" s="381"/>
      <c r="EA239" s="381"/>
      <c r="EB239" s="381"/>
      <c r="EC239" s="381"/>
      <c r="ED239" s="381"/>
      <c r="EE239" s="381"/>
      <c r="EF239" s="381"/>
      <c r="EG239" s="381"/>
      <c r="EH239" s="381"/>
      <c r="EI239" s="381"/>
      <c r="EJ239" s="381"/>
      <c r="EK239" s="381"/>
      <c r="EL239" s="381"/>
      <c r="EM239" s="381"/>
      <c r="EN239" s="381"/>
      <c r="EO239" s="381"/>
      <c r="EP239" s="381"/>
      <c r="EQ239" s="381"/>
      <c r="ER239" s="277"/>
      <c r="ES239" s="381"/>
      <c r="ET239" s="381"/>
      <c r="EU239" s="381"/>
      <c r="EV239" s="381"/>
      <c r="EW239" s="381"/>
      <c r="EX239" s="381"/>
      <c r="EY239" s="381"/>
      <c r="EZ239" s="381"/>
      <c r="FA239" s="381"/>
      <c r="FB239" s="381"/>
      <c r="FC239" s="381"/>
      <c r="FD239" s="381"/>
      <c r="FE239" s="381"/>
      <c r="FF239" s="381"/>
      <c r="FG239" s="381"/>
      <c r="FH239" s="381"/>
      <c r="FI239" s="381"/>
      <c r="FJ239" s="381"/>
      <c r="FK239" s="381"/>
      <c r="FL239" s="381"/>
      <c r="FM239" s="381"/>
      <c r="FN239" s="381"/>
      <c r="FO239" s="381"/>
      <c r="FP239" s="381"/>
      <c r="FQ239" s="381"/>
      <c r="FR239" s="381"/>
      <c r="FS239" s="381"/>
      <c r="FT239" s="381"/>
      <c r="FU239" s="381"/>
      <c r="FV239" s="381"/>
      <c r="FW239" s="381"/>
      <c r="FX239" s="381"/>
      <c r="FY239" s="381"/>
      <c r="FZ239" s="381"/>
      <c r="GA239" s="381"/>
      <c r="GB239" s="381"/>
      <c r="GC239" s="381"/>
      <c r="GD239" s="381"/>
      <c r="GE239" s="381"/>
      <c r="GF239" s="381"/>
      <c r="GG239" s="381"/>
      <c r="GH239" s="381"/>
      <c r="GI239" s="381"/>
      <c r="GJ239" s="381"/>
      <c r="GK239" s="381"/>
      <c r="GL239" s="381"/>
      <c r="GM239" s="381"/>
      <c r="GN239" s="381"/>
      <c r="GO239" s="381"/>
      <c r="GP239" s="381"/>
      <c r="GQ239" s="381"/>
      <c r="GR239" s="381"/>
      <c r="GS239" s="381"/>
      <c r="GT239" s="381"/>
      <c r="GU239" s="381"/>
      <c r="GV239" s="381"/>
      <c r="GW239" s="381"/>
      <c r="GX239" s="381"/>
      <c r="GY239" s="381"/>
      <c r="GZ239" s="381"/>
      <c r="HA239" s="381"/>
      <c r="HB239" s="381"/>
      <c r="HC239" s="381"/>
      <c r="HD239" s="381"/>
      <c r="HE239" s="381"/>
      <c r="HF239" s="381"/>
      <c r="HG239" s="381"/>
      <c r="HH239" s="381"/>
      <c r="HI239" s="381"/>
      <c r="HJ239" s="381"/>
      <c r="HK239" s="381"/>
      <c r="HL239" s="381"/>
      <c r="HM239" s="381"/>
      <c r="HN239" s="381"/>
      <c r="HO239" s="381"/>
      <c r="HP239" s="381"/>
      <c r="HQ239" s="381"/>
      <c r="HR239" s="381"/>
      <c r="HS239" s="381"/>
      <c r="HT239" s="381"/>
      <c r="HU239" s="381"/>
      <c r="HV239" s="381"/>
      <c r="HW239" s="381"/>
      <c r="HX239" s="381"/>
      <c r="HY239" s="381"/>
      <c r="HZ239" s="381"/>
      <c r="IA239" s="381"/>
      <c r="IB239" s="381"/>
      <c r="IC239" s="381"/>
      <c r="ID239" s="381"/>
      <c r="IE239" s="381"/>
      <c r="IF239" s="381"/>
      <c r="IG239" s="381"/>
      <c r="IH239" s="381"/>
      <c r="II239" s="381"/>
      <c r="IJ239" s="381"/>
      <c r="IK239" s="381"/>
      <c r="IL239" s="381"/>
      <c r="IM239" s="381"/>
      <c r="IN239" s="381"/>
      <c r="IO239" s="381"/>
      <c r="IP239" s="381"/>
      <c r="IQ239" s="381"/>
      <c r="IR239" s="381"/>
      <c r="IS239" s="381"/>
      <c r="IT239" s="381"/>
      <c r="IU239" s="381"/>
      <c r="IV239" s="381"/>
      <c r="IW239" s="381"/>
      <c r="IX239" s="381"/>
      <c r="IY239" s="381"/>
      <c r="IZ239" s="381"/>
      <c r="JA239" s="381"/>
      <c r="JB239" s="381"/>
      <c r="JC239" s="381"/>
      <c r="JD239" s="381"/>
      <c r="JE239" s="381"/>
      <c r="JF239" s="381"/>
      <c r="JG239" s="277"/>
      <c r="JH239" s="381"/>
      <c r="JI239" s="381"/>
      <c r="JJ239" s="381"/>
      <c r="JK239" s="381"/>
      <c r="JL239" s="381"/>
      <c r="JM239" s="381"/>
      <c r="JN239" s="381"/>
      <c r="JO239" s="381"/>
      <c r="JP239" s="381"/>
      <c r="JQ239" s="381"/>
      <c r="JR239" s="381"/>
      <c r="JS239" s="381"/>
      <c r="JT239" s="381"/>
      <c r="JU239" s="381"/>
      <c r="JV239" s="381"/>
      <c r="JW239" s="381"/>
      <c r="JX239" s="381"/>
      <c r="JY239" s="381"/>
      <c r="JZ239" s="381"/>
      <c r="KA239" s="381"/>
      <c r="KB239" s="277"/>
    </row>
    <row r="240" spans="2:288" ht="15" customHeight="1" x14ac:dyDescent="0.25">
      <c r="B240" s="216" t="str">
        <f t="shared" si="22"/>
        <v>Desk 24</v>
      </c>
      <c r="C240" s="218" t="str">
        <v/>
      </c>
      <c r="D240" s="218" t="str">
        <v/>
      </c>
      <c r="E240" s="218" t="str">
        <v/>
      </c>
      <c r="F240" s="218" t="str">
        <v/>
      </c>
      <c r="G240" s="402" t="str">
        <v/>
      </c>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1"/>
      <c r="DU240" s="381"/>
      <c r="DV240" s="381"/>
      <c r="DW240" s="277"/>
      <c r="DX240" s="381"/>
      <c r="DY240" s="381"/>
      <c r="DZ240" s="381"/>
      <c r="EA240" s="381"/>
      <c r="EB240" s="381"/>
      <c r="EC240" s="381"/>
      <c r="ED240" s="381"/>
      <c r="EE240" s="381"/>
      <c r="EF240" s="381"/>
      <c r="EG240" s="381"/>
      <c r="EH240" s="381"/>
      <c r="EI240" s="381"/>
      <c r="EJ240" s="381"/>
      <c r="EK240" s="381"/>
      <c r="EL240" s="381"/>
      <c r="EM240" s="381"/>
      <c r="EN240" s="381"/>
      <c r="EO240" s="381"/>
      <c r="EP240" s="381"/>
      <c r="EQ240" s="381"/>
      <c r="ER240" s="277"/>
      <c r="ES240" s="381"/>
      <c r="ET240" s="381"/>
      <c r="EU240" s="381"/>
      <c r="EV240" s="381"/>
      <c r="EW240" s="381"/>
      <c r="EX240" s="381"/>
      <c r="EY240" s="381"/>
      <c r="EZ240" s="381"/>
      <c r="FA240" s="381"/>
      <c r="FB240" s="381"/>
      <c r="FC240" s="381"/>
      <c r="FD240" s="381"/>
      <c r="FE240" s="381"/>
      <c r="FF240" s="381"/>
      <c r="FG240" s="381"/>
      <c r="FH240" s="381"/>
      <c r="FI240" s="381"/>
      <c r="FJ240" s="381"/>
      <c r="FK240" s="381"/>
      <c r="FL240" s="381"/>
      <c r="FM240" s="381"/>
      <c r="FN240" s="381"/>
      <c r="FO240" s="381"/>
      <c r="FP240" s="381"/>
      <c r="FQ240" s="381"/>
      <c r="FR240" s="381"/>
      <c r="FS240" s="381"/>
      <c r="FT240" s="381"/>
      <c r="FU240" s="381"/>
      <c r="FV240" s="381"/>
      <c r="FW240" s="381"/>
      <c r="FX240" s="381"/>
      <c r="FY240" s="381"/>
      <c r="FZ240" s="381"/>
      <c r="GA240" s="381"/>
      <c r="GB240" s="381"/>
      <c r="GC240" s="381"/>
      <c r="GD240" s="381"/>
      <c r="GE240" s="381"/>
      <c r="GF240" s="381"/>
      <c r="GG240" s="381"/>
      <c r="GH240" s="381"/>
      <c r="GI240" s="381"/>
      <c r="GJ240" s="381"/>
      <c r="GK240" s="381"/>
      <c r="GL240" s="381"/>
      <c r="GM240" s="381"/>
      <c r="GN240" s="381"/>
      <c r="GO240" s="381"/>
      <c r="GP240" s="381"/>
      <c r="GQ240" s="381"/>
      <c r="GR240" s="381"/>
      <c r="GS240" s="381"/>
      <c r="GT240" s="381"/>
      <c r="GU240" s="381"/>
      <c r="GV240" s="381"/>
      <c r="GW240" s="381"/>
      <c r="GX240" s="381"/>
      <c r="GY240" s="381"/>
      <c r="GZ240" s="381"/>
      <c r="HA240" s="381"/>
      <c r="HB240" s="381"/>
      <c r="HC240" s="381"/>
      <c r="HD240" s="381"/>
      <c r="HE240" s="381"/>
      <c r="HF240" s="381"/>
      <c r="HG240" s="381"/>
      <c r="HH240" s="381"/>
      <c r="HI240" s="381"/>
      <c r="HJ240" s="381"/>
      <c r="HK240" s="381"/>
      <c r="HL240" s="381"/>
      <c r="HM240" s="381"/>
      <c r="HN240" s="381"/>
      <c r="HO240" s="381"/>
      <c r="HP240" s="381"/>
      <c r="HQ240" s="381"/>
      <c r="HR240" s="381"/>
      <c r="HS240" s="381"/>
      <c r="HT240" s="381"/>
      <c r="HU240" s="381"/>
      <c r="HV240" s="381"/>
      <c r="HW240" s="381"/>
      <c r="HX240" s="381"/>
      <c r="HY240" s="381"/>
      <c r="HZ240" s="381"/>
      <c r="IA240" s="381"/>
      <c r="IB240" s="381"/>
      <c r="IC240" s="381"/>
      <c r="ID240" s="381"/>
      <c r="IE240" s="381"/>
      <c r="IF240" s="381"/>
      <c r="IG240" s="381"/>
      <c r="IH240" s="381"/>
      <c r="II240" s="381"/>
      <c r="IJ240" s="381"/>
      <c r="IK240" s="381"/>
      <c r="IL240" s="381"/>
      <c r="IM240" s="381"/>
      <c r="IN240" s="381"/>
      <c r="IO240" s="381"/>
      <c r="IP240" s="381"/>
      <c r="IQ240" s="381"/>
      <c r="IR240" s="381"/>
      <c r="IS240" s="381"/>
      <c r="IT240" s="381"/>
      <c r="IU240" s="381"/>
      <c r="IV240" s="381"/>
      <c r="IW240" s="381"/>
      <c r="IX240" s="381"/>
      <c r="IY240" s="381"/>
      <c r="IZ240" s="381"/>
      <c r="JA240" s="381"/>
      <c r="JB240" s="381"/>
      <c r="JC240" s="381"/>
      <c r="JD240" s="381"/>
      <c r="JE240" s="381"/>
      <c r="JF240" s="381"/>
      <c r="JG240" s="277"/>
      <c r="JH240" s="381"/>
      <c r="JI240" s="381"/>
      <c r="JJ240" s="381"/>
      <c r="JK240" s="381"/>
      <c r="JL240" s="381"/>
      <c r="JM240" s="381"/>
      <c r="JN240" s="381"/>
      <c r="JO240" s="381"/>
      <c r="JP240" s="381"/>
      <c r="JQ240" s="381"/>
      <c r="JR240" s="381"/>
      <c r="JS240" s="381"/>
      <c r="JT240" s="381"/>
      <c r="JU240" s="381"/>
      <c r="JV240" s="381"/>
      <c r="JW240" s="381"/>
      <c r="JX240" s="381"/>
      <c r="JY240" s="381"/>
      <c r="JZ240" s="381"/>
      <c r="KA240" s="381"/>
      <c r="KB240" s="277"/>
    </row>
    <row r="241" spans="2:288" ht="15" customHeight="1" x14ac:dyDescent="0.25">
      <c r="B241" s="216" t="str">
        <f t="shared" si="22"/>
        <v>Desk 25</v>
      </c>
      <c r="C241" s="218" t="str">
        <v/>
      </c>
      <c r="D241" s="218" t="str">
        <v/>
      </c>
      <c r="E241" s="218" t="str">
        <v/>
      </c>
      <c r="F241" s="218" t="str">
        <v/>
      </c>
      <c r="G241" s="402" t="str">
        <v/>
      </c>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c r="AG241" s="381"/>
      <c r="AH241" s="381"/>
      <c r="AI241" s="381"/>
      <c r="AJ241" s="381"/>
      <c r="AK241" s="381"/>
      <c r="AL241" s="381"/>
      <c r="AM241" s="381"/>
      <c r="AN241" s="381"/>
      <c r="AO241" s="381"/>
      <c r="AP241" s="381"/>
      <c r="AQ241" s="381"/>
      <c r="AR241" s="381"/>
      <c r="AS241" s="381"/>
      <c r="AT241" s="381"/>
      <c r="AU241" s="381"/>
      <c r="AV241" s="381"/>
      <c r="AW241" s="381"/>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1"/>
      <c r="BZ241" s="381"/>
      <c r="CA241" s="381"/>
      <c r="CB241" s="381"/>
      <c r="CC241" s="381"/>
      <c r="CD241" s="381"/>
      <c r="CE241" s="381"/>
      <c r="CF241" s="381"/>
      <c r="CG241" s="381"/>
      <c r="CH241" s="381"/>
      <c r="CI241" s="381"/>
      <c r="CJ241" s="381"/>
      <c r="CK241" s="381"/>
      <c r="CL241" s="381"/>
      <c r="CM241" s="381"/>
      <c r="CN241" s="381"/>
      <c r="CO241" s="381"/>
      <c r="CP241" s="381"/>
      <c r="CQ241" s="381"/>
      <c r="CR241" s="381"/>
      <c r="CS241" s="381"/>
      <c r="CT241" s="381"/>
      <c r="CU241" s="381"/>
      <c r="CV241" s="381"/>
      <c r="CW241" s="381"/>
      <c r="CX241" s="381"/>
      <c r="CY241" s="381"/>
      <c r="CZ241" s="381"/>
      <c r="DA241" s="381"/>
      <c r="DB241" s="381"/>
      <c r="DC241" s="381"/>
      <c r="DD241" s="381"/>
      <c r="DE241" s="381"/>
      <c r="DF241" s="381"/>
      <c r="DG241" s="381"/>
      <c r="DH241" s="381"/>
      <c r="DI241" s="381"/>
      <c r="DJ241" s="381"/>
      <c r="DK241" s="381"/>
      <c r="DL241" s="381"/>
      <c r="DM241" s="381"/>
      <c r="DN241" s="381"/>
      <c r="DO241" s="381"/>
      <c r="DP241" s="381"/>
      <c r="DQ241" s="381"/>
      <c r="DR241" s="381"/>
      <c r="DS241" s="381"/>
      <c r="DT241" s="381"/>
      <c r="DU241" s="381"/>
      <c r="DV241" s="381"/>
      <c r="DW241" s="277"/>
      <c r="DX241" s="381"/>
      <c r="DY241" s="381"/>
      <c r="DZ241" s="381"/>
      <c r="EA241" s="381"/>
      <c r="EB241" s="381"/>
      <c r="EC241" s="381"/>
      <c r="ED241" s="381"/>
      <c r="EE241" s="381"/>
      <c r="EF241" s="381"/>
      <c r="EG241" s="381"/>
      <c r="EH241" s="381"/>
      <c r="EI241" s="381"/>
      <c r="EJ241" s="381"/>
      <c r="EK241" s="381"/>
      <c r="EL241" s="381"/>
      <c r="EM241" s="381"/>
      <c r="EN241" s="381"/>
      <c r="EO241" s="381"/>
      <c r="EP241" s="381"/>
      <c r="EQ241" s="381"/>
      <c r="ER241" s="277"/>
      <c r="ES241" s="381"/>
      <c r="ET241" s="381"/>
      <c r="EU241" s="381"/>
      <c r="EV241" s="381"/>
      <c r="EW241" s="381"/>
      <c r="EX241" s="381"/>
      <c r="EY241" s="381"/>
      <c r="EZ241" s="381"/>
      <c r="FA241" s="381"/>
      <c r="FB241" s="381"/>
      <c r="FC241" s="381"/>
      <c r="FD241" s="381"/>
      <c r="FE241" s="381"/>
      <c r="FF241" s="381"/>
      <c r="FG241" s="381"/>
      <c r="FH241" s="381"/>
      <c r="FI241" s="381"/>
      <c r="FJ241" s="381"/>
      <c r="FK241" s="381"/>
      <c r="FL241" s="381"/>
      <c r="FM241" s="381"/>
      <c r="FN241" s="381"/>
      <c r="FO241" s="381"/>
      <c r="FP241" s="381"/>
      <c r="FQ241" s="381"/>
      <c r="FR241" s="381"/>
      <c r="FS241" s="381"/>
      <c r="FT241" s="381"/>
      <c r="FU241" s="381"/>
      <c r="FV241" s="381"/>
      <c r="FW241" s="381"/>
      <c r="FX241" s="381"/>
      <c r="FY241" s="381"/>
      <c r="FZ241" s="381"/>
      <c r="GA241" s="381"/>
      <c r="GB241" s="381"/>
      <c r="GC241" s="381"/>
      <c r="GD241" s="381"/>
      <c r="GE241" s="381"/>
      <c r="GF241" s="381"/>
      <c r="GG241" s="381"/>
      <c r="GH241" s="381"/>
      <c r="GI241" s="381"/>
      <c r="GJ241" s="381"/>
      <c r="GK241" s="381"/>
      <c r="GL241" s="381"/>
      <c r="GM241" s="381"/>
      <c r="GN241" s="381"/>
      <c r="GO241" s="381"/>
      <c r="GP241" s="381"/>
      <c r="GQ241" s="381"/>
      <c r="GR241" s="381"/>
      <c r="GS241" s="381"/>
      <c r="GT241" s="381"/>
      <c r="GU241" s="381"/>
      <c r="GV241" s="381"/>
      <c r="GW241" s="381"/>
      <c r="GX241" s="381"/>
      <c r="GY241" s="381"/>
      <c r="GZ241" s="381"/>
      <c r="HA241" s="381"/>
      <c r="HB241" s="381"/>
      <c r="HC241" s="381"/>
      <c r="HD241" s="381"/>
      <c r="HE241" s="381"/>
      <c r="HF241" s="381"/>
      <c r="HG241" s="381"/>
      <c r="HH241" s="381"/>
      <c r="HI241" s="381"/>
      <c r="HJ241" s="381"/>
      <c r="HK241" s="381"/>
      <c r="HL241" s="381"/>
      <c r="HM241" s="381"/>
      <c r="HN241" s="381"/>
      <c r="HO241" s="381"/>
      <c r="HP241" s="381"/>
      <c r="HQ241" s="381"/>
      <c r="HR241" s="381"/>
      <c r="HS241" s="381"/>
      <c r="HT241" s="381"/>
      <c r="HU241" s="381"/>
      <c r="HV241" s="381"/>
      <c r="HW241" s="381"/>
      <c r="HX241" s="381"/>
      <c r="HY241" s="381"/>
      <c r="HZ241" s="381"/>
      <c r="IA241" s="381"/>
      <c r="IB241" s="381"/>
      <c r="IC241" s="381"/>
      <c r="ID241" s="381"/>
      <c r="IE241" s="381"/>
      <c r="IF241" s="381"/>
      <c r="IG241" s="381"/>
      <c r="IH241" s="381"/>
      <c r="II241" s="381"/>
      <c r="IJ241" s="381"/>
      <c r="IK241" s="381"/>
      <c r="IL241" s="381"/>
      <c r="IM241" s="381"/>
      <c r="IN241" s="381"/>
      <c r="IO241" s="381"/>
      <c r="IP241" s="381"/>
      <c r="IQ241" s="381"/>
      <c r="IR241" s="381"/>
      <c r="IS241" s="381"/>
      <c r="IT241" s="381"/>
      <c r="IU241" s="381"/>
      <c r="IV241" s="381"/>
      <c r="IW241" s="381"/>
      <c r="IX241" s="381"/>
      <c r="IY241" s="381"/>
      <c r="IZ241" s="381"/>
      <c r="JA241" s="381"/>
      <c r="JB241" s="381"/>
      <c r="JC241" s="381"/>
      <c r="JD241" s="381"/>
      <c r="JE241" s="381"/>
      <c r="JF241" s="381"/>
      <c r="JG241" s="277"/>
      <c r="JH241" s="381"/>
      <c r="JI241" s="381"/>
      <c r="JJ241" s="381"/>
      <c r="JK241" s="381"/>
      <c r="JL241" s="381"/>
      <c r="JM241" s="381"/>
      <c r="JN241" s="381"/>
      <c r="JO241" s="381"/>
      <c r="JP241" s="381"/>
      <c r="JQ241" s="381"/>
      <c r="JR241" s="381"/>
      <c r="JS241" s="381"/>
      <c r="JT241" s="381"/>
      <c r="JU241" s="381"/>
      <c r="JV241" s="381"/>
      <c r="JW241" s="381"/>
      <c r="JX241" s="381"/>
      <c r="JY241" s="381"/>
      <c r="JZ241" s="381"/>
      <c r="KA241" s="381"/>
      <c r="KB241" s="277"/>
    </row>
    <row r="242" spans="2:288" ht="15" customHeight="1" x14ac:dyDescent="0.25">
      <c r="B242" s="216" t="str">
        <f t="shared" si="22"/>
        <v>Desk 26</v>
      </c>
      <c r="C242" s="218" t="str">
        <v/>
      </c>
      <c r="D242" s="218" t="str">
        <v/>
      </c>
      <c r="E242" s="218" t="str">
        <v/>
      </c>
      <c r="F242" s="218" t="str">
        <v/>
      </c>
      <c r="G242" s="402" t="str">
        <v/>
      </c>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c r="AG242" s="381"/>
      <c r="AH242" s="381"/>
      <c r="AI242" s="381"/>
      <c r="AJ242" s="381"/>
      <c r="AK242" s="381"/>
      <c r="AL242" s="381"/>
      <c r="AM242" s="381"/>
      <c r="AN242" s="381"/>
      <c r="AO242" s="381"/>
      <c r="AP242" s="381"/>
      <c r="AQ242" s="381"/>
      <c r="AR242" s="381"/>
      <c r="AS242" s="381"/>
      <c r="AT242" s="381"/>
      <c r="AU242" s="381"/>
      <c r="AV242" s="381"/>
      <c r="AW242" s="381"/>
      <c r="AX242" s="381"/>
      <c r="AY242" s="381"/>
      <c r="AZ242" s="381"/>
      <c r="BA242" s="381"/>
      <c r="BB242" s="381"/>
      <c r="BC242" s="381"/>
      <c r="BD242" s="381"/>
      <c r="BE242" s="381"/>
      <c r="BF242" s="381"/>
      <c r="BG242" s="381"/>
      <c r="BH242" s="381"/>
      <c r="BI242" s="381"/>
      <c r="BJ242" s="381"/>
      <c r="BK242" s="381"/>
      <c r="BL242" s="381"/>
      <c r="BM242" s="381"/>
      <c r="BN242" s="381"/>
      <c r="BO242" s="381"/>
      <c r="BP242" s="381"/>
      <c r="BQ242" s="381"/>
      <c r="BR242" s="381"/>
      <c r="BS242" s="381"/>
      <c r="BT242" s="381"/>
      <c r="BU242" s="381"/>
      <c r="BV242" s="381"/>
      <c r="BW242" s="381"/>
      <c r="BX242" s="381"/>
      <c r="BY242" s="381"/>
      <c r="BZ242" s="381"/>
      <c r="CA242" s="381"/>
      <c r="CB242" s="381"/>
      <c r="CC242" s="381"/>
      <c r="CD242" s="381"/>
      <c r="CE242" s="381"/>
      <c r="CF242" s="381"/>
      <c r="CG242" s="381"/>
      <c r="CH242" s="381"/>
      <c r="CI242" s="381"/>
      <c r="CJ242" s="381"/>
      <c r="CK242" s="381"/>
      <c r="CL242" s="381"/>
      <c r="CM242" s="381"/>
      <c r="CN242" s="381"/>
      <c r="CO242" s="381"/>
      <c r="CP242" s="381"/>
      <c r="CQ242" s="381"/>
      <c r="CR242" s="381"/>
      <c r="CS242" s="381"/>
      <c r="CT242" s="381"/>
      <c r="CU242" s="381"/>
      <c r="CV242" s="381"/>
      <c r="CW242" s="381"/>
      <c r="CX242" s="381"/>
      <c r="CY242" s="381"/>
      <c r="CZ242" s="381"/>
      <c r="DA242" s="381"/>
      <c r="DB242" s="381"/>
      <c r="DC242" s="381"/>
      <c r="DD242" s="381"/>
      <c r="DE242" s="381"/>
      <c r="DF242" s="381"/>
      <c r="DG242" s="381"/>
      <c r="DH242" s="381"/>
      <c r="DI242" s="381"/>
      <c r="DJ242" s="381"/>
      <c r="DK242" s="381"/>
      <c r="DL242" s="381"/>
      <c r="DM242" s="381"/>
      <c r="DN242" s="381"/>
      <c r="DO242" s="381"/>
      <c r="DP242" s="381"/>
      <c r="DQ242" s="381"/>
      <c r="DR242" s="381"/>
      <c r="DS242" s="381"/>
      <c r="DT242" s="381"/>
      <c r="DU242" s="381"/>
      <c r="DV242" s="381"/>
      <c r="DW242" s="277"/>
      <c r="DX242" s="381"/>
      <c r="DY242" s="381"/>
      <c r="DZ242" s="381"/>
      <c r="EA242" s="381"/>
      <c r="EB242" s="381"/>
      <c r="EC242" s="381"/>
      <c r="ED242" s="381"/>
      <c r="EE242" s="381"/>
      <c r="EF242" s="381"/>
      <c r="EG242" s="381"/>
      <c r="EH242" s="381"/>
      <c r="EI242" s="381"/>
      <c r="EJ242" s="381"/>
      <c r="EK242" s="381"/>
      <c r="EL242" s="381"/>
      <c r="EM242" s="381"/>
      <c r="EN242" s="381"/>
      <c r="EO242" s="381"/>
      <c r="EP242" s="381"/>
      <c r="EQ242" s="381"/>
      <c r="ER242" s="277"/>
      <c r="ES242" s="381"/>
      <c r="ET242" s="381"/>
      <c r="EU242" s="381"/>
      <c r="EV242" s="381"/>
      <c r="EW242" s="381"/>
      <c r="EX242" s="381"/>
      <c r="EY242" s="381"/>
      <c r="EZ242" s="381"/>
      <c r="FA242" s="381"/>
      <c r="FB242" s="381"/>
      <c r="FC242" s="381"/>
      <c r="FD242" s="381"/>
      <c r="FE242" s="381"/>
      <c r="FF242" s="381"/>
      <c r="FG242" s="381"/>
      <c r="FH242" s="381"/>
      <c r="FI242" s="381"/>
      <c r="FJ242" s="381"/>
      <c r="FK242" s="381"/>
      <c r="FL242" s="381"/>
      <c r="FM242" s="381"/>
      <c r="FN242" s="381"/>
      <c r="FO242" s="381"/>
      <c r="FP242" s="381"/>
      <c r="FQ242" s="381"/>
      <c r="FR242" s="381"/>
      <c r="FS242" s="381"/>
      <c r="FT242" s="381"/>
      <c r="FU242" s="381"/>
      <c r="FV242" s="381"/>
      <c r="FW242" s="381"/>
      <c r="FX242" s="381"/>
      <c r="FY242" s="381"/>
      <c r="FZ242" s="381"/>
      <c r="GA242" s="381"/>
      <c r="GB242" s="381"/>
      <c r="GC242" s="381"/>
      <c r="GD242" s="381"/>
      <c r="GE242" s="381"/>
      <c r="GF242" s="381"/>
      <c r="GG242" s="381"/>
      <c r="GH242" s="381"/>
      <c r="GI242" s="381"/>
      <c r="GJ242" s="381"/>
      <c r="GK242" s="381"/>
      <c r="GL242" s="381"/>
      <c r="GM242" s="381"/>
      <c r="GN242" s="381"/>
      <c r="GO242" s="381"/>
      <c r="GP242" s="381"/>
      <c r="GQ242" s="381"/>
      <c r="GR242" s="381"/>
      <c r="GS242" s="381"/>
      <c r="GT242" s="381"/>
      <c r="GU242" s="381"/>
      <c r="GV242" s="381"/>
      <c r="GW242" s="381"/>
      <c r="GX242" s="381"/>
      <c r="GY242" s="381"/>
      <c r="GZ242" s="381"/>
      <c r="HA242" s="381"/>
      <c r="HB242" s="381"/>
      <c r="HC242" s="381"/>
      <c r="HD242" s="381"/>
      <c r="HE242" s="381"/>
      <c r="HF242" s="381"/>
      <c r="HG242" s="381"/>
      <c r="HH242" s="381"/>
      <c r="HI242" s="381"/>
      <c r="HJ242" s="381"/>
      <c r="HK242" s="381"/>
      <c r="HL242" s="381"/>
      <c r="HM242" s="381"/>
      <c r="HN242" s="381"/>
      <c r="HO242" s="381"/>
      <c r="HP242" s="381"/>
      <c r="HQ242" s="381"/>
      <c r="HR242" s="381"/>
      <c r="HS242" s="381"/>
      <c r="HT242" s="381"/>
      <c r="HU242" s="381"/>
      <c r="HV242" s="381"/>
      <c r="HW242" s="381"/>
      <c r="HX242" s="381"/>
      <c r="HY242" s="381"/>
      <c r="HZ242" s="381"/>
      <c r="IA242" s="381"/>
      <c r="IB242" s="381"/>
      <c r="IC242" s="381"/>
      <c r="ID242" s="381"/>
      <c r="IE242" s="381"/>
      <c r="IF242" s="381"/>
      <c r="IG242" s="381"/>
      <c r="IH242" s="381"/>
      <c r="II242" s="381"/>
      <c r="IJ242" s="381"/>
      <c r="IK242" s="381"/>
      <c r="IL242" s="381"/>
      <c r="IM242" s="381"/>
      <c r="IN242" s="381"/>
      <c r="IO242" s="381"/>
      <c r="IP242" s="381"/>
      <c r="IQ242" s="381"/>
      <c r="IR242" s="381"/>
      <c r="IS242" s="381"/>
      <c r="IT242" s="381"/>
      <c r="IU242" s="381"/>
      <c r="IV242" s="381"/>
      <c r="IW242" s="381"/>
      <c r="IX242" s="381"/>
      <c r="IY242" s="381"/>
      <c r="IZ242" s="381"/>
      <c r="JA242" s="381"/>
      <c r="JB242" s="381"/>
      <c r="JC242" s="381"/>
      <c r="JD242" s="381"/>
      <c r="JE242" s="381"/>
      <c r="JF242" s="381"/>
      <c r="JG242" s="277"/>
      <c r="JH242" s="381"/>
      <c r="JI242" s="381"/>
      <c r="JJ242" s="381"/>
      <c r="JK242" s="381"/>
      <c r="JL242" s="381"/>
      <c r="JM242" s="381"/>
      <c r="JN242" s="381"/>
      <c r="JO242" s="381"/>
      <c r="JP242" s="381"/>
      <c r="JQ242" s="381"/>
      <c r="JR242" s="381"/>
      <c r="JS242" s="381"/>
      <c r="JT242" s="381"/>
      <c r="JU242" s="381"/>
      <c r="JV242" s="381"/>
      <c r="JW242" s="381"/>
      <c r="JX242" s="381"/>
      <c r="JY242" s="381"/>
      <c r="JZ242" s="381"/>
      <c r="KA242" s="381"/>
      <c r="KB242" s="277"/>
    </row>
    <row r="243" spans="2:288" ht="15" customHeight="1" x14ac:dyDescent="0.25">
      <c r="B243" s="216" t="str">
        <f t="shared" si="22"/>
        <v>Desk 27</v>
      </c>
      <c r="C243" s="218" t="str">
        <v/>
      </c>
      <c r="D243" s="218" t="str">
        <v/>
      </c>
      <c r="E243" s="218" t="str">
        <v/>
      </c>
      <c r="F243" s="218" t="str">
        <v/>
      </c>
      <c r="G243" s="402" t="str">
        <v/>
      </c>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c r="AW243" s="381"/>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1"/>
      <c r="BZ243" s="381"/>
      <c r="CA243" s="381"/>
      <c r="CB243" s="381"/>
      <c r="CC243" s="381"/>
      <c r="CD243" s="381"/>
      <c r="CE243" s="381"/>
      <c r="CF243" s="381"/>
      <c r="CG243" s="381"/>
      <c r="CH243" s="381"/>
      <c r="CI243" s="381"/>
      <c r="CJ243" s="381"/>
      <c r="CK243" s="381"/>
      <c r="CL243" s="381"/>
      <c r="CM243" s="381"/>
      <c r="CN243" s="381"/>
      <c r="CO243" s="381"/>
      <c r="CP243" s="381"/>
      <c r="CQ243" s="381"/>
      <c r="CR243" s="381"/>
      <c r="CS243" s="381"/>
      <c r="CT243" s="381"/>
      <c r="CU243" s="381"/>
      <c r="CV243" s="381"/>
      <c r="CW243" s="381"/>
      <c r="CX243" s="381"/>
      <c r="CY243" s="381"/>
      <c r="CZ243" s="381"/>
      <c r="DA243" s="381"/>
      <c r="DB243" s="381"/>
      <c r="DC243" s="381"/>
      <c r="DD243" s="381"/>
      <c r="DE243" s="381"/>
      <c r="DF243" s="381"/>
      <c r="DG243" s="381"/>
      <c r="DH243" s="381"/>
      <c r="DI243" s="381"/>
      <c r="DJ243" s="381"/>
      <c r="DK243" s="381"/>
      <c r="DL243" s="381"/>
      <c r="DM243" s="381"/>
      <c r="DN243" s="381"/>
      <c r="DO243" s="381"/>
      <c r="DP243" s="381"/>
      <c r="DQ243" s="381"/>
      <c r="DR243" s="381"/>
      <c r="DS243" s="381"/>
      <c r="DT243" s="381"/>
      <c r="DU243" s="381"/>
      <c r="DV243" s="381"/>
      <c r="DW243" s="277"/>
      <c r="DX243" s="381"/>
      <c r="DY243" s="381"/>
      <c r="DZ243" s="381"/>
      <c r="EA243" s="381"/>
      <c r="EB243" s="381"/>
      <c r="EC243" s="381"/>
      <c r="ED243" s="381"/>
      <c r="EE243" s="381"/>
      <c r="EF243" s="381"/>
      <c r="EG243" s="381"/>
      <c r="EH243" s="381"/>
      <c r="EI243" s="381"/>
      <c r="EJ243" s="381"/>
      <c r="EK243" s="381"/>
      <c r="EL243" s="381"/>
      <c r="EM243" s="381"/>
      <c r="EN243" s="381"/>
      <c r="EO243" s="381"/>
      <c r="EP243" s="381"/>
      <c r="EQ243" s="381"/>
      <c r="ER243" s="277"/>
      <c r="ES243" s="381"/>
      <c r="ET243" s="381"/>
      <c r="EU243" s="381"/>
      <c r="EV243" s="381"/>
      <c r="EW243" s="381"/>
      <c r="EX243" s="381"/>
      <c r="EY243" s="381"/>
      <c r="EZ243" s="381"/>
      <c r="FA243" s="381"/>
      <c r="FB243" s="381"/>
      <c r="FC243" s="381"/>
      <c r="FD243" s="381"/>
      <c r="FE243" s="381"/>
      <c r="FF243" s="381"/>
      <c r="FG243" s="381"/>
      <c r="FH243" s="381"/>
      <c r="FI243" s="381"/>
      <c r="FJ243" s="381"/>
      <c r="FK243" s="381"/>
      <c r="FL243" s="381"/>
      <c r="FM243" s="381"/>
      <c r="FN243" s="381"/>
      <c r="FO243" s="381"/>
      <c r="FP243" s="381"/>
      <c r="FQ243" s="381"/>
      <c r="FR243" s="381"/>
      <c r="FS243" s="381"/>
      <c r="FT243" s="381"/>
      <c r="FU243" s="381"/>
      <c r="FV243" s="381"/>
      <c r="FW243" s="381"/>
      <c r="FX243" s="381"/>
      <c r="FY243" s="381"/>
      <c r="FZ243" s="381"/>
      <c r="GA243" s="381"/>
      <c r="GB243" s="381"/>
      <c r="GC243" s="381"/>
      <c r="GD243" s="381"/>
      <c r="GE243" s="381"/>
      <c r="GF243" s="381"/>
      <c r="GG243" s="381"/>
      <c r="GH243" s="381"/>
      <c r="GI243" s="381"/>
      <c r="GJ243" s="381"/>
      <c r="GK243" s="381"/>
      <c r="GL243" s="381"/>
      <c r="GM243" s="381"/>
      <c r="GN243" s="381"/>
      <c r="GO243" s="381"/>
      <c r="GP243" s="381"/>
      <c r="GQ243" s="381"/>
      <c r="GR243" s="381"/>
      <c r="GS243" s="381"/>
      <c r="GT243" s="381"/>
      <c r="GU243" s="381"/>
      <c r="GV243" s="381"/>
      <c r="GW243" s="381"/>
      <c r="GX243" s="381"/>
      <c r="GY243" s="381"/>
      <c r="GZ243" s="381"/>
      <c r="HA243" s="381"/>
      <c r="HB243" s="381"/>
      <c r="HC243" s="381"/>
      <c r="HD243" s="381"/>
      <c r="HE243" s="381"/>
      <c r="HF243" s="381"/>
      <c r="HG243" s="381"/>
      <c r="HH243" s="381"/>
      <c r="HI243" s="381"/>
      <c r="HJ243" s="381"/>
      <c r="HK243" s="381"/>
      <c r="HL243" s="381"/>
      <c r="HM243" s="381"/>
      <c r="HN243" s="381"/>
      <c r="HO243" s="381"/>
      <c r="HP243" s="381"/>
      <c r="HQ243" s="381"/>
      <c r="HR243" s="381"/>
      <c r="HS243" s="381"/>
      <c r="HT243" s="381"/>
      <c r="HU243" s="381"/>
      <c r="HV243" s="381"/>
      <c r="HW243" s="381"/>
      <c r="HX243" s="381"/>
      <c r="HY243" s="381"/>
      <c r="HZ243" s="381"/>
      <c r="IA243" s="381"/>
      <c r="IB243" s="381"/>
      <c r="IC243" s="381"/>
      <c r="ID243" s="381"/>
      <c r="IE243" s="381"/>
      <c r="IF243" s="381"/>
      <c r="IG243" s="381"/>
      <c r="IH243" s="381"/>
      <c r="II243" s="381"/>
      <c r="IJ243" s="381"/>
      <c r="IK243" s="381"/>
      <c r="IL243" s="381"/>
      <c r="IM243" s="381"/>
      <c r="IN243" s="381"/>
      <c r="IO243" s="381"/>
      <c r="IP243" s="381"/>
      <c r="IQ243" s="381"/>
      <c r="IR243" s="381"/>
      <c r="IS243" s="381"/>
      <c r="IT243" s="381"/>
      <c r="IU243" s="381"/>
      <c r="IV243" s="381"/>
      <c r="IW243" s="381"/>
      <c r="IX243" s="381"/>
      <c r="IY243" s="381"/>
      <c r="IZ243" s="381"/>
      <c r="JA243" s="381"/>
      <c r="JB243" s="381"/>
      <c r="JC243" s="381"/>
      <c r="JD243" s="381"/>
      <c r="JE243" s="381"/>
      <c r="JF243" s="381"/>
      <c r="JG243" s="277"/>
      <c r="JH243" s="381"/>
      <c r="JI243" s="381"/>
      <c r="JJ243" s="381"/>
      <c r="JK243" s="381"/>
      <c r="JL243" s="381"/>
      <c r="JM243" s="381"/>
      <c r="JN243" s="381"/>
      <c r="JO243" s="381"/>
      <c r="JP243" s="381"/>
      <c r="JQ243" s="381"/>
      <c r="JR243" s="381"/>
      <c r="JS243" s="381"/>
      <c r="JT243" s="381"/>
      <c r="JU243" s="381"/>
      <c r="JV243" s="381"/>
      <c r="JW243" s="381"/>
      <c r="JX243" s="381"/>
      <c r="JY243" s="381"/>
      <c r="JZ243" s="381"/>
      <c r="KA243" s="381"/>
      <c r="KB243" s="277"/>
    </row>
    <row r="244" spans="2:288" ht="15" customHeight="1" x14ac:dyDescent="0.25">
      <c r="B244" s="216" t="str">
        <f t="shared" si="22"/>
        <v>Desk 28</v>
      </c>
      <c r="C244" s="218" t="str">
        <v/>
      </c>
      <c r="D244" s="218" t="str">
        <v/>
      </c>
      <c r="E244" s="218" t="str">
        <v/>
      </c>
      <c r="F244" s="218" t="str">
        <v/>
      </c>
      <c r="G244" s="402" t="str">
        <v/>
      </c>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381"/>
      <c r="AV244" s="381"/>
      <c r="AW244" s="381"/>
      <c r="AX244" s="381"/>
      <c r="AY244" s="381"/>
      <c r="AZ244" s="381"/>
      <c r="BA244" s="381"/>
      <c r="BB244" s="381"/>
      <c r="BC244" s="381"/>
      <c r="BD244" s="381"/>
      <c r="BE244" s="381"/>
      <c r="BF244" s="381"/>
      <c r="BG244" s="381"/>
      <c r="BH244" s="381"/>
      <c r="BI244" s="381"/>
      <c r="BJ244" s="381"/>
      <c r="BK244" s="381"/>
      <c r="BL244" s="381"/>
      <c r="BM244" s="381"/>
      <c r="BN244" s="381"/>
      <c r="BO244" s="381"/>
      <c r="BP244" s="381"/>
      <c r="BQ244" s="381"/>
      <c r="BR244" s="381"/>
      <c r="BS244" s="381"/>
      <c r="BT244" s="381"/>
      <c r="BU244" s="381"/>
      <c r="BV244" s="381"/>
      <c r="BW244" s="381"/>
      <c r="BX244" s="381"/>
      <c r="BY244" s="381"/>
      <c r="BZ244" s="381"/>
      <c r="CA244" s="381"/>
      <c r="CB244" s="381"/>
      <c r="CC244" s="381"/>
      <c r="CD244" s="381"/>
      <c r="CE244" s="381"/>
      <c r="CF244" s="381"/>
      <c r="CG244" s="381"/>
      <c r="CH244" s="381"/>
      <c r="CI244" s="381"/>
      <c r="CJ244" s="381"/>
      <c r="CK244" s="381"/>
      <c r="CL244" s="381"/>
      <c r="CM244" s="381"/>
      <c r="CN244" s="381"/>
      <c r="CO244" s="381"/>
      <c r="CP244" s="381"/>
      <c r="CQ244" s="381"/>
      <c r="CR244" s="381"/>
      <c r="CS244" s="381"/>
      <c r="CT244" s="381"/>
      <c r="CU244" s="381"/>
      <c r="CV244" s="381"/>
      <c r="CW244" s="381"/>
      <c r="CX244" s="381"/>
      <c r="CY244" s="381"/>
      <c r="CZ244" s="381"/>
      <c r="DA244" s="381"/>
      <c r="DB244" s="381"/>
      <c r="DC244" s="381"/>
      <c r="DD244" s="381"/>
      <c r="DE244" s="381"/>
      <c r="DF244" s="381"/>
      <c r="DG244" s="381"/>
      <c r="DH244" s="381"/>
      <c r="DI244" s="381"/>
      <c r="DJ244" s="381"/>
      <c r="DK244" s="381"/>
      <c r="DL244" s="381"/>
      <c r="DM244" s="381"/>
      <c r="DN244" s="381"/>
      <c r="DO244" s="381"/>
      <c r="DP244" s="381"/>
      <c r="DQ244" s="381"/>
      <c r="DR244" s="381"/>
      <c r="DS244" s="381"/>
      <c r="DT244" s="381"/>
      <c r="DU244" s="381"/>
      <c r="DV244" s="381"/>
      <c r="DW244" s="277"/>
      <c r="DX244" s="381"/>
      <c r="DY244" s="381"/>
      <c r="DZ244" s="381"/>
      <c r="EA244" s="381"/>
      <c r="EB244" s="381"/>
      <c r="EC244" s="381"/>
      <c r="ED244" s="381"/>
      <c r="EE244" s="381"/>
      <c r="EF244" s="381"/>
      <c r="EG244" s="381"/>
      <c r="EH244" s="381"/>
      <c r="EI244" s="381"/>
      <c r="EJ244" s="381"/>
      <c r="EK244" s="381"/>
      <c r="EL244" s="381"/>
      <c r="EM244" s="381"/>
      <c r="EN244" s="381"/>
      <c r="EO244" s="381"/>
      <c r="EP244" s="381"/>
      <c r="EQ244" s="381"/>
      <c r="ER244" s="277"/>
      <c r="ES244" s="381"/>
      <c r="ET244" s="381"/>
      <c r="EU244" s="381"/>
      <c r="EV244" s="381"/>
      <c r="EW244" s="381"/>
      <c r="EX244" s="381"/>
      <c r="EY244" s="381"/>
      <c r="EZ244" s="381"/>
      <c r="FA244" s="381"/>
      <c r="FB244" s="381"/>
      <c r="FC244" s="381"/>
      <c r="FD244" s="381"/>
      <c r="FE244" s="381"/>
      <c r="FF244" s="381"/>
      <c r="FG244" s="381"/>
      <c r="FH244" s="381"/>
      <c r="FI244" s="381"/>
      <c r="FJ244" s="381"/>
      <c r="FK244" s="381"/>
      <c r="FL244" s="381"/>
      <c r="FM244" s="381"/>
      <c r="FN244" s="381"/>
      <c r="FO244" s="381"/>
      <c r="FP244" s="381"/>
      <c r="FQ244" s="381"/>
      <c r="FR244" s="381"/>
      <c r="FS244" s="381"/>
      <c r="FT244" s="381"/>
      <c r="FU244" s="381"/>
      <c r="FV244" s="381"/>
      <c r="FW244" s="381"/>
      <c r="FX244" s="381"/>
      <c r="FY244" s="381"/>
      <c r="FZ244" s="381"/>
      <c r="GA244" s="381"/>
      <c r="GB244" s="381"/>
      <c r="GC244" s="381"/>
      <c r="GD244" s="381"/>
      <c r="GE244" s="381"/>
      <c r="GF244" s="381"/>
      <c r="GG244" s="381"/>
      <c r="GH244" s="381"/>
      <c r="GI244" s="381"/>
      <c r="GJ244" s="381"/>
      <c r="GK244" s="381"/>
      <c r="GL244" s="381"/>
      <c r="GM244" s="381"/>
      <c r="GN244" s="381"/>
      <c r="GO244" s="381"/>
      <c r="GP244" s="381"/>
      <c r="GQ244" s="381"/>
      <c r="GR244" s="381"/>
      <c r="GS244" s="381"/>
      <c r="GT244" s="381"/>
      <c r="GU244" s="381"/>
      <c r="GV244" s="381"/>
      <c r="GW244" s="381"/>
      <c r="GX244" s="381"/>
      <c r="GY244" s="381"/>
      <c r="GZ244" s="381"/>
      <c r="HA244" s="381"/>
      <c r="HB244" s="381"/>
      <c r="HC244" s="381"/>
      <c r="HD244" s="381"/>
      <c r="HE244" s="381"/>
      <c r="HF244" s="381"/>
      <c r="HG244" s="381"/>
      <c r="HH244" s="381"/>
      <c r="HI244" s="381"/>
      <c r="HJ244" s="381"/>
      <c r="HK244" s="381"/>
      <c r="HL244" s="381"/>
      <c r="HM244" s="381"/>
      <c r="HN244" s="381"/>
      <c r="HO244" s="381"/>
      <c r="HP244" s="381"/>
      <c r="HQ244" s="381"/>
      <c r="HR244" s="381"/>
      <c r="HS244" s="381"/>
      <c r="HT244" s="381"/>
      <c r="HU244" s="381"/>
      <c r="HV244" s="381"/>
      <c r="HW244" s="381"/>
      <c r="HX244" s="381"/>
      <c r="HY244" s="381"/>
      <c r="HZ244" s="381"/>
      <c r="IA244" s="381"/>
      <c r="IB244" s="381"/>
      <c r="IC244" s="381"/>
      <c r="ID244" s="381"/>
      <c r="IE244" s="381"/>
      <c r="IF244" s="381"/>
      <c r="IG244" s="381"/>
      <c r="IH244" s="381"/>
      <c r="II244" s="381"/>
      <c r="IJ244" s="381"/>
      <c r="IK244" s="381"/>
      <c r="IL244" s="381"/>
      <c r="IM244" s="381"/>
      <c r="IN244" s="381"/>
      <c r="IO244" s="381"/>
      <c r="IP244" s="381"/>
      <c r="IQ244" s="381"/>
      <c r="IR244" s="381"/>
      <c r="IS244" s="381"/>
      <c r="IT244" s="381"/>
      <c r="IU244" s="381"/>
      <c r="IV244" s="381"/>
      <c r="IW244" s="381"/>
      <c r="IX244" s="381"/>
      <c r="IY244" s="381"/>
      <c r="IZ244" s="381"/>
      <c r="JA244" s="381"/>
      <c r="JB244" s="381"/>
      <c r="JC244" s="381"/>
      <c r="JD244" s="381"/>
      <c r="JE244" s="381"/>
      <c r="JF244" s="381"/>
      <c r="JG244" s="277"/>
      <c r="JH244" s="381"/>
      <c r="JI244" s="381"/>
      <c r="JJ244" s="381"/>
      <c r="JK244" s="381"/>
      <c r="JL244" s="381"/>
      <c r="JM244" s="381"/>
      <c r="JN244" s="381"/>
      <c r="JO244" s="381"/>
      <c r="JP244" s="381"/>
      <c r="JQ244" s="381"/>
      <c r="JR244" s="381"/>
      <c r="JS244" s="381"/>
      <c r="JT244" s="381"/>
      <c r="JU244" s="381"/>
      <c r="JV244" s="381"/>
      <c r="JW244" s="381"/>
      <c r="JX244" s="381"/>
      <c r="JY244" s="381"/>
      <c r="JZ244" s="381"/>
      <c r="KA244" s="381"/>
      <c r="KB244" s="277"/>
    </row>
    <row r="245" spans="2:288" ht="15" customHeight="1" x14ac:dyDescent="0.25">
      <c r="B245" s="216" t="str">
        <f t="shared" si="22"/>
        <v>Desk 29</v>
      </c>
      <c r="C245" s="218" t="str">
        <v/>
      </c>
      <c r="D245" s="218" t="str">
        <v/>
      </c>
      <c r="E245" s="218" t="str">
        <v/>
      </c>
      <c r="F245" s="218" t="str">
        <v/>
      </c>
      <c r="G245" s="402" t="str">
        <v/>
      </c>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c r="AG245" s="381"/>
      <c r="AH245" s="381"/>
      <c r="AI245" s="381"/>
      <c r="AJ245" s="381"/>
      <c r="AK245" s="381"/>
      <c r="AL245" s="381"/>
      <c r="AM245" s="381"/>
      <c r="AN245" s="381"/>
      <c r="AO245" s="381"/>
      <c r="AP245" s="381"/>
      <c r="AQ245" s="381"/>
      <c r="AR245" s="381"/>
      <c r="AS245" s="381"/>
      <c r="AT245" s="381"/>
      <c r="AU245" s="381"/>
      <c r="AV245" s="381"/>
      <c r="AW245" s="381"/>
      <c r="AX245" s="381"/>
      <c r="AY245" s="381"/>
      <c r="AZ245" s="381"/>
      <c r="BA245" s="381"/>
      <c r="BB245" s="381"/>
      <c r="BC245" s="381"/>
      <c r="BD245" s="381"/>
      <c r="BE245" s="381"/>
      <c r="BF245" s="381"/>
      <c r="BG245" s="381"/>
      <c r="BH245" s="381"/>
      <c r="BI245" s="381"/>
      <c r="BJ245" s="381"/>
      <c r="BK245" s="381"/>
      <c r="BL245" s="381"/>
      <c r="BM245" s="381"/>
      <c r="BN245" s="381"/>
      <c r="BO245" s="381"/>
      <c r="BP245" s="381"/>
      <c r="BQ245" s="381"/>
      <c r="BR245" s="381"/>
      <c r="BS245" s="381"/>
      <c r="BT245" s="381"/>
      <c r="BU245" s="381"/>
      <c r="BV245" s="381"/>
      <c r="BW245" s="381"/>
      <c r="BX245" s="381"/>
      <c r="BY245" s="381"/>
      <c r="BZ245" s="381"/>
      <c r="CA245" s="381"/>
      <c r="CB245" s="381"/>
      <c r="CC245" s="381"/>
      <c r="CD245" s="381"/>
      <c r="CE245" s="381"/>
      <c r="CF245" s="381"/>
      <c r="CG245" s="381"/>
      <c r="CH245" s="381"/>
      <c r="CI245" s="381"/>
      <c r="CJ245" s="381"/>
      <c r="CK245" s="381"/>
      <c r="CL245" s="381"/>
      <c r="CM245" s="381"/>
      <c r="CN245" s="381"/>
      <c r="CO245" s="381"/>
      <c r="CP245" s="381"/>
      <c r="CQ245" s="381"/>
      <c r="CR245" s="381"/>
      <c r="CS245" s="381"/>
      <c r="CT245" s="381"/>
      <c r="CU245" s="381"/>
      <c r="CV245" s="381"/>
      <c r="CW245" s="381"/>
      <c r="CX245" s="381"/>
      <c r="CY245" s="381"/>
      <c r="CZ245" s="381"/>
      <c r="DA245" s="381"/>
      <c r="DB245" s="381"/>
      <c r="DC245" s="381"/>
      <c r="DD245" s="381"/>
      <c r="DE245" s="381"/>
      <c r="DF245" s="381"/>
      <c r="DG245" s="381"/>
      <c r="DH245" s="381"/>
      <c r="DI245" s="381"/>
      <c r="DJ245" s="381"/>
      <c r="DK245" s="381"/>
      <c r="DL245" s="381"/>
      <c r="DM245" s="381"/>
      <c r="DN245" s="381"/>
      <c r="DO245" s="381"/>
      <c r="DP245" s="381"/>
      <c r="DQ245" s="381"/>
      <c r="DR245" s="381"/>
      <c r="DS245" s="381"/>
      <c r="DT245" s="381"/>
      <c r="DU245" s="381"/>
      <c r="DV245" s="381"/>
      <c r="DW245" s="277"/>
      <c r="DX245" s="381"/>
      <c r="DY245" s="381"/>
      <c r="DZ245" s="381"/>
      <c r="EA245" s="381"/>
      <c r="EB245" s="381"/>
      <c r="EC245" s="381"/>
      <c r="ED245" s="381"/>
      <c r="EE245" s="381"/>
      <c r="EF245" s="381"/>
      <c r="EG245" s="381"/>
      <c r="EH245" s="381"/>
      <c r="EI245" s="381"/>
      <c r="EJ245" s="381"/>
      <c r="EK245" s="381"/>
      <c r="EL245" s="381"/>
      <c r="EM245" s="381"/>
      <c r="EN245" s="381"/>
      <c r="EO245" s="381"/>
      <c r="EP245" s="381"/>
      <c r="EQ245" s="381"/>
      <c r="ER245" s="277"/>
      <c r="ES245" s="381"/>
      <c r="ET245" s="381"/>
      <c r="EU245" s="381"/>
      <c r="EV245" s="381"/>
      <c r="EW245" s="381"/>
      <c r="EX245" s="381"/>
      <c r="EY245" s="381"/>
      <c r="EZ245" s="381"/>
      <c r="FA245" s="381"/>
      <c r="FB245" s="381"/>
      <c r="FC245" s="381"/>
      <c r="FD245" s="381"/>
      <c r="FE245" s="381"/>
      <c r="FF245" s="381"/>
      <c r="FG245" s="381"/>
      <c r="FH245" s="381"/>
      <c r="FI245" s="381"/>
      <c r="FJ245" s="381"/>
      <c r="FK245" s="381"/>
      <c r="FL245" s="381"/>
      <c r="FM245" s="381"/>
      <c r="FN245" s="381"/>
      <c r="FO245" s="381"/>
      <c r="FP245" s="381"/>
      <c r="FQ245" s="381"/>
      <c r="FR245" s="381"/>
      <c r="FS245" s="381"/>
      <c r="FT245" s="381"/>
      <c r="FU245" s="381"/>
      <c r="FV245" s="381"/>
      <c r="FW245" s="381"/>
      <c r="FX245" s="381"/>
      <c r="FY245" s="381"/>
      <c r="FZ245" s="381"/>
      <c r="GA245" s="381"/>
      <c r="GB245" s="381"/>
      <c r="GC245" s="381"/>
      <c r="GD245" s="381"/>
      <c r="GE245" s="381"/>
      <c r="GF245" s="381"/>
      <c r="GG245" s="381"/>
      <c r="GH245" s="381"/>
      <c r="GI245" s="381"/>
      <c r="GJ245" s="381"/>
      <c r="GK245" s="381"/>
      <c r="GL245" s="381"/>
      <c r="GM245" s="381"/>
      <c r="GN245" s="381"/>
      <c r="GO245" s="381"/>
      <c r="GP245" s="381"/>
      <c r="GQ245" s="381"/>
      <c r="GR245" s="381"/>
      <c r="GS245" s="381"/>
      <c r="GT245" s="381"/>
      <c r="GU245" s="381"/>
      <c r="GV245" s="381"/>
      <c r="GW245" s="381"/>
      <c r="GX245" s="381"/>
      <c r="GY245" s="381"/>
      <c r="GZ245" s="381"/>
      <c r="HA245" s="381"/>
      <c r="HB245" s="381"/>
      <c r="HC245" s="381"/>
      <c r="HD245" s="381"/>
      <c r="HE245" s="381"/>
      <c r="HF245" s="381"/>
      <c r="HG245" s="381"/>
      <c r="HH245" s="381"/>
      <c r="HI245" s="381"/>
      <c r="HJ245" s="381"/>
      <c r="HK245" s="381"/>
      <c r="HL245" s="381"/>
      <c r="HM245" s="381"/>
      <c r="HN245" s="381"/>
      <c r="HO245" s="381"/>
      <c r="HP245" s="381"/>
      <c r="HQ245" s="381"/>
      <c r="HR245" s="381"/>
      <c r="HS245" s="381"/>
      <c r="HT245" s="381"/>
      <c r="HU245" s="381"/>
      <c r="HV245" s="381"/>
      <c r="HW245" s="381"/>
      <c r="HX245" s="381"/>
      <c r="HY245" s="381"/>
      <c r="HZ245" s="381"/>
      <c r="IA245" s="381"/>
      <c r="IB245" s="381"/>
      <c r="IC245" s="381"/>
      <c r="ID245" s="381"/>
      <c r="IE245" s="381"/>
      <c r="IF245" s="381"/>
      <c r="IG245" s="381"/>
      <c r="IH245" s="381"/>
      <c r="II245" s="381"/>
      <c r="IJ245" s="381"/>
      <c r="IK245" s="381"/>
      <c r="IL245" s="381"/>
      <c r="IM245" s="381"/>
      <c r="IN245" s="381"/>
      <c r="IO245" s="381"/>
      <c r="IP245" s="381"/>
      <c r="IQ245" s="381"/>
      <c r="IR245" s="381"/>
      <c r="IS245" s="381"/>
      <c r="IT245" s="381"/>
      <c r="IU245" s="381"/>
      <c r="IV245" s="381"/>
      <c r="IW245" s="381"/>
      <c r="IX245" s="381"/>
      <c r="IY245" s="381"/>
      <c r="IZ245" s="381"/>
      <c r="JA245" s="381"/>
      <c r="JB245" s="381"/>
      <c r="JC245" s="381"/>
      <c r="JD245" s="381"/>
      <c r="JE245" s="381"/>
      <c r="JF245" s="381"/>
      <c r="JG245" s="277"/>
      <c r="JH245" s="381"/>
      <c r="JI245" s="381"/>
      <c r="JJ245" s="381"/>
      <c r="JK245" s="381"/>
      <c r="JL245" s="381"/>
      <c r="JM245" s="381"/>
      <c r="JN245" s="381"/>
      <c r="JO245" s="381"/>
      <c r="JP245" s="381"/>
      <c r="JQ245" s="381"/>
      <c r="JR245" s="381"/>
      <c r="JS245" s="381"/>
      <c r="JT245" s="381"/>
      <c r="JU245" s="381"/>
      <c r="JV245" s="381"/>
      <c r="JW245" s="381"/>
      <c r="JX245" s="381"/>
      <c r="JY245" s="381"/>
      <c r="JZ245" s="381"/>
      <c r="KA245" s="381"/>
      <c r="KB245" s="277"/>
    </row>
    <row r="246" spans="2:288" ht="15" customHeight="1" x14ac:dyDescent="0.25">
      <c r="B246" s="216" t="str">
        <f t="shared" si="22"/>
        <v>Desk 30</v>
      </c>
      <c r="C246" s="218" t="str">
        <v/>
      </c>
      <c r="D246" s="218" t="str">
        <v/>
      </c>
      <c r="E246" s="218" t="str">
        <v/>
      </c>
      <c r="F246" s="218" t="str">
        <v/>
      </c>
      <c r="G246" s="402" t="str">
        <v/>
      </c>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c r="AD246" s="381"/>
      <c r="AE246" s="381"/>
      <c r="AF246" s="381"/>
      <c r="AG246" s="381"/>
      <c r="AH246" s="381"/>
      <c r="AI246" s="381"/>
      <c r="AJ246" s="381"/>
      <c r="AK246" s="381"/>
      <c r="AL246" s="381"/>
      <c r="AM246" s="381"/>
      <c r="AN246" s="381"/>
      <c r="AO246" s="381"/>
      <c r="AP246" s="381"/>
      <c r="AQ246" s="381"/>
      <c r="AR246" s="381"/>
      <c r="AS246" s="381"/>
      <c r="AT246" s="381"/>
      <c r="AU246" s="381"/>
      <c r="AV246" s="381"/>
      <c r="AW246" s="381"/>
      <c r="AX246" s="381"/>
      <c r="AY246" s="381"/>
      <c r="AZ246" s="381"/>
      <c r="BA246" s="381"/>
      <c r="BB246" s="381"/>
      <c r="BC246" s="381"/>
      <c r="BD246" s="381"/>
      <c r="BE246" s="381"/>
      <c r="BF246" s="381"/>
      <c r="BG246" s="381"/>
      <c r="BH246" s="381"/>
      <c r="BI246" s="381"/>
      <c r="BJ246" s="381"/>
      <c r="BK246" s="381"/>
      <c r="BL246" s="381"/>
      <c r="BM246" s="381"/>
      <c r="BN246" s="381"/>
      <c r="BO246" s="381"/>
      <c r="BP246" s="381"/>
      <c r="BQ246" s="381"/>
      <c r="BR246" s="381"/>
      <c r="BS246" s="381"/>
      <c r="BT246" s="381"/>
      <c r="BU246" s="381"/>
      <c r="BV246" s="381"/>
      <c r="BW246" s="381"/>
      <c r="BX246" s="381"/>
      <c r="BY246" s="381"/>
      <c r="BZ246" s="381"/>
      <c r="CA246" s="381"/>
      <c r="CB246" s="381"/>
      <c r="CC246" s="381"/>
      <c r="CD246" s="381"/>
      <c r="CE246" s="381"/>
      <c r="CF246" s="381"/>
      <c r="CG246" s="381"/>
      <c r="CH246" s="381"/>
      <c r="CI246" s="381"/>
      <c r="CJ246" s="381"/>
      <c r="CK246" s="381"/>
      <c r="CL246" s="381"/>
      <c r="CM246" s="381"/>
      <c r="CN246" s="381"/>
      <c r="CO246" s="381"/>
      <c r="CP246" s="381"/>
      <c r="CQ246" s="381"/>
      <c r="CR246" s="381"/>
      <c r="CS246" s="381"/>
      <c r="CT246" s="381"/>
      <c r="CU246" s="381"/>
      <c r="CV246" s="381"/>
      <c r="CW246" s="381"/>
      <c r="CX246" s="381"/>
      <c r="CY246" s="381"/>
      <c r="CZ246" s="381"/>
      <c r="DA246" s="381"/>
      <c r="DB246" s="381"/>
      <c r="DC246" s="381"/>
      <c r="DD246" s="381"/>
      <c r="DE246" s="381"/>
      <c r="DF246" s="381"/>
      <c r="DG246" s="381"/>
      <c r="DH246" s="381"/>
      <c r="DI246" s="381"/>
      <c r="DJ246" s="381"/>
      <c r="DK246" s="381"/>
      <c r="DL246" s="381"/>
      <c r="DM246" s="381"/>
      <c r="DN246" s="381"/>
      <c r="DO246" s="381"/>
      <c r="DP246" s="381"/>
      <c r="DQ246" s="381"/>
      <c r="DR246" s="381"/>
      <c r="DS246" s="381"/>
      <c r="DT246" s="381"/>
      <c r="DU246" s="381"/>
      <c r="DV246" s="381"/>
      <c r="DW246" s="277"/>
      <c r="DX246" s="381"/>
      <c r="DY246" s="381"/>
      <c r="DZ246" s="381"/>
      <c r="EA246" s="381"/>
      <c r="EB246" s="381"/>
      <c r="EC246" s="381"/>
      <c r="ED246" s="381"/>
      <c r="EE246" s="381"/>
      <c r="EF246" s="381"/>
      <c r="EG246" s="381"/>
      <c r="EH246" s="381"/>
      <c r="EI246" s="381"/>
      <c r="EJ246" s="381"/>
      <c r="EK246" s="381"/>
      <c r="EL246" s="381"/>
      <c r="EM246" s="381"/>
      <c r="EN246" s="381"/>
      <c r="EO246" s="381"/>
      <c r="EP246" s="381"/>
      <c r="EQ246" s="381"/>
      <c r="ER246" s="277"/>
      <c r="ES246" s="381"/>
      <c r="ET246" s="381"/>
      <c r="EU246" s="381"/>
      <c r="EV246" s="381"/>
      <c r="EW246" s="381"/>
      <c r="EX246" s="381"/>
      <c r="EY246" s="381"/>
      <c r="EZ246" s="381"/>
      <c r="FA246" s="381"/>
      <c r="FB246" s="381"/>
      <c r="FC246" s="381"/>
      <c r="FD246" s="381"/>
      <c r="FE246" s="381"/>
      <c r="FF246" s="381"/>
      <c r="FG246" s="381"/>
      <c r="FH246" s="381"/>
      <c r="FI246" s="381"/>
      <c r="FJ246" s="381"/>
      <c r="FK246" s="381"/>
      <c r="FL246" s="381"/>
      <c r="FM246" s="381"/>
      <c r="FN246" s="381"/>
      <c r="FO246" s="381"/>
      <c r="FP246" s="381"/>
      <c r="FQ246" s="381"/>
      <c r="FR246" s="381"/>
      <c r="FS246" s="381"/>
      <c r="FT246" s="381"/>
      <c r="FU246" s="381"/>
      <c r="FV246" s="381"/>
      <c r="FW246" s="381"/>
      <c r="FX246" s="381"/>
      <c r="FY246" s="381"/>
      <c r="FZ246" s="381"/>
      <c r="GA246" s="381"/>
      <c r="GB246" s="381"/>
      <c r="GC246" s="381"/>
      <c r="GD246" s="381"/>
      <c r="GE246" s="381"/>
      <c r="GF246" s="381"/>
      <c r="GG246" s="381"/>
      <c r="GH246" s="381"/>
      <c r="GI246" s="381"/>
      <c r="GJ246" s="381"/>
      <c r="GK246" s="381"/>
      <c r="GL246" s="381"/>
      <c r="GM246" s="381"/>
      <c r="GN246" s="381"/>
      <c r="GO246" s="381"/>
      <c r="GP246" s="381"/>
      <c r="GQ246" s="381"/>
      <c r="GR246" s="381"/>
      <c r="GS246" s="381"/>
      <c r="GT246" s="381"/>
      <c r="GU246" s="381"/>
      <c r="GV246" s="381"/>
      <c r="GW246" s="381"/>
      <c r="GX246" s="381"/>
      <c r="GY246" s="381"/>
      <c r="GZ246" s="381"/>
      <c r="HA246" s="381"/>
      <c r="HB246" s="381"/>
      <c r="HC246" s="381"/>
      <c r="HD246" s="381"/>
      <c r="HE246" s="381"/>
      <c r="HF246" s="381"/>
      <c r="HG246" s="381"/>
      <c r="HH246" s="381"/>
      <c r="HI246" s="381"/>
      <c r="HJ246" s="381"/>
      <c r="HK246" s="381"/>
      <c r="HL246" s="381"/>
      <c r="HM246" s="381"/>
      <c r="HN246" s="381"/>
      <c r="HO246" s="381"/>
      <c r="HP246" s="381"/>
      <c r="HQ246" s="381"/>
      <c r="HR246" s="381"/>
      <c r="HS246" s="381"/>
      <c r="HT246" s="381"/>
      <c r="HU246" s="381"/>
      <c r="HV246" s="381"/>
      <c r="HW246" s="381"/>
      <c r="HX246" s="381"/>
      <c r="HY246" s="381"/>
      <c r="HZ246" s="381"/>
      <c r="IA246" s="381"/>
      <c r="IB246" s="381"/>
      <c r="IC246" s="381"/>
      <c r="ID246" s="381"/>
      <c r="IE246" s="381"/>
      <c r="IF246" s="381"/>
      <c r="IG246" s="381"/>
      <c r="IH246" s="381"/>
      <c r="II246" s="381"/>
      <c r="IJ246" s="381"/>
      <c r="IK246" s="381"/>
      <c r="IL246" s="381"/>
      <c r="IM246" s="381"/>
      <c r="IN246" s="381"/>
      <c r="IO246" s="381"/>
      <c r="IP246" s="381"/>
      <c r="IQ246" s="381"/>
      <c r="IR246" s="381"/>
      <c r="IS246" s="381"/>
      <c r="IT246" s="381"/>
      <c r="IU246" s="381"/>
      <c r="IV246" s="381"/>
      <c r="IW246" s="381"/>
      <c r="IX246" s="381"/>
      <c r="IY246" s="381"/>
      <c r="IZ246" s="381"/>
      <c r="JA246" s="381"/>
      <c r="JB246" s="381"/>
      <c r="JC246" s="381"/>
      <c r="JD246" s="381"/>
      <c r="JE246" s="381"/>
      <c r="JF246" s="381"/>
      <c r="JG246" s="277"/>
      <c r="JH246" s="381"/>
      <c r="JI246" s="381"/>
      <c r="JJ246" s="381"/>
      <c r="JK246" s="381"/>
      <c r="JL246" s="381"/>
      <c r="JM246" s="381"/>
      <c r="JN246" s="381"/>
      <c r="JO246" s="381"/>
      <c r="JP246" s="381"/>
      <c r="JQ246" s="381"/>
      <c r="JR246" s="381"/>
      <c r="JS246" s="381"/>
      <c r="JT246" s="381"/>
      <c r="JU246" s="381"/>
      <c r="JV246" s="381"/>
      <c r="JW246" s="381"/>
      <c r="JX246" s="381"/>
      <c r="JY246" s="381"/>
      <c r="JZ246" s="381"/>
      <c r="KA246" s="381"/>
      <c r="KB246" s="277"/>
    </row>
    <row r="247" spans="2:288" ht="15" customHeight="1" x14ac:dyDescent="0.25">
      <c r="B247" s="216" t="str">
        <f t="shared" si="22"/>
        <v>Desk 31</v>
      </c>
      <c r="C247" s="218" t="str">
        <v/>
      </c>
      <c r="D247" s="218" t="str">
        <v/>
      </c>
      <c r="E247" s="218" t="str">
        <v/>
      </c>
      <c r="F247" s="218" t="str">
        <v/>
      </c>
      <c r="G247" s="402" t="str">
        <v/>
      </c>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c r="AG247" s="381"/>
      <c r="AH247" s="381"/>
      <c r="AI247" s="381"/>
      <c r="AJ247" s="381"/>
      <c r="AK247" s="381"/>
      <c r="AL247" s="381"/>
      <c r="AM247" s="381"/>
      <c r="AN247" s="381"/>
      <c r="AO247" s="381"/>
      <c r="AP247" s="381"/>
      <c r="AQ247" s="381"/>
      <c r="AR247" s="381"/>
      <c r="AS247" s="381"/>
      <c r="AT247" s="381"/>
      <c r="AU247" s="381"/>
      <c r="AV247" s="381"/>
      <c r="AW247" s="381"/>
      <c r="AX247" s="381"/>
      <c r="AY247" s="381"/>
      <c r="AZ247" s="381"/>
      <c r="BA247" s="381"/>
      <c r="BB247" s="381"/>
      <c r="BC247" s="381"/>
      <c r="BD247" s="381"/>
      <c r="BE247" s="381"/>
      <c r="BF247" s="381"/>
      <c r="BG247" s="381"/>
      <c r="BH247" s="381"/>
      <c r="BI247" s="381"/>
      <c r="BJ247" s="381"/>
      <c r="BK247" s="381"/>
      <c r="BL247" s="381"/>
      <c r="BM247" s="381"/>
      <c r="BN247" s="381"/>
      <c r="BO247" s="381"/>
      <c r="BP247" s="381"/>
      <c r="BQ247" s="381"/>
      <c r="BR247" s="381"/>
      <c r="BS247" s="381"/>
      <c r="BT247" s="381"/>
      <c r="BU247" s="381"/>
      <c r="BV247" s="381"/>
      <c r="BW247" s="381"/>
      <c r="BX247" s="381"/>
      <c r="BY247" s="381"/>
      <c r="BZ247" s="381"/>
      <c r="CA247" s="381"/>
      <c r="CB247" s="381"/>
      <c r="CC247" s="381"/>
      <c r="CD247" s="381"/>
      <c r="CE247" s="381"/>
      <c r="CF247" s="381"/>
      <c r="CG247" s="381"/>
      <c r="CH247" s="381"/>
      <c r="CI247" s="381"/>
      <c r="CJ247" s="381"/>
      <c r="CK247" s="381"/>
      <c r="CL247" s="381"/>
      <c r="CM247" s="381"/>
      <c r="CN247" s="381"/>
      <c r="CO247" s="381"/>
      <c r="CP247" s="381"/>
      <c r="CQ247" s="381"/>
      <c r="CR247" s="381"/>
      <c r="CS247" s="381"/>
      <c r="CT247" s="381"/>
      <c r="CU247" s="381"/>
      <c r="CV247" s="381"/>
      <c r="CW247" s="381"/>
      <c r="CX247" s="381"/>
      <c r="CY247" s="381"/>
      <c r="CZ247" s="381"/>
      <c r="DA247" s="381"/>
      <c r="DB247" s="381"/>
      <c r="DC247" s="381"/>
      <c r="DD247" s="381"/>
      <c r="DE247" s="381"/>
      <c r="DF247" s="381"/>
      <c r="DG247" s="381"/>
      <c r="DH247" s="381"/>
      <c r="DI247" s="381"/>
      <c r="DJ247" s="381"/>
      <c r="DK247" s="381"/>
      <c r="DL247" s="381"/>
      <c r="DM247" s="381"/>
      <c r="DN247" s="381"/>
      <c r="DO247" s="381"/>
      <c r="DP247" s="381"/>
      <c r="DQ247" s="381"/>
      <c r="DR247" s="381"/>
      <c r="DS247" s="381"/>
      <c r="DT247" s="381"/>
      <c r="DU247" s="381"/>
      <c r="DV247" s="381"/>
      <c r="DW247" s="277"/>
      <c r="DX247" s="381"/>
      <c r="DY247" s="381"/>
      <c r="DZ247" s="381"/>
      <c r="EA247" s="381"/>
      <c r="EB247" s="381"/>
      <c r="EC247" s="381"/>
      <c r="ED247" s="381"/>
      <c r="EE247" s="381"/>
      <c r="EF247" s="381"/>
      <c r="EG247" s="381"/>
      <c r="EH247" s="381"/>
      <c r="EI247" s="381"/>
      <c r="EJ247" s="381"/>
      <c r="EK247" s="381"/>
      <c r="EL247" s="381"/>
      <c r="EM247" s="381"/>
      <c r="EN247" s="381"/>
      <c r="EO247" s="381"/>
      <c r="EP247" s="381"/>
      <c r="EQ247" s="381"/>
      <c r="ER247" s="277"/>
      <c r="ES247" s="381"/>
      <c r="ET247" s="381"/>
      <c r="EU247" s="381"/>
      <c r="EV247" s="381"/>
      <c r="EW247" s="381"/>
      <c r="EX247" s="381"/>
      <c r="EY247" s="381"/>
      <c r="EZ247" s="381"/>
      <c r="FA247" s="381"/>
      <c r="FB247" s="381"/>
      <c r="FC247" s="381"/>
      <c r="FD247" s="381"/>
      <c r="FE247" s="381"/>
      <c r="FF247" s="381"/>
      <c r="FG247" s="381"/>
      <c r="FH247" s="381"/>
      <c r="FI247" s="381"/>
      <c r="FJ247" s="381"/>
      <c r="FK247" s="381"/>
      <c r="FL247" s="381"/>
      <c r="FM247" s="381"/>
      <c r="FN247" s="381"/>
      <c r="FO247" s="381"/>
      <c r="FP247" s="381"/>
      <c r="FQ247" s="381"/>
      <c r="FR247" s="381"/>
      <c r="FS247" s="381"/>
      <c r="FT247" s="381"/>
      <c r="FU247" s="381"/>
      <c r="FV247" s="381"/>
      <c r="FW247" s="381"/>
      <c r="FX247" s="381"/>
      <c r="FY247" s="381"/>
      <c r="FZ247" s="381"/>
      <c r="GA247" s="381"/>
      <c r="GB247" s="381"/>
      <c r="GC247" s="381"/>
      <c r="GD247" s="381"/>
      <c r="GE247" s="381"/>
      <c r="GF247" s="381"/>
      <c r="GG247" s="381"/>
      <c r="GH247" s="381"/>
      <c r="GI247" s="381"/>
      <c r="GJ247" s="381"/>
      <c r="GK247" s="381"/>
      <c r="GL247" s="381"/>
      <c r="GM247" s="381"/>
      <c r="GN247" s="381"/>
      <c r="GO247" s="381"/>
      <c r="GP247" s="381"/>
      <c r="GQ247" s="381"/>
      <c r="GR247" s="381"/>
      <c r="GS247" s="381"/>
      <c r="GT247" s="381"/>
      <c r="GU247" s="381"/>
      <c r="GV247" s="381"/>
      <c r="GW247" s="381"/>
      <c r="GX247" s="381"/>
      <c r="GY247" s="381"/>
      <c r="GZ247" s="381"/>
      <c r="HA247" s="381"/>
      <c r="HB247" s="381"/>
      <c r="HC247" s="381"/>
      <c r="HD247" s="381"/>
      <c r="HE247" s="381"/>
      <c r="HF247" s="381"/>
      <c r="HG247" s="381"/>
      <c r="HH247" s="381"/>
      <c r="HI247" s="381"/>
      <c r="HJ247" s="381"/>
      <c r="HK247" s="381"/>
      <c r="HL247" s="381"/>
      <c r="HM247" s="381"/>
      <c r="HN247" s="381"/>
      <c r="HO247" s="381"/>
      <c r="HP247" s="381"/>
      <c r="HQ247" s="381"/>
      <c r="HR247" s="381"/>
      <c r="HS247" s="381"/>
      <c r="HT247" s="381"/>
      <c r="HU247" s="381"/>
      <c r="HV247" s="381"/>
      <c r="HW247" s="381"/>
      <c r="HX247" s="381"/>
      <c r="HY247" s="381"/>
      <c r="HZ247" s="381"/>
      <c r="IA247" s="381"/>
      <c r="IB247" s="381"/>
      <c r="IC247" s="381"/>
      <c r="ID247" s="381"/>
      <c r="IE247" s="381"/>
      <c r="IF247" s="381"/>
      <c r="IG247" s="381"/>
      <c r="IH247" s="381"/>
      <c r="II247" s="381"/>
      <c r="IJ247" s="381"/>
      <c r="IK247" s="381"/>
      <c r="IL247" s="381"/>
      <c r="IM247" s="381"/>
      <c r="IN247" s="381"/>
      <c r="IO247" s="381"/>
      <c r="IP247" s="381"/>
      <c r="IQ247" s="381"/>
      <c r="IR247" s="381"/>
      <c r="IS247" s="381"/>
      <c r="IT247" s="381"/>
      <c r="IU247" s="381"/>
      <c r="IV247" s="381"/>
      <c r="IW247" s="381"/>
      <c r="IX247" s="381"/>
      <c r="IY247" s="381"/>
      <c r="IZ247" s="381"/>
      <c r="JA247" s="381"/>
      <c r="JB247" s="381"/>
      <c r="JC247" s="381"/>
      <c r="JD247" s="381"/>
      <c r="JE247" s="381"/>
      <c r="JF247" s="381"/>
      <c r="JG247" s="277"/>
      <c r="JH247" s="381"/>
      <c r="JI247" s="381"/>
      <c r="JJ247" s="381"/>
      <c r="JK247" s="381"/>
      <c r="JL247" s="381"/>
      <c r="JM247" s="381"/>
      <c r="JN247" s="381"/>
      <c r="JO247" s="381"/>
      <c r="JP247" s="381"/>
      <c r="JQ247" s="381"/>
      <c r="JR247" s="381"/>
      <c r="JS247" s="381"/>
      <c r="JT247" s="381"/>
      <c r="JU247" s="381"/>
      <c r="JV247" s="381"/>
      <c r="JW247" s="381"/>
      <c r="JX247" s="381"/>
      <c r="JY247" s="381"/>
      <c r="JZ247" s="381"/>
      <c r="KA247" s="381"/>
      <c r="KB247" s="277"/>
    </row>
    <row r="248" spans="2:288" ht="15" customHeight="1" x14ac:dyDescent="0.25">
      <c r="B248" s="216" t="str">
        <f t="shared" si="22"/>
        <v>Desk 32</v>
      </c>
      <c r="C248" s="218" t="str">
        <v/>
      </c>
      <c r="D248" s="218" t="str">
        <v/>
      </c>
      <c r="E248" s="218" t="str">
        <v/>
      </c>
      <c r="F248" s="218" t="str">
        <v/>
      </c>
      <c r="G248" s="402" t="str">
        <v/>
      </c>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381"/>
      <c r="BK248" s="381"/>
      <c r="BL248" s="381"/>
      <c r="BM248" s="381"/>
      <c r="BN248" s="381"/>
      <c r="BO248" s="381"/>
      <c r="BP248" s="381"/>
      <c r="BQ248" s="381"/>
      <c r="BR248" s="381"/>
      <c r="BS248" s="381"/>
      <c r="BT248" s="381"/>
      <c r="BU248" s="381"/>
      <c r="BV248" s="381"/>
      <c r="BW248" s="381"/>
      <c r="BX248" s="381"/>
      <c r="BY248" s="381"/>
      <c r="BZ248" s="381"/>
      <c r="CA248" s="381"/>
      <c r="CB248" s="381"/>
      <c r="CC248" s="381"/>
      <c r="CD248" s="381"/>
      <c r="CE248" s="381"/>
      <c r="CF248" s="381"/>
      <c r="CG248" s="381"/>
      <c r="CH248" s="381"/>
      <c r="CI248" s="381"/>
      <c r="CJ248" s="381"/>
      <c r="CK248" s="381"/>
      <c r="CL248" s="381"/>
      <c r="CM248" s="381"/>
      <c r="CN248" s="381"/>
      <c r="CO248" s="381"/>
      <c r="CP248" s="381"/>
      <c r="CQ248" s="381"/>
      <c r="CR248" s="381"/>
      <c r="CS248" s="381"/>
      <c r="CT248" s="381"/>
      <c r="CU248" s="381"/>
      <c r="CV248" s="381"/>
      <c r="CW248" s="381"/>
      <c r="CX248" s="381"/>
      <c r="CY248" s="381"/>
      <c r="CZ248" s="381"/>
      <c r="DA248" s="381"/>
      <c r="DB248" s="381"/>
      <c r="DC248" s="381"/>
      <c r="DD248" s="381"/>
      <c r="DE248" s="381"/>
      <c r="DF248" s="381"/>
      <c r="DG248" s="381"/>
      <c r="DH248" s="381"/>
      <c r="DI248" s="381"/>
      <c r="DJ248" s="381"/>
      <c r="DK248" s="381"/>
      <c r="DL248" s="381"/>
      <c r="DM248" s="381"/>
      <c r="DN248" s="381"/>
      <c r="DO248" s="381"/>
      <c r="DP248" s="381"/>
      <c r="DQ248" s="381"/>
      <c r="DR248" s="381"/>
      <c r="DS248" s="381"/>
      <c r="DT248" s="381"/>
      <c r="DU248" s="381"/>
      <c r="DV248" s="381"/>
      <c r="DW248" s="277"/>
      <c r="DX248" s="381"/>
      <c r="DY248" s="381"/>
      <c r="DZ248" s="381"/>
      <c r="EA248" s="381"/>
      <c r="EB248" s="381"/>
      <c r="EC248" s="381"/>
      <c r="ED248" s="381"/>
      <c r="EE248" s="381"/>
      <c r="EF248" s="381"/>
      <c r="EG248" s="381"/>
      <c r="EH248" s="381"/>
      <c r="EI248" s="381"/>
      <c r="EJ248" s="381"/>
      <c r="EK248" s="381"/>
      <c r="EL248" s="381"/>
      <c r="EM248" s="381"/>
      <c r="EN248" s="381"/>
      <c r="EO248" s="381"/>
      <c r="EP248" s="381"/>
      <c r="EQ248" s="381"/>
      <c r="ER248" s="277"/>
      <c r="ES248" s="381"/>
      <c r="ET248" s="381"/>
      <c r="EU248" s="381"/>
      <c r="EV248" s="381"/>
      <c r="EW248" s="381"/>
      <c r="EX248" s="381"/>
      <c r="EY248" s="381"/>
      <c r="EZ248" s="381"/>
      <c r="FA248" s="381"/>
      <c r="FB248" s="381"/>
      <c r="FC248" s="381"/>
      <c r="FD248" s="381"/>
      <c r="FE248" s="381"/>
      <c r="FF248" s="381"/>
      <c r="FG248" s="381"/>
      <c r="FH248" s="381"/>
      <c r="FI248" s="381"/>
      <c r="FJ248" s="381"/>
      <c r="FK248" s="381"/>
      <c r="FL248" s="381"/>
      <c r="FM248" s="381"/>
      <c r="FN248" s="381"/>
      <c r="FO248" s="381"/>
      <c r="FP248" s="381"/>
      <c r="FQ248" s="381"/>
      <c r="FR248" s="381"/>
      <c r="FS248" s="381"/>
      <c r="FT248" s="381"/>
      <c r="FU248" s="381"/>
      <c r="FV248" s="381"/>
      <c r="FW248" s="381"/>
      <c r="FX248" s="381"/>
      <c r="FY248" s="381"/>
      <c r="FZ248" s="381"/>
      <c r="GA248" s="381"/>
      <c r="GB248" s="381"/>
      <c r="GC248" s="381"/>
      <c r="GD248" s="381"/>
      <c r="GE248" s="381"/>
      <c r="GF248" s="381"/>
      <c r="GG248" s="381"/>
      <c r="GH248" s="381"/>
      <c r="GI248" s="381"/>
      <c r="GJ248" s="381"/>
      <c r="GK248" s="381"/>
      <c r="GL248" s="381"/>
      <c r="GM248" s="381"/>
      <c r="GN248" s="381"/>
      <c r="GO248" s="381"/>
      <c r="GP248" s="381"/>
      <c r="GQ248" s="381"/>
      <c r="GR248" s="381"/>
      <c r="GS248" s="381"/>
      <c r="GT248" s="381"/>
      <c r="GU248" s="381"/>
      <c r="GV248" s="381"/>
      <c r="GW248" s="381"/>
      <c r="GX248" s="381"/>
      <c r="GY248" s="381"/>
      <c r="GZ248" s="381"/>
      <c r="HA248" s="381"/>
      <c r="HB248" s="381"/>
      <c r="HC248" s="381"/>
      <c r="HD248" s="381"/>
      <c r="HE248" s="381"/>
      <c r="HF248" s="381"/>
      <c r="HG248" s="381"/>
      <c r="HH248" s="381"/>
      <c r="HI248" s="381"/>
      <c r="HJ248" s="381"/>
      <c r="HK248" s="381"/>
      <c r="HL248" s="381"/>
      <c r="HM248" s="381"/>
      <c r="HN248" s="381"/>
      <c r="HO248" s="381"/>
      <c r="HP248" s="381"/>
      <c r="HQ248" s="381"/>
      <c r="HR248" s="381"/>
      <c r="HS248" s="381"/>
      <c r="HT248" s="381"/>
      <c r="HU248" s="381"/>
      <c r="HV248" s="381"/>
      <c r="HW248" s="381"/>
      <c r="HX248" s="381"/>
      <c r="HY248" s="381"/>
      <c r="HZ248" s="381"/>
      <c r="IA248" s="381"/>
      <c r="IB248" s="381"/>
      <c r="IC248" s="381"/>
      <c r="ID248" s="381"/>
      <c r="IE248" s="381"/>
      <c r="IF248" s="381"/>
      <c r="IG248" s="381"/>
      <c r="IH248" s="381"/>
      <c r="II248" s="381"/>
      <c r="IJ248" s="381"/>
      <c r="IK248" s="381"/>
      <c r="IL248" s="381"/>
      <c r="IM248" s="381"/>
      <c r="IN248" s="381"/>
      <c r="IO248" s="381"/>
      <c r="IP248" s="381"/>
      <c r="IQ248" s="381"/>
      <c r="IR248" s="381"/>
      <c r="IS248" s="381"/>
      <c r="IT248" s="381"/>
      <c r="IU248" s="381"/>
      <c r="IV248" s="381"/>
      <c r="IW248" s="381"/>
      <c r="IX248" s="381"/>
      <c r="IY248" s="381"/>
      <c r="IZ248" s="381"/>
      <c r="JA248" s="381"/>
      <c r="JB248" s="381"/>
      <c r="JC248" s="381"/>
      <c r="JD248" s="381"/>
      <c r="JE248" s="381"/>
      <c r="JF248" s="381"/>
      <c r="JG248" s="277"/>
      <c r="JH248" s="381"/>
      <c r="JI248" s="381"/>
      <c r="JJ248" s="381"/>
      <c r="JK248" s="381"/>
      <c r="JL248" s="381"/>
      <c r="JM248" s="381"/>
      <c r="JN248" s="381"/>
      <c r="JO248" s="381"/>
      <c r="JP248" s="381"/>
      <c r="JQ248" s="381"/>
      <c r="JR248" s="381"/>
      <c r="JS248" s="381"/>
      <c r="JT248" s="381"/>
      <c r="JU248" s="381"/>
      <c r="JV248" s="381"/>
      <c r="JW248" s="381"/>
      <c r="JX248" s="381"/>
      <c r="JY248" s="381"/>
      <c r="JZ248" s="381"/>
      <c r="KA248" s="381"/>
      <c r="KB248" s="277"/>
    </row>
    <row r="249" spans="2:288" ht="15" customHeight="1" x14ac:dyDescent="0.25">
      <c r="B249" s="216" t="str">
        <f t="shared" si="22"/>
        <v>Desk 33</v>
      </c>
      <c r="C249" s="218" t="str">
        <v/>
      </c>
      <c r="D249" s="218" t="str">
        <v/>
      </c>
      <c r="E249" s="218" t="str">
        <v/>
      </c>
      <c r="F249" s="218" t="str">
        <v/>
      </c>
      <c r="G249" s="402" t="str">
        <v/>
      </c>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c r="AG249" s="381"/>
      <c r="AH249" s="381"/>
      <c r="AI249" s="381"/>
      <c r="AJ249" s="381"/>
      <c r="AK249" s="381"/>
      <c r="AL249" s="381"/>
      <c r="AM249" s="381"/>
      <c r="AN249" s="381"/>
      <c r="AO249" s="381"/>
      <c r="AP249" s="381"/>
      <c r="AQ249" s="381"/>
      <c r="AR249" s="381"/>
      <c r="AS249" s="381"/>
      <c r="AT249" s="381"/>
      <c r="AU249" s="381"/>
      <c r="AV249" s="381"/>
      <c r="AW249" s="381"/>
      <c r="AX249" s="381"/>
      <c r="AY249" s="381"/>
      <c r="AZ249" s="381"/>
      <c r="BA249" s="381"/>
      <c r="BB249" s="381"/>
      <c r="BC249" s="381"/>
      <c r="BD249" s="381"/>
      <c r="BE249" s="381"/>
      <c r="BF249" s="381"/>
      <c r="BG249" s="381"/>
      <c r="BH249" s="381"/>
      <c r="BI249" s="381"/>
      <c r="BJ249" s="381"/>
      <c r="BK249" s="381"/>
      <c r="BL249" s="381"/>
      <c r="BM249" s="381"/>
      <c r="BN249" s="381"/>
      <c r="BO249" s="381"/>
      <c r="BP249" s="381"/>
      <c r="BQ249" s="381"/>
      <c r="BR249" s="381"/>
      <c r="BS249" s="381"/>
      <c r="BT249" s="381"/>
      <c r="BU249" s="381"/>
      <c r="BV249" s="381"/>
      <c r="BW249" s="381"/>
      <c r="BX249" s="381"/>
      <c r="BY249" s="381"/>
      <c r="BZ249" s="381"/>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c r="DO249" s="381"/>
      <c r="DP249" s="381"/>
      <c r="DQ249" s="381"/>
      <c r="DR249" s="381"/>
      <c r="DS249" s="381"/>
      <c r="DT249" s="381"/>
      <c r="DU249" s="381"/>
      <c r="DV249" s="381"/>
      <c r="DW249" s="277"/>
      <c r="DX249" s="381"/>
      <c r="DY249" s="381"/>
      <c r="DZ249" s="381"/>
      <c r="EA249" s="381"/>
      <c r="EB249" s="381"/>
      <c r="EC249" s="381"/>
      <c r="ED249" s="381"/>
      <c r="EE249" s="381"/>
      <c r="EF249" s="381"/>
      <c r="EG249" s="381"/>
      <c r="EH249" s="381"/>
      <c r="EI249" s="381"/>
      <c r="EJ249" s="381"/>
      <c r="EK249" s="381"/>
      <c r="EL249" s="381"/>
      <c r="EM249" s="381"/>
      <c r="EN249" s="381"/>
      <c r="EO249" s="381"/>
      <c r="EP249" s="381"/>
      <c r="EQ249" s="381"/>
      <c r="ER249" s="277"/>
      <c r="ES249" s="381"/>
      <c r="ET249" s="381"/>
      <c r="EU249" s="381"/>
      <c r="EV249" s="381"/>
      <c r="EW249" s="381"/>
      <c r="EX249" s="381"/>
      <c r="EY249" s="381"/>
      <c r="EZ249" s="381"/>
      <c r="FA249" s="381"/>
      <c r="FB249" s="381"/>
      <c r="FC249" s="381"/>
      <c r="FD249" s="381"/>
      <c r="FE249" s="381"/>
      <c r="FF249" s="381"/>
      <c r="FG249" s="381"/>
      <c r="FH249" s="381"/>
      <c r="FI249" s="381"/>
      <c r="FJ249" s="381"/>
      <c r="FK249" s="381"/>
      <c r="FL249" s="381"/>
      <c r="FM249" s="381"/>
      <c r="FN249" s="381"/>
      <c r="FO249" s="381"/>
      <c r="FP249" s="381"/>
      <c r="FQ249" s="381"/>
      <c r="FR249" s="381"/>
      <c r="FS249" s="381"/>
      <c r="FT249" s="381"/>
      <c r="FU249" s="381"/>
      <c r="FV249" s="381"/>
      <c r="FW249" s="381"/>
      <c r="FX249" s="381"/>
      <c r="FY249" s="381"/>
      <c r="FZ249" s="381"/>
      <c r="GA249" s="381"/>
      <c r="GB249" s="381"/>
      <c r="GC249" s="381"/>
      <c r="GD249" s="381"/>
      <c r="GE249" s="381"/>
      <c r="GF249" s="381"/>
      <c r="GG249" s="381"/>
      <c r="GH249" s="381"/>
      <c r="GI249" s="381"/>
      <c r="GJ249" s="381"/>
      <c r="GK249" s="381"/>
      <c r="GL249" s="381"/>
      <c r="GM249" s="381"/>
      <c r="GN249" s="381"/>
      <c r="GO249" s="381"/>
      <c r="GP249" s="381"/>
      <c r="GQ249" s="381"/>
      <c r="GR249" s="381"/>
      <c r="GS249" s="381"/>
      <c r="GT249" s="381"/>
      <c r="GU249" s="381"/>
      <c r="GV249" s="381"/>
      <c r="GW249" s="381"/>
      <c r="GX249" s="381"/>
      <c r="GY249" s="381"/>
      <c r="GZ249" s="381"/>
      <c r="HA249" s="381"/>
      <c r="HB249" s="381"/>
      <c r="HC249" s="381"/>
      <c r="HD249" s="381"/>
      <c r="HE249" s="381"/>
      <c r="HF249" s="381"/>
      <c r="HG249" s="381"/>
      <c r="HH249" s="381"/>
      <c r="HI249" s="381"/>
      <c r="HJ249" s="381"/>
      <c r="HK249" s="381"/>
      <c r="HL249" s="381"/>
      <c r="HM249" s="381"/>
      <c r="HN249" s="381"/>
      <c r="HO249" s="381"/>
      <c r="HP249" s="381"/>
      <c r="HQ249" s="381"/>
      <c r="HR249" s="381"/>
      <c r="HS249" s="381"/>
      <c r="HT249" s="381"/>
      <c r="HU249" s="381"/>
      <c r="HV249" s="381"/>
      <c r="HW249" s="381"/>
      <c r="HX249" s="381"/>
      <c r="HY249" s="381"/>
      <c r="HZ249" s="381"/>
      <c r="IA249" s="381"/>
      <c r="IB249" s="381"/>
      <c r="IC249" s="381"/>
      <c r="ID249" s="381"/>
      <c r="IE249" s="381"/>
      <c r="IF249" s="381"/>
      <c r="IG249" s="381"/>
      <c r="IH249" s="381"/>
      <c r="II249" s="381"/>
      <c r="IJ249" s="381"/>
      <c r="IK249" s="381"/>
      <c r="IL249" s="381"/>
      <c r="IM249" s="381"/>
      <c r="IN249" s="381"/>
      <c r="IO249" s="381"/>
      <c r="IP249" s="381"/>
      <c r="IQ249" s="381"/>
      <c r="IR249" s="381"/>
      <c r="IS249" s="381"/>
      <c r="IT249" s="381"/>
      <c r="IU249" s="381"/>
      <c r="IV249" s="381"/>
      <c r="IW249" s="381"/>
      <c r="IX249" s="381"/>
      <c r="IY249" s="381"/>
      <c r="IZ249" s="381"/>
      <c r="JA249" s="381"/>
      <c r="JB249" s="381"/>
      <c r="JC249" s="381"/>
      <c r="JD249" s="381"/>
      <c r="JE249" s="381"/>
      <c r="JF249" s="381"/>
      <c r="JG249" s="277"/>
      <c r="JH249" s="381"/>
      <c r="JI249" s="381"/>
      <c r="JJ249" s="381"/>
      <c r="JK249" s="381"/>
      <c r="JL249" s="381"/>
      <c r="JM249" s="381"/>
      <c r="JN249" s="381"/>
      <c r="JO249" s="381"/>
      <c r="JP249" s="381"/>
      <c r="JQ249" s="381"/>
      <c r="JR249" s="381"/>
      <c r="JS249" s="381"/>
      <c r="JT249" s="381"/>
      <c r="JU249" s="381"/>
      <c r="JV249" s="381"/>
      <c r="JW249" s="381"/>
      <c r="JX249" s="381"/>
      <c r="JY249" s="381"/>
      <c r="JZ249" s="381"/>
      <c r="KA249" s="381"/>
      <c r="KB249" s="277"/>
    </row>
    <row r="250" spans="2:288" ht="15" customHeight="1" x14ac:dyDescent="0.25">
      <c r="B250" s="216" t="str">
        <f t="shared" si="22"/>
        <v>Desk 34</v>
      </c>
      <c r="C250" s="218" t="str">
        <v/>
      </c>
      <c r="D250" s="218" t="str">
        <v/>
      </c>
      <c r="E250" s="218" t="str">
        <v/>
      </c>
      <c r="F250" s="218" t="str">
        <v/>
      </c>
      <c r="G250" s="402" t="str">
        <v/>
      </c>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c r="AD250" s="381"/>
      <c r="AE250" s="381"/>
      <c r="AF250" s="381"/>
      <c r="AG250" s="381"/>
      <c r="AH250" s="381"/>
      <c r="AI250" s="381"/>
      <c r="AJ250" s="381"/>
      <c r="AK250" s="381"/>
      <c r="AL250" s="381"/>
      <c r="AM250" s="381"/>
      <c r="AN250" s="381"/>
      <c r="AO250" s="381"/>
      <c r="AP250" s="381"/>
      <c r="AQ250" s="381"/>
      <c r="AR250" s="381"/>
      <c r="AS250" s="381"/>
      <c r="AT250" s="381"/>
      <c r="AU250" s="381"/>
      <c r="AV250" s="381"/>
      <c r="AW250" s="381"/>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1"/>
      <c r="BZ250" s="381"/>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c r="DO250" s="381"/>
      <c r="DP250" s="381"/>
      <c r="DQ250" s="381"/>
      <c r="DR250" s="381"/>
      <c r="DS250" s="381"/>
      <c r="DT250" s="381"/>
      <c r="DU250" s="381"/>
      <c r="DV250" s="381"/>
      <c r="DW250" s="277"/>
      <c r="DX250" s="381"/>
      <c r="DY250" s="381"/>
      <c r="DZ250" s="381"/>
      <c r="EA250" s="381"/>
      <c r="EB250" s="381"/>
      <c r="EC250" s="381"/>
      <c r="ED250" s="381"/>
      <c r="EE250" s="381"/>
      <c r="EF250" s="381"/>
      <c r="EG250" s="381"/>
      <c r="EH250" s="381"/>
      <c r="EI250" s="381"/>
      <c r="EJ250" s="381"/>
      <c r="EK250" s="381"/>
      <c r="EL250" s="381"/>
      <c r="EM250" s="381"/>
      <c r="EN250" s="381"/>
      <c r="EO250" s="381"/>
      <c r="EP250" s="381"/>
      <c r="EQ250" s="381"/>
      <c r="ER250" s="277"/>
      <c r="ES250" s="381"/>
      <c r="ET250" s="381"/>
      <c r="EU250" s="381"/>
      <c r="EV250" s="381"/>
      <c r="EW250" s="381"/>
      <c r="EX250" s="381"/>
      <c r="EY250" s="381"/>
      <c r="EZ250" s="381"/>
      <c r="FA250" s="381"/>
      <c r="FB250" s="381"/>
      <c r="FC250" s="381"/>
      <c r="FD250" s="381"/>
      <c r="FE250" s="381"/>
      <c r="FF250" s="381"/>
      <c r="FG250" s="381"/>
      <c r="FH250" s="381"/>
      <c r="FI250" s="381"/>
      <c r="FJ250" s="381"/>
      <c r="FK250" s="381"/>
      <c r="FL250" s="381"/>
      <c r="FM250" s="381"/>
      <c r="FN250" s="381"/>
      <c r="FO250" s="381"/>
      <c r="FP250" s="381"/>
      <c r="FQ250" s="381"/>
      <c r="FR250" s="381"/>
      <c r="FS250" s="381"/>
      <c r="FT250" s="381"/>
      <c r="FU250" s="381"/>
      <c r="FV250" s="381"/>
      <c r="FW250" s="381"/>
      <c r="FX250" s="381"/>
      <c r="FY250" s="381"/>
      <c r="FZ250" s="381"/>
      <c r="GA250" s="381"/>
      <c r="GB250" s="381"/>
      <c r="GC250" s="381"/>
      <c r="GD250" s="381"/>
      <c r="GE250" s="381"/>
      <c r="GF250" s="381"/>
      <c r="GG250" s="381"/>
      <c r="GH250" s="381"/>
      <c r="GI250" s="381"/>
      <c r="GJ250" s="381"/>
      <c r="GK250" s="381"/>
      <c r="GL250" s="381"/>
      <c r="GM250" s="381"/>
      <c r="GN250" s="381"/>
      <c r="GO250" s="381"/>
      <c r="GP250" s="381"/>
      <c r="GQ250" s="381"/>
      <c r="GR250" s="381"/>
      <c r="GS250" s="381"/>
      <c r="GT250" s="381"/>
      <c r="GU250" s="381"/>
      <c r="GV250" s="381"/>
      <c r="GW250" s="381"/>
      <c r="GX250" s="381"/>
      <c r="GY250" s="381"/>
      <c r="GZ250" s="381"/>
      <c r="HA250" s="381"/>
      <c r="HB250" s="381"/>
      <c r="HC250" s="381"/>
      <c r="HD250" s="381"/>
      <c r="HE250" s="381"/>
      <c r="HF250" s="381"/>
      <c r="HG250" s="381"/>
      <c r="HH250" s="381"/>
      <c r="HI250" s="381"/>
      <c r="HJ250" s="381"/>
      <c r="HK250" s="381"/>
      <c r="HL250" s="381"/>
      <c r="HM250" s="381"/>
      <c r="HN250" s="381"/>
      <c r="HO250" s="381"/>
      <c r="HP250" s="381"/>
      <c r="HQ250" s="381"/>
      <c r="HR250" s="381"/>
      <c r="HS250" s="381"/>
      <c r="HT250" s="381"/>
      <c r="HU250" s="381"/>
      <c r="HV250" s="381"/>
      <c r="HW250" s="381"/>
      <c r="HX250" s="381"/>
      <c r="HY250" s="381"/>
      <c r="HZ250" s="381"/>
      <c r="IA250" s="381"/>
      <c r="IB250" s="381"/>
      <c r="IC250" s="381"/>
      <c r="ID250" s="381"/>
      <c r="IE250" s="381"/>
      <c r="IF250" s="381"/>
      <c r="IG250" s="381"/>
      <c r="IH250" s="381"/>
      <c r="II250" s="381"/>
      <c r="IJ250" s="381"/>
      <c r="IK250" s="381"/>
      <c r="IL250" s="381"/>
      <c r="IM250" s="381"/>
      <c r="IN250" s="381"/>
      <c r="IO250" s="381"/>
      <c r="IP250" s="381"/>
      <c r="IQ250" s="381"/>
      <c r="IR250" s="381"/>
      <c r="IS250" s="381"/>
      <c r="IT250" s="381"/>
      <c r="IU250" s="381"/>
      <c r="IV250" s="381"/>
      <c r="IW250" s="381"/>
      <c r="IX250" s="381"/>
      <c r="IY250" s="381"/>
      <c r="IZ250" s="381"/>
      <c r="JA250" s="381"/>
      <c r="JB250" s="381"/>
      <c r="JC250" s="381"/>
      <c r="JD250" s="381"/>
      <c r="JE250" s="381"/>
      <c r="JF250" s="381"/>
      <c r="JG250" s="277"/>
      <c r="JH250" s="381"/>
      <c r="JI250" s="381"/>
      <c r="JJ250" s="381"/>
      <c r="JK250" s="381"/>
      <c r="JL250" s="381"/>
      <c r="JM250" s="381"/>
      <c r="JN250" s="381"/>
      <c r="JO250" s="381"/>
      <c r="JP250" s="381"/>
      <c r="JQ250" s="381"/>
      <c r="JR250" s="381"/>
      <c r="JS250" s="381"/>
      <c r="JT250" s="381"/>
      <c r="JU250" s="381"/>
      <c r="JV250" s="381"/>
      <c r="JW250" s="381"/>
      <c r="JX250" s="381"/>
      <c r="JY250" s="381"/>
      <c r="JZ250" s="381"/>
      <c r="KA250" s="381"/>
      <c r="KB250" s="277"/>
    </row>
    <row r="251" spans="2:288" ht="15" customHeight="1" x14ac:dyDescent="0.25">
      <c r="B251" s="216" t="str">
        <f t="shared" si="22"/>
        <v>Desk 35</v>
      </c>
      <c r="C251" s="218" t="str">
        <v/>
      </c>
      <c r="D251" s="218" t="str">
        <v/>
      </c>
      <c r="E251" s="218" t="str">
        <v/>
      </c>
      <c r="F251" s="218" t="str">
        <v/>
      </c>
      <c r="G251" s="402" t="str">
        <v/>
      </c>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c r="AG251" s="381"/>
      <c r="AH251" s="381"/>
      <c r="AI251" s="381"/>
      <c r="AJ251" s="381"/>
      <c r="AK251" s="381"/>
      <c r="AL251" s="381"/>
      <c r="AM251" s="381"/>
      <c r="AN251" s="381"/>
      <c r="AO251" s="381"/>
      <c r="AP251" s="381"/>
      <c r="AQ251" s="381"/>
      <c r="AR251" s="381"/>
      <c r="AS251" s="381"/>
      <c r="AT251" s="381"/>
      <c r="AU251" s="381"/>
      <c r="AV251" s="381"/>
      <c r="AW251" s="381"/>
      <c r="AX251" s="381"/>
      <c r="AY251" s="381"/>
      <c r="AZ251" s="381"/>
      <c r="BA251" s="381"/>
      <c r="BB251" s="381"/>
      <c r="BC251" s="381"/>
      <c r="BD251" s="381"/>
      <c r="BE251" s="381"/>
      <c r="BF251" s="381"/>
      <c r="BG251" s="381"/>
      <c r="BH251" s="381"/>
      <c r="BI251" s="381"/>
      <c r="BJ251" s="381"/>
      <c r="BK251" s="381"/>
      <c r="BL251" s="381"/>
      <c r="BM251" s="381"/>
      <c r="BN251" s="381"/>
      <c r="BO251" s="381"/>
      <c r="BP251" s="381"/>
      <c r="BQ251" s="381"/>
      <c r="BR251" s="381"/>
      <c r="BS251" s="381"/>
      <c r="BT251" s="381"/>
      <c r="BU251" s="381"/>
      <c r="BV251" s="381"/>
      <c r="BW251" s="381"/>
      <c r="BX251" s="381"/>
      <c r="BY251" s="381"/>
      <c r="BZ251" s="381"/>
      <c r="CA251" s="381"/>
      <c r="CB251" s="381"/>
      <c r="CC251" s="381"/>
      <c r="CD251" s="381"/>
      <c r="CE251" s="381"/>
      <c r="CF251" s="381"/>
      <c r="CG251" s="381"/>
      <c r="CH251" s="381"/>
      <c r="CI251" s="381"/>
      <c r="CJ251" s="381"/>
      <c r="CK251" s="381"/>
      <c r="CL251" s="381"/>
      <c r="CM251" s="381"/>
      <c r="CN251" s="381"/>
      <c r="CO251" s="381"/>
      <c r="CP251" s="381"/>
      <c r="CQ251" s="381"/>
      <c r="CR251" s="381"/>
      <c r="CS251" s="381"/>
      <c r="CT251" s="381"/>
      <c r="CU251" s="381"/>
      <c r="CV251" s="381"/>
      <c r="CW251" s="381"/>
      <c r="CX251" s="381"/>
      <c r="CY251" s="381"/>
      <c r="CZ251" s="381"/>
      <c r="DA251" s="381"/>
      <c r="DB251" s="381"/>
      <c r="DC251" s="381"/>
      <c r="DD251" s="381"/>
      <c r="DE251" s="381"/>
      <c r="DF251" s="381"/>
      <c r="DG251" s="381"/>
      <c r="DH251" s="381"/>
      <c r="DI251" s="381"/>
      <c r="DJ251" s="381"/>
      <c r="DK251" s="381"/>
      <c r="DL251" s="381"/>
      <c r="DM251" s="381"/>
      <c r="DN251" s="381"/>
      <c r="DO251" s="381"/>
      <c r="DP251" s="381"/>
      <c r="DQ251" s="381"/>
      <c r="DR251" s="381"/>
      <c r="DS251" s="381"/>
      <c r="DT251" s="381"/>
      <c r="DU251" s="381"/>
      <c r="DV251" s="381"/>
      <c r="DW251" s="277"/>
      <c r="DX251" s="381"/>
      <c r="DY251" s="381"/>
      <c r="DZ251" s="381"/>
      <c r="EA251" s="381"/>
      <c r="EB251" s="381"/>
      <c r="EC251" s="381"/>
      <c r="ED251" s="381"/>
      <c r="EE251" s="381"/>
      <c r="EF251" s="381"/>
      <c r="EG251" s="381"/>
      <c r="EH251" s="381"/>
      <c r="EI251" s="381"/>
      <c r="EJ251" s="381"/>
      <c r="EK251" s="381"/>
      <c r="EL251" s="381"/>
      <c r="EM251" s="381"/>
      <c r="EN251" s="381"/>
      <c r="EO251" s="381"/>
      <c r="EP251" s="381"/>
      <c r="EQ251" s="381"/>
      <c r="ER251" s="277"/>
      <c r="ES251" s="381"/>
      <c r="ET251" s="381"/>
      <c r="EU251" s="381"/>
      <c r="EV251" s="381"/>
      <c r="EW251" s="381"/>
      <c r="EX251" s="381"/>
      <c r="EY251" s="381"/>
      <c r="EZ251" s="381"/>
      <c r="FA251" s="381"/>
      <c r="FB251" s="381"/>
      <c r="FC251" s="381"/>
      <c r="FD251" s="381"/>
      <c r="FE251" s="381"/>
      <c r="FF251" s="381"/>
      <c r="FG251" s="381"/>
      <c r="FH251" s="381"/>
      <c r="FI251" s="381"/>
      <c r="FJ251" s="381"/>
      <c r="FK251" s="381"/>
      <c r="FL251" s="381"/>
      <c r="FM251" s="381"/>
      <c r="FN251" s="381"/>
      <c r="FO251" s="381"/>
      <c r="FP251" s="381"/>
      <c r="FQ251" s="381"/>
      <c r="FR251" s="381"/>
      <c r="FS251" s="381"/>
      <c r="FT251" s="381"/>
      <c r="FU251" s="381"/>
      <c r="FV251" s="381"/>
      <c r="FW251" s="381"/>
      <c r="FX251" s="381"/>
      <c r="FY251" s="381"/>
      <c r="FZ251" s="381"/>
      <c r="GA251" s="381"/>
      <c r="GB251" s="381"/>
      <c r="GC251" s="381"/>
      <c r="GD251" s="381"/>
      <c r="GE251" s="381"/>
      <c r="GF251" s="381"/>
      <c r="GG251" s="381"/>
      <c r="GH251" s="381"/>
      <c r="GI251" s="381"/>
      <c r="GJ251" s="381"/>
      <c r="GK251" s="381"/>
      <c r="GL251" s="381"/>
      <c r="GM251" s="381"/>
      <c r="GN251" s="381"/>
      <c r="GO251" s="381"/>
      <c r="GP251" s="381"/>
      <c r="GQ251" s="381"/>
      <c r="GR251" s="381"/>
      <c r="GS251" s="381"/>
      <c r="GT251" s="381"/>
      <c r="GU251" s="381"/>
      <c r="GV251" s="381"/>
      <c r="GW251" s="381"/>
      <c r="GX251" s="381"/>
      <c r="GY251" s="381"/>
      <c r="GZ251" s="381"/>
      <c r="HA251" s="381"/>
      <c r="HB251" s="381"/>
      <c r="HC251" s="381"/>
      <c r="HD251" s="381"/>
      <c r="HE251" s="381"/>
      <c r="HF251" s="381"/>
      <c r="HG251" s="381"/>
      <c r="HH251" s="381"/>
      <c r="HI251" s="381"/>
      <c r="HJ251" s="381"/>
      <c r="HK251" s="381"/>
      <c r="HL251" s="381"/>
      <c r="HM251" s="381"/>
      <c r="HN251" s="381"/>
      <c r="HO251" s="381"/>
      <c r="HP251" s="381"/>
      <c r="HQ251" s="381"/>
      <c r="HR251" s="381"/>
      <c r="HS251" s="381"/>
      <c r="HT251" s="381"/>
      <c r="HU251" s="381"/>
      <c r="HV251" s="381"/>
      <c r="HW251" s="381"/>
      <c r="HX251" s="381"/>
      <c r="HY251" s="381"/>
      <c r="HZ251" s="381"/>
      <c r="IA251" s="381"/>
      <c r="IB251" s="381"/>
      <c r="IC251" s="381"/>
      <c r="ID251" s="381"/>
      <c r="IE251" s="381"/>
      <c r="IF251" s="381"/>
      <c r="IG251" s="381"/>
      <c r="IH251" s="381"/>
      <c r="II251" s="381"/>
      <c r="IJ251" s="381"/>
      <c r="IK251" s="381"/>
      <c r="IL251" s="381"/>
      <c r="IM251" s="381"/>
      <c r="IN251" s="381"/>
      <c r="IO251" s="381"/>
      <c r="IP251" s="381"/>
      <c r="IQ251" s="381"/>
      <c r="IR251" s="381"/>
      <c r="IS251" s="381"/>
      <c r="IT251" s="381"/>
      <c r="IU251" s="381"/>
      <c r="IV251" s="381"/>
      <c r="IW251" s="381"/>
      <c r="IX251" s="381"/>
      <c r="IY251" s="381"/>
      <c r="IZ251" s="381"/>
      <c r="JA251" s="381"/>
      <c r="JB251" s="381"/>
      <c r="JC251" s="381"/>
      <c r="JD251" s="381"/>
      <c r="JE251" s="381"/>
      <c r="JF251" s="381"/>
      <c r="JG251" s="277"/>
      <c r="JH251" s="381"/>
      <c r="JI251" s="381"/>
      <c r="JJ251" s="381"/>
      <c r="JK251" s="381"/>
      <c r="JL251" s="381"/>
      <c r="JM251" s="381"/>
      <c r="JN251" s="381"/>
      <c r="JO251" s="381"/>
      <c r="JP251" s="381"/>
      <c r="JQ251" s="381"/>
      <c r="JR251" s="381"/>
      <c r="JS251" s="381"/>
      <c r="JT251" s="381"/>
      <c r="JU251" s="381"/>
      <c r="JV251" s="381"/>
      <c r="JW251" s="381"/>
      <c r="JX251" s="381"/>
      <c r="JY251" s="381"/>
      <c r="JZ251" s="381"/>
      <c r="KA251" s="381"/>
      <c r="KB251" s="277"/>
    </row>
    <row r="252" spans="2:288" ht="15" customHeight="1" x14ac:dyDescent="0.25">
      <c r="B252" s="216" t="str">
        <f t="shared" si="22"/>
        <v>Desk 36</v>
      </c>
      <c r="C252" s="218" t="str">
        <v/>
      </c>
      <c r="D252" s="218" t="str">
        <v/>
      </c>
      <c r="E252" s="218" t="str">
        <v/>
      </c>
      <c r="F252" s="218" t="str">
        <v/>
      </c>
      <c r="G252" s="402" t="str">
        <v/>
      </c>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1"/>
      <c r="BM252" s="381"/>
      <c r="BN252" s="381"/>
      <c r="BO252" s="381"/>
      <c r="BP252" s="381"/>
      <c r="BQ252" s="381"/>
      <c r="BR252" s="381"/>
      <c r="BS252" s="381"/>
      <c r="BT252" s="381"/>
      <c r="BU252" s="381"/>
      <c r="BV252" s="381"/>
      <c r="BW252" s="381"/>
      <c r="BX252" s="381"/>
      <c r="BY252" s="381"/>
      <c r="BZ252" s="381"/>
      <c r="CA252" s="381"/>
      <c r="CB252" s="381"/>
      <c r="CC252" s="381"/>
      <c r="CD252" s="381"/>
      <c r="CE252" s="381"/>
      <c r="CF252" s="381"/>
      <c r="CG252" s="381"/>
      <c r="CH252" s="381"/>
      <c r="CI252" s="381"/>
      <c r="CJ252" s="381"/>
      <c r="CK252" s="381"/>
      <c r="CL252" s="381"/>
      <c r="CM252" s="381"/>
      <c r="CN252" s="381"/>
      <c r="CO252" s="381"/>
      <c r="CP252" s="381"/>
      <c r="CQ252" s="381"/>
      <c r="CR252" s="381"/>
      <c r="CS252" s="381"/>
      <c r="CT252" s="381"/>
      <c r="CU252" s="381"/>
      <c r="CV252" s="381"/>
      <c r="CW252" s="381"/>
      <c r="CX252" s="381"/>
      <c r="CY252" s="381"/>
      <c r="CZ252" s="381"/>
      <c r="DA252" s="381"/>
      <c r="DB252" s="381"/>
      <c r="DC252" s="381"/>
      <c r="DD252" s="381"/>
      <c r="DE252" s="381"/>
      <c r="DF252" s="381"/>
      <c r="DG252" s="381"/>
      <c r="DH252" s="381"/>
      <c r="DI252" s="381"/>
      <c r="DJ252" s="381"/>
      <c r="DK252" s="381"/>
      <c r="DL252" s="381"/>
      <c r="DM252" s="381"/>
      <c r="DN252" s="381"/>
      <c r="DO252" s="381"/>
      <c r="DP252" s="381"/>
      <c r="DQ252" s="381"/>
      <c r="DR252" s="381"/>
      <c r="DS252" s="381"/>
      <c r="DT252" s="381"/>
      <c r="DU252" s="381"/>
      <c r="DV252" s="381"/>
      <c r="DW252" s="277"/>
      <c r="DX252" s="381"/>
      <c r="DY252" s="381"/>
      <c r="DZ252" s="381"/>
      <c r="EA252" s="381"/>
      <c r="EB252" s="381"/>
      <c r="EC252" s="381"/>
      <c r="ED252" s="381"/>
      <c r="EE252" s="381"/>
      <c r="EF252" s="381"/>
      <c r="EG252" s="381"/>
      <c r="EH252" s="381"/>
      <c r="EI252" s="381"/>
      <c r="EJ252" s="381"/>
      <c r="EK252" s="381"/>
      <c r="EL252" s="381"/>
      <c r="EM252" s="381"/>
      <c r="EN252" s="381"/>
      <c r="EO252" s="381"/>
      <c r="EP252" s="381"/>
      <c r="EQ252" s="381"/>
      <c r="ER252" s="277"/>
      <c r="ES252" s="381"/>
      <c r="ET252" s="381"/>
      <c r="EU252" s="381"/>
      <c r="EV252" s="381"/>
      <c r="EW252" s="381"/>
      <c r="EX252" s="381"/>
      <c r="EY252" s="381"/>
      <c r="EZ252" s="381"/>
      <c r="FA252" s="381"/>
      <c r="FB252" s="381"/>
      <c r="FC252" s="381"/>
      <c r="FD252" s="381"/>
      <c r="FE252" s="381"/>
      <c r="FF252" s="381"/>
      <c r="FG252" s="381"/>
      <c r="FH252" s="381"/>
      <c r="FI252" s="381"/>
      <c r="FJ252" s="381"/>
      <c r="FK252" s="381"/>
      <c r="FL252" s="381"/>
      <c r="FM252" s="381"/>
      <c r="FN252" s="381"/>
      <c r="FO252" s="381"/>
      <c r="FP252" s="381"/>
      <c r="FQ252" s="381"/>
      <c r="FR252" s="381"/>
      <c r="FS252" s="381"/>
      <c r="FT252" s="381"/>
      <c r="FU252" s="381"/>
      <c r="FV252" s="381"/>
      <c r="FW252" s="381"/>
      <c r="FX252" s="381"/>
      <c r="FY252" s="381"/>
      <c r="FZ252" s="381"/>
      <c r="GA252" s="381"/>
      <c r="GB252" s="381"/>
      <c r="GC252" s="381"/>
      <c r="GD252" s="381"/>
      <c r="GE252" s="381"/>
      <c r="GF252" s="381"/>
      <c r="GG252" s="381"/>
      <c r="GH252" s="381"/>
      <c r="GI252" s="381"/>
      <c r="GJ252" s="381"/>
      <c r="GK252" s="381"/>
      <c r="GL252" s="381"/>
      <c r="GM252" s="381"/>
      <c r="GN252" s="381"/>
      <c r="GO252" s="381"/>
      <c r="GP252" s="381"/>
      <c r="GQ252" s="381"/>
      <c r="GR252" s="381"/>
      <c r="GS252" s="381"/>
      <c r="GT252" s="381"/>
      <c r="GU252" s="381"/>
      <c r="GV252" s="381"/>
      <c r="GW252" s="381"/>
      <c r="GX252" s="381"/>
      <c r="GY252" s="381"/>
      <c r="GZ252" s="381"/>
      <c r="HA252" s="381"/>
      <c r="HB252" s="381"/>
      <c r="HC252" s="381"/>
      <c r="HD252" s="381"/>
      <c r="HE252" s="381"/>
      <c r="HF252" s="381"/>
      <c r="HG252" s="381"/>
      <c r="HH252" s="381"/>
      <c r="HI252" s="381"/>
      <c r="HJ252" s="381"/>
      <c r="HK252" s="381"/>
      <c r="HL252" s="381"/>
      <c r="HM252" s="381"/>
      <c r="HN252" s="381"/>
      <c r="HO252" s="381"/>
      <c r="HP252" s="381"/>
      <c r="HQ252" s="381"/>
      <c r="HR252" s="381"/>
      <c r="HS252" s="381"/>
      <c r="HT252" s="381"/>
      <c r="HU252" s="381"/>
      <c r="HV252" s="381"/>
      <c r="HW252" s="381"/>
      <c r="HX252" s="381"/>
      <c r="HY252" s="381"/>
      <c r="HZ252" s="381"/>
      <c r="IA252" s="381"/>
      <c r="IB252" s="381"/>
      <c r="IC252" s="381"/>
      <c r="ID252" s="381"/>
      <c r="IE252" s="381"/>
      <c r="IF252" s="381"/>
      <c r="IG252" s="381"/>
      <c r="IH252" s="381"/>
      <c r="II252" s="381"/>
      <c r="IJ252" s="381"/>
      <c r="IK252" s="381"/>
      <c r="IL252" s="381"/>
      <c r="IM252" s="381"/>
      <c r="IN252" s="381"/>
      <c r="IO252" s="381"/>
      <c r="IP252" s="381"/>
      <c r="IQ252" s="381"/>
      <c r="IR252" s="381"/>
      <c r="IS252" s="381"/>
      <c r="IT252" s="381"/>
      <c r="IU252" s="381"/>
      <c r="IV252" s="381"/>
      <c r="IW252" s="381"/>
      <c r="IX252" s="381"/>
      <c r="IY252" s="381"/>
      <c r="IZ252" s="381"/>
      <c r="JA252" s="381"/>
      <c r="JB252" s="381"/>
      <c r="JC252" s="381"/>
      <c r="JD252" s="381"/>
      <c r="JE252" s="381"/>
      <c r="JF252" s="381"/>
      <c r="JG252" s="277"/>
      <c r="JH252" s="381"/>
      <c r="JI252" s="381"/>
      <c r="JJ252" s="381"/>
      <c r="JK252" s="381"/>
      <c r="JL252" s="381"/>
      <c r="JM252" s="381"/>
      <c r="JN252" s="381"/>
      <c r="JO252" s="381"/>
      <c r="JP252" s="381"/>
      <c r="JQ252" s="381"/>
      <c r="JR252" s="381"/>
      <c r="JS252" s="381"/>
      <c r="JT252" s="381"/>
      <c r="JU252" s="381"/>
      <c r="JV252" s="381"/>
      <c r="JW252" s="381"/>
      <c r="JX252" s="381"/>
      <c r="JY252" s="381"/>
      <c r="JZ252" s="381"/>
      <c r="KA252" s="381"/>
      <c r="KB252" s="277"/>
    </row>
    <row r="253" spans="2:288" ht="15" customHeight="1" x14ac:dyDescent="0.25">
      <c r="B253" s="216" t="str">
        <f t="shared" si="22"/>
        <v>Desk 37</v>
      </c>
      <c r="C253" s="218" t="str">
        <v/>
      </c>
      <c r="D253" s="218" t="str">
        <v/>
      </c>
      <c r="E253" s="218" t="str">
        <v/>
      </c>
      <c r="F253" s="218" t="str">
        <v/>
      </c>
      <c r="G253" s="402" t="str">
        <v/>
      </c>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c r="AG253" s="381"/>
      <c r="AH253" s="381"/>
      <c r="AI253" s="381"/>
      <c r="AJ253" s="381"/>
      <c r="AK253" s="381"/>
      <c r="AL253" s="381"/>
      <c r="AM253" s="381"/>
      <c r="AN253" s="381"/>
      <c r="AO253" s="381"/>
      <c r="AP253" s="381"/>
      <c r="AQ253" s="381"/>
      <c r="AR253" s="381"/>
      <c r="AS253" s="381"/>
      <c r="AT253" s="381"/>
      <c r="AU253" s="381"/>
      <c r="AV253" s="381"/>
      <c r="AW253" s="381"/>
      <c r="AX253" s="381"/>
      <c r="AY253" s="381"/>
      <c r="AZ253" s="381"/>
      <c r="BA253" s="381"/>
      <c r="BB253" s="381"/>
      <c r="BC253" s="381"/>
      <c r="BD253" s="381"/>
      <c r="BE253" s="381"/>
      <c r="BF253" s="381"/>
      <c r="BG253" s="381"/>
      <c r="BH253" s="381"/>
      <c r="BI253" s="381"/>
      <c r="BJ253" s="381"/>
      <c r="BK253" s="381"/>
      <c r="BL253" s="381"/>
      <c r="BM253" s="381"/>
      <c r="BN253" s="381"/>
      <c r="BO253" s="381"/>
      <c r="BP253" s="381"/>
      <c r="BQ253" s="381"/>
      <c r="BR253" s="381"/>
      <c r="BS253" s="381"/>
      <c r="BT253" s="381"/>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81"/>
      <c r="CS253" s="381"/>
      <c r="CT253" s="381"/>
      <c r="CU253" s="381"/>
      <c r="CV253" s="381"/>
      <c r="CW253" s="381"/>
      <c r="CX253" s="381"/>
      <c r="CY253" s="381"/>
      <c r="CZ253" s="381"/>
      <c r="DA253" s="381"/>
      <c r="DB253" s="381"/>
      <c r="DC253" s="381"/>
      <c r="DD253" s="381"/>
      <c r="DE253" s="381"/>
      <c r="DF253" s="381"/>
      <c r="DG253" s="381"/>
      <c r="DH253" s="381"/>
      <c r="DI253" s="381"/>
      <c r="DJ253" s="381"/>
      <c r="DK253" s="381"/>
      <c r="DL253" s="381"/>
      <c r="DM253" s="381"/>
      <c r="DN253" s="381"/>
      <c r="DO253" s="381"/>
      <c r="DP253" s="381"/>
      <c r="DQ253" s="381"/>
      <c r="DR253" s="381"/>
      <c r="DS253" s="381"/>
      <c r="DT253" s="381"/>
      <c r="DU253" s="381"/>
      <c r="DV253" s="381"/>
      <c r="DW253" s="277"/>
      <c r="DX253" s="381"/>
      <c r="DY253" s="381"/>
      <c r="DZ253" s="381"/>
      <c r="EA253" s="381"/>
      <c r="EB253" s="381"/>
      <c r="EC253" s="381"/>
      <c r="ED253" s="381"/>
      <c r="EE253" s="381"/>
      <c r="EF253" s="381"/>
      <c r="EG253" s="381"/>
      <c r="EH253" s="381"/>
      <c r="EI253" s="381"/>
      <c r="EJ253" s="381"/>
      <c r="EK253" s="381"/>
      <c r="EL253" s="381"/>
      <c r="EM253" s="381"/>
      <c r="EN253" s="381"/>
      <c r="EO253" s="381"/>
      <c r="EP253" s="381"/>
      <c r="EQ253" s="381"/>
      <c r="ER253" s="277"/>
      <c r="ES253" s="381"/>
      <c r="ET253" s="381"/>
      <c r="EU253" s="381"/>
      <c r="EV253" s="381"/>
      <c r="EW253" s="381"/>
      <c r="EX253" s="381"/>
      <c r="EY253" s="381"/>
      <c r="EZ253" s="381"/>
      <c r="FA253" s="381"/>
      <c r="FB253" s="381"/>
      <c r="FC253" s="381"/>
      <c r="FD253" s="381"/>
      <c r="FE253" s="381"/>
      <c r="FF253" s="381"/>
      <c r="FG253" s="381"/>
      <c r="FH253" s="381"/>
      <c r="FI253" s="381"/>
      <c r="FJ253" s="381"/>
      <c r="FK253" s="381"/>
      <c r="FL253" s="381"/>
      <c r="FM253" s="381"/>
      <c r="FN253" s="381"/>
      <c r="FO253" s="381"/>
      <c r="FP253" s="381"/>
      <c r="FQ253" s="381"/>
      <c r="FR253" s="381"/>
      <c r="FS253" s="381"/>
      <c r="FT253" s="381"/>
      <c r="FU253" s="381"/>
      <c r="FV253" s="381"/>
      <c r="FW253" s="381"/>
      <c r="FX253" s="381"/>
      <c r="FY253" s="381"/>
      <c r="FZ253" s="381"/>
      <c r="GA253" s="381"/>
      <c r="GB253" s="381"/>
      <c r="GC253" s="381"/>
      <c r="GD253" s="381"/>
      <c r="GE253" s="381"/>
      <c r="GF253" s="381"/>
      <c r="GG253" s="381"/>
      <c r="GH253" s="381"/>
      <c r="GI253" s="381"/>
      <c r="GJ253" s="381"/>
      <c r="GK253" s="381"/>
      <c r="GL253" s="381"/>
      <c r="GM253" s="381"/>
      <c r="GN253" s="381"/>
      <c r="GO253" s="381"/>
      <c r="GP253" s="381"/>
      <c r="GQ253" s="381"/>
      <c r="GR253" s="381"/>
      <c r="GS253" s="381"/>
      <c r="GT253" s="381"/>
      <c r="GU253" s="381"/>
      <c r="GV253" s="381"/>
      <c r="GW253" s="381"/>
      <c r="GX253" s="381"/>
      <c r="GY253" s="381"/>
      <c r="GZ253" s="381"/>
      <c r="HA253" s="381"/>
      <c r="HB253" s="381"/>
      <c r="HC253" s="381"/>
      <c r="HD253" s="381"/>
      <c r="HE253" s="381"/>
      <c r="HF253" s="381"/>
      <c r="HG253" s="381"/>
      <c r="HH253" s="381"/>
      <c r="HI253" s="381"/>
      <c r="HJ253" s="381"/>
      <c r="HK253" s="381"/>
      <c r="HL253" s="381"/>
      <c r="HM253" s="381"/>
      <c r="HN253" s="381"/>
      <c r="HO253" s="381"/>
      <c r="HP253" s="381"/>
      <c r="HQ253" s="381"/>
      <c r="HR253" s="381"/>
      <c r="HS253" s="381"/>
      <c r="HT253" s="381"/>
      <c r="HU253" s="381"/>
      <c r="HV253" s="381"/>
      <c r="HW253" s="381"/>
      <c r="HX253" s="381"/>
      <c r="HY253" s="381"/>
      <c r="HZ253" s="381"/>
      <c r="IA253" s="381"/>
      <c r="IB253" s="381"/>
      <c r="IC253" s="381"/>
      <c r="ID253" s="381"/>
      <c r="IE253" s="381"/>
      <c r="IF253" s="381"/>
      <c r="IG253" s="381"/>
      <c r="IH253" s="381"/>
      <c r="II253" s="381"/>
      <c r="IJ253" s="381"/>
      <c r="IK253" s="381"/>
      <c r="IL253" s="381"/>
      <c r="IM253" s="381"/>
      <c r="IN253" s="381"/>
      <c r="IO253" s="381"/>
      <c r="IP253" s="381"/>
      <c r="IQ253" s="381"/>
      <c r="IR253" s="381"/>
      <c r="IS253" s="381"/>
      <c r="IT253" s="381"/>
      <c r="IU253" s="381"/>
      <c r="IV253" s="381"/>
      <c r="IW253" s="381"/>
      <c r="IX253" s="381"/>
      <c r="IY253" s="381"/>
      <c r="IZ253" s="381"/>
      <c r="JA253" s="381"/>
      <c r="JB253" s="381"/>
      <c r="JC253" s="381"/>
      <c r="JD253" s="381"/>
      <c r="JE253" s="381"/>
      <c r="JF253" s="381"/>
      <c r="JG253" s="277"/>
      <c r="JH253" s="381"/>
      <c r="JI253" s="381"/>
      <c r="JJ253" s="381"/>
      <c r="JK253" s="381"/>
      <c r="JL253" s="381"/>
      <c r="JM253" s="381"/>
      <c r="JN253" s="381"/>
      <c r="JO253" s="381"/>
      <c r="JP253" s="381"/>
      <c r="JQ253" s="381"/>
      <c r="JR253" s="381"/>
      <c r="JS253" s="381"/>
      <c r="JT253" s="381"/>
      <c r="JU253" s="381"/>
      <c r="JV253" s="381"/>
      <c r="JW253" s="381"/>
      <c r="JX253" s="381"/>
      <c r="JY253" s="381"/>
      <c r="JZ253" s="381"/>
      <c r="KA253" s="381"/>
      <c r="KB253" s="277"/>
    </row>
    <row r="254" spans="2:288" ht="15" customHeight="1" x14ac:dyDescent="0.25">
      <c r="B254" s="216" t="str">
        <f t="shared" si="22"/>
        <v>Desk 38</v>
      </c>
      <c r="C254" s="218" t="str">
        <v/>
      </c>
      <c r="D254" s="218" t="str">
        <v/>
      </c>
      <c r="E254" s="218" t="str">
        <v/>
      </c>
      <c r="F254" s="218" t="str">
        <v/>
      </c>
      <c r="G254" s="402" t="str">
        <v/>
      </c>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c r="AG254" s="381"/>
      <c r="AH254" s="381"/>
      <c r="AI254" s="381"/>
      <c r="AJ254" s="381"/>
      <c r="AK254" s="381"/>
      <c r="AL254" s="381"/>
      <c r="AM254" s="381"/>
      <c r="AN254" s="381"/>
      <c r="AO254" s="381"/>
      <c r="AP254" s="381"/>
      <c r="AQ254" s="381"/>
      <c r="AR254" s="381"/>
      <c r="AS254" s="381"/>
      <c r="AT254" s="381"/>
      <c r="AU254" s="381"/>
      <c r="AV254" s="381"/>
      <c r="AW254" s="381"/>
      <c r="AX254" s="381"/>
      <c r="AY254" s="381"/>
      <c r="AZ254" s="381"/>
      <c r="BA254" s="381"/>
      <c r="BB254" s="381"/>
      <c r="BC254" s="381"/>
      <c r="BD254" s="381"/>
      <c r="BE254" s="381"/>
      <c r="BF254" s="381"/>
      <c r="BG254" s="381"/>
      <c r="BH254" s="381"/>
      <c r="BI254" s="381"/>
      <c r="BJ254" s="381"/>
      <c r="BK254" s="381"/>
      <c r="BL254" s="381"/>
      <c r="BM254" s="381"/>
      <c r="BN254" s="381"/>
      <c r="BO254" s="381"/>
      <c r="BP254" s="381"/>
      <c r="BQ254" s="381"/>
      <c r="BR254" s="381"/>
      <c r="BS254" s="381"/>
      <c r="BT254" s="381"/>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81"/>
      <c r="CS254" s="381"/>
      <c r="CT254" s="381"/>
      <c r="CU254" s="381"/>
      <c r="CV254" s="381"/>
      <c r="CW254" s="381"/>
      <c r="CX254" s="381"/>
      <c r="CY254" s="381"/>
      <c r="CZ254" s="381"/>
      <c r="DA254" s="381"/>
      <c r="DB254" s="381"/>
      <c r="DC254" s="381"/>
      <c r="DD254" s="381"/>
      <c r="DE254" s="381"/>
      <c r="DF254" s="381"/>
      <c r="DG254" s="381"/>
      <c r="DH254" s="381"/>
      <c r="DI254" s="381"/>
      <c r="DJ254" s="381"/>
      <c r="DK254" s="381"/>
      <c r="DL254" s="381"/>
      <c r="DM254" s="381"/>
      <c r="DN254" s="381"/>
      <c r="DO254" s="381"/>
      <c r="DP254" s="381"/>
      <c r="DQ254" s="381"/>
      <c r="DR254" s="381"/>
      <c r="DS254" s="381"/>
      <c r="DT254" s="381"/>
      <c r="DU254" s="381"/>
      <c r="DV254" s="381"/>
      <c r="DW254" s="277"/>
      <c r="DX254" s="381"/>
      <c r="DY254" s="381"/>
      <c r="DZ254" s="381"/>
      <c r="EA254" s="381"/>
      <c r="EB254" s="381"/>
      <c r="EC254" s="381"/>
      <c r="ED254" s="381"/>
      <c r="EE254" s="381"/>
      <c r="EF254" s="381"/>
      <c r="EG254" s="381"/>
      <c r="EH254" s="381"/>
      <c r="EI254" s="381"/>
      <c r="EJ254" s="381"/>
      <c r="EK254" s="381"/>
      <c r="EL254" s="381"/>
      <c r="EM254" s="381"/>
      <c r="EN254" s="381"/>
      <c r="EO254" s="381"/>
      <c r="EP254" s="381"/>
      <c r="EQ254" s="381"/>
      <c r="ER254" s="277"/>
      <c r="ES254" s="381"/>
      <c r="ET254" s="381"/>
      <c r="EU254" s="381"/>
      <c r="EV254" s="381"/>
      <c r="EW254" s="381"/>
      <c r="EX254" s="381"/>
      <c r="EY254" s="381"/>
      <c r="EZ254" s="381"/>
      <c r="FA254" s="381"/>
      <c r="FB254" s="381"/>
      <c r="FC254" s="381"/>
      <c r="FD254" s="381"/>
      <c r="FE254" s="381"/>
      <c r="FF254" s="381"/>
      <c r="FG254" s="381"/>
      <c r="FH254" s="381"/>
      <c r="FI254" s="381"/>
      <c r="FJ254" s="381"/>
      <c r="FK254" s="381"/>
      <c r="FL254" s="381"/>
      <c r="FM254" s="381"/>
      <c r="FN254" s="381"/>
      <c r="FO254" s="381"/>
      <c r="FP254" s="381"/>
      <c r="FQ254" s="381"/>
      <c r="FR254" s="381"/>
      <c r="FS254" s="381"/>
      <c r="FT254" s="381"/>
      <c r="FU254" s="381"/>
      <c r="FV254" s="381"/>
      <c r="FW254" s="381"/>
      <c r="FX254" s="381"/>
      <c r="FY254" s="381"/>
      <c r="FZ254" s="381"/>
      <c r="GA254" s="381"/>
      <c r="GB254" s="381"/>
      <c r="GC254" s="381"/>
      <c r="GD254" s="381"/>
      <c r="GE254" s="381"/>
      <c r="GF254" s="381"/>
      <c r="GG254" s="381"/>
      <c r="GH254" s="381"/>
      <c r="GI254" s="381"/>
      <c r="GJ254" s="381"/>
      <c r="GK254" s="381"/>
      <c r="GL254" s="381"/>
      <c r="GM254" s="381"/>
      <c r="GN254" s="381"/>
      <c r="GO254" s="381"/>
      <c r="GP254" s="381"/>
      <c r="GQ254" s="381"/>
      <c r="GR254" s="381"/>
      <c r="GS254" s="381"/>
      <c r="GT254" s="381"/>
      <c r="GU254" s="381"/>
      <c r="GV254" s="381"/>
      <c r="GW254" s="381"/>
      <c r="GX254" s="381"/>
      <c r="GY254" s="381"/>
      <c r="GZ254" s="381"/>
      <c r="HA254" s="381"/>
      <c r="HB254" s="381"/>
      <c r="HC254" s="381"/>
      <c r="HD254" s="381"/>
      <c r="HE254" s="381"/>
      <c r="HF254" s="381"/>
      <c r="HG254" s="381"/>
      <c r="HH254" s="381"/>
      <c r="HI254" s="381"/>
      <c r="HJ254" s="381"/>
      <c r="HK254" s="381"/>
      <c r="HL254" s="381"/>
      <c r="HM254" s="381"/>
      <c r="HN254" s="381"/>
      <c r="HO254" s="381"/>
      <c r="HP254" s="381"/>
      <c r="HQ254" s="381"/>
      <c r="HR254" s="381"/>
      <c r="HS254" s="381"/>
      <c r="HT254" s="381"/>
      <c r="HU254" s="381"/>
      <c r="HV254" s="381"/>
      <c r="HW254" s="381"/>
      <c r="HX254" s="381"/>
      <c r="HY254" s="381"/>
      <c r="HZ254" s="381"/>
      <c r="IA254" s="381"/>
      <c r="IB254" s="381"/>
      <c r="IC254" s="381"/>
      <c r="ID254" s="381"/>
      <c r="IE254" s="381"/>
      <c r="IF254" s="381"/>
      <c r="IG254" s="381"/>
      <c r="IH254" s="381"/>
      <c r="II254" s="381"/>
      <c r="IJ254" s="381"/>
      <c r="IK254" s="381"/>
      <c r="IL254" s="381"/>
      <c r="IM254" s="381"/>
      <c r="IN254" s="381"/>
      <c r="IO254" s="381"/>
      <c r="IP254" s="381"/>
      <c r="IQ254" s="381"/>
      <c r="IR254" s="381"/>
      <c r="IS254" s="381"/>
      <c r="IT254" s="381"/>
      <c r="IU254" s="381"/>
      <c r="IV254" s="381"/>
      <c r="IW254" s="381"/>
      <c r="IX254" s="381"/>
      <c r="IY254" s="381"/>
      <c r="IZ254" s="381"/>
      <c r="JA254" s="381"/>
      <c r="JB254" s="381"/>
      <c r="JC254" s="381"/>
      <c r="JD254" s="381"/>
      <c r="JE254" s="381"/>
      <c r="JF254" s="381"/>
      <c r="JG254" s="277"/>
      <c r="JH254" s="381"/>
      <c r="JI254" s="381"/>
      <c r="JJ254" s="381"/>
      <c r="JK254" s="381"/>
      <c r="JL254" s="381"/>
      <c r="JM254" s="381"/>
      <c r="JN254" s="381"/>
      <c r="JO254" s="381"/>
      <c r="JP254" s="381"/>
      <c r="JQ254" s="381"/>
      <c r="JR254" s="381"/>
      <c r="JS254" s="381"/>
      <c r="JT254" s="381"/>
      <c r="JU254" s="381"/>
      <c r="JV254" s="381"/>
      <c r="JW254" s="381"/>
      <c r="JX254" s="381"/>
      <c r="JY254" s="381"/>
      <c r="JZ254" s="381"/>
      <c r="KA254" s="381"/>
      <c r="KB254" s="277"/>
    </row>
    <row r="255" spans="2:288" ht="15" customHeight="1" x14ac:dyDescent="0.25">
      <c r="B255" s="216" t="str">
        <f t="shared" si="22"/>
        <v>Desk 39</v>
      </c>
      <c r="C255" s="218" t="str">
        <v/>
      </c>
      <c r="D255" s="218" t="str">
        <v/>
      </c>
      <c r="E255" s="218" t="str">
        <v/>
      </c>
      <c r="F255" s="218" t="str">
        <v/>
      </c>
      <c r="G255" s="402" t="str">
        <v/>
      </c>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c r="AD255" s="381"/>
      <c r="AE255" s="381"/>
      <c r="AF255" s="381"/>
      <c r="AG255" s="381"/>
      <c r="AH255" s="381"/>
      <c r="AI255" s="381"/>
      <c r="AJ255" s="381"/>
      <c r="AK255" s="381"/>
      <c r="AL255" s="381"/>
      <c r="AM255" s="381"/>
      <c r="AN255" s="381"/>
      <c r="AO255" s="381"/>
      <c r="AP255" s="381"/>
      <c r="AQ255" s="381"/>
      <c r="AR255" s="381"/>
      <c r="AS255" s="381"/>
      <c r="AT255" s="381"/>
      <c r="AU255" s="381"/>
      <c r="AV255" s="381"/>
      <c r="AW255" s="381"/>
      <c r="AX255" s="381"/>
      <c r="AY255" s="381"/>
      <c r="AZ255" s="381"/>
      <c r="BA255" s="381"/>
      <c r="BB255" s="381"/>
      <c r="BC255" s="381"/>
      <c r="BD255" s="381"/>
      <c r="BE255" s="381"/>
      <c r="BF255" s="381"/>
      <c r="BG255" s="381"/>
      <c r="BH255" s="381"/>
      <c r="BI255" s="381"/>
      <c r="BJ255" s="381"/>
      <c r="BK255" s="381"/>
      <c r="BL255" s="381"/>
      <c r="BM255" s="381"/>
      <c r="BN255" s="381"/>
      <c r="BO255" s="381"/>
      <c r="BP255" s="381"/>
      <c r="BQ255" s="381"/>
      <c r="BR255" s="381"/>
      <c r="BS255" s="381"/>
      <c r="BT255" s="381"/>
      <c r="BU255" s="381"/>
      <c r="BV255" s="381"/>
      <c r="BW255" s="381"/>
      <c r="BX255" s="381"/>
      <c r="BY255" s="381"/>
      <c r="BZ255" s="381"/>
      <c r="CA255" s="381"/>
      <c r="CB255" s="381"/>
      <c r="CC255" s="381"/>
      <c r="CD255" s="381"/>
      <c r="CE255" s="381"/>
      <c r="CF255" s="381"/>
      <c r="CG255" s="381"/>
      <c r="CH255" s="381"/>
      <c r="CI255" s="381"/>
      <c r="CJ255" s="381"/>
      <c r="CK255" s="381"/>
      <c r="CL255" s="381"/>
      <c r="CM255" s="381"/>
      <c r="CN255" s="381"/>
      <c r="CO255" s="381"/>
      <c r="CP255" s="381"/>
      <c r="CQ255" s="381"/>
      <c r="CR255" s="381"/>
      <c r="CS255" s="381"/>
      <c r="CT255" s="381"/>
      <c r="CU255" s="381"/>
      <c r="CV255" s="381"/>
      <c r="CW255" s="381"/>
      <c r="CX255" s="381"/>
      <c r="CY255" s="381"/>
      <c r="CZ255" s="381"/>
      <c r="DA255" s="381"/>
      <c r="DB255" s="381"/>
      <c r="DC255" s="381"/>
      <c r="DD255" s="381"/>
      <c r="DE255" s="381"/>
      <c r="DF255" s="381"/>
      <c r="DG255" s="381"/>
      <c r="DH255" s="381"/>
      <c r="DI255" s="381"/>
      <c r="DJ255" s="381"/>
      <c r="DK255" s="381"/>
      <c r="DL255" s="381"/>
      <c r="DM255" s="381"/>
      <c r="DN255" s="381"/>
      <c r="DO255" s="381"/>
      <c r="DP255" s="381"/>
      <c r="DQ255" s="381"/>
      <c r="DR255" s="381"/>
      <c r="DS255" s="381"/>
      <c r="DT255" s="381"/>
      <c r="DU255" s="381"/>
      <c r="DV255" s="381"/>
      <c r="DW255" s="277"/>
      <c r="DX255" s="381"/>
      <c r="DY255" s="381"/>
      <c r="DZ255" s="381"/>
      <c r="EA255" s="381"/>
      <c r="EB255" s="381"/>
      <c r="EC255" s="381"/>
      <c r="ED255" s="381"/>
      <c r="EE255" s="381"/>
      <c r="EF255" s="381"/>
      <c r="EG255" s="381"/>
      <c r="EH255" s="381"/>
      <c r="EI255" s="381"/>
      <c r="EJ255" s="381"/>
      <c r="EK255" s="381"/>
      <c r="EL255" s="381"/>
      <c r="EM255" s="381"/>
      <c r="EN255" s="381"/>
      <c r="EO255" s="381"/>
      <c r="EP255" s="381"/>
      <c r="EQ255" s="381"/>
      <c r="ER255" s="277"/>
      <c r="ES255" s="381"/>
      <c r="ET255" s="381"/>
      <c r="EU255" s="381"/>
      <c r="EV255" s="381"/>
      <c r="EW255" s="381"/>
      <c r="EX255" s="381"/>
      <c r="EY255" s="381"/>
      <c r="EZ255" s="381"/>
      <c r="FA255" s="381"/>
      <c r="FB255" s="381"/>
      <c r="FC255" s="381"/>
      <c r="FD255" s="381"/>
      <c r="FE255" s="381"/>
      <c r="FF255" s="381"/>
      <c r="FG255" s="381"/>
      <c r="FH255" s="381"/>
      <c r="FI255" s="381"/>
      <c r="FJ255" s="381"/>
      <c r="FK255" s="381"/>
      <c r="FL255" s="381"/>
      <c r="FM255" s="381"/>
      <c r="FN255" s="381"/>
      <c r="FO255" s="381"/>
      <c r="FP255" s="381"/>
      <c r="FQ255" s="381"/>
      <c r="FR255" s="381"/>
      <c r="FS255" s="381"/>
      <c r="FT255" s="381"/>
      <c r="FU255" s="381"/>
      <c r="FV255" s="381"/>
      <c r="FW255" s="381"/>
      <c r="FX255" s="381"/>
      <c r="FY255" s="381"/>
      <c r="FZ255" s="381"/>
      <c r="GA255" s="381"/>
      <c r="GB255" s="381"/>
      <c r="GC255" s="381"/>
      <c r="GD255" s="381"/>
      <c r="GE255" s="381"/>
      <c r="GF255" s="381"/>
      <c r="GG255" s="381"/>
      <c r="GH255" s="381"/>
      <c r="GI255" s="381"/>
      <c r="GJ255" s="381"/>
      <c r="GK255" s="381"/>
      <c r="GL255" s="381"/>
      <c r="GM255" s="381"/>
      <c r="GN255" s="381"/>
      <c r="GO255" s="381"/>
      <c r="GP255" s="381"/>
      <c r="GQ255" s="381"/>
      <c r="GR255" s="381"/>
      <c r="GS255" s="381"/>
      <c r="GT255" s="381"/>
      <c r="GU255" s="381"/>
      <c r="GV255" s="381"/>
      <c r="GW255" s="381"/>
      <c r="GX255" s="381"/>
      <c r="GY255" s="381"/>
      <c r="GZ255" s="381"/>
      <c r="HA255" s="381"/>
      <c r="HB255" s="381"/>
      <c r="HC255" s="381"/>
      <c r="HD255" s="381"/>
      <c r="HE255" s="381"/>
      <c r="HF255" s="381"/>
      <c r="HG255" s="381"/>
      <c r="HH255" s="381"/>
      <c r="HI255" s="381"/>
      <c r="HJ255" s="381"/>
      <c r="HK255" s="381"/>
      <c r="HL255" s="381"/>
      <c r="HM255" s="381"/>
      <c r="HN255" s="381"/>
      <c r="HO255" s="381"/>
      <c r="HP255" s="381"/>
      <c r="HQ255" s="381"/>
      <c r="HR255" s="381"/>
      <c r="HS255" s="381"/>
      <c r="HT255" s="381"/>
      <c r="HU255" s="381"/>
      <c r="HV255" s="381"/>
      <c r="HW255" s="381"/>
      <c r="HX255" s="381"/>
      <c r="HY255" s="381"/>
      <c r="HZ255" s="381"/>
      <c r="IA255" s="381"/>
      <c r="IB255" s="381"/>
      <c r="IC255" s="381"/>
      <c r="ID255" s="381"/>
      <c r="IE255" s="381"/>
      <c r="IF255" s="381"/>
      <c r="IG255" s="381"/>
      <c r="IH255" s="381"/>
      <c r="II255" s="381"/>
      <c r="IJ255" s="381"/>
      <c r="IK255" s="381"/>
      <c r="IL255" s="381"/>
      <c r="IM255" s="381"/>
      <c r="IN255" s="381"/>
      <c r="IO255" s="381"/>
      <c r="IP255" s="381"/>
      <c r="IQ255" s="381"/>
      <c r="IR255" s="381"/>
      <c r="IS255" s="381"/>
      <c r="IT255" s="381"/>
      <c r="IU255" s="381"/>
      <c r="IV255" s="381"/>
      <c r="IW255" s="381"/>
      <c r="IX255" s="381"/>
      <c r="IY255" s="381"/>
      <c r="IZ255" s="381"/>
      <c r="JA255" s="381"/>
      <c r="JB255" s="381"/>
      <c r="JC255" s="381"/>
      <c r="JD255" s="381"/>
      <c r="JE255" s="381"/>
      <c r="JF255" s="381"/>
      <c r="JG255" s="277"/>
      <c r="JH255" s="381"/>
      <c r="JI255" s="381"/>
      <c r="JJ255" s="381"/>
      <c r="JK255" s="381"/>
      <c r="JL255" s="381"/>
      <c r="JM255" s="381"/>
      <c r="JN255" s="381"/>
      <c r="JO255" s="381"/>
      <c r="JP255" s="381"/>
      <c r="JQ255" s="381"/>
      <c r="JR255" s="381"/>
      <c r="JS255" s="381"/>
      <c r="JT255" s="381"/>
      <c r="JU255" s="381"/>
      <c r="JV255" s="381"/>
      <c r="JW255" s="381"/>
      <c r="JX255" s="381"/>
      <c r="JY255" s="381"/>
      <c r="JZ255" s="381"/>
      <c r="KA255" s="381"/>
      <c r="KB255" s="277"/>
    </row>
    <row r="256" spans="2:288" ht="15" customHeight="1" x14ac:dyDescent="0.25">
      <c r="B256" s="216" t="str">
        <f t="shared" si="22"/>
        <v>Desk 40</v>
      </c>
      <c r="C256" s="218" t="str">
        <v/>
      </c>
      <c r="D256" s="218" t="str">
        <v/>
      </c>
      <c r="E256" s="218" t="str">
        <v/>
      </c>
      <c r="F256" s="218" t="str">
        <v/>
      </c>
      <c r="G256" s="402" t="str">
        <v/>
      </c>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c r="AW256" s="381"/>
      <c r="AX256" s="381"/>
      <c r="AY256" s="381"/>
      <c r="AZ256" s="381"/>
      <c r="BA256" s="381"/>
      <c r="BB256" s="381"/>
      <c r="BC256" s="381"/>
      <c r="BD256" s="381"/>
      <c r="BE256" s="381"/>
      <c r="BF256" s="381"/>
      <c r="BG256" s="381"/>
      <c r="BH256" s="381"/>
      <c r="BI256" s="381"/>
      <c r="BJ256" s="381"/>
      <c r="BK256" s="381"/>
      <c r="BL256" s="381"/>
      <c r="BM256" s="381"/>
      <c r="BN256" s="381"/>
      <c r="BO256" s="381"/>
      <c r="BP256" s="381"/>
      <c r="BQ256" s="381"/>
      <c r="BR256" s="381"/>
      <c r="BS256" s="381"/>
      <c r="BT256" s="381"/>
      <c r="BU256" s="381"/>
      <c r="BV256" s="381"/>
      <c r="BW256" s="381"/>
      <c r="BX256" s="381"/>
      <c r="BY256" s="381"/>
      <c r="BZ256" s="381"/>
      <c r="CA256" s="381"/>
      <c r="CB256" s="381"/>
      <c r="CC256" s="381"/>
      <c r="CD256" s="381"/>
      <c r="CE256" s="381"/>
      <c r="CF256" s="381"/>
      <c r="CG256" s="381"/>
      <c r="CH256" s="381"/>
      <c r="CI256" s="381"/>
      <c r="CJ256" s="381"/>
      <c r="CK256" s="381"/>
      <c r="CL256" s="381"/>
      <c r="CM256" s="381"/>
      <c r="CN256" s="381"/>
      <c r="CO256" s="381"/>
      <c r="CP256" s="381"/>
      <c r="CQ256" s="381"/>
      <c r="CR256" s="381"/>
      <c r="CS256" s="381"/>
      <c r="CT256" s="381"/>
      <c r="CU256" s="381"/>
      <c r="CV256" s="381"/>
      <c r="CW256" s="381"/>
      <c r="CX256" s="381"/>
      <c r="CY256" s="381"/>
      <c r="CZ256" s="381"/>
      <c r="DA256" s="381"/>
      <c r="DB256" s="381"/>
      <c r="DC256" s="381"/>
      <c r="DD256" s="381"/>
      <c r="DE256" s="381"/>
      <c r="DF256" s="381"/>
      <c r="DG256" s="381"/>
      <c r="DH256" s="381"/>
      <c r="DI256" s="381"/>
      <c r="DJ256" s="381"/>
      <c r="DK256" s="381"/>
      <c r="DL256" s="381"/>
      <c r="DM256" s="381"/>
      <c r="DN256" s="381"/>
      <c r="DO256" s="381"/>
      <c r="DP256" s="381"/>
      <c r="DQ256" s="381"/>
      <c r="DR256" s="381"/>
      <c r="DS256" s="381"/>
      <c r="DT256" s="381"/>
      <c r="DU256" s="381"/>
      <c r="DV256" s="381"/>
      <c r="DW256" s="277"/>
      <c r="DX256" s="381"/>
      <c r="DY256" s="381"/>
      <c r="DZ256" s="381"/>
      <c r="EA256" s="381"/>
      <c r="EB256" s="381"/>
      <c r="EC256" s="381"/>
      <c r="ED256" s="381"/>
      <c r="EE256" s="381"/>
      <c r="EF256" s="381"/>
      <c r="EG256" s="381"/>
      <c r="EH256" s="381"/>
      <c r="EI256" s="381"/>
      <c r="EJ256" s="381"/>
      <c r="EK256" s="381"/>
      <c r="EL256" s="381"/>
      <c r="EM256" s="381"/>
      <c r="EN256" s="381"/>
      <c r="EO256" s="381"/>
      <c r="EP256" s="381"/>
      <c r="EQ256" s="381"/>
      <c r="ER256" s="277"/>
      <c r="ES256" s="381"/>
      <c r="ET256" s="381"/>
      <c r="EU256" s="381"/>
      <c r="EV256" s="381"/>
      <c r="EW256" s="381"/>
      <c r="EX256" s="381"/>
      <c r="EY256" s="381"/>
      <c r="EZ256" s="381"/>
      <c r="FA256" s="381"/>
      <c r="FB256" s="381"/>
      <c r="FC256" s="381"/>
      <c r="FD256" s="381"/>
      <c r="FE256" s="381"/>
      <c r="FF256" s="381"/>
      <c r="FG256" s="381"/>
      <c r="FH256" s="381"/>
      <c r="FI256" s="381"/>
      <c r="FJ256" s="381"/>
      <c r="FK256" s="381"/>
      <c r="FL256" s="381"/>
      <c r="FM256" s="381"/>
      <c r="FN256" s="381"/>
      <c r="FO256" s="381"/>
      <c r="FP256" s="381"/>
      <c r="FQ256" s="381"/>
      <c r="FR256" s="381"/>
      <c r="FS256" s="381"/>
      <c r="FT256" s="381"/>
      <c r="FU256" s="381"/>
      <c r="FV256" s="381"/>
      <c r="FW256" s="381"/>
      <c r="FX256" s="381"/>
      <c r="FY256" s="381"/>
      <c r="FZ256" s="381"/>
      <c r="GA256" s="381"/>
      <c r="GB256" s="381"/>
      <c r="GC256" s="381"/>
      <c r="GD256" s="381"/>
      <c r="GE256" s="381"/>
      <c r="GF256" s="381"/>
      <c r="GG256" s="381"/>
      <c r="GH256" s="381"/>
      <c r="GI256" s="381"/>
      <c r="GJ256" s="381"/>
      <c r="GK256" s="381"/>
      <c r="GL256" s="381"/>
      <c r="GM256" s="381"/>
      <c r="GN256" s="381"/>
      <c r="GO256" s="381"/>
      <c r="GP256" s="381"/>
      <c r="GQ256" s="381"/>
      <c r="GR256" s="381"/>
      <c r="GS256" s="381"/>
      <c r="GT256" s="381"/>
      <c r="GU256" s="381"/>
      <c r="GV256" s="381"/>
      <c r="GW256" s="381"/>
      <c r="GX256" s="381"/>
      <c r="GY256" s="381"/>
      <c r="GZ256" s="381"/>
      <c r="HA256" s="381"/>
      <c r="HB256" s="381"/>
      <c r="HC256" s="381"/>
      <c r="HD256" s="381"/>
      <c r="HE256" s="381"/>
      <c r="HF256" s="381"/>
      <c r="HG256" s="381"/>
      <c r="HH256" s="381"/>
      <c r="HI256" s="381"/>
      <c r="HJ256" s="381"/>
      <c r="HK256" s="381"/>
      <c r="HL256" s="381"/>
      <c r="HM256" s="381"/>
      <c r="HN256" s="381"/>
      <c r="HO256" s="381"/>
      <c r="HP256" s="381"/>
      <c r="HQ256" s="381"/>
      <c r="HR256" s="381"/>
      <c r="HS256" s="381"/>
      <c r="HT256" s="381"/>
      <c r="HU256" s="381"/>
      <c r="HV256" s="381"/>
      <c r="HW256" s="381"/>
      <c r="HX256" s="381"/>
      <c r="HY256" s="381"/>
      <c r="HZ256" s="381"/>
      <c r="IA256" s="381"/>
      <c r="IB256" s="381"/>
      <c r="IC256" s="381"/>
      <c r="ID256" s="381"/>
      <c r="IE256" s="381"/>
      <c r="IF256" s="381"/>
      <c r="IG256" s="381"/>
      <c r="IH256" s="381"/>
      <c r="II256" s="381"/>
      <c r="IJ256" s="381"/>
      <c r="IK256" s="381"/>
      <c r="IL256" s="381"/>
      <c r="IM256" s="381"/>
      <c r="IN256" s="381"/>
      <c r="IO256" s="381"/>
      <c r="IP256" s="381"/>
      <c r="IQ256" s="381"/>
      <c r="IR256" s="381"/>
      <c r="IS256" s="381"/>
      <c r="IT256" s="381"/>
      <c r="IU256" s="381"/>
      <c r="IV256" s="381"/>
      <c r="IW256" s="381"/>
      <c r="IX256" s="381"/>
      <c r="IY256" s="381"/>
      <c r="IZ256" s="381"/>
      <c r="JA256" s="381"/>
      <c r="JB256" s="381"/>
      <c r="JC256" s="381"/>
      <c r="JD256" s="381"/>
      <c r="JE256" s="381"/>
      <c r="JF256" s="381"/>
      <c r="JG256" s="277"/>
      <c r="JH256" s="381"/>
      <c r="JI256" s="381"/>
      <c r="JJ256" s="381"/>
      <c r="JK256" s="381"/>
      <c r="JL256" s="381"/>
      <c r="JM256" s="381"/>
      <c r="JN256" s="381"/>
      <c r="JO256" s="381"/>
      <c r="JP256" s="381"/>
      <c r="JQ256" s="381"/>
      <c r="JR256" s="381"/>
      <c r="JS256" s="381"/>
      <c r="JT256" s="381"/>
      <c r="JU256" s="381"/>
      <c r="JV256" s="381"/>
      <c r="JW256" s="381"/>
      <c r="JX256" s="381"/>
      <c r="JY256" s="381"/>
      <c r="JZ256" s="381"/>
      <c r="KA256" s="381"/>
      <c r="KB256" s="277"/>
    </row>
    <row r="257" spans="2:288" ht="15" customHeight="1" x14ac:dyDescent="0.25">
      <c r="B257" s="216" t="str">
        <f t="shared" si="22"/>
        <v>Desk 41</v>
      </c>
      <c r="C257" s="218" t="str">
        <v/>
      </c>
      <c r="D257" s="218" t="str">
        <v/>
      </c>
      <c r="E257" s="218" t="str">
        <v/>
      </c>
      <c r="F257" s="218" t="str">
        <v/>
      </c>
      <c r="G257" s="402" t="str">
        <v/>
      </c>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c r="AD257" s="381"/>
      <c r="AE257" s="381"/>
      <c r="AF257" s="381"/>
      <c r="AG257" s="381"/>
      <c r="AH257" s="381"/>
      <c r="AI257" s="381"/>
      <c r="AJ257" s="381"/>
      <c r="AK257" s="381"/>
      <c r="AL257" s="381"/>
      <c r="AM257" s="381"/>
      <c r="AN257" s="381"/>
      <c r="AO257" s="381"/>
      <c r="AP257" s="381"/>
      <c r="AQ257" s="381"/>
      <c r="AR257" s="381"/>
      <c r="AS257" s="381"/>
      <c r="AT257" s="381"/>
      <c r="AU257" s="381"/>
      <c r="AV257" s="381"/>
      <c r="AW257" s="381"/>
      <c r="AX257" s="381"/>
      <c r="AY257" s="381"/>
      <c r="AZ257" s="381"/>
      <c r="BA257" s="381"/>
      <c r="BB257" s="381"/>
      <c r="BC257" s="381"/>
      <c r="BD257" s="381"/>
      <c r="BE257" s="381"/>
      <c r="BF257" s="381"/>
      <c r="BG257" s="381"/>
      <c r="BH257" s="381"/>
      <c r="BI257" s="381"/>
      <c r="BJ257" s="381"/>
      <c r="BK257" s="381"/>
      <c r="BL257" s="381"/>
      <c r="BM257" s="381"/>
      <c r="BN257" s="381"/>
      <c r="BO257" s="381"/>
      <c r="BP257" s="381"/>
      <c r="BQ257" s="381"/>
      <c r="BR257" s="381"/>
      <c r="BS257" s="381"/>
      <c r="BT257" s="381"/>
      <c r="BU257" s="381"/>
      <c r="BV257" s="381"/>
      <c r="BW257" s="381"/>
      <c r="BX257" s="381"/>
      <c r="BY257" s="381"/>
      <c r="BZ257" s="381"/>
      <c r="CA257" s="381"/>
      <c r="CB257" s="381"/>
      <c r="CC257" s="381"/>
      <c r="CD257" s="381"/>
      <c r="CE257" s="381"/>
      <c r="CF257" s="381"/>
      <c r="CG257" s="381"/>
      <c r="CH257" s="381"/>
      <c r="CI257" s="381"/>
      <c r="CJ257" s="381"/>
      <c r="CK257" s="381"/>
      <c r="CL257" s="381"/>
      <c r="CM257" s="381"/>
      <c r="CN257" s="381"/>
      <c r="CO257" s="381"/>
      <c r="CP257" s="381"/>
      <c r="CQ257" s="381"/>
      <c r="CR257" s="381"/>
      <c r="CS257" s="381"/>
      <c r="CT257" s="381"/>
      <c r="CU257" s="381"/>
      <c r="CV257" s="381"/>
      <c r="CW257" s="381"/>
      <c r="CX257" s="381"/>
      <c r="CY257" s="381"/>
      <c r="CZ257" s="381"/>
      <c r="DA257" s="381"/>
      <c r="DB257" s="381"/>
      <c r="DC257" s="381"/>
      <c r="DD257" s="381"/>
      <c r="DE257" s="381"/>
      <c r="DF257" s="381"/>
      <c r="DG257" s="381"/>
      <c r="DH257" s="381"/>
      <c r="DI257" s="381"/>
      <c r="DJ257" s="381"/>
      <c r="DK257" s="381"/>
      <c r="DL257" s="381"/>
      <c r="DM257" s="381"/>
      <c r="DN257" s="381"/>
      <c r="DO257" s="381"/>
      <c r="DP257" s="381"/>
      <c r="DQ257" s="381"/>
      <c r="DR257" s="381"/>
      <c r="DS257" s="381"/>
      <c r="DT257" s="381"/>
      <c r="DU257" s="381"/>
      <c r="DV257" s="381"/>
      <c r="DW257" s="277"/>
      <c r="DX257" s="381"/>
      <c r="DY257" s="381"/>
      <c r="DZ257" s="381"/>
      <c r="EA257" s="381"/>
      <c r="EB257" s="381"/>
      <c r="EC257" s="381"/>
      <c r="ED257" s="381"/>
      <c r="EE257" s="381"/>
      <c r="EF257" s="381"/>
      <c r="EG257" s="381"/>
      <c r="EH257" s="381"/>
      <c r="EI257" s="381"/>
      <c r="EJ257" s="381"/>
      <c r="EK257" s="381"/>
      <c r="EL257" s="381"/>
      <c r="EM257" s="381"/>
      <c r="EN257" s="381"/>
      <c r="EO257" s="381"/>
      <c r="EP257" s="381"/>
      <c r="EQ257" s="381"/>
      <c r="ER257" s="277"/>
      <c r="ES257" s="381"/>
      <c r="ET257" s="381"/>
      <c r="EU257" s="381"/>
      <c r="EV257" s="381"/>
      <c r="EW257" s="381"/>
      <c r="EX257" s="381"/>
      <c r="EY257" s="381"/>
      <c r="EZ257" s="381"/>
      <c r="FA257" s="381"/>
      <c r="FB257" s="381"/>
      <c r="FC257" s="381"/>
      <c r="FD257" s="381"/>
      <c r="FE257" s="381"/>
      <c r="FF257" s="381"/>
      <c r="FG257" s="381"/>
      <c r="FH257" s="381"/>
      <c r="FI257" s="381"/>
      <c r="FJ257" s="381"/>
      <c r="FK257" s="381"/>
      <c r="FL257" s="381"/>
      <c r="FM257" s="381"/>
      <c r="FN257" s="381"/>
      <c r="FO257" s="381"/>
      <c r="FP257" s="381"/>
      <c r="FQ257" s="381"/>
      <c r="FR257" s="381"/>
      <c r="FS257" s="381"/>
      <c r="FT257" s="381"/>
      <c r="FU257" s="381"/>
      <c r="FV257" s="381"/>
      <c r="FW257" s="381"/>
      <c r="FX257" s="381"/>
      <c r="FY257" s="381"/>
      <c r="FZ257" s="381"/>
      <c r="GA257" s="381"/>
      <c r="GB257" s="381"/>
      <c r="GC257" s="381"/>
      <c r="GD257" s="381"/>
      <c r="GE257" s="381"/>
      <c r="GF257" s="381"/>
      <c r="GG257" s="381"/>
      <c r="GH257" s="381"/>
      <c r="GI257" s="381"/>
      <c r="GJ257" s="381"/>
      <c r="GK257" s="381"/>
      <c r="GL257" s="381"/>
      <c r="GM257" s="381"/>
      <c r="GN257" s="381"/>
      <c r="GO257" s="381"/>
      <c r="GP257" s="381"/>
      <c r="GQ257" s="381"/>
      <c r="GR257" s="381"/>
      <c r="GS257" s="381"/>
      <c r="GT257" s="381"/>
      <c r="GU257" s="381"/>
      <c r="GV257" s="381"/>
      <c r="GW257" s="381"/>
      <c r="GX257" s="381"/>
      <c r="GY257" s="381"/>
      <c r="GZ257" s="381"/>
      <c r="HA257" s="381"/>
      <c r="HB257" s="381"/>
      <c r="HC257" s="381"/>
      <c r="HD257" s="381"/>
      <c r="HE257" s="381"/>
      <c r="HF257" s="381"/>
      <c r="HG257" s="381"/>
      <c r="HH257" s="381"/>
      <c r="HI257" s="381"/>
      <c r="HJ257" s="381"/>
      <c r="HK257" s="381"/>
      <c r="HL257" s="381"/>
      <c r="HM257" s="381"/>
      <c r="HN257" s="381"/>
      <c r="HO257" s="381"/>
      <c r="HP257" s="381"/>
      <c r="HQ257" s="381"/>
      <c r="HR257" s="381"/>
      <c r="HS257" s="381"/>
      <c r="HT257" s="381"/>
      <c r="HU257" s="381"/>
      <c r="HV257" s="381"/>
      <c r="HW257" s="381"/>
      <c r="HX257" s="381"/>
      <c r="HY257" s="381"/>
      <c r="HZ257" s="381"/>
      <c r="IA257" s="381"/>
      <c r="IB257" s="381"/>
      <c r="IC257" s="381"/>
      <c r="ID257" s="381"/>
      <c r="IE257" s="381"/>
      <c r="IF257" s="381"/>
      <c r="IG257" s="381"/>
      <c r="IH257" s="381"/>
      <c r="II257" s="381"/>
      <c r="IJ257" s="381"/>
      <c r="IK257" s="381"/>
      <c r="IL257" s="381"/>
      <c r="IM257" s="381"/>
      <c r="IN257" s="381"/>
      <c r="IO257" s="381"/>
      <c r="IP257" s="381"/>
      <c r="IQ257" s="381"/>
      <c r="IR257" s="381"/>
      <c r="IS257" s="381"/>
      <c r="IT257" s="381"/>
      <c r="IU257" s="381"/>
      <c r="IV257" s="381"/>
      <c r="IW257" s="381"/>
      <c r="IX257" s="381"/>
      <c r="IY257" s="381"/>
      <c r="IZ257" s="381"/>
      <c r="JA257" s="381"/>
      <c r="JB257" s="381"/>
      <c r="JC257" s="381"/>
      <c r="JD257" s="381"/>
      <c r="JE257" s="381"/>
      <c r="JF257" s="381"/>
      <c r="JG257" s="277"/>
      <c r="JH257" s="381"/>
      <c r="JI257" s="381"/>
      <c r="JJ257" s="381"/>
      <c r="JK257" s="381"/>
      <c r="JL257" s="381"/>
      <c r="JM257" s="381"/>
      <c r="JN257" s="381"/>
      <c r="JO257" s="381"/>
      <c r="JP257" s="381"/>
      <c r="JQ257" s="381"/>
      <c r="JR257" s="381"/>
      <c r="JS257" s="381"/>
      <c r="JT257" s="381"/>
      <c r="JU257" s="381"/>
      <c r="JV257" s="381"/>
      <c r="JW257" s="381"/>
      <c r="JX257" s="381"/>
      <c r="JY257" s="381"/>
      <c r="JZ257" s="381"/>
      <c r="KA257" s="381"/>
      <c r="KB257" s="277"/>
    </row>
    <row r="258" spans="2:288" ht="15" customHeight="1" x14ac:dyDescent="0.25">
      <c r="B258" s="216" t="str">
        <f t="shared" si="22"/>
        <v>Desk 42</v>
      </c>
      <c r="C258" s="218" t="str">
        <v/>
      </c>
      <c r="D258" s="218" t="str">
        <v/>
      </c>
      <c r="E258" s="218" t="str">
        <v/>
      </c>
      <c r="F258" s="218" t="str">
        <v/>
      </c>
      <c r="G258" s="402" t="str">
        <v/>
      </c>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c r="AG258" s="381"/>
      <c r="AH258" s="381"/>
      <c r="AI258" s="381"/>
      <c r="AJ258" s="381"/>
      <c r="AK258" s="381"/>
      <c r="AL258" s="381"/>
      <c r="AM258" s="381"/>
      <c r="AN258" s="381"/>
      <c r="AO258" s="381"/>
      <c r="AP258" s="381"/>
      <c r="AQ258" s="381"/>
      <c r="AR258" s="381"/>
      <c r="AS258" s="381"/>
      <c r="AT258" s="381"/>
      <c r="AU258" s="381"/>
      <c r="AV258" s="381"/>
      <c r="AW258" s="381"/>
      <c r="AX258" s="381"/>
      <c r="AY258" s="381"/>
      <c r="AZ258" s="381"/>
      <c r="BA258" s="381"/>
      <c r="BB258" s="381"/>
      <c r="BC258" s="381"/>
      <c r="BD258" s="381"/>
      <c r="BE258" s="381"/>
      <c r="BF258" s="381"/>
      <c r="BG258" s="381"/>
      <c r="BH258" s="381"/>
      <c r="BI258" s="381"/>
      <c r="BJ258" s="381"/>
      <c r="BK258" s="381"/>
      <c r="BL258" s="381"/>
      <c r="BM258" s="381"/>
      <c r="BN258" s="381"/>
      <c r="BO258" s="381"/>
      <c r="BP258" s="381"/>
      <c r="BQ258" s="381"/>
      <c r="BR258" s="381"/>
      <c r="BS258" s="381"/>
      <c r="BT258" s="381"/>
      <c r="BU258" s="381"/>
      <c r="BV258" s="381"/>
      <c r="BW258" s="381"/>
      <c r="BX258" s="381"/>
      <c r="BY258" s="381"/>
      <c r="BZ258" s="381"/>
      <c r="CA258" s="381"/>
      <c r="CB258" s="381"/>
      <c r="CC258" s="381"/>
      <c r="CD258" s="381"/>
      <c r="CE258" s="381"/>
      <c r="CF258" s="381"/>
      <c r="CG258" s="381"/>
      <c r="CH258" s="381"/>
      <c r="CI258" s="381"/>
      <c r="CJ258" s="381"/>
      <c r="CK258" s="381"/>
      <c r="CL258" s="381"/>
      <c r="CM258" s="381"/>
      <c r="CN258" s="381"/>
      <c r="CO258" s="381"/>
      <c r="CP258" s="381"/>
      <c r="CQ258" s="381"/>
      <c r="CR258" s="381"/>
      <c r="CS258" s="381"/>
      <c r="CT258" s="381"/>
      <c r="CU258" s="381"/>
      <c r="CV258" s="381"/>
      <c r="CW258" s="381"/>
      <c r="CX258" s="381"/>
      <c r="CY258" s="381"/>
      <c r="CZ258" s="381"/>
      <c r="DA258" s="381"/>
      <c r="DB258" s="381"/>
      <c r="DC258" s="381"/>
      <c r="DD258" s="381"/>
      <c r="DE258" s="381"/>
      <c r="DF258" s="381"/>
      <c r="DG258" s="381"/>
      <c r="DH258" s="381"/>
      <c r="DI258" s="381"/>
      <c r="DJ258" s="381"/>
      <c r="DK258" s="381"/>
      <c r="DL258" s="381"/>
      <c r="DM258" s="381"/>
      <c r="DN258" s="381"/>
      <c r="DO258" s="381"/>
      <c r="DP258" s="381"/>
      <c r="DQ258" s="381"/>
      <c r="DR258" s="381"/>
      <c r="DS258" s="381"/>
      <c r="DT258" s="381"/>
      <c r="DU258" s="381"/>
      <c r="DV258" s="381"/>
      <c r="DW258" s="277"/>
      <c r="DX258" s="381"/>
      <c r="DY258" s="381"/>
      <c r="DZ258" s="381"/>
      <c r="EA258" s="381"/>
      <c r="EB258" s="381"/>
      <c r="EC258" s="381"/>
      <c r="ED258" s="381"/>
      <c r="EE258" s="381"/>
      <c r="EF258" s="381"/>
      <c r="EG258" s="381"/>
      <c r="EH258" s="381"/>
      <c r="EI258" s="381"/>
      <c r="EJ258" s="381"/>
      <c r="EK258" s="381"/>
      <c r="EL258" s="381"/>
      <c r="EM258" s="381"/>
      <c r="EN258" s="381"/>
      <c r="EO258" s="381"/>
      <c r="EP258" s="381"/>
      <c r="EQ258" s="381"/>
      <c r="ER258" s="277"/>
      <c r="ES258" s="381"/>
      <c r="ET258" s="381"/>
      <c r="EU258" s="381"/>
      <c r="EV258" s="381"/>
      <c r="EW258" s="381"/>
      <c r="EX258" s="381"/>
      <c r="EY258" s="381"/>
      <c r="EZ258" s="381"/>
      <c r="FA258" s="381"/>
      <c r="FB258" s="381"/>
      <c r="FC258" s="381"/>
      <c r="FD258" s="381"/>
      <c r="FE258" s="381"/>
      <c r="FF258" s="381"/>
      <c r="FG258" s="381"/>
      <c r="FH258" s="381"/>
      <c r="FI258" s="381"/>
      <c r="FJ258" s="381"/>
      <c r="FK258" s="381"/>
      <c r="FL258" s="381"/>
      <c r="FM258" s="381"/>
      <c r="FN258" s="381"/>
      <c r="FO258" s="381"/>
      <c r="FP258" s="381"/>
      <c r="FQ258" s="381"/>
      <c r="FR258" s="381"/>
      <c r="FS258" s="381"/>
      <c r="FT258" s="381"/>
      <c r="FU258" s="381"/>
      <c r="FV258" s="381"/>
      <c r="FW258" s="381"/>
      <c r="FX258" s="381"/>
      <c r="FY258" s="381"/>
      <c r="FZ258" s="381"/>
      <c r="GA258" s="381"/>
      <c r="GB258" s="381"/>
      <c r="GC258" s="381"/>
      <c r="GD258" s="381"/>
      <c r="GE258" s="381"/>
      <c r="GF258" s="381"/>
      <c r="GG258" s="381"/>
      <c r="GH258" s="381"/>
      <c r="GI258" s="381"/>
      <c r="GJ258" s="381"/>
      <c r="GK258" s="381"/>
      <c r="GL258" s="381"/>
      <c r="GM258" s="381"/>
      <c r="GN258" s="381"/>
      <c r="GO258" s="381"/>
      <c r="GP258" s="381"/>
      <c r="GQ258" s="381"/>
      <c r="GR258" s="381"/>
      <c r="GS258" s="381"/>
      <c r="GT258" s="381"/>
      <c r="GU258" s="381"/>
      <c r="GV258" s="381"/>
      <c r="GW258" s="381"/>
      <c r="GX258" s="381"/>
      <c r="GY258" s="381"/>
      <c r="GZ258" s="381"/>
      <c r="HA258" s="381"/>
      <c r="HB258" s="381"/>
      <c r="HC258" s="381"/>
      <c r="HD258" s="381"/>
      <c r="HE258" s="381"/>
      <c r="HF258" s="381"/>
      <c r="HG258" s="381"/>
      <c r="HH258" s="381"/>
      <c r="HI258" s="381"/>
      <c r="HJ258" s="381"/>
      <c r="HK258" s="381"/>
      <c r="HL258" s="381"/>
      <c r="HM258" s="381"/>
      <c r="HN258" s="381"/>
      <c r="HO258" s="381"/>
      <c r="HP258" s="381"/>
      <c r="HQ258" s="381"/>
      <c r="HR258" s="381"/>
      <c r="HS258" s="381"/>
      <c r="HT258" s="381"/>
      <c r="HU258" s="381"/>
      <c r="HV258" s="381"/>
      <c r="HW258" s="381"/>
      <c r="HX258" s="381"/>
      <c r="HY258" s="381"/>
      <c r="HZ258" s="381"/>
      <c r="IA258" s="381"/>
      <c r="IB258" s="381"/>
      <c r="IC258" s="381"/>
      <c r="ID258" s="381"/>
      <c r="IE258" s="381"/>
      <c r="IF258" s="381"/>
      <c r="IG258" s="381"/>
      <c r="IH258" s="381"/>
      <c r="II258" s="381"/>
      <c r="IJ258" s="381"/>
      <c r="IK258" s="381"/>
      <c r="IL258" s="381"/>
      <c r="IM258" s="381"/>
      <c r="IN258" s="381"/>
      <c r="IO258" s="381"/>
      <c r="IP258" s="381"/>
      <c r="IQ258" s="381"/>
      <c r="IR258" s="381"/>
      <c r="IS258" s="381"/>
      <c r="IT258" s="381"/>
      <c r="IU258" s="381"/>
      <c r="IV258" s="381"/>
      <c r="IW258" s="381"/>
      <c r="IX258" s="381"/>
      <c r="IY258" s="381"/>
      <c r="IZ258" s="381"/>
      <c r="JA258" s="381"/>
      <c r="JB258" s="381"/>
      <c r="JC258" s="381"/>
      <c r="JD258" s="381"/>
      <c r="JE258" s="381"/>
      <c r="JF258" s="381"/>
      <c r="JG258" s="277"/>
      <c r="JH258" s="381"/>
      <c r="JI258" s="381"/>
      <c r="JJ258" s="381"/>
      <c r="JK258" s="381"/>
      <c r="JL258" s="381"/>
      <c r="JM258" s="381"/>
      <c r="JN258" s="381"/>
      <c r="JO258" s="381"/>
      <c r="JP258" s="381"/>
      <c r="JQ258" s="381"/>
      <c r="JR258" s="381"/>
      <c r="JS258" s="381"/>
      <c r="JT258" s="381"/>
      <c r="JU258" s="381"/>
      <c r="JV258" s="381"/>
      <c r="JW258" s="381"/>
      <c r="JX258" s="381"/>
      <c r="JY258" s="381"/>
      <c r="JZ258" s="381"/>
      <c r="KA258" s="381"/>
      <c r="KB258" s="277"/>
    </row>
    <row r="259" spans="2:288" ht="15" customHeight="1" x14ac:dyDescent="0.25">
      <c r="B259" s="216" t="str">
        <f t="shared" si="22"/>
        <v>Desk 43</v>
      </c>
      <c r="C259" s="218" t="str">
        <v/>
      </c>
      <c r="D259" s="218" t="str">
        <v/>
      </c>
      <c r="E259" s="218" t="str">
        <v/>
      </c>
      <c r="F259" s="218" t="str">
        <v/>
      </c>
      <c r="G259" s="402" t="str">
        <v/>
      </c>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381"/>
      <c r="AE259" s="381"/>
      <c r="AF259" s="381"/>
      <c r="AG259" s="381"/>
      <c r="AH259" s="381"/>
      <c r="AI259" s="381"/>
      <c r="AJ259" s="381"/>
      <c r="AK259" s="381"/>
      <c r="AL259" s="381"/>
      <c r="AM259" s="381"/>
      <c r="AN259" s="381"/>
      <c r="AO259" s="381"/>
      <c r="AP259" s="381"/>
      <c r="AQ259" s="381"/>
      <c r="AR259" s="381"/>
      <c r="AS259" s="381"/>
      <c r="AT259" s="381"/>
      <c r="AU259" s="381"/>
      <c r="AV259" s="381"/>
      <c r="AW259" s="381"/>
      <c r="AX259" s="381"/>
      <c r="AY259" s="381"/>
      <c r="AZ259" s="381"/>
      <c r="BA259" s="381"/>
      <c r="BB259" s="381"/>
      <c r="BC259" s="381"/>
      <c r="BD259" s="381"/>
      <c r="BE259" s="381"/>
      <c r="BF259" s="381"/>
      <c r="BG259" s="381"/>
      <c r="BH259" s="381"/>
      <c r="BI259" s="381"/>
      <c r="BJ259" s="381"/>
      <c r="BK259" s="381"/>
      <c r="BL259" s="381"/>
      <c r="BM259" s="381"/>
      <c r="BN259" s="381"/>
      <c r="BO259" s="381"/>
      <c r="BP259" s="381"/>
      <c r="BQ259" s="381"/>
      <c r="BR259" s="381"/>
      <c r="BS259" s="381"/>
      <c r="BT259" s="381"/>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81"/>
      <c r="CS259" s="381"/>
      <c r="CT259" s="381"/>
      <c r="CU259" s="381"/>
      <c r="CV259" s="381"/>
      <c r="CW259" s="381"/>
      <c r="CX259" s="381"/>
      <c r="CY259" s="381"/>
      <c r="CZ259" s="381"/>
      <c r="DA259" s="381"/>
      <c r="DB259" s="381"/>
      <c r="DC259" s="381"/>
      <c r="DD259" s="381"/>
      <c r="DE259" s="381"/>
      <c r="DF259" s="381"/>
      <c r="DG259" s="381"/>
      <c r="DH259" s="381"/>
      <c r="DI259" s="381"/>
      <c r="DJ259" s="381"/>
      <c r="DK259" s="381"/>
      <c r="DL259" s="381"/>
      <c r="DM259" s="381"/>
      <c r="DN259" s="381"/>
      <c r="DO259" s="381"/>
      <c r="DP259" s="381"/>
      <c r="DQ259" s="381"/>
      <c r="DR259" s="381"/>
      <c r="DS259" s="381"/>
      <c r="DT259" s="381"/>
      <c r="DU259" s="381"/>
      <c r="DV259" s="381"/>
      <c r="DW259" s="277"/>
      <c r="DX259" s="381"/>
      <c r="DY259" s="381"/>
      <c r="DZ259" s="381"/>
      <c r="EA259" s="381"/>
      <c r="EB259" s="381"/>
      <c r="EC259" s="381"/>
      <c r="ED259" s="381"/>
      <c r="EE259" s="381"/>
      <c r="EF259" s="381"/>
      <c r="EG259" s="381"/>
      <c r="EH259" s="381"/>
      <c r="EI259" s="381"/>
      <c r="EJ259" s="381"/>
      <c r="EK259" s="381"/>
      <c r="EL259" s="381"/>
      <c r="EM259" s="381"/>
      <c r="EN259" s="381"/>
      <c r="EO259" s="381"/>
      <c r="EP259" s="381"/>
      <c r="EQ259" s="381"/>
      <c r="ER259" s="277"/>
      <c r="ES259" s="381"/>
      <c r="ET259" s="381"/>
      <c r="EU259" s="381"/>
      <c r="EV259" s="381"/>
      <c r="EW259" s="381"/>
      <c r="EX259" s="381"/>
      <c r="EY259" s="381"/>
      <c r="EZ259" s="381"/>
      <c r="FA259" s="381"/>
      <c r="FB259" s="381"/>
      <c r="FC259" s="381"/>
      <c r="FD259" s="381"/>
      <c r="FE259" s="381"/>
      <c r="FF259" s="381"/>
      <c r="FG259" s="381"/>
      <c r="FH259" s="381"/>
      <c r="FI259" s="381"/>
      <c r="FJ259" s="381"/>
      <c r="FK259" s="381"/>
      <c r="FL259" s="381"/>
      <c r="FM259" s="381"/>
      <c r="FN259" s="381"/>
      <c r="FO259" s="381"/>
      <c r="FP259" s="381"/>
      <c r="FQ259" s="381"/>
      <c r="FR259" s="381"/>
      <c r="FS259" s="381"/>
      <c r="FT259" s="381"/>
      <c r="FU259" s="381"/>
      <c r="FV259" s="381"/>
      <c r="FW259" s="381"/>
      <c r="FX259" s="381"/>
      <c r="FY259" s="381"/>
      <c r="FZ259" s="381"/>
      <c r="GA259" s="381"/>
      <c r="GB259" s="381"/>
      <c r="GC259" s="381"/>
      <c r="GD259" s="381"/>
      <c r="GE259" s="381"/>
      <c r="GF259" s="381"/>
      <c r="GG259" s="381"/>
      <c r="GH259" s="381"/>
      <c r="GI259" s="381"/>
      <c r="GJ259" s="381"/>
      <c r="GK259" s="381"/>
      <c r="GL259" s="381"/>
      <c r="GM259" s="381"/>
      <c r="GN259" s="381"/>
      <c r="GO259" s="381"/>
      <c r="GP259" s="381"/>
      <c r="GQ259" s="381"/>
      <c r="GR259" s="381"/>
      <c r="GS259" s="381"/>
      <c r="GT259" s="381"/>
      <c r="GU259" s="381"/>
      <c r="GV259" s="381"/>
      <c r="GW259" s="381"/>
      <c r="GX259" s="381"/>
      <c r="GY259" s="381"/>
      <c r="GZ259" s="381"/>
      <c r="HA259" s="381"/>
      <c r="HB259" s="381"/>
      <c r="HC259" s="381"/>
      <c r="HD259" s="381"/>
      <c r="HE259" s="381"/>
      <c r="HF259" s="381"/>
      <c r="HG259" s="381"/>
      <c r="HH259" s="381"/>
      <c r="HI259" s="381"/>
      <c r="HJ259" s="381"/>
      <c r="HK259" s="381"/>
      <c r="HL259" s="381"/>
      <c r="HM259" s="381"/>
      <c r="HN259" s="381"/>
      <c r="HO259" s="381"/>
      <c r="HP259" s="381"/>
      <c r="HQ259" s="381"/>
      <c r="HR259" s="381"/>
      <c r="HS259" s="381"/>
      <c r="HT259" s="381"/>
      <c r="HU259" s="381"/>
      <c r="HV259" s="381"/>
      <c r="HW259" s="381"/>
      <c r="HX259" s="381"/>
      <c r="HY259" s="381"/>
      <c r="HZ259" s="381"/>
      <c r="IA259" s="381"/>
      <c r="IB259" s="381"/>
      <c r="IC259" s="381"/>
      <c r="ID259" s="381"/>
      <c r="IE259" s="381"/>
      <c r="IF259" s="381"/>
      <c r="IG259" s="381"/>
      <c r="IH259" s="381"/>
      <c r="II259" s="381"/>
      <c r="IJ259" s="381"/>
      <c r="IK259" s="381"/>
      <c r="IL259" s="381"/>
      <c r="IM259" s="381"/>
      <c r="IN259" s="381"/>
      <c r="IO259" s="381"/>
      <c r="IP259" s="381"/>
      <c r="IQ259" s="381"/>
      <c r="IR259" s="381"/>
      <c r="IS259" s="381"/>
      <c r="IT259" s="381"/>
      <c r="IU259" s="381"/>
      <c r="IV259" s="381"/>
      <c r="IW259" s="381"/>
      <c r="IX259" s="381"/>
      <c r="IY259" s="381"/>
      <c r="IZ259" s="381"/>
      <c r="JA259" s="381"/>
      <c r="JB259" s="381"/>
      <c r="JC259" s="381"/>
      <c r="JD259" s="381"/>
      <c r="JE259" s="381"/>
      <c r="JF259" s="381"/>
      <c r="JG259" s="277"/>
      <c r="JH259" s="381"/>
      <c r="JI259" s="381"/>
      <c r="JJ259" s="381"/>
      <c r="JK259" s="381"/>
      <c r="JL259" s="381"/>
      <c r="JM259" s="381"/>
      <c r="JN259" s="381"/>
      <c r="JO259" s="381"/>
      <c r="JP259" s="381"/>
      <c r="JQ259" s="381"/>
      <c r="JR259" s="381"/>
      <c r="JS259" s="381"/>
      <c r="JT259" s="381"/>
      <c r="JU259" s="381"/>
      <c r="JV259" s="381"/>
      <c r="JW259" s="381"/>
      <c r="JX259" s="381"/>
      <c r="JY259" s="381"/>
      <c r="JZ259" s="381"/>
      <c r="KA259" s="381"/>
      <c r="KB259" s="277"/>
    </row>
    <row r="260" spans="2:288" ht="15" customHeight="1" x14ac:dyDescent="0.25">
      <c r="B260" s="216" t="str">
        <f t="shared" si="22"/>
        <v>Desk 44</v>
      </c>
      <c r="C260" s="218" t="str">
        <v/>
      </c>
      <c r="D260" s="218" t="str">
        <v/>
      </c>
      <c r="E260" s="218" t="str">
        <v/>
      </c>
      <c r="F260" s="218" t="str">
        <v/>
      </c>
      <c r="G260" s="402" t="str">
        <v/>
      </c>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381"/>
      <c r="AV260" s="381"/>
      <c r="AW260" s="381"/>
      <c r="AX260" s="381"/>
      <c r="AY260" s="381"/>
      <c r="AZ260" s="381"/>
      <c r="BA260" s="381"/>
      <c r="BB260" s="381"/>
      <c r="BC260" s="381"/>
      <c r="BD260" s="381"/>
      <c r="BE260" s="381"/>
      <c r="BF260" s="381"/>
      <c r="BG260" s="381"/>
      <c r="BH260" s="381"/>
      <c r="BI260" s="381"/>
      <c r="BJ260" s="381"/>
      <c r="BK260" s="381"/>
      <c r="BL260" s="381"/>
      <c r="BM260" s="381"/>
      <c r="BN260" s="381"/>
      <c r="BO260" s="381"/>
      <c r="BP260" s="381"/>
      <c r="BQ260" s="381"/>
      <c r="BR260" s="381"/>
      <c r="BS260" s="381"/>
      <c r="BT260" s="381"/>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81"/>
      <c r="CS260" s="381"/>
      <c r="CT260" s="381"/>
      <c r="CU260" s="381"/>
      <c r="CV260" s="381"/>
      <c r="CW260" s="381"/>
      <c r="CX260" s="381"/>
      <c r="CY260" s="381"/>
      <c r="CZ260" s="381"/>
      <c r="DA260" s="381"/>
      <c r="DB260" s="381"/>
      <c r="DC260" s="381"/>
      <c r="DD260" s="381"/>
      <c r="DE260" s="381"/>
      <c r="DF260" s="381"/>
      <c r="DG260" s="381"/>
      <c r="DH260" s="381"/>
      <c r="DI260" s="381"/>
      <c r="DJ260" s="381"/>
      <c r="DK260" s="381"/>
      <c r="DL260" s="381"/>
      <c r="DM260" s="381"/>
      <c r="DN260" s="381"/>
      <c r="DO260" s="381"/>
      <c r="DP260" s="381"/>
      <c r="DQ260" s="381"/>
      <c r="DR260" s="381"/>
      <c r="DS260" s="381"/>
      <c r="DT260" s="381"/>
      <c r="DU260" s="381"/>
      <c r="DV260" s="381"/>
      <c r="DW260" s="277"/>
      <c r="DX260" s="381"/>
      <c r="DY260" s="381"/>
      <c r="DZ260" s="381"/>
      <c r="EA260" s="381"/>
      <c r="EB260" s="381"/>
      <c r="EC260" s="381"/>
      <c r="ED260" s="381"/>
      <c r="EE260" s="381"/>
      <c r="EF260" s="381"/>
      <c r="EG260" s="381"/>
      <c r="EH260" s="381"/>
      <c r="EI260" s="381"/>
      <c r="EJ260" s="381"/>
      <c r="EK260" s="381"/>
      <c r="EL260" s="381"/>
      <c r="EM260" s="381"/>
      <c r="EN260" s="381"/>
      <c r="EO260" s="381"/>
      <c r="EP260" s="381"/>
      <c r="EQ260" s="381"/>
      <c r="ER260" s="277"/>
      <c r="ES260" s="381"/>
      <c r="ET260" s="381"/>
      <c r="EU260" s="381"/>
      <c r="EV260" s="381"/>
      <c r="EW260" s="381"/>
      <c r="EX260" s="381"/>
      <c r="EY260" s="381"/>
      <c r="EZ260" s="381"/>
      <c r="FA260" s="381"/>
      <c r="FB260" s="381"/>
      <c r="FC260" s="381"/>
      <c r="FD260" s="381"/>
      <c r="FE260" s="381"/>
      <c r="FF260" s="381"/>
      <c r="FG260" s="381"/>
      <c r="FH260" s="381"/>
      <c r="FI260" s="381"/>
      <c r="FJ260" s="381"/>
      <c r="FK260" s="381"/>
      <c r="FL260" s="381"/>
      <c r="FM260" s="381"/>
      <c r="FN260" s="381"/>
      <c r="FO260" s="381"/>
      <c r="FP260" s="381"/>
      <c r="FQ260" s="381"/>
      <c r="FR260" s="381"/>
      <c r="FS260" s="381"/>
      <c r="FT260" s="381"/>
      <c r="FU260" s="381"/>
      <c r="FV260" s="381"/>
      <c r="FW260" s="381"/>
      <c r="FX260" s="381"/>
      <c r="FY260" s="381"/>
      <c r="FZ260" s="381"/>
      <c r="GA260" s="381"/>
      <c r="GB260" s="381"/>
      <c r="GC260" s="381"/>
      <c r="GD260" s="381"/>
      <c r="GE260" s="381"/>
      <c r="GF260" s="381"/>
      <c r="GG260" s="381"/>
      <c r="GH260" s="381"/>
      <c r="GI260" s="381"/>
      <c r="GJ260" s="381"/>
      <c r="GK260" s="381"/>
      <c r="GL260" s="381"/>
      <c r="GM260" s="381"/>
      <c r="GN260" s="381"/>
      <c r="GO260" s="381"/>
      <c r="GP260" s="381"/>
      <c r="GQ260" s="381"/>
      <c r="GR260" s="381"/>
      <c r="GS260" s="381"/>
      <c r="GT260" s="381"/>
      <c r="GU260" s="381"/>
      <c r="GV260" s="381"/>
      <c r="GW260" s="381"/>
      <c r="GX260" s="381"/>
      <c r="GY260" s="381"/>
      <c r="GZ260" s="381"/>
      <c r="HA260" s="381"/>
      <c r="HB260" s="381"/>
      <c r="HC260" s="381"/>
      <c r="HD260" s="381"/>
      <c r="HE260" s="381"/>
      <c r="HF260" s="381"/>
      <c r="HG260" s="381"/>
      <c r="HH260" s="381"/>
      <c r="HI260" s="381"/>
      <c r="HJ260" s="381"/>
      <c r="HK260" s="381"/>
      <c r="HL260" s="381"/>
      <c r="HM260" s="381"/>
      <c r="HN260" s="381"/>
      <c r="HO260" s="381"/>
      <c r="HP260" s="381"/>
      <c r="HQ260" s="381"/>
      <c r="HR260" s="381"/>
      <c r="HS260" s="381"/>
      <c r="HT260" s="381"/>
      <c r="HU260" s="381"/>
      <c r="HV260" s="381"/>
      <c r="HW260" s="381"/>
      <c r="HX260" s="381"/>
      <c r="HY260" s="381"/>
      <c r="HZ260" s="381"/>
      <c r="IA260" s="381"/>
      <c r="IB260" s="381"/>
      <c r="IC260" s="381"/>
      <c r="ID260" s="381"/>
      <c r="IE260" s="381"/>
      <c r="IF260" s="381"/>
      <c r="IG260" s="381"/>
      <c r="IH260" s="381"/>
      <c r="II260" s="381"/>
      <c r="IJ260" s="381"/>
      <c r="IK260" s="381"/>
      <c r="IL260" s="381"/>
      <c r="IM260" s="381"/>
      <c r="IN260" s="381"/>
      <c r="IO260" s="381"/>
      <c r="IP260" s="381"/>
      <c r="IQ260" s="381"/>
      <c r="IR260" s="381"/>
      <c r="IS260" s="381"/>
      <c r="IT260" s="381"/>
      <c r="IU260" s="381"/>
      <c r="IV260" s="381"/>
      <c r="IW260" s="381"/>
      <c r="IX260" s="381"/>
      <c r="IY260" s="381"/>
      <c r="IZ260" s="381"/>
      <c r="JA260" s="381"/>
      <c r="JB260" s="381"/>
      <c r="JC260" s="381"/>
      <c r="JD260" s="381"/>
      <c r="JE260" s="381"/>
      <c r="JF260" s="381"/>
      <c r="JG260" s="277"/>
      <c r="JH260" s="381"/>
      <c r="JI260" s="381"/>
      <c r="JJ260" s="381"/>
      <c r="JK260" s="381"/>
      <c r="JL260" s="381"/>
      <c r="JM260" s="381"/>
      <c r="JN260" s="381"/>
      <c r="JO260" s="381"/>
      <c r="JP260" s="381"/>
      <c r="JQ260" s="381"/>
      <c r="JR260" s="381"/>
      <c r="JS260" s="381"/>
      <c r="JT260" s="381"/>
      <c r="JU260" s="381"/>
      <c r="JV260" s="381"/>
      <c r="JW260" s="381"/>
      <c r="JX260" s="381"/>
      <c r="JY260" s="381"/>
      <c r="JZ260" s="381"/>
      <c r="KA260" s="381"/>
      <c r="KB260" s="277"/>
    </row>
    <row r="261" spans="2:288" ht="15" customHeight="1" x14ac:dyDescent="0.25">
      <c r="B261" s="216" t="str">
        <f t="shared" si="22"/>
        <v>Desk 45</v>
      </c>
      <c r="C261" s="218" t="str">
        <v/>
      </c>
      <c r="D261" s="218" t="str">
        <v/>
      </c>
      <c r="E261" s="218" t="str">
        <v/>
      </c>
      <c r="F261" s="218" t="str">
        <v/>
      </c>
      <c r="G261" s="402" t="str">
        <v/>
      </c>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381"/>
      <c r="AH261" s="381"/>
      <c r="AI261" s="381"/>
      <c r="AJ261" s="381"/>
      <c r="AK261" s="381"/>
      <c r="AL261" s="381"/>
      <c r="AM261" s="381"/>
      <c r="AN261" s="381"/>
      <c r="AO261" s="381"/>
      <c r="AP261" s="381"/>
      <c r="AQ261" s="381"/>
      <c r="AR261" s="381"/>
      <c r="AS261" s="381"/>
      <c r="AT261" s="381"/>
      <c r="AU261" s="381"/>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1"/>
      <c r="BZ261" s="381"/>
      <c r="CA261" s="381"/>
      <c r="CB261" s="381"/>
      <c r="CC261" s="381"/>
      <c r="CD261" s="381"/>
      <c r="CE261" s="381"/>
      <c r="CF261" s="381"/>
      <c r="CG261" s="381"/>
      <c r="CH261" s="381"/>
      <c r="CI261" s="381"/>
      <c r="CJ261" s="381"/>
      <c r="CK261" s="381"/>
      <c r="CL261" s="381"/>
      <c r="CM261" s="381"/>
      <c r="CN261" s="381"/>
      <c r="CO261" s="381"/>
      <c r="CP261" s="381"/>
      <c r="CQ261" s="381"/>
      <c r="CR261" s="381"/>
      <c r="CS261" s="381"/>
      <c r="CT261" s="381"/>
      <c r="CU261" s="381"/>
      <c r="CV261" s="381"/>
      <c r="CW261" s="381"/>
      <c r="CX261" s="381"/>
      <c r="CY261" s="381"/>
      <c r="CZ261" s="381"/>
      <c r="DA261" s="381"/>
      <c r="DB261" s="381"/>
      <c r="DC261" s="381"/>
      <c r="DD261" s="381"/>
      <c r="DE261" s="381"/>
      <c r="DF261" s="381"/>
      <c r="DG261" s="381"/>
      <c r="DH261" s="381"/>
      <c r="DI261" s="381"/>
      <c r="DJ261" s="381"/>
      <c r="DK261" s="381"/>
      <c r="DL261" s="381"/>
      <c r="DM261" s="381"/>
      <c r="DN261" s="381"/>
      <c r="DO261" s="381"/>
      <c r="DP261" s="381"/>
      <c r="DQ261" s="381"/>
      <c r="DR261" s="381"/>
      <c r="DS261" s="381"/>
      <c r="DT261" s="381"/>
      <c r="DU261" s="381"/>
      <c r="DV261" s="381"/>
      <c r="DW261" s="277"/>
      <c r="DX261" s="381"/>
      <c r="DY261" s="381"/>
      <c r="DZ261" s="381"/>
      <c r="EA261" s="381"/>
      <c r="EB261" s="381"/>
      <c r="EC261" s="381"/>
      <c r="ED261" s="381"/>
      <c r="EE261" s="381"/>
      <c r="EF261" s="381"/>
      <c r="EG261" s="381"/>
      <c r="EH261" s="381"/>
      <c r="EI261" s="381"/>
      <c r="EJ261" s="381"/>
      <c r="EK261" s="381"/>
      <c r="EL261" s="381"/>
      <c r="EM261" s="381"/>
      <c r="EN261" s="381"/>
      <c r="EO261" s="381"/>
      <c r="EP261" s="381"/>
      <c r="EQ261" s="381"/>
      <c r="ER261" s="277"/>
      <c r="ES261" s="381"/>
      <c r="ET261" s="381"/>
      <c r="EU261" s="381"/>
      <c r="EV261" s="381"/>
      <c r="EW261" s="381"/>
      <c r="EX261" s="381"/>
      <c r="EY261" s="381"/>
      <c r="EZ261" s="381"/>
      <c r="FA261" s="381"/>
      <c r="FB261" s="381"/>
      <c r="FC261" s="381"/>
      <c r="FD261" s="381"/>
      <c r="FE261" s="381"/>
      <c r="FF261" s="381"/>
      <c r="FG261" s="381"/>
      <c r="FH261" s="381"/>
      <c r="FI261" s="381"/>
      <c r="FJ261" s="381"/>
      <c r="FK261" s="381"/>
      <c r="FL261" s="381"/>
      <c r="FM261" s="381"/>
      <c r="FN261" s="381"/>
      <c r="FO261" s="381"/>
      <c r="FP261" s="381"/>
      <c r="FQ261" s="381"/>
      <c r="FR261" s="381"/>
      <c r="FS261" s="381"/>
      <c r="FT261" s="381"/>
      <c r="FU261" s="381"/>
      <c r="FV261" s="381"/>
      <c r="FW261" s="381"/>
      <c r="FX261" s="381"/>
      <c r="FY261" s="381"/>
      <c r="FZ261" s="381"/>
      <c r="GA261" s="381"/>
      <c r="GB261" s="381"/>
      <c r="GC261" s="381"/>
      <c r="GD261" s="381"/>
      <c r="GE261" s="381"/>
      <c r="GF261" s="381"/>
      <c r="GG261" s="381"/>
      <c r="GH261" s="381"/>
      <c r="GI261" s="381"/>
      <c r="GJ261" s="381"/>
      <c r="GK261" s="381"/>
      <c r="GL261" s="381"/>
      <c r="GM261" s="381"/>
      <c r="GN261" s="381"/>
      <c r="GO261" s="381"/>
      <c r="GP261" s="381"/>
      <c r="GQ261" s="381"/>
      <c r="GR261" s="381"/>
      <c r="GS261" s="381"/>
      <c r="GT261" s="381"/>
      <c r="GU261" s="381"/>
      <c r="GV261" s="381"/>
      <c r="GW261" s="381"/>
      <c r="GX261" s="381"/>
      <c r="GY261" s="381"/>
      <c r="GZ261" s="381"/>
      <c r="HA261" s="381"/>
      <c r="HB261" s="381"/>
      <c r="HC261" s="381"/>
      <c r="HD261" s="381"/>
      <c r="HE261" s="381"/>
      <c r="HF261" s="381"/>
      <c r="HG261" s="381"/>
      <c r="HH261" s="381"/>
      <c r="HI261" s="381"/>
      <c r="HJ261" s="381"/>
      <c r="HK261" s="381"/>
      <c r="HL261" s="381"/>
      <c r="HM261" s="381"/>
      <c r="HN261" s="381"/>
      <c r="HO261" s="381"/>
      <c r="HP261" s="381"/>
      <c r="HQ261" s="381"/>
      <c r="HR261" s="381"/>
      <c r="HS261" s="381"/>
      <c r="HT261" s="381"/>
      <c r="HU261" s="381"/>
      <c r="HV261" s="381"/>
      <c r="HW261" s="381"/>
      <c r="HX261" s="381"/>
      <c r="HY261" s="381"/>
      <c r="HZ261" s="381"/>
      <c r="IA261" s="381"/>
      <c r="IB261" s="381"/>
      <c r="IC261" s="381"/>
      <c r="ID261" s="381"/>
      <c r="IE261" s="381"/>
      <c r="IF261" s="381"/>
      <c r="IG261" s="381"/>
      <c r="IH261" s="381"/>
      <c r="II261" s="381"/>
      <c r="IJ261" s="381"/>
      <c r="IK261" s="381"/>
      <c r="IL261" s="381"/>
      <c r="IM261" s="381"/>
      <c r="IN261" s="381"/>
      <c r="IO261" s="381"/>
      <c r="IP261" s="381"/>
      <c r="IQ261" s="381"/>
      <c r="IR261" s="381"/>
      <c r="IS261" s="381"/>
      <c r="IT261" s="381"/>
      <c r="IU261" s="381"/>
      <c r="IV261" s="381"/>
      <c r="IW261" s="381"/>
      <c r="IX261" s="381"/>
      <c r="IY261" s="381"/>
      <c r="IZ261" s="381"/>
      <c r="JA261" s="381"/>
      <c r="JB261" s="381"/>
      <c r="JC261" s="381"/>
      <c r="JD261" s="381"/>
      <c r="JE261" s="381"/>
      <c r="JF261" s="381"/>
      <c r="JG261" s="277"/>
      <c r="JH261" s="381"/>
      <c r="JI261" s="381"/>
      <c r="JJ261" s="381"/>
      <c r="JK261" s="381"/>
      <c r="JL261" s="381"/>
      <c r="JM261" s="381"/>
      <c r="JN261" s="381"/>
      <c r="JO261" s="381"/>
      <c r="JP261" s="381"/>
      <c r="JQ261" s="381"/>
      <c r="JR261" s="381"/>
      <c r="JS261" s="381"/>
      <c r="JT261" s="381"/>
      <c r="JU261" s="381"/>
      <c r="JV261" s="381"/>
      <c r="JW261" s="381"/>
      <c r="JX261" s="381"/>
      <c r="JY261" s="381"/>
      <c r="JZ261" s="381"/>
      <c r="KA261" s="381"/>
      <c r="KB261" s="277"/>
    </row>
    <row r="262" spans="2:288" ht="15" customHeight="1" x14ac:dyDescent="0.25">
      <c r="B262" s="216" t="str">
        <f t="shared" si="22"/>
        <v>Desk 46</v>
      </c>
      <c r="C262" s="218" t="str">
        <v/>
      </c>
      <c r="D262" s="218" t="str">
        <v/>
      </c>
      <c r="E262" s="218" t="str">
        <v/>
      </c>
      <c r="F262" s="218" t="str">
        <v/>
      </c>
      <c r="G262" s="402" t="str">
        <v/>
      </c>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c r="AG262" s="381"/>
      <c r="AH262" s="381"/>
      <c r="AI262" s="381"/>
      <c r="AJ262" s="381"/>
      <c r="AK262" s="381"/>
      <c r="AL262" s="381"/>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T262" s="381"/>
      <c r="BU262" s="381"/>
      <c r="BV262" s="381"/>
      <c r="BW262" s="381"/>
      <c r="BX262" s="381"/>
      <c r="BY262" s="381"/>
      <c r="BZ262" s="381"/>
      <c r="CA262" s="381"/>
      <c r="CB262" s="381"/>
      <c r="CC262" s="381"/>
      <c r="CD262" s="381"/>
      <c r="CE262" s="381"/>
      <c r="CF262" s="381"/>
      <c r="CG262" s="381"/>
      <c r="CH262" s="381"/>
      <c r="CI262" s="381"/>
      <c r="CJ262" s="381"/>
      <c r="CK262" s="381"/>
      <c r="CL262" s="381"/>
      <c r="CM262" s="381"/>
      <c r="CN262" s="381"/>
      <c r="CO262" s="381"/>
      <c r="CP262" s="381"/>
      <c r="CQ262" s="381"/>
      <c r="CR262" s="381"/>
      <c r="CS262" s="381"/>
      <c r="CT262" s="381"/>
      <c r="CU262" s="381"/>
      <c r="CV262" s="381"/>
      <c r="CW262" s="381"/>
      <c r="CX262" s="381"/>
      <c r="CY262" s="381"/>
      <c r="CZ262" s="381"/>
      <c r="DA262" s="381"/>
      <c r="DB262" s="381"/>
      <c r="DC262" s="381"/>
      <c r="DD262" s="381"/>
      <c r="DE262" s="381"/>
      <c r="DF262" s="381"/>
      <c r="DG262" s="381"/>
      <c r="DH262" s="381"/>
      <c r="DI262" s="381"/>
      <c r="DJ262" s="381"/>
      <c r="DK262" s="381"/>
      <c r="DL262" s="381"/>
      <c r="DM262" s="381"/>
      <c r="DN262" s="381"/>
      <c r="DO262" s="381"/>
      <c r="DP262" s="381"/>
      <c r="DQ262" s="381"/>
      <c r="DR262" s="381"/>
      <c r="DS262" s="381"/>
      <c r="DT262" s="381"/>
      <c r="DU262" s="381"/>
      <c r="DV262" s="381"/>
      <c r="DW262" s="277"/>
      <c r="DX262" s="381"/>
      <c r="DY262" s="381"/>
      <c r="DZ262" s="381"/>
      <c r="EA262" s="381"/>
      <c r="EB262" s="381"/>
      <c r="EC262" s="381"/>
      <c r="ED262" s="381"/>
      <c r="EE262" s="381"/>
      <c r="EF262" s="381"/>
      <c r="EG262" s="381"/>
      <c r="EH262" s="381"/>
      <c r="EI262" s="381"/>
      <c r="EJ262" s="381"/>
      <c r="EK262" s="381"/>
      <c r="EL262" s="381"/>
      <c r="EM262" s="381"/>
      <c r="EN262" s="381"/>
      <c r="EO262" s="381"/>
      <c r="EP262" s="381"/>
      <c r="EQ262" s="381"/>
      <c r="ER262" s="277"/>
      <c r="ES262" s="381"/>
      <c r="ET262" s="381"/>
      <c r="EU262" s="381"/>
      <c r="EV262" s="381"/>
      <c r="EW262" s="381"/>
      <c r="EX262" s="381"/>
      <c r="EY262" s="381"/>
      <c r="EZ262" s="381"/>
      <c r="FA262" s="381"/>
      <c r="FB262" s="381"/>
      <c r="FC262" s="381"/>
      <c r="FD262" s="381"/>
      <c r="FE262" s="381"/>
      <c r="FF262" s="381"/>
      <c r="FG262" s="381"/>
      <c r="FH262" s="381"/>
      <c r="FI262" s="381"/>
      <c r="FJ262" s="381"/>
      <c r="FK262" s="381"/>
      <c r="FL262" s="381"/>
      <c r="FM262" s="381"/>
      <c r="FN262" s="381"/>
      <c r="FO262" s="381"/>
      <c r="FP262" s="381"/>
      <c r="FQ262" s="381"/>
      <c r="FR262" s="381"/>
      <c r="FS262" s="381"/>
      <c r="FT262" s="381"/>
      <c r="FU262" s="381"/>
      <c r="FV262" s="381"/>
      <c r="FW262" s="381"/>
      <c r="FX262" s="381"/>
      <c r="FY262" s="381"/>
      <c r="FZ262" s="381"/>
      <c r="GA262" s="381"/>
      <c r="GB262" s="381"/>
      <c r="GC262" s="381"/>
      <c r="GD262" s="381"/>
      <c r="GE262" s="381"/>
      <c r="GF262" s="381"/>
      <c r="GG262" s="381"/>
      <c r="GH262" s="381"/>
      <c r="GI262" s="381"/>
      <c r="GJ262" s="381"/>
      <c r="GK262" s="381"/>
      <c r="GL262" s="381"/>
      <c r="GM262" s="381"/>
      <c r="GN262" s="381"/>
      <c r="GO262" s="381"/>
      <c r="GP262" s="381"/>
      <c r="GQ262" s="381"/>
      <c r="GR262" s="381"/>
      <c r="GS262" s="381"/>
      <c r="GT262" s="381"/>
      <c r="GU262" s="381"/>
      <c r="GV262" s="381"/>
      <c r="GW262" s="381"/>
      <c r="GX262" s="381"/>
      <c r="GY262" s="381"/>
      <c r="GZ262" s="381"/>
      <c r="HA262" s="381"/>
      <c r="HB262" s="381"/>
      <c r="HC262" s="381"/>
      <c r="HD262" s="381"/>
      <c r="HE262" s="381"/>
      <c r="HF262" s="381"/>
      <c r="HG262" s="381"/>
      <c r="HH262" s="381"/>
      <c r="HI262" s="381"/>
      <c r="HJ262" s="381"/>
      <c r="HK262" s="381"/>
      <c r="HL262" s="381"/>
      <c r="HM262" s="381"/>
      <c r="HN262" s="381"/>
      <c r="HO262" s="381"/>
      <c r="HP262" s="381"/>
      <c r="HQ262" s="381"/>
      <c r="HR262" s="381"/>
      <c r="HS262" s="381"/>
      <c r="HT262" s="381"/>
      <c r="HU262" s="381"/>
      <c r="HV262" s="381"/>
      <c r="HW262" s="381"/>
      <c r="HX262" s="381"/>
      <c r="HY262" s="381"/>
      <c r="HZ262" s="381"/>
      <c r="IA262" s="381"/>
      <c r="IB262" s="381"/>
      <c r="IC262" s="381"/>
      <c r="ID262" s="381"/>
      <c r="IE262" s="381"/>
      <c r="IF262" s="381"/>
      <c r="IG262" s="381"/>
      <c r="IH262" s="381"/>
      <c r="II262" s="381"/>
      <c r="IJ262" s="381"/>
      <c r="IK262" s="381"/>
      <c r="IL262" s="381"/>
      <c r="IM262" s="381"/>
      <c r="IN262" s="381"/>
      <c r="IO262" s="381"/>
      <c r="IP262" s="381"/>
      <c r="IQ262" s="381"/>
      <c r="IR262" s="381"/>
      <c r="IS262" s="381"/>
      <c r="IT262" s="381"/>
      <c r="IU262" s="381"/>
      <c r="IV262" s="381"/>
      <c r="IW262" s="381"/>
      <c r="IX262" s="381"/>
      <c r="IY262" s="381"/>
      <c r="IZ262" s="381"/>
      <c r="JA262" s="381"/>
      <c r="JB262" s="381"/>
      <c r="JC262" s="381"/>
      <c r="JD262" s="381"/>
      <c r="JE262" s="381"/>
      <c r="JF262" s="381"/>
      <c r="JG262" s="277"/>
      <c r="JH262" s="381"/>
      <c r="JI262" s="381"/>
      <c r="JJ262" s="381"/>
      <c r="JK262" s="381"/>
      <c r="JL262" s="381"/>
      <c r="JM262" s="381"/>
      <c r="JN262" s="381"/>
      <c r="JO262" s="381"/>
      <c r="JP262" s="381"/>
      <c r="JQ262" s="381"/>
      <c r="JR262" s="381"/>
      <c r="JS262" s="381"/>
      <c r="JT262" s="381"/>
      <c r="JU262" s="381"/>
      <c r="JV262" s="381"/>
      <c r="JW262" s="381"/>
      <c r="JX262" s="381"/>
      <c r="JY262" s="381"/>
      <c r="JZ262" s="381"/>
      <c r="KA262" s="381"/>
      <c r="KB262" s="277"/>
    </row>
    <row r="263" spans="2:288" ht="15" customHeight="1" x14ac:dyDescent="0.25">
      <c r="B263" s="216" t="str">
        <f t="shared" si="22"/>
        <v>Desk 47</v>
      </c>
      <c r="C263" s="218" t="str">
        <v/>
      </c>
      <c r="D263" s="218" t="str">
        <v/>
      </c>
      <c r="E263" s="218" t="str">
        <v/>
      </c>
      <c r="F263" s="218" t="str">
        <v/>
      </c>
      <c r="G263" s="402" t="str">
        <v/>
      </c>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c r="AG263" s="381"/>
      <c r="AH263" s="381"/>
      <c r="AI263" s="381"/>
      <c r="AJ263" s="381"/>
      <c r="AK263" s="381"/>
      <c r="AL263" s="381"/>
      <c r="AM263" s="381"/>
      <c r="AN263" s="381"/>
      <c r="AO263" s="381"/>
      <c r="AP263" s="381"/>
      <c r="AQ263" s="381"/>
      <c r="AR263" s="381"/>
      <c r="AS263" s="381"/>
      <c r="AT263" s="381"/>
      <c r="AU263" s="381"/>
      <c r="AV263" s="381"/>
      <c r="AW263" s="381"/>
      <c r="AX263" s="381"/>
      <c r="AY263" s="381"/>
      <c r="AZ263" s="381"/>
      <c r="BA263" s="381"/>
      <c r="BB263" s="381"/>
      <c r="BC263" s="381"/>
      <c r="BD263" s="381"/>
      <c r="BE263" s="381"/>
      <c r="BF263" s="381"/>
      <c r="BG263" s="381"/>
      <c r="BH263" s="381"/>
      <c r="BI263" s="381"/>
      <c r="BJ263" s="381"/>
      <c r="BK263" s="381"/>
      <c r="BL263" s="381"/>
      <c r="BM263" s="381"/>
      <c r="BN263" s="381"/>
      <c r="BO263" s="381"/>
      <c r="BP263" s="381"/>
      <c r="BQ263" s="381"/>
      <c r="BR263" s="381"/>
      <c r="BS263" s="381"/>
      <c r="BT263" s="381"/>
      <c r="BU263" s="381"/>
      <c r="BV263" s="381"/>
      <c r="BW263" s="381"/>
      <c r="BX263" s="381"/>
      <c r="BY263" s="381"/>
      <c r="BZ263" s="381"/>
      <c r="CA263" s="381"/>
      <c r="CB263" s="381"/>
      <c r="CC263" s="381"/>
      <c r="CD263" s="381"/>
      <c r="CE263" s="381"/>
      <c r="CF263" s="381"/>
      <c r="CG263" s="381"/>
      <c r="CH263" s="381"/>
      <c r="CI263" s="381"/>
      <c r="CJ263" s="381"/>
      <c r="CK263" s="381"/>
      <c r="CL263" s="381"/>
      <c r="CM263" s="381"/>
      <c r="CN263" s="381"/>
      <c r="CO263" s="381"/>
      <c r="CP263" s="381"/>
      <c r="CQ263" s="381"/>
      <c r="CR263" s="381"/>
      <c r="CS263" s="381"/>
      <c r="CT263" s="381"/>
      <c r="CU263" s="381"/>
      <c r="CV263" s="381"/>
      <c r="CW263" s="381"/>
      <c r="CX263" s="381"/>
      <c r="CY263" s="381"/>
      <c r="CZ263" s="381"/>
      <c r="DA263" s="381"/>
      <c r="DB263" s="381"/>
      <c r="DC263" s="381"/>
      <c r="DD263" s="381"/>
      <c r="DE263" s="381"/>
      <c r="DF263" s="381"/>
      <c r="DG263" s="381"/>
      <c r="DH263" s="381"/>
      <c r="DI263" s="381"/>
      <c r="DJ263" s="381"/>
      <c r="DK263" s="381"/>
      <c r="DL263" s="381"/>
      <c r="DM263" s="381"/>
      <c r="DN263" s="381"/>
      <c r="DO263" s="381"/>
      <c r="DP263" s="381"/>
      <c r="DQ263" s="381"/>
      <c r="DR263" s="381"/>
      <c r="DS263" s="381"/>
      <c r="DT263" s="381"/>
      <c r="DU263" s="381"/>
      <c r="DV263" s="381"/>
      <c r="DW263" s="277"/>
      <c r="DX263" s="381"/>
      <c r="DY263" s="381"/>
      <c r="DZ263" s="381"/>
      <c r="EA263" s="381"/>
      <c r="EB263" s="381"/>
      <c r="EC263" s="381"/>
      <c r="ED263" s="381"/>
      <c r="EE263" s="381"/>
      <c r="EF263" s="381"/>
      <c r="EG263" s="381"/>
      <c r="EH263" s="381"/>
      <c r="EI263" s="381"/>
      <c r="EJ263" s="381"/>
      <c r="EK263" s="381"/>
      <c r="EL263" s="381"/>
      <c r="EM263" s="381"/>
      <c r="EN263" s="381"/>
      <c r="EO263" s="381"/>
      <c r="EP263" s="381"/>
      <c r="EQ263" s="381"/>
      <c r="ER263" s="277"/>
      <c r="ES263" s="381"/>
      <c r="ET263" s="381"/>
      <c r="EU263" s="381"/>
      <c r="EV263" s="381"/>
      <c r="EW263" s="381"/>
      <c r="EX263" s="381"/>
      <c r="EY263" s="381"/>
      <c r="EZ263" s="381"/>
      <c r="FA263" s="381"/>
      <c r="FB263" s="381"/>
      <c r="FC263" s="381"/>
      <c r="FD263" s="381"/>
      <c r="FE263" s="381"/>
      <c r="FF263" s="381"/>
      <c r="FG263" s="381"/>
      <c r="FH263" s="381"/>
      <c r="FI263" s="381"/>
      <c r="FJ263" s="381"/>
      <c r="FK263" s="381"/>
      <c r="FL263" s="381"/>
      <c r="FM263" s="381"/>
      <c r="FN263" s="381"/>
      <c r="FO263" s="381"/>
      <c r="FP263" s="381"/>
      <c r="FQ263" s="381"/>
      <c r="FR263" s="381"/>
      <c r="FS263" s="381"/>
      <c r="FT263" s="381"/>
      <c r="FU263" s="381"/>
      <c r="FV263" s="381"/>
      <c r="FW263" s="381"/>
      <c r="FX263" s="381"/>
      <c r="FY263" s="381"/>
      <c r="FZ263" s="381"/>
      <c r="GA263" s="381"/>
      <c r="GB263" s="381"/>
      <c r="GC263" s="381"/>
      <c r="GD263" s="381"/>
      <c r="GE263" s="381"/>
      <c r="GF263" s="381"/>
      <c r="GG263" s="381"/>
      <c r="GH263" s="381"/>
      <c r="GI263" s="381"/>
      <c r="GJ263" s="381"/>
      <c r="GK263" s="381"/>
      <c r="GL263" s="381"/>
      <c r="GM263" s="381"/>
      <c r="GN263" s="381"/>
      <c r="GO263" s="381"/>
      <c r="GP263" s="381"/>
      <c r="GQ263" s="381"/>
      <c r="GR263" s="381"/>
      <c r="GS263" s="381"/>
      <c r="GT263" s="381"/>
      <c r="GU263" s="381"/>
      <c r="GV263" s="381"/>
      <c r="GW263" s="381"/>
      <c r="GX263" s="381"/>
      <c r="GY263" s="381"/>
      <c r="GZ263" s="381"/>
      <c r="HA263" s="381"/>
      <c r="HB263" s="381"/>
      <c r="HC263" s="381"/>
      <c r="HD263" s="381"/>
      <c r="HE263" s="381"/>
      <c r="HF263" s="381"/>
      <c r="HG263" s="381"/>
      <c r="HH263" s="381"/>
      <c r="HI263" s="381"/>
      <c r="HJ263" s="381"/>
      <c r="HK263" s="381"/>
      <c r="HL263" s="381"/>
      <c r="HM263" s="381"/>
      <c r="HN263" s="381"/>
      <c r="HO263" s="381"/>
      <c r="HP263" s="381"/>
      <c r="HQ263" s="381"/>
      <c r="HR263" s="381"/>
      <c r="HS263" s="381"/>
      <c r="HT263" s="381"/>
      <c r="HU263" s="381"/>
      <c r="HV263" s="381"/>
      <c r="HW263" s="381"/>
      <c r="HX263" s="381"/>
      <c r="HY263" s="381"/>
      <c r="HZ263" s="381"/>
      <c r="IA263" s="381"/>
      <c r="IB263" s="381"/>
      <c r="IC263" s="381"/>
      <c r="ID263" s="381"/>
      <c r="IE263" s="381"/>
      <c r="IF263" s="381"/>
      <c r="IG263" s="381"/>
      <c r="IH263" s="381"/>
      <c r="II263" s="381"/>
      <c r="IJ263" s="381"/>
      <c r="IK263" s="381"/>
      <c r="IL263" s="381"/>
      <c r="IM263" s="381"/>
      <c r="IN263" s="381"/>
      <c r="IO263" s="381"/>
      <c r="IP263" s="381"/>
      <c r="IQ263" s="381"/>
      <c r="IR263" s="381"/>
      <c r="IS263" s="381"/>
      <c r="IT263" s="381"/>
      <c r="IU263" s="381"/>
      <c r="IV263" s="381"/>
      <c r="IW263" s="381"/>
      <c r="IX263" s="381"/>
      <c r="IY263" s="381"/>
      <c r="IZ263" s="381"/>
      <c r="JA263" s="381"/>
      <c r="JB263" s="381"/>
      <c r="JC263" s="381"/>
      <c r="JD263" s="381"/>
      <c r="JE263" s="381"/>
      <c r="JF263" s="381"/>
      <c r="JG263" s="277"/>
      <c r="JH263" s="381"/>
      <c r="JI263" s="381"/>
      <c r="JJ263" s="381"/>
      <c r="JK263" s="381"/>
      <c r="JL263" s="381"/>
      <c r="JM263" s="381"/>
      <c r="JN263" s="381"/>
      <c r="JO263" s="381"/>
      <c r="JP263" s="381"/>
      <c r="JQ263" s="381"/>
      <c r="JR263" s="381"/>
      <c r="JS263" s="381"/>
      <c r="JT263" s="381"/>
      <c r="JU263" s="381"/>
      <c r="JV263" s="381"/>
      <c r="JW263" s="381"/>
      <c r="JX263" s="381"/>
      <c r="JY263" s="381"/>
      <c r="JZ263" s="381"/>
      <c r="KA263" s="381"/>
      <c r="KB263" s="277"/>
    </row>
    <row r="264" spans="2:288" ht="15" customHeight="1" x14ac:dyDescent="0.25">
      <c r="B264" s="216" t="str">
        <f t="shared" si="22"/>
        <v>Desk 48</v>
      </c>
      <c r="C264" s="218" t="str">
        <v/>
      </c>
      <c r="D264" s="218" t="str">
        <v/>
      </c>
      <c r="E264" s="218" t="str">
        <v/>
      </c>
      <c r="F264" s="218" t="str">
        <v/>
      </c>
      <c r="G264" s="402" t="str">
        <v/>
      </c>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381"/>
      <c r="AV264" s="381"/>
      <c r="AW264" s="381"/>
      <c r="AX264" s="381"/>
      <c r="AY264" s="381"/>
      <c r="AZ264" s="381"/>
      <c r="BA264" s="381"/>
      <c r="BB264" s="381"/>
      <c r="BC264" s="381"/>
      <c r="BD264" s="381"/>
      <c r="BE264" s="381"/>
      <c r="BF264" s="381"/>
      <c r="BG264" s="381"/>
      <c r="BH264" s="381"/>
      <c r="BI264" s="381"/>
      <c r="BJ264" s="381"/>
      <c r="BK264" s="381"/>
      <c r="BL264" s="381"/>
      <c r="BM264" s="381"/>
      <c r="BN264" s="381"/>
      <c r="BO264" s="381"/>
      <c r="BP264" s="381"/>
      <c r="BQ264" s="381"/>
      <c r="BR264" s="381"/>
      <c r="BS264" s="381"/>
      <c r="BT264" s="381"/>
      <c r="BU264" s="381"/>
      <c r="BV264" s="381"/>
      <c r="BW264" s="381"/>
      <c r="BX264" s="381"/>
      <c r="BY264" s="381"/>
      <c r="BZ264" s="381"/>
      <c r="CA264" s="381"/>
      <c r="CB264" s="381"/>
      <c r="CC264" s="381"/>
      <c r="CD264" s="381"/>
      <c r="CE264" s="381"/>
      <c r="CF264" s="381"/>
      <c r="CG264" s="381"/>
      <c r="CH264" s="381"/>
      <c r="CI264" s="381"/>
      <c r="CJ264" s="381"/>
      <c r="CK264" s="381"/>
      <c r="CL264" s="381"/>
      <c r="CM264" s="381"/>
      <c r="CN264" s="381"/>
      <c r="CO264" s="381"/>
      <c r="CP264" s="381"/>
      <c r="CQ264" s="381"/>
      <c r="CR264" s="381"/>
      <c r="CS264" s="381"/>
      <c r="CT264" s="381"/>
      <c r="CU264" s="381"/>
      <c r="CV264" s="381"/>
      <c r="CW264" s="381"/>
      <c r="CX264" s="381"/>
      <c r="CY264" s="381"/>
      <c r="CZ264" s="381"/>
      <c r="DA264" s="381"/>
      <c r="DB264" s="381"/>
      <c r="DC264" s="381"/>
      <c r="DD264" s="381"/>
      <c r="DE264" s="381"/>
      <c r="DF264" s="381"/>
      <c r="DG264" s="381"/>
      <c r="DH264" s="381"/>
      <c r="DI264" s="381"/>
      <c r="DJ264" s="381"/>
      <c r="DK264" s="381"/>
      <c r="DL264" s="381"/>
      <c r="DM264" s="381"/>
      <c r="DN264" s="381"/>
      <c r="DO264" s="381"/>
      <c r="DP264" s="381"/>
      <c r="DQ264" s="381"/>
      <c r="DR264" s="381"/>
      <c r="DS264" s="381"/>
      <c r="DT264" s="381"/>
      <c r="DU264" s="381"/>
      <c r="DV264" s="381"/>
      <c r="DW264" s="277"/>
      <c r="DX264" s="381"/>
      <c r="DY264" s="381"/>
      <c r="DZ264" s="381"/>
      <c r="EA264" s="381"/>
      <c r="EB264" s="381"/>
      <c r="EC264" s="381"/>
      <c r="ED264" s="381"/>
      <c r="EE264" s="381"/>
      <c r="EF264" s="381"/>
      <c r="EG264" s="381"/>
      <c r="EH264" s="381"/>
      <c r="EI264" s="381"/>
      <c r="EJ264" s="381"/>
      <c r="EK264" s="381"/>
      <c r="EL264" s="381"/>
      <c r="EM264" s="381"/>
      <c r="EN264" s="381"/>
      <c r="EO264" s="381"/>
      <c r="EP264" s="381"/>
      <c r="EQ264" s="381"/>
      <c r="ER264" s="277"/>
      <c r="ES264" s="381"/>
      <c r="ET264" s="381"/>
      <c r="EU264" s="381"/>
      <c r="EV264" s="381"/>
      <c r="EW264" s="381"/>
      <c r="EX264" s="381"/>
      <c r="EY264" s="381"/>
      <c r="EZ264" s="381"/>
      <c r="FA264" s="381"/>
      <c r="FB264" s="381"/>
      <c r="FC264" s="381"/>
      <c r="FD264" s="381"/>
      <c r="FE264" s="381"/>
      <c r="FF264" s="381"/>
      <c r="FG264" s="381"/>
      <c r="FH264" s="381"/>
      <c r="FI264" s="381"/>
      <c r="FJ264" s="381"/>
      <c r="FK264" s="381"/>
      <c r="FL264" s="381"/>
      <c r="FM264" s="381"/>
      <c r="FN264" s="381"/>
      <c r="FO264" s="381"/>
      <c r="FP264" s="381"/>
      <c r="FQ264" s="381"/>
      <c r="FR264" s="381"/>
      <c r="FS264" s="381"/>
      <c r="FT264" s="381"/>
      <c r="FU264" s="381"/>
      <c r="FV264" s="381"/>
      <c r="FW264" s="381"/>
      <c r="FX264" s="381"/>
      <c r="FY264" s="381"/>
      <c r="FZ264" s="381"/>
      <c r="GA264" s="381"/>
      <c r="GB264" s="381"/>
      <c r="GC264" s="381"/>
      <c r="GD264" s="381"/>
      <c r="GE264" s="381"/>
      <c r="GF264" s="381"/>
      <c r="GG264" s="381"/>
      <c r="GH264" s="381"/>
      <c r="GI264" s="381"/>
      <c r="GJ264" s="381"/>
      <c r="GK264" s="381"/>
      <c r="GL264" s="381"/>
      <c r="GM264" s="381"/>
      <c r="GN264" s="381"/>
      <c r="GO264" s="381"/>
      <c r="GP264" s="381"/>
      <c r="GQ264" s="381"/>
      <c r="GR264" s="381"/>
      <c r="GS264" s="381"/>
      <c r="GT264" s="381"/>
      <c r="GU264" s="381"/>
      <c r="GV264" s="381"/>
      <c r="GW264" s="381"/>
      <c r="GX264" s="381"/>
      <c r="GY264" s="381"/>
      <c r="GZ264" s="381"/>
      <c r="HA264" s="381"/>
      <c r="HB264" s="381"/>
      <c r="HC264" s="381"/>
      <c r="HD264" s="381"/>
      <c r="HE264" s="381"/>
      <c r="HF264" s="381"/>
      <c r="HG264" s="381"/>
      <c r="HH264" s="381"/>
      <c r="HI264" s="381"/>
      <c r="HJ264" s="381"/>
      <c r="HK264" s="381"/>
      <c r="HL264" s="381"/>
      <c r="HM264" s="381"/>
      <c r="HN264" s="381"/>
      <c r="HO264" s="381"/>
      <c r="HP264" s="381"/>
      <c r="HQ264" s="381"/>
      <c r="HR264" s="381"/>
      <c r="HS264" s="381"/>
      <c r="HT264" s="381"/>
      <c r="HU264" s="381"/>
      <c r="HV264" s="381"/>
      <c r="HW264" s="381"/>
      <c r="HX264" s="381"/>
      <c r="HY264" s="381"/>
      <c r="HZ264" s="381"/>
      <c r="IA264" s="381"/>
      <c r="IB264" s="381"/>
      <c r="IC264" s="381"/>
      <c r="ID264" s="381"/>
      <c r="IE264" s="381"/>
      <c r="IF264" s="381"/>
      <c r="IG264" s="381"/>
      <c r="IH264" s="381"/>
      <c r="II264" s="381"/>
      <c r="IJ264" s="381"/>
      <c r="IK264" s="381"/>
      <c r="IL264" s="381"/>
      <c r="IM264" s="381"/>
      <c r="IN264" s="381"/>
      <c r="IO264" s="381"/>
      <c r="IP264" s="381"/>
      <c r="IQ264" s="381"/>
      <c r="IR264" s="381"/>
      <c r="IS264" s="381"/>
      <c r="IT264" s="381"/>
      <c r="IU264" s="381"/>
      <c r="IV264" s="381"/>
      <c r="IW264" s="381"/>
      <c r="IX264" s="381"/>
      <c r="IY264" s="381"/>
      <c r="IZ264" s="381"/>
      <c r="JA264" s="381"/>
      <c r="JB264" s="381"/>
      <c r="JC264" s="381"/>
      <c r="JD264" s="381"/>
      <c r="JE264" s="381"/>
      <c r="JF264" s="381"/>
      <c r="JG264" s="277"/>
      <c r="JH264" s="381"/>
      <c r="JI264" s="381"/>
      <c r="JJ264" s="381"/>
      <c r="JK264" s="381"/>
      <c r="JL264" s="381"/>
      <c r="JM264" s="381"/>
      <c r="JN264" s="381"/>
      <c r="JO264" s="381"/>
      <c r="JP264" s="381"/>
      <c r="JQ264" s="381"/>
      <c r="JR264" s="381"/>
      <c r="JS264" s="381"/>
      <c r="JT264" s="381"/>
      <c r="JU264" s="381"/>
      <c r="JV264" s="381"/>
      <c r="JW264" s="381"/>
      <c r="JX264" s="381"/>
      <c r="JY264" s="381"/>
      <c r="JZ264" s="381"/>
      <c r="KA264" s="381"/>
      <c r="KB264" s="277"/>
    </row>
    <row r="265" spans="2:288" ht="15" customHeight="1" x14ac:dyDescent="0.25">
      <c r="B265" s="216" t="str">
        <f t="shared" si="22"/>
        <v>Desk 49</v>
      </c>
      <c r="C265" s="218" t="str">
        <v/>
      </c>
      <c r="D265" s="218" t="str">
        <v/>
      </c>
      <c r="E265" s="218" t="str">
        <v/>
      </c>
      <c r="F265" s="218" t="str">
        <v/>
      </c>
      <c r="G265" s="402" t="str">
        <v/>
      </c>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c r="AG265" s="381"/>
      <c r="AH265" s="381"/>
      <c r="AI265" s="381"/>
      <c r="AJ265" s="381"/>
      <c r="AK265" s="381"/>
      <c r="AL265" s="381"/>
      <c r="AM265" s="381"/>
      <c r="AN265" s="381"/>
      <c r="AO265" s="381"/>
      <c r="AP265" s="381"/>
      <c r="AQ265" s="381"/>
      <c r="AR265" s="381"/>
      <c r="AS265" s="381"/>
      <c r="AT265" s="381"/>
      <c r="AU265" s="381"/>
      <c r="AV265" s="381"/>
      <c r="AW265" s="381"/>
      <c r="AX265" s="381"/>
      <c r="AY265" s="381"/>
      <c r="AZ265" s="381"/>
      <c r="BA265" s="381"/>
      <c r="BB265" s="381"/>
      <c r="BC265" s="381"/>
      <c r="BD265" s="381"/>
      <c r="BE265" s="381"/>
      <c r="BF265" s="381"/>
      <c r="BG265" s="381"/>
      <c r="BH265" s="381"/>
      <c r="BI265" s="381"/>
      <c r="BJ265" s="381"/>
      <c r="BK265" s="381"/>
      <c r="BL265" s="381"/>
      <c r="BM265" s="381"/>
      <c r="BN265" s="381"/>
      <c r="BO265" s="381"/>
      <c r="BP265" s="381"/>
      <c r="BQ265" s="381"/>
      <c r="BR265" s="381"/>
      <c r="BS265" s="381"/>
      <c r="BT265" s="381"/>
      <c r="BU265" s="381"/>
      <c r="BV265" s="381"/>
      <c r="BW265" s="381"/>
      <c r="BX265" s="381"/>
      <c r="BY265" s="381"/>
      <c r="BZ265" s="381"/>
      <c r="CA265" s="381"/>
      <c r="CB265" s="381"/>
      <c r="CC265" s="381"/>
      <c r="CD265" s="381"/>
      <c r="CE265" s="381"/>
      <c r="CF265" s="381"/>
      <c r="CG265" s="381"/>
      <c r="CH265" s="381"/>
      <c r="CI265" s="381"/>
      <c r="CJ265" s="381"/>
      <c r="CK265" s="381"/>
      <c r="CL265" s="381"/>
      <c r="CM265" s="381"/>
      <c r="CN265" s="381"/>
      <c r="CO265" s="381"/>
      <c r="CP265" s="381"/>
      <c r="CQ265" s="381"/>
      <c r="CR265" s="381"/>
      <c r="CS265" s="381"/>
      <c r="CT265" s="381"/>
      <c r="CU265" s="381"/>
      <c r="CV265" s="381"/>
      <c r="CW265" s="381"/>
      <c r="CX265" s="381"/>
      <c r="CY265" s="381"/>
      <c r="CZ265" s="381"/>
      <c r="DA265" s="381"/>
      <c r="DB265" s="381"/>
      <c r="DC265" s="381"/>
      <c r="DD265" s="381"/>
      <c r="DE265" s="381"/>
      <c r="DF265" s="381"/>
      <c r="DG265" s="381"/>
      <c r="DH265" s="381"/>
      <c r="DI265" s="381"/>
      <c r="DJ265" s="381"/>
      <c r="DK265" s="381"/>
      <c r="DL265" s="381"/>
      <c r="DM265" s="381"/>
      <c r="DN265" s="381"/>
      <c r="DO265" s="381"/>
      <c r="DP265" s="381"/>
      <c r="DQ265" s="381"/>
      <c r="DR265" s="381"/>
      <c r="DS265" s="381"/>
      <c r="DT265" s="381"/>
      <c r="DU265" s="381"/>
      <c r="DV265" s="381"/>
      <c r="DW265" s="277"/>
      <c r="DX265" s="381"/>
      <c r="DY265" s="381"/>
      <c r="DZ265" s="381"/>
      <c r="EA265" s="381"/>
      <c r="EB265" s="381"/>
      <c r="EC265" s="381"/>
      <c r="ED265" s="381"/>
      <c r="EE265" s="381"/>
      <c r="EF265" s="381"/>
      <c r="EG265" s="381"/>
      <c r="EH265" s="381"/>
      <c r="EI265" s="381"/>
      <c r="EJ265" s="381"/>
      <c r="EK265" s="381"/>
      <c r="EL265" s="381"/>
      <c r="EM265" s="381"/>
      <c r="EN265" s="381"/>
      <c r="EO265" s="381"/>
      <c r="EP265" s="381"/>
      <c r="EQ265" s="381"/>
      <c r="ER265" s="277"/>
      <c r="ES265" s="381"/>
      <c r="ET265" s="381"/>
      <c r="EU265" s="381"/>
      <c r="EV265" s="381"/>
      <c r="EW265" s="381"/>
      <c r="EX265" s="381"/>
      <c r="EY265" s="381"/>
      <c r="EZ265" s="381"/>
      <c r="FA265" s="381"/>
      <c r="FB265" s="381"/>
      <c r="FC265" s="381"/>
      <c r="FD265" s="381"/>
      <c r="FE265" s="381"/>
      <c r="FF265" s="381"/>
      <c r="FG265" s="381"/>
      <c r="FH265" s="381"/>
      <c r="FI265" s="381"/>
      <c r="FJ265" s="381"/>
      <c r="FK265" s="381"/>
      <c r="FL265" s="381"/>
      <c r="FM265" s="381"/>
      <c r="FN265" s="381"/>
      <c r="FO265" s="381"/>
      <c r="FP265" s="381"/>
      <c r="FQ265" s="381"/>
      <c r="FR265" s="381"/>
      <c r="FS265" s="381"/>
      <c r="FT265" s="381"/>
      <c r="FU265" s="381"/>
      <c r="FV265" s="381"/>
      <c r="FW265" s="381"/>
      <c r="FX265" s="381"/>
      <c r="FY265" s="381"/>
      <c r="FZ265" s="381"/>
      <c r="GA265" s="381"/>
      <c r="GB265" s="381"/>
      <c r="GC265" s="381"/>
      <c r="GD265" s="381"/>
      <c r="GE265" s="381"/>
      <c r="GF265" s="381"/>
      <c r="GG265" s="381"/>
      <c r="GH265" s="381"/>
      <c r="GI265" s="381"/>
      <c r="GJ265" s="381"/>
      <c r="GK265" s="381"/>
      <c r="GL265" s="381"/>
      <c r="GM265" s="381"/>
      <c r="GN265" s="381"/>
      <c r="GO265" s="381"/>
      <c r="GP265" s="381"/>
      <c r="GQ265" s="381"/>
      <c r="GR265" s="381"/>
      <c r="GS265" s="381"/>
      <c r="GT265" s="381"/>
      <c r="GU265" s="381"/>
      <c r="GV265" s="381"/>
      <c r="GW265" s="381"/>
      <c r="GX265" s="381"/>
      <c r="GY265" s="381"/>
      <c r="GZ265" s="381"/>
      <c r="HA265" s="381"/>
      <c r="HB265" s="381"/>
      <c r="HC265" s="381"/>
      <c r="HD265" s="381"/>
      <c r="HE265" s="381"/>
      <c r="HF265" s="381"/>
      <c r="HG265" s="381"/>
      <c r="HH265" s="381"/>
      <c r="HI265" s="381"/>
      <c r="HJ265" s="381"/>
      <c r="HK265" s="381"/>
      <c r="HL265" s="381"/>
      <c r="HM265" s="381"/>
      <c r="HN265" s="381"/>
      <c r="HO265" s="381"/>
      <c r="HP265" s="381"/>
      <c r="HQ265" s="381"/>
      <c r="HR265" s="381"/>
      <c r="HS265" s="381"/>
      <c r="HT265" s="381"/>
      <c r="HU265" s="381"/>
      <c r="HV265" s="381"/>
      <c r="HW265" s="381"/>
      <c r="HX265" s="381"/>
      <c r="HY265" s="381"/>
      <c r="HZ265" s="381"/>
      <c r="IA265" s="381"/>
      <c r="IB265" s="381"/>
      <c r="IC265" s="381"/>
      <c r="ID265" s="381"/>
      <c r="IE265" s="381"/>
      <c r="IF265" s="381"/>
      <c r="IG265" s="381"/>
      <c r="IH265" s="381"/>
      <c r="II265" s="381"/>
      <c r="IJ265" s="381"/>
      <c r="IK265" s="381"/>
      <c r="IL265" s="381"/>
      <c r="IM265" s="381"/>
      <c r="IN265" s="381"/>
      <c r="IO265" s="381"/>
      <c r="IP265" s="381"/>
      <c r="IQ265" s="381"/>
      <c r="IR265" s="381"/>
      <c r="IS265" s="381"/>
      <c r="IT265" s="381"/>
      <c r="IU265" s="381"/>
      <c r="IV265" s="381"/>
      <c r="IW265" s="381"/>
      <c r="IX265" s="381"/>
      <c r="IY265" s="381"/>
      <c r="IZ265" s="381"/>
      <c r="JA265" s="381"/>
      <c r="JB265" s="381"/>
      <c r="JC265" s="381"/>
      <c r="JD265" s="381"/>
      <c r="JE265" s="381"/>
      <c r="JF265" s="381"/>
      <c r="JG265" s="277"/>
      <c r="JH265" s="381"/>
      <c r="JI265" s="381"/>
      <c r="JJ265" s="381"/>
      <c r="JK265" s="381"/>
      <c r="JL265" s="381"/>
      <c r="JM265" s="381"/>
      <c r="JN265" s="381"/>
      <c r="JO265" s="381"/>
      <c r="JP265" s="381"/>
      <c r="JQ265" s="381"/>
      <c r="JR265" s="381"/>
      <c r="JS265" s="381"/>
      <c r="JT265" s="381"/>
      <c r="JU265" s="381"/>
      <c r="JV265" s="381"/>
      <c r="JW265" s="381"/>
      <c r="JX265" s="381"/>
      <c r="JY265" s="381"/>
      <c r="JZ265" s="381"/>
      <c r="KA265" s="381"/>
      <c r="KB265" s="277"/>
    </row>
    <row r="266" spans="2:288" ht="15" customHeight="1" x14ac:dyDescent="0.25">
      <c r="B266" s="216" t="str">
        <f t="shared" si="22"/>
        <v>Desk 50</v>
      </c>
      <c r="C266" s="218" t="str">
        <v/>
      </c>
      <c r="D266" s="218" t="str">
        <v/>
      </c>
      <c r="E266" s="218" t="str">
        <v/>
      </c>
      <c r="F266" s="218" t="str">
        <v/>
      </c>
      <c r="G266" s="402" t="str">
        <v/>
      </c>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c r="CG266" s="381"/>
      <c r="CH266" s="381"/>
      <c r="CI266" s="381"/>
      <c r="CJ266" s="381"/>
      <c r="CK266" s="381"/>
      <c r="CL266" s="381"/>
      <c r="CM266" s="381"/>
      <c r="CN266" s="381"/>
      <c r="CO266" s="381"/>
      <c r="CP266" s="381"/>
      <c r="CQ266" s="381"/>
      <c r="CR266" s="381"/>
      <c r="CS266" s="381"/>
      <c r="CT266" s="381"/>
      <c r="CU266" s="381"/>
      <c r="CV266" s="381"/>
      <c r="CW266" s="381"/>
      <c r="CX266" s="381"/>
      <c r="CY266" s="381"/>
      <c r="CZ266" s="381"/>
      <c r="DA266" s="381"/>
      <c r="DB266" s="381"/>
      <c r="DC266" s="381"/>
      <c r="DD266" s="381"/>
      <c r="DE266" s="381"/>
      <c r="DF266" s="381"/>
      <c r="DG266" s="381"/>
      <c r="DH266" s="381"/>
      <c r="DI266" s="381"/>
      <c r="DJ266" s="381"/>
      <c r="DK266" s="381"/>
      <c r="DL266" s="381"/>
      <c r="DM266" s="381"/>
      <c r="DN266" s="381"/>
      <c r="DO266" s="381"/>
      <c r="DP266" s="381"/>
      <c r="DQ266" s="381"/>
      <c r="DR266" s="381"/>
      <c r="DS266" s="381"/>
      <c r="DT266" s="381"/>
      <c r="DU266" s="381"/>
      <c r="DV266" s="381"/>
      <c r="DW266" s="277"/>
      <c r="DX266" s="381"/>
      <c r="DY266" s="381"/>
      <c r="DZ266" s="381"/>
      <c r="EA266" s="381"/>
      <c r="EB266" s="381"/>
      <c r="EC266" s="381"/>
      <c r="ED266" s="381"/>
      <c r="EE266" s="381"/>
      <c r="EF266" s="381"/>
      <c r="EG266" s="381"/>
      <c r="EH266" s="381"/>
      <c r="EI266" s="381"/>
      <c r="EJ266" s="381"/>
      <c r="EK266" s="381"/>
      <c r="EL266" s="381"/>
      <c r="EM266" s="381"/>
      <c r="EN266" s="381"/>
      <c r="EO266" s="381"/>
      <c r="EP266" s="381"/>
      <c r="EQ266" s="381"/>
      <c r="ER266" s="277"/>
      <c r="ES266" s="381"/>
      <c r="ET266" s="381"/>
      <c r="EU266" s="381"/>
      <c r="EV266" s="381"/>
      <c r="EW266" s="381"/>
      <c r="EX266" s="381"/>
      <c r="EY266" s="381"/>
      <c r="EZ266" s="381"/>
      <c r="FA266" s="381"/>
      <c r="FB266" s="381"/>
      <c r="FC266" s="381"/>
      <c r="FD266" s="381"/>
      <c r="FE266" s="381"/>
      <c r="FF266" s="381"/>
      <c r="FG266" s="381"/>
      <c r="FH266" s="381"/>
      <c r="FI266" s="381"/>
      <c r="FJ266" s="381"/>
      <c r="FK266" s="381"/>
      <c r="FL266" s="381"/>
      <c r="FM266" s="381"/>
      <c r="FN266" s="381"/>
      <c r="FO266" s="381"/>
      <c r="FP266" s="381"/>
      <c r="FQ266" s="381"/>
      <c r="FR266" s="381"/>
      <c r="FS266" s="381"/>
      <c r="FT266" s="381"/>
      <c r="FU266" s="381"/>
      <c r="FV266" s="381"/>
      <c r="FW266" s="381"/>
      <c r="FX266" s="381"/>
      <c r="FY266" s="381"/>
      <c r="FZ266" s="381"/>
      <c r="GA266" s="381"/>
      <c r="GB266" s="381"/>
      <c r="GC266" s="381"/>
      <c r="GD266" s="381"/>
      <c r="GE266" s="381"/>
      <c r="GF266" s="381"/>
      <c r="GG266" s="381"/>
      <c r="GH266" s="381"/>
      <c r="GI266" s="381"/>
      <c r="GJ266" s="381"/>
      <c r="GK266" s="381"/>
      <c r="GL266" s="381"/>
      <c r="GM266" s="381"/>
      <c r="GN266" s="381"/>
      <c r="GO266" s="381"/>
      <c r="GP266" s="381"/>
      <c r="GQ266" s="381"/>
      <c r="GR266" s="381"/>
      <c r="GS266" s="381"/>
      <c r="GT266" s="381"/>
      <c r="GU266" s="381"/>
      <c r="GV266" s="381"/>
      <c r="GW266" s="381"/>
      <c r="GX266" s="381"/>
      <c r="GY266" s="381"/>
      <c r="GZ266" s="381"/>
      <c r="HA266" s="381"/>
      <c r="HB266" s="381"/>
      <c r="HC266" s="381"/>
      <c r="HD266" s="381"/>
      <c r="HE266" s="381"/>
      <c r="HF266" s="381"/>
      <c r="HG266" s="381"/>
      <c r="HH266" s="381"/>
      <c r="HI266" s="381"/>
      <c r="HJ266" s="381"/>
      <c r="HK266" s="381"/>
      <c r="HL266" s="381"/>
      <c r="HM266" s="381"/>
      <c r="HN266" s="381"/>
      <c r="HO266" s="381"/>
      <c r="HP266" s="381"/>
      <c r="HQ266" s="381"/>
      <c r="HR266" s="381"/>
      <c r="HS266" s="381"/>
      <c r="HT266" s="381"/>
      <c r="HU266" s="381"/>
      <c r="HV266" s="381"/>
      <c r="HW266" s="381"/>
      <c r="HX266" s="381"/>
      <c r="HY266" s="381"/>
      <c r="HZ266" s="381"/>
      <c r="IA266" s="381"/>
      <c r="IB266" s="381"/>
      <c r="IC266" s="381"/>
      <c r="ID266" s="381"/>
      <c r="IE266" s="381"/>
      <c r="IF266" s="381"/>
      <c r="IG266" s="381"/>
      <c r="IH266" s="381"/>
      <c r="II266" s="381"/>
      <c r="IJ266" s="381"/>
      <c r="IK266" s="381"/>
      <c r="IL266" s="381"/>
      <c r="IM266" s="381"/>
      <c r="IN266" s="381"/>
      <c r="IO266" s="381"/>
      <c r="IP266" s="381"/>
      <c r="IQ266" s="381"/>
      <c r="IR266" s="381"/>
      <c r="IS266" s="381"/>
      <c r="IT266" s="381"/>
      <c r="IU266" s="381"/>
      <c r="IV266" s="381"/>
      <c r="IW266" s="381"/>
      <c r="IX266" s="381"/>
      <c r="IY266" s="381"/>
      <c r="IZ266" s="381"/>
      <c r="JA266" s="381"/>
      <c r="JB266" s="381"/>
      <c r="JC266" s="381"/>
      <c r="JD266" s="381"/>
      <c r="JE266" s="381"/>
      <c r="JF266" s="381"/>
      <c r="JG266" s="277"/>
      <c r="JH266" s="381"/>
      <c r="JI266" s="381"/>
      <c r="JJ266" s="381"/>
      <c r="JK266" s="381"/>
      <c r="JL266" s="381"/>
      <c r="JM266" s="381"/>
      <c r="JN266" s="381"/>
      <c r="JO266" s="381"/>
      <c r="JP266" s="381"/>
      <c r="JQ266" s="381"/>
      <c r="JR266" s="381"/>
      <c r="JS266" s="381"/>
      <c r="JT266" s="381"/>
      <c r="JU266" s="381"/>
      <c r="JV266" s="381"/>
      <c r="JW266" s="381"/>
      <c r="JX266" s="381"/>
      <c r="JY266" s="381"/>
      <c r="JZ266" s="381"/>
      <c r="KA266" s="381"/>
      <c r="KB266" s="277"/>
    </row>
    <row r="267" spans="2:288" ht="15" customHeight="1" x14ac:dyDescent="0.25">
      <c r="B267" s="216" t="str">
        <f t="shared" si="22"/>
        <v>Desk 51</v>
      </c>
      <c r="C267" s="218" t="str">
        <v/>
      </c>
      <c r="D267" s="218" t="str">
        <v/>
      </c>
      <c r="E267" s="218" t="str">
        <v/>
      </c>
      <c r="F267" s="218" t="str">
        <v/>
      </c>
      <c r="G267" s="402" t="str">
        <v/>
      </c>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c r="AG267" s="381"/>
      <c r="AH267" s="381"/>
      <c r="AI267" s="381"/>
      <c r="AJ267" s="381"/>
      <c r="AK267" s="381"/>
      <c r="AL267" s="381"/>
      <c r="AM267" s="381"/>
      <c r="AN267" s="381"/>
      <c r="AO267" s="381"/>
      <c r="AP267" s="381"/>
      <c r="AQ267" s="381"/>
      <c r="AR267" s="381"/>
      <c r="AS267" s="381"/>
      <c r="AT267" s="381"/>
      <c r="AU267" s="381"/>
      <c r="AV267" s="381"/>
      <c r="AW267" s="381"/>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c r="CG267" s="381"/>
      <c r="CH267" s="381"/>
      <c r="CI267" s="381"/>
      <c r="CJ267" s="381"/>
      <c r="CK267" s="381"/>
      <c r="CL267" s="381"/>
      <c r="CM267" s="381"/>
      <c r="CN267" s="381"/>
      <c r="CO267" s="381"/>
      <c r="CP267" s="381"/>
      <c r="CQ267" s="381"/>
      <c r="CR267" s="381"/>
      <c r="CS267" s="381"/>
      <c r="CT267" s="381"/>
      <c r="CU267" s="381"/>
      <c r="CV267" s="381"/>
      <c r="CW267" s="381"/>
      <c r="CX267" s="381"/>
      <c r="CY267" s="381"/>
      <c r="CZ267" s="381"/>
      <c r="DA267" s="381"/>
      <c r="DB267" s="381"/>
      <c r="DC267" s="381"/>
      <c r="DD267" s="381"/>
      <c r="DE267" s="381"/>
      <c r="DF267" s="381"/>
      <c r="DG267" s="381"/>
      <c r="DH267" s="381"/>
      <c r="DI267" s="381"/>
      <c r="DJ267" s="381"/>
      <c r="DK267" s="381"/>
      <c r="DL267" s="381"/>
      <c r="DM267" s="381"/>
      <c r="DN267" s="381"/>
      <c r="DO267" s="381"/>
      <c r="DP267" s="381"/>
      <c r="DQ267" s="381"/>
      <c r="DR267" s="381"/>
      <c r="DS267" s="381"/>
      <c r="DT267" s="381"/>
      <c r="DU267" s="381"/>
      <c r="DV267" s="381"/>
      <c r="DW267" s="277"/>
      <c r="DX267" s="381"/>
      <c r="DY267" s="381"/>
      <c r="DZ267" s="381"/>
      <c r="EA267" s="381"/>
      <c r="EB267" s="381"/>
      <c r="EC267" s="381"/>
      <c r="ED267" s="381"/>
      <c r="EE267" s="381"/>
      <c r="EF267" s="381"/>
      <c r="EG267" s="381"/>
      <c r="EH267" s="381"/>
      <c r="EI267" s="381"/>
      <c r="EJ267" s="381"/>
      <c r="EK267" s="381"/>
      <c r="EL267" s="381"/>
      <c r="EM267" s="381"/>
      <c r="EN267" s="381"/>
      <c r="EO267" s="381"/>
      <c r="EP267" s="381"/>
      <c r="EQ267" s="381"/>
      <c r="ER267" s="277"/>
      <c r="ES267" s="381"/>
      <c r="ET267" s="381"/>
      <c r="EU267" s="381"/>
      <c r="EV267" s="381"/>
      <c r="EW267" s="381"/>
      <c r="EX267" s="381"/>
      <c r="EY267" s="381"/>
      <c r="EZ267" s="381"/>
      <c r="FA267" s="381"/>
      <c r="FB267" s="381"/>
      <c r="FC267" s="381"/>
      <c r="FD267" s="381"/>
      <c r="FE267" s="381"/>
      <c r="FF267" s="381"/>
      <c r="FG267" s="381"/>
      <c r="FH267" s="381"/>
      <c r="FI267" s="381"/>
      <c r="FJ267" s="381"/>
      <c r="FK267" s="381"/>
      <c r="FL267" s="381"/>
      <c r="FM267" s="381"/>
      <c r="FN267" s="381"/>
      <c r="FO267" s="381"/>
      <c r="FP267" s="381"/>
      <c r="FQ267" s="381"/>
      <c r="FR267" s="381"/>
      <c r="FS267" s="381"/>
      <c r="FT267" s="381"/>
      <c r="FU267" s="381"/>
      <c r="FV267" s="381"/>
      <c r="FW267" s="381"/>
      <c r="FX267" s="381"/>
      <c r="FY267" s="381"/>
      <c r="FZ267" s="381"/>
      <c r="GA267" s="381"/>
      <c r="GB267" s="381"/>
      <c r="GC267" s="381"/>
      <c r="GD267" s="381"/>
      <c r="GE267" s="381"/>
      <c r="GF267" s="381"/>
      <c r="GG267" s="381"/>
      <c r="GH267" s="381"/>
      <c r="GI267" s="381"/>
      <c r="GJ267" s="381"/>
      <c r="GK267" s="381"/>
      <c r="GL267" s="381"/>
      <c r="GM267" s="381"/>
      <c r="GN267" s="381"/>
      <c r="GO267" s="381"/>
      <c r="GP267" s="381"/>
      <c r="GQ267" s="381"/>
      <c r="GR267" s="381"/>
      <c r="GS267" s="381"/>
      <c r="GT267" s="381"/>
      <c r="GU267" s="381"/>
      <c r="GV267" s="381"/>
      <c r="GW267" s="381"/>
      <c r="GX267" s="381"/>
      <c r="GY267" s="381"/>
      <c r="GZ267" s="381"/>
      <c r="HA267" s="381"/>
      <c r="HB267" s="381"/>
      <c r="HC267" s="381"/>
      <c r="HD267" s="381"/>
      <c r="HE267" s="381"/>
      <c r="HF267" s="381"/>
      <c r="HG267" s="381"/>
      <c r="HH267" s="381"/>
      <c r="HI267" s="381"/>
      <c r="HJ267" s="381"/>
      <c r="HK267" s="381"/>
      <c r="HL267" s="381"/>
      <c r="HM267" s="381"/>
      <c r="HN267" s="381"/>
      <c r="HO267" s="381"/>
      <c r="HP267" s="381"/>
      <c r="HQ267" s="381"/>
      <c r="HR267" s="381"/>
      <c r="HS267" s="381"/>
      <c r="HT267" s="381"/>
      <c r="HU267" s="381"/>
      <c r="HV267" s="381"/>
      <c r="HW267" s="381"/>
      <c r="HX267" s="381"/>
      <c r="HY267" s="381"/>
      <c r="HZ267" s="381"/>
      <c r="IA267" s="381"/>
      <c r="IB267" s="381"/>
      <c r="IC267" s="381"/>
      <c r="ID267" s="381"/>
      <c r="IE267" s="381"/>
      <c r="IF267" s="381"/>
      <c r="IG267" s="381"/>
      <c r="IH267" s="381"/>
      <c r="II267" s="381"/>
      <c r="IJ267" s="381"/>
      <c r="IK267" s="381"/>
      <c r="IL267" s="381"/>
      <c r="IM267" s="381"/>
      <c r="IN267" s="381"/>
      <c r="IO267" s="381"/>
      <c r="IP267" s="381"/>
      <c r="IQ267" s="381"/>
      <c r="IR267" s="381"/>
      <c r="IS267" s="381"/>
      <c r="IT267" s="381"/>
      <c r="IU267" s="381"/>
      <c r="IV267" s="381"/>
      <c r="IW267" s="381"/>
      <c r="IX267" s="381"/>
      <c r="IY267" s="381"/>
      <c r="IZ267" s="381"/>
      <c r="JA267" s="381"/>
      <c r="JB267" s="381"/>
      <c r="JC267" s="381"/>
      <c r="JD267" s="381"/>
      <c r="JE267" s="381"/>
      <c r="JF267" s="381"/>
      <c r="JG267" s="277"/>
      <c r="JH267" s="381"/>
      <c r="JI267" s="381"/>
      <c r="JJ267" s="381"/>
      <c r="JK267" s="381"/>
      <c r="JL267" s="381"/>
      <c r="JM267" s="381"/>
      <c r="JN267" s="381"/>
      <c r="JO267" s="381"/>
      <c r="JP267" s="381"/>
      <c r="JQ267" s="381"/>
      <c r="JR267" s="381"/>
      <c r="JS267" s="381"/>
      <c r="JT267" s="381"/>
      <c r="JU267" s="381"/>
      <c r="JV267" s="381"/>
      <c r="JW267" s="381"/>
      <c r="JX267" s="381"/>
      <c r="JY267" s="381"/>
      <c r="JZ267" s="381"/>
      <c r="KA267" s="381"/>
      <c r="KB267" s="277"/>
    </row>
    <row r="268" spans="2:288" ht="15" customHeight="1" x14ac:dyDescent="0.25">
      <c r="B268" s="216" t="str">
        <f t="shared" si="22"/>
        <v>Desk 52</v>
      </c>
      <c r="C268" s="218" t="str">
        <v/>
      </c>
      <c r="D268" s="218" t="str">
        <v/>
      </c>
      <c r="E268" s="218" t="str">
        <v/>
      </c>
      <c r="F268" s="218" t="str">
        <v/>
      </c>
      <c r="G268" s="402" t="str">
        <v/>
      </c>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1"/>
      <c r="BZ268" s="381"/>
      <c r="CA268" s="381"/>
      <c r="CB268" s="381"/>
      <c r="CC268" s="381"/>
      <c r="CD268" s="381"/>
      <c r="CE268" s="381"/>
      <c r="CF268" s="381"/>
      <c r="CG268" s="381"/>
      <c r="CH268" s="381"/>
      <c r="CI268" s="381"/>
      <c r="CJ268" s="381"/>
      <c r="CK268" s="381"/>
      <c r="CL268" s="381"/>
      <c r="CM268" s="381"/>
      <c r="CN268" s="381"/>
      <c r="CO268" s="381"/>
      <c r="CP268" s="381"/>
      <c r="CQ268" s="381"/>
      <c r="CR268" s="381"/>
      <c r="CS268" s="381"/>
      <c r="CT268" s="381"/>
      <c r="CU268" s="381"/>
      <c r="CV268" s="381"/>
      <c r="CW268" s="381"/>
      <c r="CX268" s="381"/>
      <c r="CY268" s="381"/>
      <c r="CZ268" s="381"/>
      <c r="DA268" s="381"/>
      <c r="DB268" s="381"/>
      <c r="DC268" s="381"/>
      <c r="DD268" s="381"/>
      <c r="DE268" s="381"/>
      <c r="DF268" s="381"/>
      <c r="DG268" s="381"/>
      <c r="DH268" s="381"/>
      <c r="DI268" s="381"/>
      <c r="DJ268" s="381"/>
      <c r="DK268" s="381"/>
      <c r="DL268" s="381"/>
      <c r="DM268" s="381"/>
      <c r="DN268" s="381"/>
      <c r="DO268" s="381"/>
      <c r="DP268" s="381"/>
      <c r="DQ268" s="381"/>
      <c r="DR268" s="381"/>
      <c r="DS268" s="381"/>
      <c r="DT268" s="381"/>
      <c r="DU268" s="381"/>
      <c r="DV268" s="381"/>
      <c r="DW268" s="277"/>
      <c r="DX268" s="381"/>
      <c r="DY268" s="381"/>
      <c r="DZ268" s="381"/>
      <c r="EA268" s="381"/>
      <c r="EB268" s="381"/>
      <c r="EC268" s="381"/>
      <c r="ED268" s="381"/>
      <c r="EE268" s="381"/>
      <c r="EF268" s="381"/>
      <c r="EG268" s="381"/>
      <c r="EH268" s="381"/>
      <c r="EI268" s="381"/>
      <c r="EJ268" s="381"/>
      <c r="EK268" s="381"/>
      <c r="EL268" s="381"/>
      <c r="EM268" s="381"/>
      <c r="EN268" s="381"/>
      <c r="EO268" s="381"/>
      <c r="EP268" s="381"/>
      <c r="EQ268" s="381"/>
      <c r="ER268" s="277"/>
      <c r="ES268" s="381"/>
      <c r="ET268" s="381"/>
      <c r="EU268" s="381"/>
      <c r="EV268" s="381"/>
      <c r="EW268" s="381"/>
      <c r="EX268" s="381"/>
      <c r="EY268" s="381"/>
      <c r="EZ268" s="381"/>
      <c r="FA268" s="381"/>
      <c r="FB268" s="381"/>
      <c r="FC268" s="381"/>
      <c r="FD268" s="381"/>
      <c r="FE268" s="381"/>
      <c r="FF268" s="381"/>
      <c r="FG268" s="381"/>
      <c r="FH268" s="381"/>
      <c r="FI268" s="381"/>
      <c r="FJ268" s="381"/>
      <c r="FK268" s="381"/>
      <c r="FL268" s="381"/>
      <c r="FM268" s="381"/>
      <c r="FN268" s="381"/>
      <c r="FO268" s="381"/>
      <c r="FP268" s="381"/>
      <c r="FQ268" s="381"/>
      <c r="FR268" s="381"/>
      <c r="FS268" s="381"/>
      <c r="FT268" s="381"/>
      <c r="FU268" s="381"/>
      <c r="FV268" s="381"/>
      <c r="FW268" s="381"/>
      <c r="FX268" s="381"/>
      <c r="FY268" s="381"/>
      <c r="FZ268" s="381"/>
      <c r="GA268" s="381"/>
      <c r="GB268" s="381"/>
      <c r="GC268" s="381"/>
      <c r="GD268" s="381"/>
      <c r="GE268" s="381"/>
      <c r="GF268" s="381"/>
      <c r="GG268" s="381"/>
      <c r="GH268" s="381"/>
      <c r="GI268" s="381"/>
      <c r="GJ268" s="381"/>
      <c r="GK268" s="381"/>
      <c r="GL268" s="381"/>
      <c r="GM268" s="381"/>
      <c r="GN268" s="381"/>
      <c r="GO268" s="381"/>
      <c r="GP268" s="381"/>
      <c r="GQ268" s="381"/>
      <c r="GR268" s="381"/>
      <c r="GS268" s="381"/>
      <c r="GT268" s="381"/>
      <c r="GU268" s="381"/>
      <c r="GV268" s="381"/>
      <c r="GW268" s="381"/>
      <c r="GX268" s="381"/>
      <c r="GY268" s="381"/>
      <c r="GZ268" s="381"/>
      <c r="HA268" s="381"/>
      <c r="HB268" s="381"/>
      <c r="HC268" s="381"/>
      <c r="HD268" s="381"/>
      <c r="HE268" s="381"/>
      <c r="HF268" s="381"/>
      <c r="HG268" s="381"/>
      <c r="HH268" s="381"/>
      <c r="HI268" s="381"/>
      <c r="HJ268" s="381"/>
      <c r="HK268" s="381"/>
      <c r="HL268" s="381"/>
      <c r="HM268" s="381"/>
      <c r="HN268" s="381"/>
      <c r="HO268" s="381"/>
      <c r="HP268" s="381"/>
      <c r="HQ268" s="381"/>
      <c r="HR268" s="381"/>
      <c r="HS268" s="381"/>
      <c r="HT268" s="381"/>
      <c r="HU268" s="381"/>
      <c r="HV268" s="381"/>
      <c r="HW268" s="381"/>
      <c r="HX268" s="381"/>
      <c r="HY268" s="381"/>
      <c r="HZ268" s="381"/>
      <c r="IA268" s="381"/>
      <c r="IB268" s="381"/>
      <c r="IC268" s="381"/>
      <c r="ID268" s="381"/>
      <c r="IE268" s="381"/>
      <c r="IF268" s="381"/>
      <c r="IG268" s="381"/>
      <c r="IH268" s="381"/>
      <c r="II268" s="381"/>
      <c r="IJ268" s="381"/>
      <c r="IK268" s="381"/>
      <c r="IL268" s="381"/>
      <c r="IM268" s="381"/>
      <c r="IN268" s="381"/>
      <c r="IO268" s="381"/>
      <c r="IP268" s="381"/>
      <c r="IQ268" s="381"/>
      <c r="IR268" s="381"/>
      <c r="IS268" s="381"/>
      <c r="IT268" s="381"/>
      <c r="IU268" s="381"/>
      <c r="IV268" s="381"/>
      <c r="IW268" s="381"/>
      <c r="IX268" s="381"/>
      <c r="IY268" s="381"/>
      <c r="IZ268" s="381"/>
      <c r="JA268" s="381"/>
      <c r="JB268" s="381"/>
      <c r="JC268" s="381"/>
      <c r="JD268" s="381"/>
      <c r="JE268" s="381"/>
      <c r="JF268" s="381"/>
      <c r="JG268" s="277"/>
      <c r="JH268" s="381"/>
      <c r="JI268" s="381"/>
      <c r="JJ268" s="381"/>
      <c r="JK268" s="381"/>
      <c r="JL268" s="381"/>
      <c r="JM268" s="381"/>
      <c r="JN268" s="381"/>
      <c r="JO268" s="381"/>
      <c r="JP268" s="381"/>
      <c r="JQ268" s="381"/>
      <c r="JR268" s="381"/>
      <c r="JS268" s="381"/>
      <c r="JT268" s="381"/>
      <c r="JU268" s="381"/>
      <c r="JV268" s="381"/>
      <c r="JW268" s="381"/>
      <c r="JX268" s="381"/>
      <c r="JY268" s="381"/>
      <c r="JZ268" s="381"/>
      <c r="KA268" s="381"/>
      <c r="KB268" s="277"/>
    </row>
    <row r="269" spans="2:288" ht="15" customHeight="1" x14ac:dyDescent="0.25">
      <c r="B269" s="216" t="str">
        <f t="shared" si="22"/>
        <v>Desk 53</v>
      </c>
      <c r="C269" s="218" t="str">
        <v/>
      </c>
      <c r="D269" s="218" t="str">
        <v/>
      </c>
      <c r="E269" s="218" t="str">
        <v/>
      </c>
      <c r="F269" s="218" t="str">
        <v/>
      </c>
      <c r="G269" s="402" t="str">
        <v/>
      </c>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c r="AD269" s="381"/>
      <c r="AE269" s="381"/>
      <c r="AF269" s="381"/>
      <c r="AG269" s="381"/>
      <c r="AH269" s="381"/>
      <c r="AI269" s="381"/>
      <c r="AJ269" s="381"/>
      <c r="AK269" s="381"/>
      <c r="AL269" s="381"/>
      <c r="AM269" s="381"/>
      <c r="AN269" s="381"/>
      <c r="AO269" s="381"/>
      <c r="AP269" s="381"/>
      <c r="AQ269" s="381"/>
      <c r="AR269" s="381"/>
      <c r="AS269" s="381"/>
      <c r="AT269" s="381"/>
      <c r="AU269" s="381"/>
      <c r="AV269" s="381"/>
      <c r="AW269" s="381"/>
      <c r="AX269" s="381"/>
      <c r="AY269" s="381"/>
      <c r="AZ269" s="381"/>
      <c r="BA269" s="381"/>
      <c r="BB269" s="381"/>
      <c r="BC269" s="381"/>
      <c r="BD269" s="381"/>
      <c r="BE269" s="381"/>
      <c r="BF269" s="381"/>
      <c r="BG269" s="381"/>
      <c r="BH269" s="381"/>
      <c r="BI269" s="381"/>
      <c r="BJ269" s="381"/>
      <c r="BK269" s="381"/>
      <c r="BL269" s="381"/>
      <c r="BM269" s="381"/>
      <c r="BN269" s="381"/>
      <c r="BO269" s="381"/>
      <c r="BP269" s="381"/>
      <c r="BQ269" s="381"/>
      <c r="BR269" s="381"/>
      <c r="BS269" s="381"/>
      <c r="BT269" s="381"/>
      <c r="BU269" s="381"/>
      <c r="BV269" s="381"/>
      <c r="BW269" s="381"/>
      <c r="BX269" s="381"/>
      <c r="BY269" s="381"/>
      <c r="BZ269" s="381"/>
      <c r="CA269" s="381"/>
      <c r="CB269" s="381"/>
      <c r="CC269" s="381"/>
      <c r="CD269" s="381"/>
      <c r="CE269" s="381"/>
      <c r="CF269" s="381"/>
      <c r="CG269" s="381"/>
      <c r="CH269" s="381"/>
      <c r="CI269" s="381"/>
      <c r="CJ269" s="381"/>
      <c r="CK269" s="381"/>
      <c r="CL269" s="381"/>
      <c r="CM269" s="381"/>
      <c r="CN269" s="381"/>
      <c r="CO269" s="381"/>
      <c r="CP269" s="381"/>
      <c r="CQ269" s="381"/>
      <c r="CR269" s="381"/>
      <c r="CS269" s="381"/>
      <c r="CT269" s="381"/>
      <c r="CU269" s="381"/>
      <c r="CV269" s="381"/>
      <c r="CW269" s="381"/>
      <c r="CX269" s="381"/>
      <c r="CY269" s="381"/>
      <c r="CZ269" s="381"/>
      <c r="DA269" s="381"/>
      <c r="DB269" s="381"/>
      <c r="DC269" s="381"/>
      <c r="DD269" s="381"/>
      <c r="DE269" s="381"/>
      <c r="DF269" s="381"/>
      <c r="DG269" s="381"/>
      <c r="DH269" s="381"/>
      <c r="DI269" s="381"/>
      <c r="DJ269" s="381"/>
      <c r="DK269" s="381"/>
      <c r="DL269" s="381"/>
      <c r="DM269" s="381"/>
      <c r="DN269" s="381"/>
      <c r="DO269" s="381"/>
      <c r="DP269" s="381"/>
      <c r="DQ269" s="381"/>
      <c r="DR269" s="381"/>
      <c r="DS269" s="381"/>
      <c r="DT269" s="381"/>
      <c r="DU269" s="381"/>
      <c r="DV269" s="381"/>
      <c r="DW269" s="277"/>
      <c r="DX269" s="381"/>
      <c r="DY269" s="381"/>
      <c r="DZ269" s="381"/>
      <c r="EA269" s="381"/>
      <c r="EB269" s="381"/>
      <c r="EC269" s="381"/>
      <c r="ED269" s="381"/>
      <c r="EE269" s="381"/>
      <c r="EF269" s="381"/>
      <c r="EG269" s="381"/>
      <c r="EH269" s="381"/>
      <c r="EI269" s="381"/>
      <c r="EJ269" s="381"/>
      <c r="EK269" s="381"/>
      <c r="EL269" s="381"/>
      <c r="EM269" s="381"/>
      <c r="EN269" s="381"/>
      <c r="EO269" s="381"/>
      <c r="EP269" s="381"/>
      <c r="EQ269" s="381"/>
      <c r="ER269" s="277"/>
      <c r="ES269" s="381"/>
      <c r="ET269" s="381"/>
      <c r="EU269" s="381"/>
      <c r="EV269" s="381"/>
      <c r="EW269" s="381"/>
      <c r="EX269" s="381"/>
      <c r="EY269" s="381"/>
      <c r="EZ269" s="381"/>
      <c r="FA269" s="381"/>
      <c r="FB269" s="381"/>
      <c r="FC269" s="381"/>
      <c r="FD269" s="381"/>
      <c r="FE269" s="381"/>
      <c r="FF269" s="381"/>
      <c r="FG269" s="381"/>
      <c r="FH269" s="381"/>
      <c r="FI269" s="381"/>
      <c r="FJ269" s="381"/>
      <c r="FK269" s="381"/>
      <c r="FL269" s="381"/>
      <c r="FM269" s="381"/>
      <c r="FN269" s="381"/>
      <c r="FO269" s="381"/>
      <c r="FP269" s="381"/>
      <c r="FQ269" s="381"/>
      <c r="FR269" s="381"/>
      <c r="FS269" s="381"/>
      <c r="FT269" s="381"/>
      <c r="FU269" s="381"/>
      <c r="FV269" s="381"/>
      <c r="FW269" s="381"/>
      <c r="FX269" s="381"/>
      <c r="FY269" s="381"/>
      <c r="FZ269" s="381"/>
      <c r="GA269" s="381"/>
      <c r="GB269" s="381"/>
      <c r="GC269" s="381"/>
      <c r="GD269" s="381"/>
      <c r="GE269" s="381"/>
      <c r="GF269" s="381"/>
      <c r="GG269" s="381"/>
      <c r="GH269" s="381"/>
      <c r="GI269" s="381"/>
      <c r="GJ269" s="381"/>
      <c r="GK269" s="381"/>
      <c r="GL269" s="381"/>
      <c r="GM269" s="381"/>
      <c r="GN269" s="381"/>
      <c r="GO269" s="381"/>
      <c r="GP269" s="381"/>
      <c r="GQ269" s="381"/>
      <c r="GR269" s="381"/>
      <c r="GS269" s="381"/>
      <c r="GT269" s="381"/>
      <c r="GU269" s="381"/>
      <c r="GV269" s="381"/>
      <c r="GW269" s="381"/>
      <c r="GX269" s="381"/>
      <c r="GY269" s="381"/>
      <c r="GZ269" s="381"/>
      <c r="HA269" s="381"/>
      <c r="HB269" s="381"/>
      <c r="HC269" s="381"/>
      <c r="HD269" s="381"/>
      <c r="HE269" s="381"/>
      <c r="HF269" s="381"/>
      <c r="HG269" s="381"/>
      <c r="HH269" s="381"/>
      <c r="HI269" s="381"/>
      <c r="HJ269" s="381"/>
      <c r="HK269" s="381"/>
      <c r="HL269" s="381"/>
      <c r="HM269" s="381"/>
      <c r="HN269" s="381"/>
      <c r="HO269" s="381"/>
      <c r="HP269" s="381"/>
      <c r="HQ269" s="381"/>
      <c r="HR269" s="381"/>
      <c r="HS269" s="381"/>
      <c r="HT269" s="381"/>
      <c r="HU269" s="381"/>
      <c r="HV269" s="381"/>
      <c r="HW269" s="381"/>
      <c r="HX269" s="381"/>
      <c r="HY269" s="381"/>
      <c r="HZ269" s="381"/>
      <c r="IA269" s="381"/>
      <c r="IB269" s="381"/>
      <c r="IC269" s="381"/>
      <c r="ID269" s="381"/>
      <c r="IE269" s="381"/>
      <c r="IF269" s="381"/>
      <c r="IG269" s="381"/>
      <c r="IH269" s="381"/>
      <c r="II269" s="381"/>
      <c r="IJ269" s="381"/>
      <c r="IK269" s="381"/>
      <c r="IL269" s="381"/>
      <c r="IM269" s="381"/>
      <c r="IN269" s="381"/>
      <c r="IO269" s="381"/>
      <c r="IP269" s="381"/>
      <c r="IQ269" s="381"/>
      <c r="IR269" s="381"/>
      <c r="IS269" s="381"/>
      <c r="IT269" s="381"/>
      <c r="IU269" s="381"/>
      <c r="IV269" s="381"/>
      <c r="IW269" s="381"/>
      <c r="IX269" s="381"/>
      <c r="IY269" s="381"/>
      <c r="IZ269" s="381"/>
      <c r="JA269" s="381"/>
      <c r="JB269" s="381"/>
      <c r="JC269" s="381"/>
      <c r="JD269" s="381"/>
      <c r="JE269" s="381"/>
      <c r="JF269" s="381"/>
      <c r="JG269" s="277"/>
      <c r="JH269" s="381"/>
      <c r="JI269" s="381"/>
      <c r="JJ269" s="381"/>
      <c r="JK269" s="381"/>
      <c r="JL269" s="381"/>
      <c r="JM269" s="381"/>
      <c r="JN269" s="381"/>
      <c r="JO269" s="381"/>
      <c r="JP269" s="381"/>
      <c r="JQ269" s="381"/>
      <c r="JR269" s="381"/>
      <c r="JS269" s="381"/>
      <c r="JT269" s="381"/>
      <c r="JU269" s="381"/>
      <c r="JV269" s="381"/>
      <c r="JW269" s="381"/>
      <c r="JX269" s="381"/>
      <c r="JY269" s="381"/>
      <c r="JZ269" s="381"/>
      <c r="KA269" s="381"/>
      <c r="KB269" s="277"/>
    </row>
    <row r="270" spans="2:288" ht="15" customHeight="1" x14ac:dyDescent="0.25">
      <c r="B270" s="216" t="str">
        <f t="shared" si="22"/>
        <v>Desk 54</v>
      </c>
      <c r="C270" s="218" t="str">
        <v/>
      </c>
      <c r="D270" s="218" t="str">
        <v/>
      </c>
      <c r="E270" s="218" t="str">
        <v/>
      </c>
      <c r="F270" s="218" t="str">
        <v/>
      </c>
      <c r="G270" s="402" t="str">
        <v/>
      </c>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c r="AG270" s="381"/>
      <c r="AH270" s="381"/>
      <c r="AI270" s="381"/>
      <c r="AJ270" s="381"/>
      <c r="AK270" s="381"/>
      <c r="AL270" s="381"/>
      <c r="AM270" s="381"/>
      <c r="AN270" s="381"/>
      <c r="AO270" s="381"/>
      <c r="AP270" s="381"/>
      <c r="AQ270" s="381"/>
      <c r="AR270" s="381"/>
      <c r="AS270" s="381"/>
      <c r="AT270" s="381"/>
      <c r="AU270" s="381"/>
      <c r="AV270" s="381"/>
      <c r="AW270" s="381"/>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c r="CA270" s="381"/>
      <c r="CB270" s="381"/>
      <c r="CC270" s="381"/>
      <c r="CD270" s="381"/>
      <c r="CE270" s="381"/>
      <c r="CF270" s="381"/>
      <c r="CG270" s="381"/>
      <c r="CH270" s="381"/>
      <c r="CI270" s="381"/>
      <c r="CJ270" s="381"/>
      <c r="CK270" s="381"/>
      <c r="CL270" s="381"/>
      <c r="CM270" s="381"/>
      <c r="CN270" s="381"/>
      <c r="CO270" s="381"/>
      <c r="CP270" s="381"/>
      <c r="CQ270" s="381"/>
      <c r="CR270" s="381"/>
      <c r="CS270" s="381"/>
      <c r="CT270" s="381"/>
      <c r="CU270" s="381"/>
      <c r="CV270" s="381"/>
      <c r="CW270" s="381"/>
      <c r="CX270" s="381"/>
      <c r="CY270" s="381"/>
      <c r="CZ270" s="381"/>
      <c r="DA270" s="381"/>
      <c r="DB270" s="381"/>
      <c r="DC270" s="381"/>
      <c r="DD270" s="381"/>
      <c r="DE270" s="381"/>
      <c r="DF270" s="381"/>
      <c r="DG270" s="381"/>
      <c r="DH270" s="381"/>
      <c r="DI270" s="381"/>
      <c r="DJ270" s="381"/>
      <c r="DK270" s="381"/>
      <c r="DL270" s="381"/>
      <c r="DM270" s="381"/>
      <c r="DN270" s="381"/>
      <c r="DO270" s="381"/>
      <c r="DP270" s="381"/>
      <c r="DQ270" s="381"/>
      <c r="DR270" s="381"/>
      <c r="DS270" s="381"/>
      <c r="DT270" s="381"/>
      <c r="DU270" s="381"/>
      <c r="DV270" s="381"/>
      <c r="DW270" s="277"/>
      <c r="DX270" s="381"/>
      <c r="DY270" s="381"/>
      <c r="DZ270" s="381"/>
      <c r="EA270" s="381"/>
      <c r="EB270" s="381"/>
      <c r="EC270" s="381"/>
      <c r="ED270" s="381"/>
      <c r="EE270" s="381"/>
      <c r="EF270" s="381"/>
      <c r="EG270" s="381"/>
      <c r="EH270" s="381"/>
      <c r="EI270" s="381"/>
      <c r="EJ270" s="381"/>
      <c r="EK270" s="381"/>
      <c r="EL270" s="381"/>
      <c r="EM270" s="381"/>
      <c r="EN270" s="381"/>
      <c r="EO270" s="381"/>
      <c r="EP270" s="381"/>
      <c r="EQ270" s="381"/>
      <c r="ER270" s="277"/>
      <c r="ES270" s="381"/>
      <c r="ET270" s="381"/>
      <c r="EU270" s="381"/>
      <c r="EV270" s="381"/>
      <c r="EW270" s="381"/>
      <c r="EX270" s="381"/>
      <c r="EY270" s="381"/>
      <c r="EZ270" s="381"/>
      <c r="FA270" s="381"/>
      <c r="FB270" s="381"/>
      <c r="FC270" s="381"/>
      <c r="FD270" s="381"/>
      <c r="FE270" s="381"/>
      <c r="FF270" s="381"/>
      <c r="FG270" s="381"/>
      <c r="FH270" s="381"/>
      <c r="FI270" s="381"/>
      <c r="FJ270" s="381"/>
      <c r="FK270" s="381"/>
      <c r="FL270" s="381"/>
      <c r="FM270" s="381"/>
      <c r="FN270" s="381"/>
      <c r="FO270" s="381"/>
      <c r="FP270" s="381"/>
      <c r="FQ270" s="381"/>
      <c r="FR270" s="381"/>
      <c r="FS270" s="381"/>
      <c r="FT270" s="381"/>
      <c r="FU270" s="381"/>
      <c r="FV270" s="381"/>
      <c r="FW270" s="381"/>
      <c r="FX270" s="381"/>
      <c r="FY270" s="381"/>
      <c r="FZ270" s="381"/>
      <c r="GA270" s="381"/>
      <c r="GB270" s="381"/>
      <c r="GC270" s="381"/>
      <c r="GD270" s="381"/>
      <c r="GE270" s="381"/>
      <c r="GF270" s="381"/>
      <c r="GG270" s="381"/>
      <c r="GH270" s="381"/>
      <c r="GI270" s="381"/>
      <c r="GJ270" s="381"/>
      <c r="GK270" s="381"/>
      <c r="GL270" s="381"/>
      <c r="GM270" s="381"/>
      <c r="GN270" s="381"/>
      <c r="GO270" s="381"/>
      <c r="GP270" s="381"/>
      <c r="GQ270" s="381"/>
      <c r="GR270" s="381"/>
      <c r="GS270" s="381"/>
      <c r="GT270" s="381"/>
      <c r="GU270" s="381"/>
      <c r="GV270" s="381"/>
      <c r="GW270" s="381"/>
      <c r="GX270" s="381"/>
      <c r="GY270" s="381"/>
      <c r="GZ270" s="381"/>
      <c r="HA270" s="381"/>
      <c r="HB270" s="381"/>
      <c r="HC270" s="381"/>
      <c r="HD270" s="381"/>
      <c r="HE270" s="381"/>
      <c r="HF270" s="381"/>
      <c r="HG270" s="381"/>
      <c r="HH270" s="381"/>
      <c r="HI270" s="381"/>
      <c r="HJ270" s="381"/>
      <c r="HK270" s="381"/>
      <c r="HL270" s="381"/>
      <c r="HM270" s="381"/>
      <c r="HN270" s="381"/>
      <c r="HO270" s="381"/>
      <c r="HP270" s="381"/>
      <c r="HQ270" s="381"/>
      <c r="HR270" s="381"/>
      <c r="HS270" s="381"/>
      <c r="HT270" s="381"/>
      <c r="HU270" s="381"/>
      <c r="HV270" s="381"/>
      <c r="HW270" s="381"/>
      <c r="HX270" s="381"/>
      <c r="HY270" s="381"/>
      <c r="HZ270" s="381"/>
      <c r="IA270" s="381"/>
      <c r="IB270" s="381"/>
      <c r="IC270" s="381"/>
      <c r="ID270" s="381"/>
      <c r="IE270" s="381"/>
      <c r="IF270" s="381"/>
      <c r="IG270" s="381"/>
      <c r="IH270" s="381"/>
      <c r="II270" s="381"/>
      <c r="IJ270" s="381"/>
      <c r="IK270" s="381"/>
      <c r="IL270" s="381"/>
      <c r="IM270" s="381"/>
      <c r="IN270" s="381"/>
      <c r="IO270" s="381"/>
      <c r="IP270" s="381"/>
      <c r="IQ270" s="381"/>
      <c r="IR270" s="381"/>
      <c r="IS270" s="381"/>
      <c r="IT270" s="381"/>
      <c r="IU270" s="381"/>
      <c r="IV270" s="381"/>
      <c r="IW270" s="381"/>
      <c r="IX270" s="381"/>
      <c r="IY270" s="381"/>
      <c r="IZ270" s="381"/>
      <c r="JA270" s="381"/>
      <c r="JB270" s="381"/>
      <c r="JC270" s="381"/>
      <c r="JD270" s="381"/>
      <c r="JE270" s="381"/>
      <c r="JF270" s="381"/>
      <c r="JG270" s="277"/>
      <c r="JH270" s="381"/>
      <c r="JI270" s="381"/>
      <c r="JJ270" s="381"/>
      <c r="JK270" s="381"/>
      <c r="JL270" s="381"/>
      <c r="JM270" s="381"/>
      <c r="JN270" s="381"/>
      <c r="JO270" s="381"/>
      <c r="JP270" s="381"/>
      <c r="JQ270" s="381"/>
      <c r="JR270" s="381"/>
      <c r="JS270" s="381"/>
      <c r="JT270" s="381"/>
      <c r="JU270" s="381"/>
      <c r="JV270" s="381"/>
      <c r="JW270" s="381"/>
      <c r="JX270" s="381"/>
      <c r="JY270" s="381"/>
      <c r="JZ270" s="381"/>
      <c r="KA270" s="381"/>
      <c r="KB270" s="277"/>
    </row>
    <row r="271" spans="2:288" ht="15" customHeight="1" x14ac:dyDescent="0.25">
      <c r="B271" s="216" t="str">
        <f t="shared" si="22"/>
        <v>Desk 55</v>
      </c>
      <c r="C271" s="218" t="str">
        <v/>
      </c>
      <c r="D271" s="218" t="str">
        <v/>
      </c>
      <c r="E271" s="218" t="str">
        <v/>
      </c>
      <c r="F271" s="218" t="str">
        <v/>
      </c>
      <c r="G271" s="402" t="str">
        <v/>
      </c>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c r="AG271" s="381"/>
      <c r="AH271" s="381"/>
      <c r="AI271" s="381"/>
      <c r="AJ271" s="381"/>
      <c r="AK271" s="381"/>
      <c r="AL271" s="381"/>
      <c r="AM271" s="381"/>
      <c r="AN271" s="381"/>
      <c r="AO271" s="381"/>
      <c r="AP271" s="381"/>
      <c r="AQ271" s="381"/>
      <c r="AR271" s="381"/>
      <c r="AS271" s="381"/>
      <c r="AT271" s="381"/>
      <c r="AU271" s="381"/>
      <c r="AV271" s="381"/>
      <c r="AW271" s="381"/>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381"/>
      <c r="BZ271" s="381"/>
      <c r="CA271" s="381"/>
      <c r="CB271" s="381"/>
      <c r="CC271" s="381"/>
      <c r="CD271" s="381"/>
      <c r="CE271" s="381"/>
      <c r="CF271" s="381"/>
      <c r="CG271" s="381"/>
      <c r="CH271" s="381"/>
      <c r="CI271" s="381"/>
      <c r="CJ271" s="381"/>
      <c r="CK271" s="381"/>
      <c r="CL271" s="381"/>
      <c r="CM271" s="381"/>
      <c r="CN271" s="381"/>
      <c r="CO271" s="381"/>
      <c r="CP271" s="381"/>
      <c r="CQ271" s="381"/>
      <c r="CR271" s="381"/>
      <c r="CS271" s="381"/>
      <c r="CT271" s="381"/>
      <c r="CU271" s="381"/>
      <c r="CV271" s="381"/>
      <c r="CW271" s="381"/>
      <c r="CX271" s="381"/>
      <c r="CY271" s="381"/>
      <c r="CZ271" s="381"/>
      <c r="DA271" s="381"/>
      <c r="DB271" s="381"/>
      <c r="DC271" s="381"/>
      <c r="DD271" s="381"/>
      <c r="DE271" s="381"/>
      <c r="DF271" s="381"/>
      <c r="DG271" s="381"/>
      <c r="DH271" s="381"/>
      <c r="DI271" s="381"/>
      <c r="DJ271" s="381"/>
      <c r="DK271" s="381"/>
      <c r="DL271" s="381"/>
      <c r="DM271" s="381"/>
      <c r="DN271" s="381"/>
      <c r="DO271" s="381"/>
      <c r="DP271" s="381"/>
      <c r="DQ271" s="381"/>
      <c r="DR271" s="381"/>
      <c r="DS271" s="381"/>
      <c r="DT271" s="381"/>
      <c r="DU271" s="381"/>
      <c r="DV271" s="381"/>
      <c r="DW271" s="277"/>
      <c r="DX271" s="381"/>
      <c r="DY271" s="381"/>
      <c r="DZ271" s="381"/>
      <c r="EA271" s="381"/>
      <c r="EB271" s="381"/>
      <c r="EC271" s="381"/>
      <c r="ED271" s="381"/>
      <c r="EE271" s="381"/>
      <c r="EF271" s="381"/>
      <c r="EG271" s="381"/>
      <c r="EH271" s="381"/>
      <c r="EI271" s="381"/>
      <c r="EJ271" s="381"/>
      <c r="EK271" s="381"/>
      <c r="EL271" s="381"/>
      <c r="EM271" s="381"/>
      <c r="EN271" s="381"/>
      <c r="EO271" s="381"/>
      <c r="EP271" s="381"/>
      <c r="EQ271" s="381"/>
      <c r="ER271" s="277"/>
      <c r="ES271" s="381"/>
      <c r="ET271" s="381"/>
      <c r="EU271" s="381"/>
      <c r="EV271" s="381"/>
      <c r="EW271" s="381"/>
      <c r="EX271" s="381"/>
      <c r="EY271" s="381"/>
      <c r="EZ271" s="381"/>
      <c r="FA271" s="381"/>
      <c r="FB271" s="381"/>
      <c r="FC271" s="381"/>
      <c r="FD271" s="381"/>
      <c r="FE271" s="381"/>
      <c r="FF271" s="381"/>
      <c r="FG271" s="381"/>
      <c r="FH271" s="381"/>
      <c r="FI271" s="381"/>
      <c r="FJ271" s="381"/>
      <c r="FK271" s="381"/>
      <c r="FL271" s="381"/>
      <c r="FM271" s="381"/>
      <c r="FN271" s="381"/>
      <c r="FO271" s="381"/>
      <c r="FP271" s="381"/>
      <c r="FQ271" s="381"/>
      <c r="FR271" s="381"/>
      <c r="FS271" s="381"/>
      <c r="FT271" s="381"/>
      <c r="FU271" s="381"/>
      <c r="FV271" s="381"/>
      <c r="FW271" s="381"/>
      <c r="FX271" s="381"/>
      <c r="FY271" s="381"/>
      <c r="FZ271" s="381"/>
      <c r="GA271" s="381"/>
      <c r="GB271" s="381"/>
      <c r="GC271" s="381"/>
      <c r="GD271" s="381"/>
      <c r="GE271" s="381"/>
      <c r="GF271" s="381"/>
      <c r="GG271" s="381"/>
      <c r="GH271" s="381"/>
      <c r="GI271" s="381"/>
      <c r="GJ271" s="381"/>
      <c r="GK271" s="381"/>
      <c r="GL271" s="381"/>
      <c r="GM271" s="381"/>
      <c r="GN271" s="381"/>
      <c r="GO271" s="381"/>
      <c r="GP271" s="381"/>
      <c r="GQ271" s="381"/>
      <c r="GR271" s="381"/>
      <c r="GS271" s="381"/>
      <c r="GT271" s="381"/>
      <c r="GU271" s="381"/>
      <c r="GV271" s="381"/>
      <c r="GW271" s="381"/>
      <c r="GX271" s="381"/>
      <c r="GY271" s="381"/>
      <c r="GZ271" s="381"/>
      <c r="HA271" s="381"/>
      <c r="HB271" s="381"/>
      <c r="HC271" s="381"/>
      <c r="HD271" s="381"/>
      <c r="HE271" s="381"/>
      <c r="HF271" s="381"/>
      <c r="HG271" s="381"/>
      <c r="HH271" s="381"/>
      <c r="HI271" s="381"/>
      <c r="HJ271" s="381"/>
      <c r="HK271" s="381"/>
      <c r="HL271" s="381"/>
      <c r="HM271" s="381"/>
      <c r="HN271" s="381"/>
      <c r="HO271" s="381"/>
      <c r="HP271" s="381"/>
      <c r="HQ271" s="381"/>
      <c r="HR271" s="381"/>
      <c r="HS271" s="381"/>
      <c r="HT271" s="381"/>
      <c r="HU271" s="381"/>
      <c r="HV271" s="381"/>
      <c r="HW271" s="381"/>
      <c r="HX271" s="381"/>
      <c r="HY271" s="381"/>
      <c r="HZ271" s="381"/>
      <c r="IA271" s="381"/>
      <c r="IB271" s="381"/>
      <c r="IC271" s="381"/>
      <c r="ID271" s="381"/>
      <c r="IE271" s="381"/>
      <c r="IF271" s="381"/>
      <c r="IG271" s="381"/>
      <c r="IH271" s="381"/>
      <c r="II271" s="381"/>
      <c r="IJ271" s="381"/>
      <c r="IK271" s="381"/>
      <c r="IL271" s="381"/>
      <c r="IM271" s="381"/>
      <c r="IN271" s="381"/>
      <c r="IO271" s="381"/>
      <c r="IP271" s="381"/>
      <c r="IQ271" s="381"/>
      <c r="IR271" s="381"/>
      <c r="IS271" s="381"/>
      <c r="IT271" s="381"/>
      <c r="IU271" s="381"/>
      <c r="IV271" s="381"/>
      <c r="IW271" s="381"/>
      <c r="IX271" s="381"/>
      <c r="IY271" s="381"/>
      <c r="IZ271" s="381"/>
      <c r="JA271" s="381"/>
      <c r="JB271" s="381"/>
      <c r="JC271" s="381"/>
      <c r="JD271" s="381"/>
      <c r="JE271" s="381"/>
      <c r="JF271" s="381"/>
      <c r="JG271" s="277"/>
      <c r="JH271" s="381"/>
      <c r="JI271" s="381"/>
      <c r="JJ271" s="381"/>
      <c r="JK271" s="381"/>
      <c r="JL271" s="381"/>
      <c r="JM271" s="381"/>
      <c r="JN271" s="381"/>
      <c r="JO271" s="381"/>
      <c r="JP271" s="381"/>
      <c r="JQ271" s="381"/>
      <c r="JR271" s="381"/>
      <c r="JS271" s="381"/>
      <c r="JT271" s="381"/>
      <c r="JU271" s="381"/>
      <c r="JV271" s="381"/>
      <c r="JW271" s="381"/>
      <c r="JX271" s="381"/>
      <c r="JY271" s="381"/>
      <c r="JZ271" s="381"/>
      <c r="KA271" s="381"/>
      <c r="KB271" s="277"/>
    </row>
    <row r="272" spans="2:288" ht="15" customHeight="1" x14ac:dyDescent="0.25">
      <c r="B272" s="216" t="str">
        <f t="shared" si="22"/>
        <v>Desk 56</v>
      </c>
      <c r="C272" s="218" t="str">
        <v/>
      </c>
      <c r="D272" s="218" t="str">
        <v/>
      </c>
      <c r="E272" s="218" t="str">
        <v/>
      </c>
      <c r="F272" s="218" t="str">
        <v/>
      </c>
      <c r="G272" s="402" t="str">
        <v/>
      </c>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381"/>
      <c r="BZ272" s="381"/>
      <c r="CA272" s="381"/>
      <c r="CB272" s="381"/>
      <c r="CC272" s="381"/>
      <c r="CD272" s="381"/>
      <c r="CE272" s="381"/>
      <c r="CF272" s="381"/>
      <c r="CG272" s="381"/>
      <c r="CH272" s="381"/>
      <c r="CI272" s="381"/>
      <c r="CJ272" s="381"/>
      <c r="CK272" s="381"/>
      <c r="CL272" s="381"/>
      <c r="CM272" s="381"/>
      <c r="CN272" s="381"/>
      <c r="CO272" s="381"/>
      <c r="CP272" s="381"/>
      <c r="CQ272" s="381"/>
      <c r="CR272" s="381"/>
      <c r="CS272" s="381"/>
      <c r="CT272" s="381"/>
      <c r="CU272" s="381"/>
      <c r="CV272" s="381"/>
      <c r="CW272" s="381"/>
      <c r="CX272" s="381"/>
      <c r="CY272" s="381"/>
      <c r="CZ272" s="381"/>
      <c r="DA272" s="381"/>
      <c r="DB272" s="381"/>
      <c r="DC272" s="381"/>
      <c r="DD272" s="381"/>
      <c r="DE272" s="381"/>
      <c r="DF272" s="381"/>
      <c r="DG272" s="381"/>
      <c r="DH272" s="381"/>
      <c r="DI272" s="381"/>
      <c r="DJ272" s="381"/>
      <c r="DK272" s="381"/>
      <c r="DL272" s="381"/>
      <c r="DM272" s="381"/>
      <c r="DN272" s="381"/>
      <c r="DO272" s="381"/>
      <c r="DP272" s="381"/>
      <c r="DQ272" s="381"/>
      <c r="DR272" s="381"/>
      <c r="DS272" s="381"/>
      <c r="DT272" s="381"/>
      <c r="DU272" s="381"/>
      <c r="DV272" s="381"/>
      <c r="DW272" s="277"/>
      <c r="DX272" s="381"/>
      <c r="DY272" s="381"/>
      <c r="DZ272" s="381"/>
      <c r="EA272" s="381"/>
      <c r="EB272" s="381"/>
      <c r="EC272" s="381"/>
      <c r="ED272" s="381"/>
      <c r="EE272" s="381"/>
      <c r="EF272" s="381"/>
      <c r="EG272" s="381"/>
      <c r="EH272" s="381"/>
      <c r="EI272" s="381"/>
      <c r="EJ272" s="381"/>
      <c r="EK272" s="381"/>
      <c r="EL272" s="381"/>
      <c r="EM272" s="381"/>
      <c r="EN272" s="381"/>
      <c r="EO272" s="381"/>
      <c r="EP272" s="381"/>
      <c r="EQ272" s="381"/>
      <c r="ER272" s="277"/>
      <c r="ES272" s="381"/>
      <c r="ET272" s="381"/>
      <c r="EU272" s="381"/>
      <c r="EV272" s="381"/>
      <c r="EW272" s="381"/>
      <c r="EX272" s="381"/>
      <c r="EY272" s="381"/>
      <c r="EZ272" s="381"/>
      <c r="FA272" s="381"/>
      <c r="FB272" s="381"/>
      <c r="FC272" s="381"/>
      <c r="FD272" s="381"/>
      <c r="FE272" s="381"/>
      <c r="FF272" s="381"/>
      <c r="FG272" s="381"/>
      <c r="FH272" s="381"/>
      <c r="FI272" s="381"/>
      <c r="FJ272" s="381"/>
      <c r="FK272" s="381"/>
      <c r="FL272" s="381"/>
      <c r="FM272" s="381"/>
      <c r="FN272" s="381"/>
      <c r="FO272" s="381"/>
      <c r="FP272" s="381"/>
      <c r="FQ272" s="381"/>
      <c r="FR272" s="381"/>
      <c r="FS272" s="381"/>
      <c r="FT272" s="381"/>
      <c r="FU272" s="381"/>
      <c r="FV272" s="381"/>
      <c r="FW272" s="381"/>
      <c r="FX272" s="381"/>
      <c r="FY272" s="381"/>
      <c r="FZ272" s="381"/>
      <c r="GA272" s="381"/>
      <c r="GB272" s="381"/>
      <c r="GC272" s="381"/>
      <c r="GD272" s="381"/>
      <c r="GE272" s="381"/>
      <c r="GF272" s="381"/>
      <c r="GG272" s="381"/>
      <c r="GH272" s="381"/>
      <c r="GI272" s="381"/>
      <c r="GJ272" s="381"/>
      <c r="GK272" s="381"/>
      <c r="GL272" s="381"/>
      <c r="GM272" s="381"/>
      <c r="GN272" s="381"/>
      <c r="GO272" s="381"/>
      <c r="GP272" s="381"/>
      <c r="GQ272" s="381"/>
      <c r="GR272" s="381"/>
      <c r="GS272" s="381"/>
      <c r="GT272" s="381"/>
      <c r="GU272" s="381"/>
      <c r="GV272" s="381"/>
      <c r="GW272" s="381"/>
      <c r="GX272" s="381"/>
      <c r="GY272" s="381"/>
      <c r="GZ272" s="381"/>
      <c r="HA272" s="381"/>
      <c r="HB272" s="381"/>
      <c r="HC272" s="381"/>
      <c r="HD272" s="381"/>
      <c r="HE272" s="381"/>
      <c r="HF272" s="381"/>
      <c r="HG272" s="381"/>
      <c r="HH272" s="381"/>
      <c r="HI272" s="381"/>
      <c r="HJ272" s="381"/>
      <c r="HK272" s="381"/>
      <c r="HL272" s="381"/>
      <c r="HM272" s="381"/>
      <c r="HN272" s="381"/>
      <c r="HO272" s="381"/>
      <c r="HP272" s="381"/>
      <c r="HQ272" s="381"/>
      <c r="HR272" s="381"/>
      <c r="HS272" s="381"/>
      <c r="HT272" s="381"/>
      <c r="HU272" s="381"/>
      <c r="HV272" s="381"/>
      <c r="HW272" s="381"/>
      <c r="HX272" s="381"/>
      <c r="HY272" s="381"/>
      <c r="HZ272" s="381"/>
      <c r="IA272" s="381"/>
      <c r="IB272" s="381"/>
      <c r="IC272" s="381"/>
      <c r="ID272" s="381"/>
      <c r="IE272" s="381"/>
      <c r="IF272" s="381"/>
      <c r="IG272" s="381"/>
      <c r="IH272" s="381"/>
      <c r="II272" s="381"/>
      <c r="IJ272" s="381"/>
      <c r="IK272" s="381"/>
      <c r="IL272" s="381"/>
      <c r="IM272" s="381"/>
      <c r="IN272" s="381"/>
      <c r="IO272" s="381"/>
      <c r="IP272" s="381"/>
      <c r="IQ272" s="381"/>
      <c r="IR272" s="381"/>
      <c r="IS272" s="381"/>
      <c r="IT272" s="381"/>
      <c r="IU272" s="381"/>
      <c r="IV272" s="381"/>
      <c r="IW272" s="381"/>
      <c r="IX272" s="381"/>
      <c r="IY272" s="381"/>
      <c r="IZ272" s="381"/>
      <c r="JA272" s="381"/>
      <c r="JB272" s="381"/>
      <c r="JC272" s="381"/>
      <c r="JD272" s="381"/>
      <c r="JE272" s="381"/>
      <c r="JF272" s="381"/>
      <c r="JG272" s="277"/>
      <c r="JH272" s="381"/>
      <c r="JI272" s="381"/>
      <c r="JJ272" s="381"/>
      <c r="JK272" s="381"/>
      <c r="JL272" s="381"/>
      <c r="JM272" s="381"/>
      <c r="JN272" s="381"/>
      <c r="JO272" s="381"/>
      <c r="JP272" s="381"/>
      <c r="JQ272" s="381"/>
      <c r="JR272" s="381"/>
      <c r="JS272" s="381"/>
      <c r="JT272" s="381"/>
      <c r="JU272" s="381"/>
      <c r="JV272" s="381"/>
      <c r="JW272" s="381"/>
      <c r="JX272" s="381"/>
      <c r="JY272" s="381"/>
      <c r="JZ272" s="381"/>
      <c r="KA272" s="381"/>
      <c r="KB272" s="277"/>
    </row>
    <row r="273" spans="2:288" ht="15" customHeight="1" x14ac:dyDescent="0.25">
      <c r="B273" s="216" t="str">
        <f t="shared" si="22"/>
        <v>Desk 57</v>
      </c>
      <c r="C273" s="218" t="str">
        <v/>
      </c>
      <c r="D273" s="218" t="str">
        <v/>
      </c>
      <c r="E273" s="218" t="str">
        <v/>
      </c>
      <c r="F273" s="218" t="str">
        <v/>
      </c>
      <c r="G273" s="402" t="str">
        <v/>
      </c>
      <c r="H273" s="381"/>
      <c r="I273" s="381"/>
      <c r="J273" s="381"/>
      <c r="K273" s="381"/>
      <c r="L273" s="381"/>
      <c r="M273" s="381"/>
      <c r="N273" s="381"/>
      <c r="O273" s="381"/>
      <c r="P273" s="381"/>
      <c r="Q273" s="381"/>
      <c r="R273" s="381"/>
      <c r="S273" s="381"/>
      <c r="T273" s="381"/>
      <c r="U273" s="381"/>
      <c r="V273" s="381"/>
      <c r="W273" s="381"/>
      <c r="X273" s="381"/>
      <c r="Y273" s="381"/>
      <c r="Z273" s="381"/>
      <c r="AA273" s="381"/>
      <c r="AB273" s="381"/>
      <c r="AC273" s="381"/>
      <c r="AD273" s="381"/>
      <c r="AE273" s="381"/>
      <c r="AF273" s="381"/>
      <c r="AG273" s="381"/>
      <c r="AH273" s="381"/>
      <c r="AI273" s="381"/>
      <c r="AJ273" s="381"/>
      <c r="AK273" s="381"/>
      <c r="AL273" s="381"/>
      <c r="AM273" s="381"/>
      <c r="AN273" s="381"/>
      <c r="AO273" s="381"/>
      <c r="AP273" s="381"/>
      <c r="AQ273" s="381"/>
      <c r="AR273" s="381"/>
      <c r="AS273" s="381"/>
      <c r="AT273" s="381"/>
      <c r="AU273" s="381"/>
      <c r="AV273" s="381"/>
      <c r="AW273" s="381"/>
      <c r="AX273" s="381"/>
      <c r="AY273" s="381"/>
      <c r="AZ273" s="381"/>
      <c r="BA273" s="381"/>
      <c r="BB273" s="381"/>
      <c r="BC273" s="381"/>
      <c r="BD273" s="381"/>
      <c r="BE273" s="381"/>
      <c r="BF273" s="381"/>
      <c r="BG273" s="381"/>
      <c r="BH273" s="381"/>
      <c r="BI273" s="381"/>
      <c r="BJ273" s="381"/>
      <c r="BK273" s="381"/>
      <c r="BL273" s="381"/>
      <c r="BM273" s="381"/>
      <c r="BN273" s="381"/>
      <c r="BO273" s="381"/>
      <c r="BP273" s="381"/>
      <c r="BQ273" s="381"/>
      <c r="BR273" s="381"/>
      <c r="BS273" s="381"/>
      <c r="BT273" s="381"/>
      <c r="BU273" s="381"/>
      <c r="BV273" s="381"/>
      <c r="BW273" s="381"/>
      <c r="BX273" s="381"/>
      <c r="BY273" s="381"/>
      <c r="BZ273" s="381"/>
      <c r="CA273" s="381"/>
      <c r="CB273" s="381"/>
      <c r="CC273" s="381"/>
      <c r="CD273" s="381"/>
      <c r="CE273" s="381"/>
      <c r="CF273" s="381"/>
      <c r="CG273" s="381"/>
      <c r="CH273" s="381"/>
      <c r="CI273" s="381"/>
      <c r="CJ273" s="381"/>
      <c r="CK273" s="381"/>
      <c r="CL273" s="381"/>
      <c r="CM273" s="381"/>
      <c r="CN273" s="381"/>
      <c r="CO273" s="381"/>
      <c r="CP273" s="381"/>
      <c r="CQ273" s="381"/>
      <c r="CR273" s="381"/>
      <c r="CS273" s="381"/>
      <c r="CT273" s="381"/>
      <c r="CU273" s="381"/>
      <c r="CV273" s="381"/>
      <c r="CW273" s="381"/>
      <c r="CX273" s="381"/>
      <c r="CY273" s="381"/>
      <c r="CZ273" s="381"/>
      <c r="DA273" s="381"/>
      <c r="DB273" s="381"/>
      <c r="DC273" s="381"/>
      <c r="DD273" s="381"/>
      <c r="DE273" s="381"/>
      <c r="DF273" s="381"/>
      <c r="DG273" s="381"/>
      <c r="DH273" s="381"/>
      <c r="DI273" s="381"/>
      <c r="DJ273" s="381"/>
      <c r="DK273" s="381"/>
      <c r="DL273" s="381"/>
      <c r="DM273" s="381"/>
      <c r="DN273" s="381"/>
      <c r="DO273" s="381"/>
      <c r="DP273" s="381"/>
      <c r="DQ273" s="381"/>
      <c r="DR273" s="381"/>
      <c r="DS273" s="381"/>
      <c r="DT273" s="381"/>
      <c r="DU273" s="381"/>
      <c r="DV273" s="381"/>
      <c r="DW273" s="277"/>
      <c r="DX273" s="381"/>
      <c r="DY273" s="381"/>
      <c r="DZ273" s="381"/>
      <c r="EA273" s="381"/>
      <c r="EB273" s="381"/>
      <c r="EC273" s="381"/>
      <c r="ED273" s="381"/>
      <c r="EE273" s="381"/>
      <c r="EF273" s="381"/>
      <c r="EG273" s="381"/>
      <c r="EH273" s="381"/>
      <c r="EI273" s="381"/>
      <c r="EJ273" s="381"/>
      <c r="EK273" s="381"/>
      <c r="EL273" s="381"/>
      <c r="EM273" s="381"/>
      <c r="EN273" s="381"/>
      <c r="EO273" s="381"/>
      <c r="EP273" s="381"/>
      <c r="EQ273" s="381"/>
      <c r="ER273" s="277"/>
      <c r="ES273" s="381"/>
      <c r="ET273" s="381"/>
      <c r="EU273" s="381"/>
      <c r="EV273" s="381"/>
      <c r="EW273" s="381"/>
      <c r="EX273" s="381"/>
      <c r="EY273" s="381"/>
      <c r="EZ273" s="381"/>
      <c r="FA273" s="381"/>
      <c r="FB273" s="381"/>
      <c r="FC273" s="381"/>
      <c r="FD273" s="381"/>
      <c r="FE273" s="381"/>
      <c r="FF273" s="381"/>
      <c r="FG273" s="381"/>
      <c r="FH273" s="381"/>
      <c r="FI273" s="381"/>
      <c r="FJ273" s="381"/>
      <c r="FK273" s="381"/>
      <c r="FL273" s="381"/>
      <c r="FM273" s="381"/>
      <c r="FN273" s="381"/>
      <c r="FO273" s="381"/>
      <c r="FP273" s="381"/>
      <c r="FQ273" s="381"/>
      <c r="FR273" s="381"/>
      <c r="FS273" s="381"/>
      <c r="FT273" s="381"/>
      <c r="FU273" s="381"/>
      <c r="FV273" s="381"/>
      <c r="FW273" s="381"/>
      <c r="FX273" s="381"/>
      <c r="FY273" s="381"/>
      <c r="FZ273" s="381"/>
      <c r="GA273" s="381"/>
      <c r="GB273" s="381"/>
      <c r="GC273" s="381"/>
      <c r="GD273" s="381"/>
      <c r="GE273" s="381"/>
      <c r="GF273" s="381"/>
      <c r="GG273" s="381"/>
      <c r="GH273" s="381"/>
      <c r="GI273" s="381"/>
      <c r="GJ273" s="381"/>
      <c r="GK273" s="381"/>
      <c r="GL273" s="381"/>
      <c r="GM273" s="381"/>
      <c r="GN273" s="381"/>
      <c r="GO273" s="381"/>
      <c r="GP273" s="381"/>
      <c r="GQ273" s="381"/>
      <c r="GR273" s="381"/>
      <c r="GS273" s="381"/>
      <c r="GT273" s="381"/>
      <c r="GU273" s="381"/>
      <c r="GV273" s="381"/>
      <c r="GW273" s="381"/>
      <c r="GX273" s="381"/>
      <c r="GY273" s="381"/>
      <c r="GZ273" s="381"/>
      <c r="HA273" s="381"/>
      <c r="HB273" s="381"/>
      <c r="HC273" s="381"/>
      <c r="HD273" s="381"/>
      <c r="HE273" s="381"/>
      <c r="HF273" s="381"/>
      <c r="HG273" s="381"/>
      <c r="HH273" s="381"/>
      <c r="HI273" s="381"/>
      <c r="HJ273" s="381"/>
      <c r="HK273" s="381"/>
      <c r="HL273" s="381"/>
      <c r="HM273" s="381"/>
      <c r="HN273" s="381"/>
      <c r="HO273" s="381"/>
      <c r="HP273" s="381"/>
      <c r="HQ273" s="381"/>
      <c r="HR273" s="381"/>
      <c r="HS273" s="381"/>
      <c r="HT273" s="381"/>
      <c r="HU273" s="381"/>
      <c r="HV273" s="381"/>
      <c r="HW273" s="381"/>
      <c r="HX273" s="381"/>
      <c r="HY273" s="381"/>
      <c r="HZ273" s="381"/>
      <c r="IA273" s="381"/>
      <c r="IB273" s="381"/>
      <c r="IC273" s="381"/>
      <c r="ID273" s="381"/>
      <c r="IE273" s="381"/>
      <c r="IF273" s="381"/>
      <c r="IG273" s="381"/>
      <c r="IH273" s="381"/>
      <c r="II273" s="381"/>
      <c r="IJ273" s="381"/>
      <c r="IK273" s="381"/>
      <c r="IL273" s="381"/>
      <c r="IM273" s="381"/>
      <c r="IN273" s="381"/>
      <c r="IO273" s="381"/>
      <c r="IP273" s="381"/>
      <c r="IQ273" s="381"/>
      <c r="IR273" s="381"/>
      <c r="IS273" s="381"/>
      <c r="IT273" s="381"/>
      <c r="IU273" s="381"/>
      <c r="IV273" s="381"/>
      <c r="IW273" s="381"/>
      <c r="IX273" s="381"/>
      <c r="IY273" s="381"/>
      <c r="IZ273" s="381"/>
      <c r="JA273" s="381"/>
      <c r="JB273" s="381"/>
      <c r="JC273" s="381"/>
      <c r="JD273" s="381"/>
      <c r="JE273" s="381"/>
      <c r="JF273" s="381"/>
      <c r="JG273" s="277"/>
      <c r="JH273" s="381"/>
      <c r="JI273" s="381"/>
      <c r="JJ273" s="381"/>
      <c r="JK273" s="381"/>
      <c r="JL273" s="381"/>
      <c r="JM273" s="381"/>
      <c r="JN273" s="381"/>
      <c r="JO273" s="381"/>
      <c r="JP273" s="381"/>
      <c r="JQ273" s="381"/>
      <c r="JR273" s="381"/>
      <c r="JS273" s="381"/>
      <c r="JT273" s="381"/>
      <c r="JU273" s="381"/>
      <c r="JV273" s="381"/>
      <c r="JW273" s="381"/>
      <c r="JX273" s="381"/>
      <c r="JY273" s="381"/>
      <c r="JZ273" s="381"/>
      <c r="KA273" s="381"/>
      <c r="KB273" s="277"/>
    </row>
    <row r="274" spans="2:288" ht="15" customHeight="1" x14ac:dyDescent="0.25">
      <c r="B274" s="216" t="str">
        <f t="shared" si="22"/>
        <v>Desk 58</v>
      </c>
      <c r="C274" s="218" t="str">
        <v/>
      </c>
      <c r="D274" s="218" t="str">
        <v/>
      </c>
      <c r="E274" s="218" t="str">
        <v/>
      </c>
      <c r="F274" s="218" t="str">
        <v/>
      </c>
      <c r="G274" s="402" t="str">
        <v/>
      </c>
      <c r="H274" s="381"/>
      <c r="I274" s="381"/>
      <c r="J274" s="381"/>
      <c r="K274" s="381"/>
      <c r="L274" s="381"/>
      <c r="M274" s="381"/>
      <c r="N274" s="381"/>
      <c r="O274" s="381"/>
      <c r="P274" s="381"/>
      <c r="Q274" s="381"/>
      <c r="R274" s="381"/>
      <c r="S274" s="381"/>
      <c r="T274" s="381"/>
      <c r="U274" s="381"/>
      <c r="V274" s="381"/>
      <c r="W274" s="381"/>
      <c r="X274" s="381"/>
      <c r="Y274" s="381"/>
      <c r="Z274" s="381"/>
      <c r="AA274" s="381"/>
      <c r="AB274" s="381"/>
      <c r="AC274" s="381"/>
      <c r="AD274" s="381"/>
      <c r="AE274" s="381"/>
      <c r="AF274" s="381"/>
      <c r="AG274" s="381"/>
      <c r="AH274" s="381"/>
      <c r="AI274" s="381"/>
      <c r="AJ274" s="381"/>
      <c r="AK274" s="381"/>
      <c r="AL274" s="381"/>
      <c r="AM274" s="381"/>
      <c r="AN274" s="381"/>
      <c r="AO274" s="381"/>
      <c r="AP274" s="381"/>
      <c r="AQ274" s="381"/>
      <c r="AR274" s="381"/>
      <c r="AS274" s="381"/>
      <c r="AT274" s="381"/>
      <c r="AU274" s="381"/>
      <c r="AV274" s="381"/>
      <c r="AW274" s="381"/>
      <c r="AX274" s="381"/>
      <c r="AY274" s="381"/>
      <c r="AZ274" s="381"/>
      <c r="BA274" s="381"/>
      <c r="BB274" s="381"/>
      <c r="BC274" s="381"/>
      <c r="BD274" s="381"/>
      <c r="BE274" s="381"/>
      <c r="BF274" s="381"/>
      <c r="BG274" s="381"/>
      <c r="BH274" s="381"/>
      <c r="BI274" s="381"/>
      <c r="BJ274" s="381"/>
      <c r="BK274" s="381"/>
      <c r="BL274" s="381"/>
      <c r="BM274" s="381"/>
      <c r="BN274" s="381"/>
      <c r="BO274" s="381"/>
      <c r="BP274" s="381"/>
      <c r="BQ274" s="381"/>
      <c r="BR274" s="381"/>
      <c r="BS274" s="381"/>
      <c r="BT274" s="381"/>
      <c r="BU274" s="381"/>
      <c r="BV274" s="381"/>
      <c r="BW274" s="381"/>
      <c r="BX274" s="381"/>
      <c r="BY274" s="381"/>
      <c r="BZ274" s="381"/>
      <c r="CA274" s="381"/>
      <c r="CB274" s="381"/>
      <c r="CC274" s="381"/>
      <c r="CD274" s="381"/>
      <c r="CE274" s="381"/>
      <c r="CF274" s="381"/>
      <c r="CG274" s="381"/>
      <c r="CH274" s="381"/>
      <c r="CI274" s="381"/>
      <c r="CJ274" s="381"/>
      <c r="CK274" s="381"/>
      <c r="CL274" s="381"/>
      <c r="CM274" s="381"/>
      <c r="CN274" s="381"/>
      <c r="CO274" s="381"/>
      <c r="CP274" s="381"/>
      <c r="CQ274" s="381"/>
      <c r="CR274" s="381"/>
      <c r="CS274" s="381"/>
      <c r="CT274" s="381"/>
      <c r="CU274" s="381"/>
      <c r="CV274" s="381"/>
      <c r="CW274" s="381"/>
      <c r="CX274" s="381"/>
      <c r="CY274" s="381"/>
      <c r="CZ274" s="381"/>
      <c r="DA274" s="381"/>
      <c r="DB274" s="381"/>
      <c r="DC274" s="381"/>
      <c r="DD274" s="381"/>
      <c r="DE274" s="381"/>
      <c r="DF274" s="381"/>
      <c r="DG274" s="381"/>
      <c r="DH274" s="381"/>
      <c r="DI274" s="381"/>
      <c r="DJ274" s="381"/>
      <c r="DK274" s="381"/>
      <c r="DL274" s="381"/>
      <c r="DM274" s="381"/>
      <c r="DN274" s="381"/>
      <c r="DO274" s="381"/>
      <c r="DP274" s="381"/>
      <c r="DQ274" s="381"/>
      <c r="DR274" s="381"/>
      <c r="DS274" s="381"/>
      <c r="DT274" s="381"/>
      <c r="DU274" s="381"/>
      <c r="DV274" s="381"/>
      <c r="DW274" s="277"/>
      <c r="DX274" s="381"/>
      <c r="DY274" s="381"/>
      <c r="DZ274" s="381"/>
      <c r="EA274" s="381"/>
      <c r="EB274" s="381"/>
      <c r="EC274" s="381"/>
      <c r="ED274" s="381"/>
      <c r="EE274" s="381"/>
      <c r="EF274" s="381"/>
      <c r="EG274" s="381"/>
      <c r="EH274" s="381"/>
      <c r="EI274" s="381"/>
      <c r="EJ274" s="381"/>
      <c r="EK274" s="381"/>
      <c r="EL274" s="381"/>
      <c r="EM274" s="381"/>
      <c r="EN274" s="381"/>
      <c r="EO274" s="381"/>
      <c r="EP274" s="381"/>
      <c r="EQ274" s="381"/>
      <c r="ER274" s="277"/>
      <c r="ES274" s="381"/>
      <c r="ET274" s="381"/>
      <c r="EU274" s="381"/>
      <c r="EV274" s="381"/>
      <c r="EW274" s="381"/>
      <c r="EX274" s="381"/>
      <c r="EY274" s="381"/>
      <c r="EZ274" s="381"/>
      <c r="FA274" s="381"/>
      <c r="FB274" s="381"/>
      <c r="FC274" s="381"/>
      <c r="FD274" s="381"/>
      <c r="FE274" s="381"/>
      <c r="FF274" s="381"/>
      <c r="FG274" s="381"/>
      <c r="FH274" s="381"/>
      <c r="FI274" s="381"/>
      <c r="FJ274" s="381"/>
      <c r="FK274" s="381"/>
      <c r="FL274" s="381"/>
      <c r="FM274" s="381"/>
      <c r="FN274" s="381"/>
      <c r="FO274" s="381"/>
      <c r="FP274" s="381"/>
      <c r="FQ274" s="381"/>
      <c r="FR274" s="381"/>
      <c r="FS274" s="381"/>
      <c r="FT274" s="381"/>
      <c r="FU274" s="381"/>
      <c r="FV274" s="381"/>
      <c r="FW274" s="381"/>
      <c r="FX274" s="381"/>
      <c r="FY274" s="381"/>
      <c r="FZ274" s="381"/>
      <c r="GA274" s="381"/>
      <c r="GB274" s="381"/>
      <c r="GC274" s="381"/>
      <c r="GD274" s="381"/>
      <c r="GE274" s="381"/>
      <c r="GF274" s="381"/>
      <c r="GG274" s="381"/>
      <c r="GH274" s="381"/>
      <c r="GI274" s="381"/>
      <c r="GJ274" s="381"/>
      <c r="GK274" s="381"/>
      <c r="GL274" s="381"/>
      <c r="GM274" s="381"/>
      <c r="GN274" s="381"/>
      <c r="GO274" s="381"/>
      <c r="GP274" s="381"/>
      <c r="GQ274" s="381"/>
      <c r="GR274" s="381"/>
      <c r="GS274" s="381"/>
      <c r="GT274" s="381"/>
      <c r="GU274" s="381"/>
      <c r="GV274" s="381"/>
      <c r="GW274" s="381"/>
      <c r="GX274" s="381"/>
      <c r="GY274" s="381"/>
      <c r="GZ274" s="381"/>
      <c r="HA274" s="381"/>
      <c r="HB274" s="381"/>
      <c r="HC274" s="381"/>
      <c r="HD274" s="381"/>
      <c r="HE274" s="381"/>
      <c r="HF274" s="381"/>
      <c r="HG274" s="381"/>
      <c r="HH274" s="381"/>
      <c r="HI274" s="381"/>
      <c r="HJ274" s="381"/>
      <c r="HK274" s="381"/>
      <c r="HL274" s="381"/>
      <c r="HM274" s="381"/>
      <c r="HN274" s="381"/>
      <c r="HO274" s="381"/>
      <c r="HP274" s="381"/>
      <c r="HQ274" s="381"/>
      <c r="HR274" s="381"/>
      <c r="HS274" s="381"/>
      <c r="HT274" s="381"/>
      <c r="HU274" s="381"/>
      <c r="HV274" s="381"/>
      <c r="HW274" s="381"/>
      <c r="HX274" s="381"/>
      <c r="HY274" s="381"/>
      <c r="HZ274" s="381"/>
      <c r="IA274" s="381"/>
      <c r="IB274" s="381"/>
      <c r="IC274" s="381"/>
      <c r="ID274" s="381"/>
      <c r="IE274" s="381"/>
      <c r="IF274" s="381"/>
      <c r="IG274" s="381"/>
      <c r="IH274" s="381"/>
      <c r="II274" s="381"/>
      <c r="IJ274" s="381"/>
      <c r="IK274" s="381"/>
      <c r="IL274" s="381"/>
      <c r="IM274" s="381"/>
      <c r="IN274" s="381"/>
      <c r="IO274" s="381"/>
      <c r="IP274" s="381"/>
      <c r="IQ274" s="381"/>
      <c r="IR274" s="381"/>
      <c r="IS274" s="381"/>
      <c r="IT274" s="381"/>
      <c r="IU274" s="381"/>
      <c r="IV274" s="381"/>
      <c r="IW274" s="381"/>
      <c r="IX274" s="381"/>
      <c r="IY274" s="381"/>
      <c r="IZ274" s="381"/>
      <c r="JA274" s="381"/>
      <c r="JB274" s="381"/>
      <c r="JC274" s="381"/>
      <c r="JD274" s="381"/>
      <c r="JE274" s="381"/>
      <c r="JF274" s="381"/>
      <c r="JG274" s="277"/>
      <c r="JH274" s="381"/>
      <c r="JI274" s="381"/>
      <c r="JJ274" s="381"/>
      <c r="JK274" s="381"/>
      <c r="JL274" s="381"/>
      <c r="JM274" s="381"/>
      <c r="JN274" s="381"/>
      <c r="JO274" s="381"/>
      <c r="JP274" s="381"/>
      <c r="JQ274" s="381"/>
      <c r="JR274" s="381"/>
      <c r="JS274" s="381"/>
      <c r="JT274" s="381"/>
      <c r="JU274" s="381"/>
      <c r="JV274" s="381"/>
      <c r="JW274" s="381"/>
      <c r="JX274" s="381"/>
      <c r="JY274" s="381"/>
      <c r="JZ274" s="381"/>
      <c r="KA274" s="381"/>
      <c r="KB274" s="277"/>
    </row>
    <row r="275" spans="2:288" ht="15" customHeight="1" x14ac:dyDescent="0.25">
      <c r="B275" s="216" t="str">
        <f t="shared" si="22"/>
        <v>Desk 59</v>
      </c>
      <c r="C275" s="218" t="str">
        <v/>
      </c>
      <c r="D275" s="218" t="str">
        <v/>
      </c>
      <c r="E275" s="218" t="str">
        <v/>
      </c>
      <c r="F275" s="218" t="str">
        <v/>
      </c>
      <c r="G275" s="402" t="str">
        <v/>
      </c>
      <c r="H275" s="381"/>
      <c r="I275" s="381"/>
      <c r="J275" s="381"/>
      <c r="K275" s="381"/>
      <c r="L275" s="381"/>
      <c r="M275" s="381"/>
      <c r="N275" s="381"/>
      <c r="O275" s="381"/>
      <c r="P275" s="381"/>
      <c r="Q275" s="381"/>
      <c r="R275" s="381"/>
      <c r="S275" s="381"/>
      <c r="T275" s="381"/>
      <c r="U275" s="381"/>
      <c r="V275" s="381"/>
      <c r="W275" s="381"/>
      <c r="X275" s="381"/>
      <c r="Y275" s="381"/>
      <c r="Z275" s="381"/>
      <c r="AA275" s="381"/>
      <c r="AB275" s="381"/>
      <c r="AC275" s="381"/>
      <c r="AD275" s="381"/>
      <c r="AE275" s="381"/>
      <c r="AF275" s="381"/>
      <c r="AG275" s="381"/>
      <c r="AH275" s="381"/>
      <c r="AI275" s="381"/>
      <c r="AJ275" s="381"/>
      <c r="AK275" s="381"/>
      <c r="AL275" s="381"/>
      <c r="AM275" s="381"/>
      <c r="AN275" s="381"/>
      <c r="AO275" s="381"/>
      <c r="AP275" s="381"/>
      <c r="AQ275" s="381"/>
      <c r="AR275" s="381"/>
      <c r="AS275" s="381"/>
      <c r="AT275" s="381"/>
      <c r="AU275" s="381"/>
      <c r="AV275" s="381"/>
      <c r="AW275" s="381"/>
      <c r="AX275" s="381"/>
      <c r="AY275" s="381"/>
      <c r="AZ275" s="381"/>
      <c r="BA275" s="381"/>
      <c r="BB275" s="381"/>
      <c r="BC275" s="381"/>
      <c r="BD275" s="381"/>
      <c r="BE275" s="381"/>
      <c r="BF275" s="381"/>
      <c r="BG275" s="381"/>
      <c r="BH275" s="381"/>
      <c r="BI275" s="381"/>
      <c r="BJ275" s="381"/>
      <c r="BK275" s="381"/>
      <c r="BL275" s="381"/>
      <c r="BM275" s="381"/>
      <c r="BN275" s="381"/>
      <c r="BO275" s="381"/>
      <c r="BP275" s="381"/>
      <c r="BQ275" s="381"/>
      <c r="BR275" s="381"/>
      <c r="BS275" s="381"/>
      <c r="BT275" s="381"/>
      <c r="BU275" s="381"/>
      <c r="BV275" s="381"/>
      <c r="BW275" s="381"/>
      <c r="BX275" s="381"/>
      <c r="BY275" s="381"/>
      <c r="BZ275" s="381"/>
      <c r="CA275" s="381"/>
      <c r="CB275" s="381"/>
      <c r="CC275" s="381"/>
      <c r="CD275" s="381"/>
      <c r="CE275" s="381"/>
      <c r="CF275" s="381"/>
      <c r="CG275" s="381"/>
      <c r="CH275" s="381"/>
      <c r="CI275" s="381"/>
      <c r="CJ275" s="381"/>
      <c r="CK275" s="381"/>
      <c r="CL275" s="381"/>
      <c r="CM275" s="381"/>
      <c r="CN275" s="381"/>
      <c r="CO275" s="381"/>
      <c r="CP275" s="381"/>
      <c r="CQ275" s="381"/>
      <c r="CR275" s="381"/>
      <c r="CS275" s="381"/>
      <c r="CT275" s="381"/>
      <c r="CU275" s="381"/>
      <c r="CV275" s="381"/>
      <c r="CW275" s="381"/>
      <c r="CX275" s="381"/>
      <c r="CY275" s="381"/>
      <c r="CZ275" s="381"/>
      <c r="DA275" s="381"/>
      <c r="DB275" s="381"/>
      <c r="DC275" s="381"/>
      <c r="DD275" s="381"/>
      <c r="DE275" s="381"/>
      <c r="DF275" s="381"/>
      <c r="DG275" s="381"/>
      <c r="DH275" s="381"/>
      <c r="DI275" s="381"/>
      <c r="DJ275" s="381"/>
      <c r="DK275" s="381"/>
      <c r="DL275" s="381"/>
      <c r="DM275" s="381"/>
      <c r="DN275" s="381"/>
      <c r="DO275" s="381"/>
      <c r="DP275" s="381"/>
      <c r="DQ275" s="381"/>
      <c r="DR275" s="381"/>
      <c r="DS275" s="381"/>
      <c r="DT275" s="381"/>
      <c r="DU275" s="381"/>
      <c r="DV275" s="381"/>
      <c r="DW275" s="277"/>
      <c r="DX275" s="381"/>
      <c r="DY275" s="381"/>
      <c r="DZ275" s="381"/>
      <c r="EA275" s="381"/>
      <c r="EB275" s="381"/>
      <c r="EC275" s="381"/>
      <c r="ED275" s="381"/>
      <c r="EE275" s="381"/>
      <c r="EF275" s="381"/>
      <c r="EG275" s="381"/>
      <c r="EH275" s="381"/>
      <c r="EI275" s="381"/>
      <c r="EJ275" s="381"/>
      <c r="EK275" s="381"/>
      <c r="EL275" s="381"/>
      <c r="EM275" s="381"/>
      <c r="EN275" s="381"/>
      <c r="EO275" s="381"/>
      <c r="EP275" s="381"/>
      <c r="EQ275" s="381"/>
      <c r="ER275" s="277"/>
      <c r="ES275" s="381"/>
      <c r="ET275" s="381"/>
      <c r="EU275" s="381"/>
      <c r="EV275" s="381"/>
      <c r="EW275" s="381"/>
      <c r="EX275" s="381"/>
      <c r="EY275" s="381"/>
      <c r="EZ275" s="381"/>
      <c r="FA275" s="381"/>
      <c r="FB275" s="381"/>
      <c r="FC275" s="381"/>
      <c r="FD275" s="381"/>
      <c r="FE275" s="381"/>
      <c r="FF275" s="381"/>
      <c r="FG275" s="381"/>
      <c r="FH275" s="381"/>
      <c r="FI275" s="381"/>
      <c r="FJ275" s="381"/>
      <c r="FK275" s="381"/>
      <c r="FL275" s="381"/>
      <c r="FM275" s="381"/>
      <c r="FN275" s="381"/>
      <c r="FO275" s="381"/>
      <c r="FP275" s="381"/>
      <c r="FQ275" s="381"/>
      <c r="FR275" s="381"/>
      <c r="FS275" s="381"/>
      <c r="FT275" s="381"/>
      <c r="FU275" s="381"/>
      <c r="FV275" s="381"/>
      <c r="FW275" s="381"/>
      <c r="FX275" s="381"/>
      <c r="FY275" s="381"/>
      <c r="FZ275" s="381"/>
      <c r="GA275" s="381"/>
      <c r="GB275" s="381"/>
      <c r="GC275" s="381"/>
      <c r="GD275" s="381"/>
      <c r="GE275" s="381"/>
      <c r="GF275" s="381"/>
      <c r="GG275" s="381"/>
      <c r="GH275" s="381"/>
      <c r="GI275" s="381"/>
      <c r="GJ275" s="381"/>
      <c r="GK275" s="381"/>
      <c r="GL275" s="381"/>
      <c r="GM275" s="381"/>
      <c r="GN275" s="381"/>
      <c r="GO275" s="381"/>
      <c r="GP275" s="381"/>
      <c r="GQ275" s="381"/>
      <c r="GR275" s="381"/>
      <c r="GS275" s="381"/>
      <c r="GT275" s="381"/>
      <c r="GU275" s="381"/>
      <c r="GV275" s="381"/>
      <c r="GW275" s="381"/>
      <c r="GX275" s="381"/>
      <c r="GY275" s="381"/>
      <c r="GZ275" s="381"/>
      <c r="HA275" s="381"/>
      <c r="HB275" s="381"/>
      <c r="HC275" s="381"/>
      <c r="HD275" s="381"/>
      <c r="HE275" s="381"/>
      <c r="HF275" s="381"/>
      <c r="HG275" s="381"/>
      <c r="HH275" s="381"/>
      <c r="HI275" s="381"/>
      <c r="HJ275" s="381"/>
      <c r="HK275" s="381"/>
      <c r="HL275" s="381"/>
      <c r="HM275" s="381"/>
      <c r="HN275" s="381"/>
      <c r="HO275" s="381"/>
      <c r="HP275" s="381"/>
      <c r="HQ275" s="381"/>
      <c r="HR275" s="381"/>
      <c r="HS275" s="381"/>
      <c r="HT275" s="381"/>
      <c r="HU275" s="381"/>
      <c r="HV275" s="381"/>
      <c r="HW275" s="381"/>
      <c r="HX275" s="381"/>
      <c r="HY275" s="381"/>
      <c r="HZ275" s="381"/>
      <c r="IA275" s="381"/>
      <c r="IB275" s="381"/>
      <c r="IC275" s="381"/>
      <c r="ID275" s="381"/>
      <c r="IE275" s="381"/>
      <c r="IF275" s="381"/>
      <c r="IG275" s="381"/>
      <c r="IH275" s="381"/>
      <c r="II275" s="381"/>
      <c r="IJ275" s="381"/>
      <c r="IK275" s="381"/>
      <c r="IL275" s="381"/>
      <c r="IM275" s="381"/>
      <c r="IN275" s="381"/>
      <c r="IO275" s="381"/>
      <c r="IP275" s="381"/>
      <c r="IQ275" s="381"/>
      <c r="IR275" s="381"/>
      <c r="IS275" s="381"/>
      <c r="IT275" s="381"/>
      <c r="IU275" s="381"/>
      <c r="IV275" s="381"/>
      <c r="IW275" s="381"/>
      <c r="IX275" s="381"/>
      <c r="IY275" s="381"/>
      <c r="IZ275" s="381"/>
      <c r="JA275" s="381"/>
      <c r="JB275" s="381"/>
      <c r="JC275" s="381"/>
      <c r="JD275" s="381"/>
      <c r="JE275" s="381"/>
      <c r="JF275" s="381"/>
      <c r="JG275" s="277"/>
      <c r="JH275" s="381"/>
      <c r="JI275" s="381"/>
      <c r="JJ275" s="381"/>
      <c r="JK275" s="381"/>
      <c r="JL275" s="381"/>
      <c r="JM275" s="381"/>
      <c r="JN275" s="381"/>
      <c r="JO275" s="381"/>
      <c r="JP275" s="381"/>
      <c r="JQ275" s="381"/>
      <c r="JR275" s="381"/>
      <c r="JS275" s="381"/>
      <c r="JT275" s="381"/>
      <c r="JU275" s="381"/>
      <c r="JV275" s="381"/>
      <c r="JW275" s="381"/>
      <c r="JX275" s="381"/>
      <c r="JY275" s="381"/>
      <c r="JZ275" s="381"/>
      <c r="KA275" s="381"/>
      <c r="KB275" s="277"/>
    </row>
    <row r="276" spans="2:288" ht="15" customHeight="1" x14ac:dyDescent="0.25">
      <c r="B276" s="216" t="str">
        <f t="shared" si="22"/>
        <v>Desk 60</v>
      </c>
      <c r="C276" s="218" t="str">
        <v/>
      </c>
      <c r="D276" s="218" t="str">
        <v/>
      </c>
      <c r="E276" s="218" t="str">
        <v/>
      </c>
      <c r="F276" s="218" t="str">
        <v/>
      </c>
      <c r="G276" s="402" t="str">
        <v/>
      </c>
      <c r="H276" s="381"/>
      <c r="I276" s="381"/>
      <c r="J276" s="381"/>
      <c r="K276" s="381"/>
      <c r="L276" s="381"/>
      <c r="M276" s="381"/>
      <c r="N276" s="381"/>
      <c r="O276" s="381"/>
      <c r="P276" s="381"/>
      <c r="Q276" s="381"/>
      <c r="R276" s="381"/>
      <c r="S276" s="381"/>
      <c r="T276" s="381"/>
      <c r="U276" s="381"/>
      <c r="V276" s="381"/>
      <c r="W276" s="381"/>
      <c r="X276" s="381"/>
      <c r="Y276" s="381"/>
      <c r="Z276" s="381"/>
      <c r="AA276" s="381"/>
      <c r="AB276" s="381"/>
      <c r="AC276" s="381"/>
      <c r="AD276" s="381"/>
      <c r="AE276" s="381"/>
      <c r="AF276" s="381"/>
      <c r="AG276" s="381"/>
      <c r="AH276" s="381"/>
      <c r="AI276" s="381"/>
      <c r="AJ276" s="381"/>
      <c r="AK276" s="381"/>
      <c r="AL276" s="381"/>
      <c r="AM276" s="381"/>
      <c r="AN276" s="381"/>
      <c r="AO276" s="381"/>
      <c r="AP276" s="381"/>
      <c r="AQ276" s="381"/>
      <c r="AR276" s="381"/>
      <c r="AS276" s="381"/>
      <c r="AT276" s="381"/>
      <c r="AU276" s="381"/>
      <c r="AV276" s="381"/>
      <c r="AW276" s="381"/>
      <c r="AX276" s="381"/>
      <c r="AY276" s="381"/>
      <c r="AZ276" s="381"/>
      <c r="BA276" s="381"/>
      <c r="BB276" s="381"/>
      <c r="BC276" s="381"/>
      <c r="BD276" s="381"/>
      <c r="BE276" s="381"/>
      <c r="BF276" s="381"/>
      <c r="BG276" s="381"/>
      <c r="BH276" s="381"/>
      <c r="BI276" s="381"/>
      <c r="BJ276" s="381"/>
      <c r="BK276" s="381"/>
      <c r="BL276" s="381"/>
      <c r="BM276" s="381"/>
      <c r="BN276" s="381"/>
      <c r="BO276" s="381"/>
      <c r="BP276" s="381"/>
      <c r="BQ276" s="381"/>
      <c r="BR276" s="381"/>
      <c r="BS276" s="381"/>
      <c r="BT276" s="381"/>
      <c r="BU276" s="381"/>
      <c r="BV276" s="381"/>
      <c r="BW276" s="381"/>
      <c r="BX276" s="381"/>
      <c r="BY276" s="381"/>
      <c r="BZ276" s="381"/>
      <c r="CA276" s="381"/>
      <c r="CB276" s="381"/>
      <c r="CC276" s="381"/>
      <c r="CD276" s="381"/>
      <c r="CE276" s="381"/>
      <c r="CF276" s="381"/>
      <c r="CG276" s="381"/>
      <c r="CH276" s="381"/>
      <c r="CI276" s="381"/>
      <c r="CJ276" s="381"/>
      <c r="CK276" s="381"/>
      <c r="CL276" s="381"/>
      <c r="CM276" s="381"/>
      <c r="CN276" s="381"/>
      <c r="CO276" s="381"/>
      <c r="CP276" s="381"/>
      <c r="CQ276" s="381"/>
      <c r="CR276" s="381"/>
      <c r="CS276" s="381"/>
      <c r="CT276" s="381"/>
      <c r="CU276" s="381"/>
      <c r="CV276" s="381"/>
      <c r="CW276" s="381"/>
      <c r="CX276" s="381"/>
      <c r="CY276" s="381"/>
      <c r="CZ276" s="381"/>
      <c r="DA276" s="381"/>
      <c r="DB276" s="381"/>
      <c r="DC276" s="381"/>
      <c r="DD276" s="381"/>
      <c r="DE276" s="381"/>
      <c r="DF276" s="381"/>
      <c r="DG276" s="381"/>
      <c r="DH276" s="381"/>
      <c r="DI276" s="381"/>
      <c r="DJ276" s="381"/>
      <c r="DK276" s="381"/>
      <c r="DL276" s="381"/>
      <c r="DM276" s="381"/>
      <c r="DN276" s="381"/>
      <c r="DO276" s="381"/>
      <c r="DP276" s="381"/>
      <c r="DQ276" s="381"/>
      <c r="DR276" s="381"/>
      <c r="DS276" s="381"/>
      <c r="DT276" s="381"/>
      <c r="DU276" s="381"/>
      <c r="DV276" s="381"/>
      <c r="DW276" s="277"/>
      <c r="DX276" s="381"/>
      <c r="DY276" s="381"/>
      <c r="DZ276" s="381"/>
      <c r="EA276" s="381"/>
      <c r="EB276" s="381"/>
      <c r="EC276" s="381"/>
      <c r="ED276" s="381"/>
      <c r="EE276" s="381"/>
      <c r="EF276" s="381"/>
      <c r="EG276" s="381"/>
      <c r="EH276" s="381"/>
      <c r="EI276" s="381"/>
      <c r="EJ276" s="381"/>
      <c r="EK276" s="381"/>
      <c r="EL276" s="381"/>
      <c r="EM276" s="381"/>
      <c r="EN276" s="381"/>
      <c r="EO276" s="381"/>
      <c r="EP276" s="381"/>
      <c r="EQ276" s="381"/>
      <c r="ER276" s="277"/>
      <c r="ES276" s="381"/>
      <c r="ET276" s="381"/>
      <c r="EU276" s="381"/>
      <c r="EV276" s="381"/>
      <c r="EW276" s="381"/>
      <c r="EX276" s="381"/>
      <c r="EY276" s="381"/>
      <c r="EZ276" s="381"/>
      <c r="FA276" s="381"/>
      <c r="FB276" s="381"/>
      <c r="FC276" s="381"/>
      <c r="FD276" s="381"/>
      <c r="FE276" s="381"/>
      <c r="FF276" s="381"/>
      <c r="FG276" s="381"/>
      <c r="FH276" s="381"/>
      <c r="FI276" s="381"/>
      <c r="FJ276" s="381"/>
      <c r="FK276" s="381"/>
      <c r="FL276" s="381"/>
      <c r="FM276" s="381"/>
      <c r="FN276" s="381"/>
      <c r="FO276" s="381"/>
      <c r="FP276" s="381"/>
      <c r="FQ276" s="381"/>
      <c r="FR276" s="381"/>
      <c r="FS276" s="381"/>
      <c r="FT276" s="381"/>
      <c r="FU276" s="381"/>
      <c r="FV276" s="381"/>
      <c r="FW276" s="381"/>
      <c r="FX276" s="381"/>
      <c r="FY276" s="381"/>
      <c r="FZ276" s="381"/>
      <c r="GA276" s="381"/>
      <c r="GB276" s="381"/>
      <c r="GC276" s="381"/>
      <c r="GD276" s="381"/>
      <c r="GE276" s="381"/>
      <c r="GF276" s="381"/>
      <c r="GG276" s="381"/>
      <c r="GH276" s="381"/>
      <c r="GI276" s="381"/>
      <c r="GJ276" s="381"/>
      <c r="GK276" s="381"/>
      <c r="GL276" s="381"/>
      <c r="GM276" s="381"/>
      <c r="GN276" s="381"/>
      <c r="GO276" s="381"/>
      <c r="GP276" s="381"/>
      <c r="GQ276" s="381"/>
      <c r="GR276" s="381"/>
      <c r="GS276" s="381"/>
      <c r="GT276" s="381"/>
      <c r="GU276" s="381"/>
      <c r="GV276" s="381"/>
      <c r="GW276" s="381"/>
      <c r="GX276" s="381"/>
      <c r="GY276" s="381"/>
      <c r="GZ276" s="381"/>
      <c r="HA276" s="381"/>
      <c r="HB276" s="381"/>
      <c r="HC276" s="381"/>
      <c r="HD276" s="381"/>
      <c r="HE276" s="381"/>
      <c r="HF276" s="381"/>
      <c r="HG276" s="381"/>
      <c r="HH276" s="381"/>
      <c r="HI276" s="381"/>
      <c r="HJ276" s="381"/>
      <c r="HK276" s="381"/>
      <c r="HL276" s="381"/>
      <c r="HM276" s="381"/>
      <c r="HN276" s="381"/>
      <c r="HO276" s="381"/>
      <c r="HP276" s="381"/>
      <c r="HQ276" s="381"/>
      <c r="HR276" s="381"/>
      <c r="HS276" s="381"/>
      <c r="HT276" s="381"/>
      <c r="HU276" s="381"/>
      <c r="HV276" s="381"/>
      <c r="HW276" s="381"/>
      <c r="HX276" s="381"/>
      <c r="HY276" s="381"/>
      <c r="HZ276" s="381"/>
      <c r="IA276" s="381"/>
      <c r="IB276" s="381"/>
      <c r="IC276" s="381"/>
      <c r="ID276" s="381"/>
      <c r="IE276" s="381"/>
      <c r="IF276" s="381"/>
      <c r="IG276" s="381"/>
      <c r="IH276" s="381"/>
      <c r="II276" s="381"/>
      <c r="IJ276" s="381"/>
      <c r="IK276" s="381"/>
      <c r="IL276" s="381"/>
      <c r="IM276" s="381"/>
      <c r="IN276" s="381"/>
      <c r="IO276" s="381"/>
      <c r="IP276" s="381"/>
      <c r="IQ276" s="381"/>
      <c r="IR276" s="381"/>
      <c r="IS276" s="381"/>
      <c r="IT276" s="381"/>
      <c r="IU276" s="381"/>
      <c r="IV276" s="381"/>
      <c r="IW276" s="381"/>
      <c r="IX276" s="381"/>
      <c r="IY276" s="381"/>
      <c r="IZ276" s="381"/>
      <c r="JA276" s="381"/>
      <c r="JB276" s="381"/>
      <c r="JC276" s="381"/>
      <c r="JD276" s="381"/>
      <c r="JE276" s="381"/>
      <c r="JF276" s="381"/>
      <c r="JG276" s="277"/>
      <c r="JH276" s="381"/>
      <c r="JI276" s="381"/>
      <c r="JJ276" s="381"/>
      <c r="JK276" s="381"/>
      <c r="JL276" s="381"/>
      <c r="JM276" s="381"/>
      <c r="JN276" s="381"/>
      <c r="JO276" s="381"/>
      <c r="JP276" s="381"/>
      <c r="JQ276" s="381"/>
      <c r="JR276" s="381"/>
      <c r="JS276" s="381"/>
      <c r="JT276" s="381"/>
      <c r="JU276" s="381"/>
      <c r="JV276" s="381"/>
      <c r="JW276" s="381"/>
      <c r="JX276" s="381"/>
      <c r="JY276" s="381"/>
      <c r="JZ276" s="381"/>
      <c r="KA276" s="381"/>
      <c r="KB276" s="277"/>
    </row>
    <row r="277" spans="2:288" ht="15" customHeight="1" x14ac:dyDescent="0.25">
      <c r="B277" s="216" t="str">
        <f t="shared" si="22"/>
        <v>Desk 61</v>
      </c>
      <c r="C277" s="218" t="str">
        <v/>
      </c>
      <c r="D277" s="218" t="str">
        <v/>
      </c>
      <c r="E277" s="218" t="str">
        <v/>
      </c>
      <c r="F277" s="218" t="str">
        <v/>
      </c>
      <c r="G277" s="402" t="str">
        <v/>
      </c>
      <c r="H277" s="381"/>
      <c r="I277" s="381"/>
      <c r="J277" s="381"/>
      <c r="K277" s="381"/>
      <c r="L277" s="381"/>
      <c r="M277" s="381"/>
      <c r="N277" s="381"/>
      <c r="O277" s="381"/>
      <c r="P277" s="381"/>
      <c r="Q277" s="381"/>
      <c r="R277" s="381"/>
      <c r="S277" s="381"/>
      <c r="T277" s="381"/>
      <c r="U277" s="381"/>
      <c r="V277" s="381"/>
      <c r="W277" s="381"/>
      <c r="X277" s="381"/>
      <c r="Y277" s="381"/>
      <c r="Z277" s="381"/>
      <c r="AA277" s="381"/>
      <c r="AB277" s="381"/>
      <c r="AC277" s="381"/>
      <c r="AD277" s="381"/>
      <c r="AE277" s="381"/>
      <c r="AF277" s="381"/>
      <c r="AG277" s="381"/>
      <c r="AH277" s="381"/>
      <c r="AI277" s="381"/>
      <c r="AJ277" s="381"/>
      <c r="AK277" s="381"/>
      <c r="AL277" s="381"/>
      <c r="AM277" s="381"/>
      <c r="AN277" s="381"/>
      <c r="AO277" s="381"/>
      <c r="AP277" s="381"/>
      <c r="AQ277" s="381"/>
      <c r="AR277" s="381"/>
      <c r="AS277" s="381"/>
      <c r="AT277" s="381"/>
      <c r="AU277" s="381"/>
      <c r="AV277" s="381"/>
      <c r="AW277" s="381"/>
      <c r="AX277" s="381"/>
      <c r="AY277" s="381"/>
      <c r="AZ277" s="381"/>
      <c r="BA277" s="381"/>
      <c r="BB277" s="381"/>
      <c r="BC277" s="381"/>
      <c r="BD277" s="381"/>
      <c r="BE277" s="381"/>
      <c r="BF277" s="381"/>
      <c r="BG277" s="381"/>
      <c r="BH277" s="381"/>
      <c r="BI277" s="381"/>
      <c r="BJ277" s="381"/>
      <c r="BK277" s="381"/>
      <c r="BL277" s="381"/>
      <c r="BM277" s="381"/>
      <c r="BN277" s="381"/>
      <c r="BO277" s="381"/>
      <c r="BP277" s="381"/>
      <c r="BQ277" s="381"/>
      <c r="BR277" s="381"/>
      <c r="BS277" s="381"/>
      <c r="BT277" s="381"/>
      <c r="BU277" s="381"/>
      <c r="BV277" s="381"/>
      <c r="BW277" s="381"/>
      <c r="BX277" s="381"/>
      <c r="BY277" s="381"/>
      <c r="BZ277" s="381"/>
      <c r="CA277" s="381"/>
      <c r="CB277" s="381"/>
      <c r="CC277" s="381"/>
      <c r="CD277" s="381"/>
      <c r="CE277" s="381"/>
      <c r="CF277" s="381"/>
      <c r="CG277" s="381"/>
      <c r="CH277" s="381"/>
      <c r="CI277" s="381"/>
      <c r="CJ277" s="381"/>
      <c r="CK277" s="381"/>
      <c r="CL277" s="381"/>
      <c r="CM277" s="381"/>
      <c r="CN277" s="381"/>
      <c r="CO277" s="381"/>
      <c r="CP277" s="381"/>
      <c r="CQ277" s="381"/>
      <c r="CR277" s="381"/>
      <c r="CS277" s="381"/>
      <c r="CT277" s="381"/>
      <c r="CU277" s="381"/>
      <c r="CV277" s="381"/>
      <c r="CW277" s="381"/>
      <c r="CX277" s="381"/>
      <c r="CY277" s="381"/>
      <c r="CZ277" s="381"/>
      <c r="DA277" s="381"/>
      <c r="DB277" s="381"/>
      <c r="DC277" s="381"/>
      <c r="DD277" s="381"/>
      <c r="DE277" s="381"/>
      <c r="DF277" s="381"/>
      <c r="DG277" s="381"/>
      <c r="DH277" s="381"/>
      <c r="DI277" s="381"/>
      <c r="DJ277" s="381"/>
      <c r="DK277" s="381"/>
      <c r="DL277" s="381"/>
      <c r="DM277" s="381"/>
      <c r="DN277" s="381"/>
      <c r="DO277" s="381"/>
      <c r="DP277" s="381"/>
      <c r="DQ277" s="381"/>
      <c r="DR277" s="381"/>
      <c r="DS277" s="381"/>
      <c r="DT277" s="381"/>
      <c r="DU277" s="381"/>
      <c r="DV277" s="381"/>
      <c r="DW277" s="277"/>
      <c r="DX277" s="381"/>
      <c r="DY277" s="381"/>
      <c r="DZ277" s="381"/>
      <c r="EA277" s="381"/>
      <c r="EB277" s="381"/>
      <c r="EC277" s="381"/>
      <c r="ED277" s="381"/>
      <c r="EE277" s="381"/>
      <c r="EF277" s="381"/>
      <c r="EG277" s="381"/>
      <c r="EH277" s="381"/>
      <c r="EI277" s="381"/>
      <c r="EJ277" s="381"/>
      <c r="EK277" s="381"/>
      <c r="EL277" s="381"/>
      <c r="EM277" s="381"/>
      <c r="EN277" s="381"/>
      <c r="EO277" s="381"/>
      <c r="EP277" s="381"/>
      <c r="EQ277" s="381"/>
      <c r="ER277" s="277"/>
      <c r="ES277" s="381"/>
      <c r="ET277" s="381"/>
      <c r="EU277" s="381"/>
      <c r="EV277" s="381"/>
      <c r="EW277" s="381"/>
      <c r="EX277" s="381"/>
      <c r="EY277" s="381"/>
      <c r="EZ277" s="381"/>
      <c r="FA277" s="381"/>
      <c r="FB277" s="381"/>
      <c r="FC277" s="381"/>
      <c r="FD277" s="381"/>
      <c r="FE277" s="381"/>
      <c r="FF277" s="381"/>
      <c r="FG277" s="381"/>
      <c r="FH277" s="381"/>
      <c r="FI277" s="381"/>
      <c r="FJ277" s="381"/>
      <c r="FK277" s="381"/>
      <c r="FL277" s="381"/>
      <c r="FM277" s="381"/>
      <c r="FN277" s="381"/>
      <c r="FO277" s="381"/>
      <c r="FP277" s="381"/>
      <c r="FQ277" s="381"/>
      <c r="FR277" s="381"/>
      <c r="FS277" s="381"/>
      <c r="FT277" s="381"/>
      <c r="FU277" s="381"/>
      <c r="FV277" s="381"/>
      <c r="FW277" s="381"/>
      <c r="FX277" s="381"/>
      <c r="FY277" s="381"/>
      <c r="FZ277" s="381"/>
      <c r="GA277" s="381"/>
      <c r="GB277" s="381"/>
      <c r="GC277" s="381"/>
      <c r="GD277" s="381"/>
      <c r="GE277" s="381"/>
      <c r="GF277" s="381"/>
      <c r="GG277" s="381"/>
      <c r="GH277" s="381"/>
      <c r="GI277" s="381"/>
      <c r="GJ277" s="381"/>
      <c r="GK277" s="381"/>
      <c r="GL277" s="381"/>
      <c r="GM277" s="381"/>
      <c r="GN277" s="381"/>
      <c r="GO277" s="381"/>
      <c r="GP277" s="381"/>
      <c r="GQ277" s="381"/>
      <c r="GR277" s="381"/>
      <c r="GS277" s="381"/>
      <c r="GT277" s="381"/>
      <c r="GU277" s="381"/>
      <c r="GV277" s="381"/>
      <c r="GW277" s="381"/>
      <c r="GX277" s="381"/>
      <c r="GY277" s="381"/>
      <c r="GZ277" s="381"/>
      <c r="HA277" s="381"/>
      <c r="HB277" s="381"/>
      <c r="HC277" s="381"/>
      <c r="HD277" s="381"/>
      <c r="HE277" s="381"/>
      <c r="HF277" s="381"/>
      <c r="HG277" s="381"/>
      <c r="HH277" s="381"/>
      <c r="HI277" s="381"/>
      <c r="HJ277" s="381"/>
      <c r="HK277" s="381"/>
      <c r="HL277" s="381"/>
      <c r="HM277" s="381"/>
      <c r="HN277" s="381"/>
      <c r="HO277" s="381"/>
      <c r="HP277" s="381"/>
      <c r="HQ277" s="381"/>
      <c r="HR277" s="381"/>
      <c r="HS277" s="381"/>
      <c r="HT277" s="381"/>
      <c r="HU277" s="381"/>
      <c r="HV277" s="381"/>
      <c r="HW277" s="381"/>
      <c r="HX277" s="381"/>
      <c r="HY277" s="381"/>
      <c r="HZ277" s="381"/>
      <c r="IA277" s="381"/>
      <c r="IB277" s="381"/>
      <c r="IC277" s="381"/>
      <c r="ID277" s="381"/>
      <c r="IE277" s="381"/>
      <c r="IF277" s="381"/>
      <c r="IG277" s="381"/>
      <c r="IH277" s="381"/>
      <c r="II277" s="381"/>
      <c r="IJ277" s="381"/>
      <c r="IK277" s="381"/>
      <c r="IL277" s="381"/>
      <c r="IM277" s="381"/>
      <c r="IN277" s="381"/>
      <c r="IO277" s="381"/>
      <c r="IP277" s="381"/>
      <c r="IQ277" s="381"/>
      <c r="IR277" s="381"/>
      <c r="IS277" s="381"/>
      <c r="IT277" s="381"/>
      <c r="IU277" s="381"/>
      <c r="IV277" s="381"/>
      <c r="IW277" s="381"/>
      <c r="IX277" s="381"/>
      <c r="IY277" s="381"/>
      <c r="IZ277" s="381"/>
      <c r="JA277" s="381"/>
      <c r="JB277" s="381"/>
      <c r="JC277" s="381"/>
      <c r="JD277" s="381"/>
      <c r="JE277" s="381"/>
      <c r="JF277" s="381"/>
      <c r="JG277" s="277"/>
      <c r="JH277" s="381"/>
      <c r="JI277" s="381"/>
      <c r="JJ277" s="381"/>
      <c r="JK277" s="381"/>
      <c r="JL277" s="381"/>
      <c r="JM277" s="381"/>
      <c r="JN277" s="381"/>
      <c r="JO277" s="381"/>
      <c r="JP277" s="381"/>
      <c r="JQ277" s="381"/>
      <c r="JR277" s="381"/>
      <c r="JS277" s="381"/>
      <c r="JT277" s="381"/>
      <c r="JU277" s="381"/>
      <c r="JV277" s="381"/>
      <c r="JW277" s="381"/>
      <c r="JX277" s="381"/>
      <c r="JY277" s="381"/>
      <c r="JZ277" s="381"/>
      <c r="KA277" s="381"/>
      <c r="KB277" s="277"/>
    </row>
    <row r="278" spans="2:288" ht="15" customHeight="1" x14ac:dyDescent="0.25">
      <c r="B278" s="216" t="str">
        <f t="shared" si="22"/>
        <v>Desk 62</v>
      </c>
      <c r="C278" s="218" t="str">
        <v/>
      </c>
      <c r="D278" s="218" t="str">
        <v/>
      </c>
      <c r="E278" s="218" t="str">
        <v/>
      </c>
      <c r="F278" s="218" t="str">
        <v/>
      </c>
      <c r="G278" s="402" t="str">
        <v/>
      </c>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c r="AD278" s="381"/>
      <c r="AE278" s="381"/>
      <c r="AF278" s="381"/>
      <c r="AG278" s="381"/>
      <c r="AH278" s="381"/>
      <c r="AI278" s="381"/>
      <c r="AJ278" s="381"/>
      <c r="AK278" s="381"/>
      <c r="AL278" s="381"/>
      <c r="AM278" s="381"/>
      <c r="AN278" s="381"/>
      <c r="AO278" s="381"/>
      <c r="AP278" s="381"/>
      <c r="AQ278" s="381"/>
      <c r="AR278" s="381"/>
      <c r="AS278" s="381"/>
      <c r="AT278" s="381"/>
      <c r="AU278" s="381"/>
      <c r="AV278" s="381"/>
      <c r="AW278" s="381"/>
      <c r="AX278" s="381"/>
      <c r="AY278" s="381"/>
      <c r="AZ278" s="381"/>
      <c r="BA278" s="381"/>
      <c r="BB278" s="381"/>
      <c r="BC278" s="381"/>
      <c r="BD278" s="381"/>
      <c r="BE278" s="381"/>
      <c r="BF278" s="381"/>
      <c r="BG278" s="381"/>
      <c r="BH278" s="381"/>
      <c r="BI278" s="381"/>
      <c r="BJ278" s="381"/>
      <c r="BK278" s="381"/>
      <c r="BL278" s="381"/>
      <c r="BM278" s="381"/>
      <c r="BN278" s="381"/>
      <c r="BO278" s="381"/>
      <c r="BP278" s="381"/>
      <c r="BQ278" s="381"/>
      <c r="BR278" s="381"/>
      <c r="BS278" s="381"/>
      <c r="BT278" s="381"/>
      <c r="BU278" s="381"/>
      <c r="BV278" s="381"/>
      <c r="BW278" s="381"/>
      <c r="BX278" s="381"/>
      <c r="BY278" s="381"/>
      <c r="BZ278" s="381"/>
      <c r="CA278" s="381"/>
      <c r="CB278" s="381"/>
      <c r="CC278" s="381"/>
      <c r="CD278" s="381"/>
      <c r="CE278" s="381"/>
      <c r="CF278" s="381"/>
      <c r="CG278" s="381"/>
      <c r="CH278" s="381"/>
      <c r="CI278" s="381"/>
      <c r="CJ278" s="381"/>
      <c r="CK278" s="381"/>
      <c r="CL278" s="381"/>
      <c r="CM278" s="381"/>
      <c r="CN278" s="381"/>
      <c r="CO278" s="381"/>
      <c r="CP278" s="381"/>
      <c r="CQ278" s="381"/>
      <c r="CR278" s="381"/>
      <c r="CS278" s="381"/>
      <c r="CT278" s="381"/>
      <c r="CU278" s="381"/>
      <c r="CV278" s="381"/>
      <c r="CW278" s="381"/>
      <c r="CX278" s="381"/>
      <c r="CY278" s="381"/>
      <c r="CZ278" s="381"/>
      <c r="DA278" s="381"/>
      <c r="DB278" s="381"/>
      <c r="DC278" s="381"/>
      <c r="DD278" s="381"/>
      <c r="DE278" s="381"/>
      <c r="DF278" s="381"/>
      <c r="DG278" s="381"/>
      <c r="DH278" s="381"/>
      <c r="DI278" s="381"/>
      <c r="DJ278" s="381"/>
      <c r="DK278" s="381"/>
      <c r="DL278" s="381"/>
      <c r="DM278" s="381"/>
      <c r="DN278" s="381"/>
      <c r="DO278" s="381"/>
      <c r="DP278" s="381"/>
      <c r="DQ278" s="381"/>
      <c r="DR278" s="381"/>
      <c r="DS278" s="381"/>
      <c r="DT278" s="381"/>
      <c r="DU278" s="381"/>
      <c r="DV278" s="381"/>
      <c r="DW278" s="277"/>
      <c r="DX278" s="381"/>
      <c r="DY278" s="381"/>
      <c r="DZ278" s="381"/>
      <c r="EA278" s="381"/>
      <c r="EB278" s="381"/>
      <c r="EC278" s="381"/>
      <c r="ED278" s="381"/>
      <c r="EE278" s="381"/>
      <c r="EF278" s="381"/>
      <c r="EG278" s="381"/>
      <c r="EH278" s="381"/>
      <c r="EI278" s="381"/>
      <c r="EJ278" s="381"/>
      <c r="EK278" s="381"/>
      <c r="EL278" s="381"/>
      <c r="EM278" s="381"/>
      <c r="EN278" s="381"/>
      <c r="EO278" s="381"/>
      <c r="EP278" s="381"/>
      <c r="EQ278" s="381"/>
      <c r="ER278" s="277"/>
      <c r="ES278" s="381"/>
      <c r="ET278" s="381"/>
      <c r="EU278" s="381"/>
      <c r="EV278" s="381"/>
      <c r="EW278" s="381"/>
      <c r="EX278" s="381"/>
      <c r="EY278" s="381"/>
      <c r="EZ278" s="381"/>
      <c r="FA278" s="381"/>
      <c r="FB278" s="381"/>
      <c r="FC278" s="381"/>
      <c r="FD278" s="381"/>
      <c r="FE278" s="381"/>
      <c r="FF278" s="381"/>
      <c r="FG278" s="381"/>
      <c r="FH278" s="381"/>
      <c r="FI278" s="381"/>
      <c r="FJ278" s="381"/>
      <c r="FK278" s="381"/>
      <c r="FL278" s="381"/>
      <c r="FM278" s="381"/>
      <c r="FN278" s="381"/>
      <c r="FO278" s="381"/>
      <c r="FP278" s="381"/>
      <c r="FQ278" s="381"/>
      <c r="FR278" s="381"/>
      <c r="FS278" s="381"/>
      <c r="FT278" s="381"/>
      <c r="FU278" s="381"/>
      <c r="FV278" s="381"/>
      <c r="FW278" s="381"/>
      <c r="FX278" s="381"/>
      <c r="FY278" s="381"/>
      <c r="FZ278" s="381"/>
      <c r="GA278" s="381"/>
      <c r="GB278" s="381"/>
      <c r="GC278" s="381"/>
      <c r="GD278" s="381"/>
      <c r="GE278" s="381"/>
      <c r="GF278" s="381"/>
      <c r="GG278" s="381"/>
      <c r="GH278" s="381"/>
      <c r="GI278" s="381"/>
      <c r="GJ278" s="381"/>
      <c r="GK278" s="381"/>
      <c r="GL278" s="381"/>
      <c r="GM278" s="381"/>
      <c r="GN278" s="381"/>
      <c r="GO278" s="381"/>
      <c r="GP278" s="381"/>
      <c r="GQ278" s="381"/>
      <c r="GR278" s="381"/>
      <c r="GS278" s="381"/>
      <c r="GT278" s="381"/>
      <c r="GU278" s="381"/>
      <c r="GV278" s="381"/>
      <c r="GW278" s="381"/>
      <c r="GX278" s="381"/>
      <c r="GY278" s="381"/>
      <c r="GZ278" s="381"/>
      <c r="HA278" s="381"/>
      <c r="HB278" s="381"/>
      <c r="HC278" s="381"/>
      <c r="HD278" s="381"/>
      <c r="HE278" s="381"/>
      <c r="HF278" s="381"/>
      <c r="HG278" s="381"/>
      <c r="HH278" s="381"/>
      <c r="HI278" s="381"/>
      <c r="HJ278" s="381"/>
      <c r="HK278" s="381"/>
      <c r="HL278" s="381"/>
      <c r="HM278" s="381"/>
      <c r="HN278" s="381"/>
      <c r="HO278" s="381"/>
      <c r="HP278" s="381"/>
      <c r="HQ278" s="381"/>
      <c r="HR278" s="381"/>
      <c r="HS278" s="381"/>
      <c r="HT278" s="381"/>
      <c r="HU278" s="381"/>
      <c r="HV278" s="381"/>
      <c r="HW278" s="381"/>
      <c r="HX278" s="381"/>
      <c r="HY278" s="381"/>
      <c r="HZ278" s="381"/>
      <c r="IA278" s="381"/>
      <c r="IB278" s="381"/>
      <c r="IC278" s="381"/>
      <c r="ID278" s="381"/>
      <c r="IE278" s="381"/>
      <c r="IF278" s="381"/>
      <c r="IG278" s="381"/>
      <c r="IH278" s="381"/>
      <c r="II278" s="381"/>
      <c r="IJ278" s="381"/>
      <c r="IK278" s="381"/>
      <c r="IL278" s="381"/>
      <c r="IM278" s="381"/>
      <c r="IN278" s="381"/>
      <c r="IO278" s="381"/>
      <c r="IP278" s="381"/>
      <c r="IQ278" s="381"/>
      <c r="IR278" s="381"/>
      <c r="IS278" s="381"/>
      <c r="IT278" s="381"/>
      <c r="IU278" s="381"/>
      <c r="IV278" s="381"/>
      <c r="IW278" s="381"/>
      <c r="IX278" s="381"/>
      <c r="IY278" s="381"/>
      <c r="IZ278" s="381"/>
      <c r="JA278" s="381"/>
      <c r="JB278" s="381"/>
      <c r="JC278" s="381"/>
      <c r="JD278" s="381"/>
      <c r="JE278" s="381"/>
      <c r="JF278" s="381"/>
      <c r="JG278" s="277"/>
      <c r="JH278" s="381"/>
      <c r="JI278" s="381"/>
      <c r="JJ278" s="381"/>
      <c r="JK278" s="381"/>
      <c r="JL278" s="381"/>
      <c r="JM278" s="381"/>
      <c r="JN278" s="381"/>
      <c r="JO278" s="381"/>
      <c r="JP278" s="381"/>
      <c r="JQ278" s="381"/>
      <c r="JR278" s="381"/>
      <c r="JS278" s="381"/>
      <c r="JT278" s="381"/>
      <c r="JU278" s="381"/>
      <c r="JV278" s="381"/>
      <c r="JW278" s="381"/>
      <c r="JX278" s="381"/>
      <c r="JY278" s="381"/>
      <c r="JZ278" s="381"/>
      <c r="KA278" s="381"/>
      <c r="KB278" s="277"/>
    </row>
    <row r="279" spans="2:288" ht="15" customHeight="1" x14ac:dyDescent="0.25">
      <c r="B279" s="216" t="str">
        <f t="shared" si="22"/>
        <v>Desk 63</v>
      </c>
      <c r="C279" s="218" t="str">
        <v/>
      </c>
      <c r="D279" s="218" t="str">
        <v/>
      </c>
      <c r="E279" s="218" t="str">
        <v/>
      </c>
      <c r="F279" s="218" t="str">
        <v/>
      </c>
      <c r="G279" s="402" t="str">
        <v/>
      </c>
      <c r="H279" s="381"/>
      <c r="I279" s="381"/>
      <c r="J279" s="381"/>
      <c r="K279" s="381"/>
      <c r="L279" s="381"/>
      <c r="M279" s="381"/>
      <c r="N279" s="381"/>
      <c r="O279" s="381"/>
      <c r="P279" s="381"/>
      <c r="Q279" s="381"/>
      <c r="R279" s="381"/>
      <c r="S279" s="381"/>
      <c r="T279" s="381"/>
      <c r="U279" s="381"/>
      <c r="V279" s="381"/>
      <c r="W279" s="381"/>
      <c r="X279" s="381"/>
      <c r="Y279" s="381"/>
      <c r="Z279" s="381"/>
      <c r="AA279" s="381"/>
      <c r="AB279" s="381"/>
      <c r="AC279" s="381"/>
      <c r="AD279" s="381"/>
      <c r="AE279" s="381"/>
      <c r="AF279" s="381"/>
      <c r="AG279" s="381"/>
      <c r="AH279" s="381"/>
      <c r="AI279" s="381"/>
      <c r="AJ279" s="381"/>
      <c r="AK279" s="381"/>
      <c r="AL279" s="381"/>
      <c r="AM279" s="381"/>
      <c r="AN279" s="381"/>
      <c r="AO279" s="381"/>
      <c r="AP279" s="381"/>
      <c r="AQ279" s="381"/>
      <c r="AR279" s="381"/>
      <c r="AS279" s="381"/>
      <c r="AT279" s="381"/>
      <c r="AU279" s="381"/>
      <c r="AV279" s="381"/>
      <c r="AW279" s="381"/>
      <c r="AX279" s="381"/>
      <c r="AY279" s="381"/>
      <c r="AZ279" s="381"/>
      <c r="BA279" s="381"/>
      <c r="BB279" s="381"/>
      <c r="BC279" s="381"/>
      <c r="BD279" s="381"/>
      <c r="BE279" s="381"/>
      <c r="BF279" s="381"/>
      <c r="BG279" s="381"/>
      <c r="BH279" s="381"/>
      <c r="BI279" s="381"/>
      <c r="BJ279" s="381"/>
      <c r="BK279" s="381"/>
      <c r="BL279" s="381"/>
      <c r="BM279" s="381"/>
      <c r="BN279" s="381"/>
      <c r="BO279" s="381"/>
      <c r="BP279" s="381"/>
      <c r="BQ279" s="381"/>
      <c r="BR279" s="381"/>
      <c r="BS279" s="381"/>
      <c r="BT279" s="381"/>
      <c r="BU279" s="381"/>
      <c r="BV279" s="381"/>
      <c r="BW279" s="381"/>
      <c r="BX279" s="381"/>
      <c r="BY279" s="381"/>
      <c r="BZ279" s="381"/>
      <c r="CA279" s="381"/>
      <c r="CB279" s="381"/>
      <c r="CC279" s="381"/>
      <c r="CD279" s="381"/>
      <c r="CE279" s="381"/>
      <c r="CF279" s="381"/>
      <c r="CG279" s="381"/>
      <c r="CH279" s="381"/>
      <c r="CI279" s="381"/>
      <c r="CJ279" s="381"/>
      <c r="CK279" s="381"/>
      <c r="CL279" s="381"/>
      <c r="CM279" s="381"/>
      <c r="CN279" s="381"/>
      <c r="CO279" s="381"/>
      <c r="CP279" s="381"/>
      <c r="CQ279" s="381"/>
      <c r="CR279" s="381"/>
      <c r="CS279" s="381"/>
      <c r="CT279" s="381"/>
      <c r="CU279" s="381"/>
      <c r="CV279" s="381"/>
      <c r="CW279" s="381"/>
      <c r="CX279" s="381"/>
      <c r="CY279" s="381"/>
      <c r="CZ279" s="381"/>
      <c r="DA279" s="381"/>
      <c r="DB279" s="381"/>
      <c r="DC279" s="381"/>
      <c r="DD279" s="381"/>
      <c r="DE279" s="381"/>
      <c r="DF279" s="381"/>
      <c r="DG279" s="381"/>
      <c r="DH279" s="381"/>
      <c r="DI279" s="381"/>
      <c r="DJ279" s="381"/>
      <c r="DK279" s="381"/>
      <c r="DL279" s="381"/>
      <c r="DM279" s="381"/>
      <c r="DN279" s="381"/>
      <c r="DO279" s="381"/>
      <c r="DP279" s="381"/>
      <c r="DQ279" s="381"/>
      <c r="DR279" s="381"/>
      <c r="DS279" s="381"/>
      <c r="DT279" s="381"/>
      <c r="DU279" s="381"/>
      <c r="DV279" s="381"/>
      <c r="DW279" s="277"/>
      <c r="DX279" s="381"/>
      <c r="DY279" s="381"/>
      <c r="DZ279" s="381"/>
      <c r="EA279" s="381"/>
      <c r="EB279" s="381"/>
      <c r="EC279" s="381"/>
      <c r="ED279" s="381"/>
      <c r="EE279" s="381"/>
      <c r="EF279" s="381"/>
      <c r="EG279" s="381"/>
      <c r="EH279" s="381"/>
      <c r="EI279" s="381"/>
      <c r="EJ279" s="381"/>
      <c r="EK279" s="381"/>
      <c r="EL279" s="381"/>
      <c r="EM279" s="381"/>
      <c r="EN279" s="381"/>
      <c r="EO279" s="381"/>
      <c r="EP279" s="381"/>
      <c r="EQ279" s="381"/>
      <c r="ER279" s="277"/>
      <c r="ES279" s="381"/>
      <c r="ET279" s="381"/>
      <c r="EU279" s="381"/>
      <c r="EV279" s="381"/>
      <c r="EW279" s="381"/>
      <c r="EX279" s="381"/>
      <c r="EY279" s="381"/>
      <c r="EZ279" s="381"/>
      <c r="FA279" s="381"/>
      <c r="FB279" s="381"/>
      <c r="FC279" s="381"/>
      <c r="FD279" s="381"/>
      <c r="FE279" s="381"/>
      <c r="FF279" s="381"/>
      <c r="FG279" s="381"/>
      <c r="FH279" s="381"/>
      <c r="FI279" s="381"/>
      <c r="FJ279" s="381"/>
      <c r="FK279" s="381"/>
      <c r="FL279" s="381"/>
      <c r="FM279" s="381"/>
      <c r="FN279" s="381"/>
      <c r="FO279" s="381"/>
      <c r="FP279" s="381"/>
      <c r="FQ279" s="381"/>
      <c r="FR279" s="381"/>
      <c r="FS279" s="381"/>
      <c r="FT279" s="381"/>
      <c r="FU279" s="381"/>
      <c r="FV279" s="381"/>
      <c r="FW279" s="381"/>
      <c r="FX279" s="381"/>
      <c r="FY279" s="381"/>
      <c r="FZ279" s="381"/>
      <c r="GA279" s="381"/>
      <c r="GB279" s="381"/>
      <c r="GC279" s="381"/>
      <c r="GD279" s="381"/>
      <c r="GE279" s="381"/>
      <c r="GF279" s="381"/>
      <c r="GG279" s="381"/>
      <c r="GH279" s="381"/>
      <c r="GI279" s="381"/>
      <c r="GJ279" s="381"/>
      <c r="GK279" s="381"/>
      <c r="GL279" s="381"/>
      <c r="GM279" s="381"/>
      <c r="GN279" s="381"/>
      <c r="GO279" s="381"/>
      <c r="GP279" s="381"/>
      <c r="GQ279" s="381"/>
      <c r="GR279" s="381"/>
      <c r="GS279" s="381"/>
      <c r="GT279" s="381"/>
      <c r="GU279" s="381"/>
      <c r="GV279" s="381"/>
      <c r="GW279" s="381"/>
      <c r="GX279" s="381"/>
      <c r="GY279" s="381"/>
      <c r="GZ279" s="381"/>
      <c r="HA279" s="381"/>
      <c r="HB279" s="381"/>
      <c r="HC279" s="381"/>
      <c r="HD279" s="381"/>
      <c r="HE279" s="381"/>
      <c r="HF279" s="381"/>
      <c r="HG279" s="381"/>
      <c r="HH279" s="381"/>
      <c r="HI279" s="381"/>
      <c r="HJ279" s="381"/>
      <c r="HK279" s="381"/>
      <c r="HL279" s="381"/>
      <c r="HM279" s="381"/>
      <c r="HN279" s="381"/>
      <c r="HO279" s="381"/>
      <c r="HP279" s="381"/>
      <c r="HQ279" s="381"/>
      <c r="HR279" s="381"/>
      <c r="HS279" s="381"/>
      <c r="HT279" s="381"/>
      <c r="HU279" s="381"/>
      <c r="HV279" s="381"/>
      <c r="HW279" s="381"/>
      <c r="HX279" s="381"/>
      <c r="HY279" s="381"/>
      <c r="HZ279" s="381"/>
      <c r="IA279" s="381"/>
      <c r="IB279" s="381"/>
      <c r="IC279" s="381"/>
      <c r="ID279" s="381"/>
      <c r="IE279" s="381"/>
      <c r="IF279" s="381"/>
      <c r="IG279" s="381"/>
      <c r="IH279" s="381"/>
      <c r="II279" s="381"/>
      <c r="IJ279" s="381"/>
      <c r="IK279" s="381"/>
      <c r="IL279" s="381"/>
      <c r="IM279" s="381"/>
      <c r="IN279" s="381"/>
      <c r="IO279" s="381"/>
      <c r="IP279" s="381"/>
      <c r="IQ279" s="381"/>
      <c r="IR279" s="381"/>
      <c r="IS279" s="381"/>
      <c r="IT279" s="381"/>
      <c r="IU279" s="381"/>
      <c r="IV279" s="381"/>
      <c r="IW279" s="381"/>
      <c r="IX279" s="381"/>
      <c r="IY279" s="381"/>
      <c r="IZ279" s="381"/>
      <c r="JA279" s="381"/>
      <c r="JB279" s="381"/>
      <c r="JC279" s="381"/>
      <c r="JD279" s="381"/>
      <c r="JE279" s="381"/>
      <c r="JF279" s="381"/>
      <c r="JG279" s="277"/>
      <c r="JH279" s="381"/>
      <c r="JI279" s="381"/>
      <c r="JJ279" s="381"/>
      <c r="JK279" s="381"/>
      <c r="JL279" s="381"/>
      <c r="JM279" s="381"/>
      <c r="JN279" s="381"/>
      <c r="JO279" s="381"/>
      <c r="JP279" s="381"/>
      <c r="JQ279" s="381"/>
      <c r="JR279" s="381"/>
      <c r="JS279" s="381"/>
      <c r="JT279" s="381"/>
      <c r="JU279" s="381"/>
      <c r="JV279" s="381"/>
      <c r="JW279" s="381"/>
      <c r="JX279" s="381"/>
      <c r="JY279" s="381"/>
      <c r="JZ279" s="381"/>
      <c r="KA279" s="381"/>
      <c r="KB279" s="277"/>
    </row>
    <row r="280" spans="2:288" ht="15" customHeight="1" x14ac:dyDescent="0.25">
      <c r="B280" s="216" t="str">
        <f t="shared" si="22"/>
        <v>Desk 64</v>
      </c>
      <c r="C280" s="218" t="str">
        <v/>
      </c>
      <c r="D280" s="218" t="str">
        <v/>
      </c>
      <c r="E280" s="218" t="str">
        <v/>
      </c>
      <c r="F280" s="218" t="str">
        <v/>
      </c>
      <c r="G280" s="402" t="str">
        <v/>
      </c>
      <c r="H280" s="381"/>
      <c r="I280" s="381"/>
      <c r="J280" s="381"/>
      <c r="K280" s="381"/>
      <c r="L280" s="381"/>
      <c r="M280" s="381"/>
      <c r="N280" s="381"/>
      <c r="O280" s="381"/>
      <c r="P280" s="381"/>
      <c r="Q280" s="381"/>
      <c r="R280" s="381"/>
      <c r="S280" s="381"/>
      <c r="T280" s="381"/>
      <c r="U280" s="381"/>
      <c r="V280" s="381"/>
      <c r="W280" s="381"/>
      <c r="X280" s="381"/>
      <c r="Y280" s="381"/>
      <c r="Z280" s="381"/>
      <c r="AA280" s="381"/>
      <c r="AB280" s="381"/>
      <c r="AC280" s="381"/>
      <c r="AD280" s="381"/>
      <c r="AE280" s="381"/>
      <c r="AF280" s="381"/>
      <c r="AG280" s="381"/>
      <c r="AH280" s="381"/>
      <c r="AI280" s="381"/>
      <c r="AJ280" s="381"/>
      <c r="AK280" s="381"/>
      <c r="AL280" s="381"/>
      <c r="AM280" s="381"/>
      <c r="AN280" s="381"/>
      <c r="AO280" s="381"/>
      <c r="AP280" s="381"/>
      <c r="AQ280" s="381"/>
      <c r="AR280" s="381"/>
      <c r="AS280" s="381"/>
      <c r="AT280" s="381"/>
      <c r="AU280" s="381"/>
      <c r="AV280" s="381"/>
      <c r="AW280" s="381"/>
      <c r="AX280" s="381"/>
      <c r="AY280" s="381"/>
      <c r="AZ280" s="381"/>
      <c r="BA280" s="381"/>
      <c r="BB280" s="381"/>
      <c r="BC280" s="381"/>
      <c r="BD280" s="381"/>
      <c r="BE280" s="381"/>
      <c r="BF280" s="381"/>
      <c r="BG280" s="381"/>
      <c r="BH280" s="381"/>
      <c r="BI280" s="381"/>
      <c r="BJ280" s="381"/>
      <c r="BK280" s="381"/>
      <c r="BL280" s="381"/>
      <c r="BM280" s="381"/>
      <c r="BN280" s="381"/>
      <c r="BO280" s="381"/>
      <c r="BP280" s="381"/>
      <c r="BQ280" s="381"/>
      <c r="BR280" s="381"/>
      <c r="BS280" s="381"/>
      <c r="BT280" s="381"/>
      <c r="BU280" s="381"/>
      <c r="BV280" s="381"/>
      <c r="BW280" s="381"/>
      <c r="BX280" s="381"/>
      <c r="BY280" s="381"/>
      <c r="BZ280" s="381"/>
      <c r="CA280" s="381"/>
      <c r="CB280" s="381"/>
      <c r="CC280" s="381"/>
      <c r="CD280" s="381"/>
      <c r="CE280" s="381"/>
      <c r="CF280" s="381"/>
      <c r="CG280" s="381"/>
      <c r="CH280" s="381"/>
      <c r="CI280" s="381"/>
      <c r="CJ280" s="381"/>
      <c r="CK280" s="381"/>
      <c r="CL280" s="381"/>
      <c r="CM280" s="381"/>
      <c r="CN280" s="381"/>
      <c r="CO280" s="381"/>
      <c r="CP280" s="381"/>
      <c r="CQ280" s="381"/>
      <c r="CR280" s="381"/>
      <c r="CS280" s="381"/>
      <c r="CT280" s="381"/>
      <c r="CU280" s="381"/>
      <c r="CV280" s="381"/>
      <c r="CW280" s="381"/>
      <c r="CX280" s="381"/>
      <c r="CY280" s="381"/>
      <c r="CZ280" s="381"/>
      <c r="DA280" s="381"/>
      <c r="DB280" s="381"/>
      <c r="DC280" s="381"/>
      <c r="DD280" s="381"/>
      <c r="DE280" s="381"/>
      <c r="DF280" s="381"/>
      <c r="DG280" s="381"/>
      <c r="DH280" s="381"/>
      <c r="DI280" s="381"/>
      <c r="DJ280" s="381"/>
      <c r="DK280" s="381"/>
      <c r="DL280" s="381"/>
      <c r="DM280" s="381"/>
      <c r="DN280" s="381"/>
      <c r="DO280" s="381"/>
      <c r="DP280" s="381"/>
      <c r="DQ280" s="381"/>
      <c r="DR280" s="381"/>
      <c r="DS280" s="381"/>
      <c r="DT280" s="381"/>
      <c r="DU280" s="381"/>
      <c r="DV280" s="381"/>
      <c r="DW280" s="277"/>
      <c r="DX280" s="381"/>
      <c r="DY280" s="381"/>
      <c r="DZ280" s="381"/>
      <c r="EA280" s="381"/>
      <c r="EB280" s="381"/>
      <c r="EC280" s="381"/>
      <c r="ED280" s="381"/>
      <c r="EE280" s="381"/>
      <c r="EF280" s="381"/>
      <c r="EG280" s="381"/>
      <c r="EH280" s="381"/>
      <c r="EI280" s="381"/>
      <c r="EJ280" s="381"/>
      <c r="EK280" s="381"/>
      <c r="EL280" s="381"/>
      <c r="EM280" s="381"/>
      <c r="EN280" s="381"/>
      <c r="EO280" s="381"/>
      <c r="EP280" s="381"/>
      <c r="EQ280" s="381"/>
      <c r="ER280" s="277"/>
      <c r="ES280" s="381"/>
      <c r="ET280" s="381"/>
      <c r="EU280" s="381"/>
      <c r="EV280" s="381"/>
      <c r="EW280" s="381"/>
      <c r="EX280" s="381"/>
      <c r="EY280" s="381"/>
      <c r="EZ280" s="381"/>
      <c r="FA280" s="381"/>
      <c r="FB280" s="381"/>
      <c r="FC280" s="381"/>
      <c r="FD280" s="381"/>
      <c r="FE280" s="381"/>
      <c r="FF280" s="381"/>
      <c r="FG280" s="381"/>
      <c r="FH280" s="381"/>
      <c r="FI280" s="381"/>
      <c r="FJ280" s="381"/>
      <c r="FK280" s="381"/>
      <c r="FL280" s="381"/>
      <c r="FM280" s="381"/>
      <c r="FN280" s="381"/>
      <c r="FO280" s="381"/>
      <c r="FP280" s="381"/>
      <c r="FQ280" s="381"/>
      <c r="FR280" s="381"/>
      <c r="FS280" s="381"/>
      <c r="FT280" s="381"/>
      <c r="FU280" s="381"/>
      <c r="FV280" s="381"/>
      <c r="FW280" s="381"/>
      <c r="FX280" s="381"/>
      <c r="FY280" s="381"/>
      <c r="FZ280" s="381"/>
      <c r="GA280" s="381"/>
      <c r="GB280" s="381"/>
      <c r="GC280" s="381"/>
      <c r="GD280" s="381"/>
      <c r="GE280" s="381"/>
      <c r="GF280" s="381"/>
      <c r="GG280" s="381"/>
      <c r="GH280" s="381"/>
      <c r="GI280" s="381"/>
      <c r="GJ280" s="381"/>
      <c r="GK280" s="381"/>
      <c r="GL280" s="381"/>
      <c r="GM280" s="381"/>
      <c r="GN280" s="381"/>
      <c r="GO280" s="381"/>
      <c r="GP280" s="381"/>
      <c r="GQ280" s="381"/>
      <c r="GR280" s="381"/>
      <c r="GS280" s="381"/>
      <c r="GT280" s="381"/>
      <c r="GU280" s="381"/>
      <c r="GV280" s="381"/>
      <c r="GW280" s="381"/>
      <c r="GX280" s="381"/>
      <c r="GY280" s="381"/>
      <c r="GZ280" s="381"/>
      <c r="HA280" s="381"/>
      <c r="HB280" s="381"/>
      <c r="HC280" s="381"/>
      <c r="HD280" s="381"/>
      <c r="HE280" s="381"/>
      <c r="HF280" s="381"/>
      <c r="HG280" s="381"/>
      <c r="HH280" s="381"/>
      <c r="HI280" s="381"/>
      <c r="HJ280" s="381"/>
      <c r="HK280" s="381"/>
      <c r="HL280" s="381"/>
      <c r="HM280" s="381"/>
      <c r="HN280" s="381"/>
      <c r="HO280" s="381"/>
      <c r="HP280" s="381"/>
      <c r="HQ280" s="381"/>
      <c r="HR280" s="381"/>
      <c r="HS280" s="381"/>
      <c r="HT280" s="381"/>
      <c r="HU280" s="381"/>
      <c r="HV280" s="381"/>
      <c r="HW280" s="381"/>
      <c r="HX280" s="381"/>
      <c r="HY280" s="381"/>
      <c r="HZ280" s="381"/>
      <c r="IA280" s="381"/>
      <c r="IB280" s="381"/>
      <c r="IC280" s="381"/>
      <c r="ID280" s="381"/>
      <c r="IE280" s="381"/>
      <c r="IF280" s="381"/>
      <c r="IG280" s="381"/>
      <c r="IH280" s="381"/>
      <c r="II280" s="381"/>
      <c r="IJ280" s="381"/>
      <c r="IK280" s="381"/>
      <c r="IL280" s="381"/>
      <c r="IM280" s="381"/>
      <c r="IN280" s="381"/>
      <c r="IO280" s="381"/>
      <c r="IP280" s="381"/>
      <c r="IQ280" s="381"/>
      <c r="IR280" s="381"/>
      <c r="IS280" s="381"/>
      <c r="IT280" s="381"/>
      <c r="IU280" s="381"/>
      <c r="IV280" s="381"/>
      <c r="IW280" s="381"/>
      <c r="IX280" s="381"/>
      <c r="IY280" s="381"/>
      <c r="IZ280" s="381"/>
      <c r="JA280" s="381"/>
      <c r="JB280" s="381"/>
      <c r="JC280" s="381"/>
      <c r="JD280" s="381"/>
      <c r="JE280" s="381"/>
      <c r="JF280" s="381"/>
      <c r="JG280" s="277"/>
      <c r="JH280" s="381"/>
      <c r="JI280" s="381"/>
      <c r="JJ280" s="381"/>
      <c r="JK280" s="381"/>
      <c r="JL280" s="381"/>
      <c r="JM280" s="381"/>
      <c r="JN280" s="381"/>
      <c r="JO280" s="381"/>
      <c r="JP280" s="381"/>
      <c r="JQ280" s="381"/>
      <c r="JR280" s="381"/>
      <c r="JS280" s="381"/>
      <c r="JT280" s="381"/>
      <c r="JU280" s="381"/>
      <c r="JV280" s="381"/>
      <c r="JW280" s="381"/>
      <c r="JX280" s="381"/>
      <c r="JY280" s="381"/>
      <c r="JZ280" s="381"/>
      <c r="KA280" s="381"/>
      <c r="KB280" s="277"/>
    </row>
    <row r="281" spans="2:288" ht="15" customHeight="1" x14ac:dyDescent="0.25">
      <c r="B281" s="216" t="str">
        <f t="shared" ref="B281:B316" si="23">B75</f>
        <v>Desk 65</v>
      </c>
      <c r="C281" s="218" t="str">
        <v/>
      </c>
      <c r="D281" s="218" t="str">
        <v/>
      </c>
      <c r="E281" s="218" t="str">
        <v/>
      </c>
      <c r="F281" s="218" t="str">
        <v/>
      </c>
      <c r="G281" s="402" t="str">
        <v/>
      </c>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381"/>
      <c r="AE281" s="381"/>
      <c r="AF281" s="381"/>
      <c r="AG281" s="381"/>
      <c r="AH281" s="381"/>
      <c r="AI281" s="381"/>
      <c r="AJ281" s="381"/>
      <c r="AK281" s="381"/>
      <c r="AL281" s="381"/>
      <c r="AM281" s="381"/>
      <c r="AN281" s="381"/>
      <c r="AO281" s="381"/>
      <c r="AP281" s="381"/>
      <c r="AQ281" s="381"/>
      <c r="AR281" s="381"/>
      <c r="AS281" s="381"/>
      <c r="AT281" s="381"/>
      <c r="AU281" s="381"/>
      <c r="AV281" s="381"/>
      <c r="AW281" s="381"/>
      <c r="AX281" s="381"/>
      <c r="AY281" s="381"/>
      <c r="AZ281" s="381"/>
      <c r="BA281" s="381"/>
      <c r="BB281" s="381"/>
      <c r="BC281" s="381"/>
      <c r="BD281" s="381"/>
      <c r="BE281" s="381"/>
      <c r="BF281" s="381"/>
      <c r="BG281" s="381"/>
      <c r="BH281" s="381"/>
      <c r="BI281" s="381"/>
      <c r="BJ281" s="381"/>
      <c r="BK281" s="381"/>
      <c r="BL281" s="381"/>
      <c r="BM281" s="381"/>
      <c r="BN281" s="381"/>
      <c r="BO281" s="381"/>
      <c r="BP281" s="381"/>
      <c r="BQ281" s="381"/>
      <c r="BR281" s="381"/>
      <c r="BS281" s="381"/>
      <c r="BT281" s="381"/>
      <c r="BU281" s="381"/>
      <c r="BV281" s="381"/>
      <c r="BW281" s="381"/>
      <c r="BX281" s="381"/>
      <c r="BY281" s="381"/>
      <c r="BZ281" s="381"/>
      <c r="CA281" s="381"/>
      <c r="CB281" s="381"/>
      <c r="CC281" s="381"/>
      <c r="CD281" s="381"/>
      <c r="CE281" s="381"/>
      <c r="CF281" s="381"/>
      <c r="CG281" s="381"/>
      <c r="CH281" s="381"/>
      <c r="CI281" s="381"/>
      <c r="CJ281" s="381"/>
      <c r="CK281" s="381"/>
      <c r="CL281" s="381"/>
      <c r="CM281" s="381"/>
      <c r="CN281" s="381"/>
      <c r="CO281" s="381"/>
      <c r="CP281" s="381"/>
      <c r="CQ281" s="381"/>
      <c r="CR281" s="381"/>
      <c r="CS281" s="381"/>
      <c r="CT281" s="381"/>
      <c r="CU281" s="381"/>
      <c r="CV281" s="381"/>
      <c r="CW281" s="381"/>
      <c r="CX281" s="381"/>
      <c r="CY281" s="381"/>
      <c r="CZ281" s="381"/>
      <c r="DA281" s="381"/>
      <c r="DB281" s="381"/>
      <c r="DC281" s="381"/>
      <c r="DD281" s="381"/>
      <c r="DE281" s="381"/>
      <c r="DF281" s="381"/>
      <c r="DG281" s="381"/>
      <c r="DH281" s="381"/>
      <c r="DI281" s="381"/>
      <c r="DJ281" s="381"/>
      <c r="DK281" s="381"/>
      <c r="DL281" s="381"/>
      <c r="DM281" s="381"/>
      <c r="DN281" s="381"/>
      <c r="DO281" s="381"/>
      <c r="DP281" s="381"/>
      <c r="DQ281" s="381"/>
      <c r="DR281" s="381"/>
      <c r="DS281" s="381"/>
      <c r="DT281" s="381"/>
      <c r="DU281" s="381"/>
      <c r="DV281" s="381"/>
      <c r="DW281" s="277"/>
      <c r="DX281" s="381"/>
      <c r="DY281" s="381"/>
      <c r="DZ281" s="381"/>
      <c r="EA281" s="381"/>
      <c r="EB281" s="381"/>
      <c r="EC281" s="381"/>
      <c r="ED281" s="381"/>
      <c r="EE281" s="381"/>
      <c r="EF281" s="381"/>
      <c r="EG281" s="381"/>
      <c r="EH281" s="381"/>
      <c r="EI281" s="381"/>
      <c r="EJ281" s="381"/>
      <c r="EK281" s="381"/>
      <c r="EL281" s="381"/>
      <c r="EM281" s="381"/>
      <c r="EN281" s="381"/>
      <c r="EO281" s="381"/>
      <c r="EP281" s="381"/>
      <c r="EQ281" s="381"/>
      <c r="ER281" s="277"/>
      <c r="ES281" s="381"/>
      <c r="ET281" s="381"/>
      <c r="EU281" s="381"/>
      <c r="EV281" s="381"/>
      <c r="EW281" s="381"/>
      <c r="EX281" s="381"/>
      <c r="EY281" s="381"/>
      <c r="EZ281" s="381"/>
      <c r="FA281" s="381"/>
      <c r="FB281" s="381"/>
      <c r="FC281" s="381"/>
      <c r="FD281" s="381"/>
      <c r="FE281" s="381"/>
      <c r="FF281" s="381"/>
      <c r="FG281" s="381"/>
      <c r="FH281" s="381"/>
      <c r="FI281" s="381"/>
      <c r="FJ281" s="381"/>
      <c r="FK281" s="381"/>
      <c r="FL281" s="381"/>
      <c r="FM281" s="381"/>
      <c r="FN281" s="381"/>
      <c r="FO281" s="381"/>
      <c r="FP281" s="381"/>
      <c r="FQ281" s="381"/>
      <c r="FR281" s="381"/>
      <c r="FS281" s="381"/>
      <c r="FT281" s="381"/>
      <c r="FU281" s="381"/>
      <c r="FV281" s="381"/>
      <c r="FW281" s="381"/>
      <c r="FX281" s="381"/>
      <c r="FY281" s="381"/>
      <c r="FZ281" s="381"/>
      <c r="GA281" s="381"/>
      <c r="GB281" s="381"/>
      <c r="GC281" s="381"/>
      <c r="GD281" s="381"/>
      <c r="GE281" s="381"/>
      <c r="GF281" s="381"/>
      <c r="GG281" s="381"/>
      <c r="GH281" s="381"/>
      <c r="GI281" s="381"/>
      <c r="GJ281" s="381"/>
      <c r="GK281" s="381"/>
      <c r="GL281" s="381"/>
      <c r="GM281" s="381"/>
      <c r="GN281" s="381"/>
      <c r="GO281" s="381"/>
      <c r="GP281" s="381"/>
      <c r="GQ281" s="381"/>
      <c r="GR281" s="381"/>
      <c r="GS281" s="381"/>
      <c r="GT281" s="381"/>
      <c r="GU281" s="381"/>
      <c r="GV281" s="381"/>
      <c r="GW281" s="381"/>
      <c r="GX281" s="381"/>
      <c r="GY281" s="381"/>
      <c r="GZ281" s="381"/>
      <c r="HA281" s="381"/>
      <c r="HB281" s="381"/>
      <c r="HC281" s="381"/>
      <c r="HD281" s="381"/>
      <c r="HE281" s="381"/>
      <c r="HF281" s="381"/>
      <c r="HG281" s="381"/>
      <c r="HH281" s="381"/>
      <c r="HI281" s="381"/>
      <c r="HJ281" s="381"/>
      <c r="HK281" s="381"/>
      <c r="HL281" s="381"/>
      <c r="HM281" s="381"/>
      <c r="HN281" s="381"/>
      <c r="HO281" s="381"/>
      <c r="HP281" s="381"/>
      <c r="HQ281" s="381"/>
      <c r="HR281" s="381"/>
      <c r="HS281" s="381"/>
      <c r="HT281" s="381"/>
      <c r="HU281" s="381"/>
      <c r="HV281" s="381"/>
      <c r="HW281" s="381"/>
      <c r="HX281" s="381"/>
      <c r="HY281" s="381"/>
      <c r="HZ281" s="381"/>
      <c r="IA281" s="381"/>
      <c r="IB281" s="381"/>
      <c r="IC281" s="381"/>
      <c r="ID281" s="381"/>
      <c r="IE281" s="381"/>
      <c r="IF281" s="381"/>
      <c r="IG281" s="381"/>
      <c r="IH281" s="381"/>
      <c r="II281" s="381"/>
      <c r="IJ281" s="381"/>
      <c r="IK281" s="381"/>
      <c r="IL281" s="381"/>
      <c r="IM281" s="381"/>
      <c r="IN281" s="381"/>
      <c r="IO281" s="381"/>
      <c r="IP281" s="381"/>
      <c r="IQ281" s="381"/>
      <c r="IR281" s="381"/>
      <c r="IS281" s="381"/>
      <c r="IT281" s="381"/>
      <c r="IU281" s="381"/>
      <c r="IV281" s="381"/>
      <c r="IW281" s="381"/>
      <c r="IX281" s="381"/>
      <c r="IY281" s="381"/>
      <c r="IZ281" s="381"/>
      <c r="JA281" s="381"/>
      <c r="JB281" s="381"/>
      <c r="JC281" s="381"/>
      <c r="JD281" s="381"/>
      <c r="JE281" s="381"/>
      <c r="JF281" s="381"/>
      <c r="JG281" s="277"/>
      <c r="JH281" s="381"/>
      <c r="JI281" s="381"/>
      <c r="JJ281" s="381"/>
      <c r="JK281" s="381"/>
      <c r="JL281" s="381"/>
      <c r="JM281" s="381"/>
      <c r="JN281" s="381"/>
      <c r="JO281" s="381"/>
      <c r="JP281" s="381"/>
      <c r="JQ281" s="381"/>
      <c r="JR281" s="381"/>
      <c r="JS281" s="381"/>
      <c r="JT281" s="381"/>
      <c r="JU281" s="381"/>
      <c r="JV281" s="381"/>
      <c r="JW281" s="381"/>
      <c r="JX281" s="381"/>
      <c r="JY281" s="381"/>
      <c r="JZ281" s="381"/>
      <c r="KA281" s="381"/>
      <c r="KB281" s="277"/>
    </row>
    <row r="282" spans="2:288" ht="15" customHeight="1" x14ac:dyDescent="0.25">
      <c r="B282" s="216" t="str">
        <f t="shared" si="23"/>
        <v>Desk 66</v>
      </c>
      <c r="C282" s="218" t="str">
        <v/>
      </c>
      <c r="D282" s="218" t="str">
        <v/>
      </c>
      <c r="E282" s="218" t="str">
        <v/>
      </c>
      <c r="F282" s="218" t="str">
        <v/>
      </c>
      <c r="G282" s="402" t="str">
        <v/>
      </c>
      <c r="H282" s="381"/>
      <c r="I282" s="381"/>
      <c r="J282" s="381"/>
      <c r="K282" s="381"/>
      <c r="L282" s="381"/>
      <c r="M282" s="381"/>
      <c r="N282" s="381"/>
      <c r="O282" s="381"/>
      <c r="P282" s="381"/>
      <c r="Q282" s="381"/>
      <c r="R282" s="381"/>
      <c r="S282" s="381"/>
      <c r="T282" s="381"/>
      <c r="U282" s="381"/>
      <c r="V282" s="381"/>
      <c r="W282" s="381"/>
      <c r="X282" s="381"/>
      <c r="Y282" s="381"/>
      <c r="Z282" s="381"/>
      <c r="AA282" s="381"/>
      <c r="AB282" s="381"/>
      <c r="AC282" s="381"/>
      <c r="AD282" s="381"/>
      <c r="AE282" s="381"/>
      <c r="AF282" s="381"/>
      <c r="AG282" s="381"/>
      <c r="AH282" s="381"/>
      <c r="AI282" s="381"/>
      <c r="AJ282" s="381"/>
      <c r="AK282" s="381"/>
      <c r="AL282" s="381"/>
      <c r="AM282" s="381"/>
      <c r="AN282" s="381"/>
      <c r="AO282" s="381"/>
      <c r="AP282" s="381"/>
      <c r="AQ282" s="381"/>
      <c r="AR282" s="381"/>
      <c r="AS282" s="381"/>
      <c r="AT282" s="381"/>
      <c r="AU282" s="381"/>
      <c r="AV282" s="381"/>
      <c r="AW282" s="381"/>
      <c r="AX282" s="381"/>
      <c r="AY282" s="381"/>
      <c r="AZ282" s="381"/>
      <c r="BA282" s="381"/>
      <c r="BB282" s="381"/>
      <c r="BC282" s="381"/>
      <c r="BD282" s="381"/>
      <c r="BE282" s="381"/>
      <c r="BF282" s="381"/>
      <c r="BG282" s="381"/>
      <c r="BH282" s="381"/>
      <c r="BI282" s="381"/>
      <c r="BJ282" s="381"/>
      <c r="BK282" s="381"/>
      <c r="BL282" s="381"/>
      <c r="BM282" s="381"/>
      <c r="BN282" s="381"/>
      <c r="BO282" s="381"/>
      <c r="BP282" s="381"/>
      <c r="BQ282" s="381"/>
      <c r="BR282" s="381"/>
      <c r="BS282" s="381"/>
      <c r="BT282" s="381"/>
      <c r="BU282" s="381"/>
      <c r="BV282" s="381"/>
      <c r="BW282" s="381"/>
      <c r="BX282" s="381"/>
      <c r="BY282" s="381"/>
      <c r="BZ282" s="381"/>
      <c r="CA282" s="381"/>
      <c r="CB282" s="381"/>
      <c r="CC282" s="381"/>
      <c r="CD282" s="381"/>
      <c r="CE282" s="381"/>
      <c r="CF282" s="381"/>
      <c r="CG282" s="381"/>
      <c r="CH282" s="381"/>
      <c r="CI282" s="381"/>
      <c r="CJ282" s="381"/>
      <c r="CK282" s="381"/>
      <c r="CL282" s="381"/>
      <c r="CM282" s="381"/>
      <c r="CN282" s="381"/>
      <c r="CO282" s="381"/>
      <c r="CP282" s="381"/>
      <c r="CQ282" s="381"/>
      <c r="CR282" s="381"/>
      <c r="CS282" s="381"/>
      <c r="CT282" s="381"/>
      <c r="CU282" s="381"/>
      <c r="CV282" s="381"/>
      <c r="CW282" s="381"/>
      <c r="CX282" s="381"/>
      <c r="CY282" s="381"/>
      <c r="CZ282" s="381"/>
      <c r="DA282" s="381"/>
      <c r="DB282" s="381"/>
      <c r="DC282" s="381"/>
      <c r="DD282" s="381"/>
      <c r="DE282" s="381"/>
      <c r="DF282" s="381"/>
      <c r="DG282" s="381"/>
      <c r="DH282" s="381"/>
      <c r="DI282" s="381"/>
      <c r="DJ282" s="381"/>
      <c r="DK282" s="381"/>
      <c r="DL282" s="381"/>
      <c r="DM282" s="381"/>
      <c r="DN282" s="381"/>
      <c r="DO282" s="381"/>
      <c r="DP282" s="381"/>
      <c r="DQ282" s="381"/>
      <c r="DR282" s="381"/>
      <c r="DS282" s="381"/>
      <c r="DT282" s="381"/>
      <c r="DU282" s="381"/>
      <c r="DV282" s="381"/>
      <c r="DW282" s="277"/>
      <c r="DX282" s="381"/>
      <c r="DY282" s="381"/>
      <c r="DZ282" s="381"/>
      <c r="EA282" s="381"/>
      <c r="EB282" s="381"/>
      <c r="EC282" s="381"/>
      <c r="ED282" s="381"/>
      <c r="EE282" s="381"/>
      <c r="EF282" s="381"/>
      <c r="EG282" s="381"/>
      <c r="EH282" s="381"/>
      <c r="EI282" s="381"/>
      <c r="EJ282" s="381"/>
      <c r="EK282" s="381"/>
      <c r="EL282" s="381"/>
      <c r="EM282" s="381"/>
      <c r="EN282" s="381"/>
      <c r="EO282" s="381"/>
      <c r="EP282" s="381"/>
      <c r="EQ282" s="381"/>
      <c r="ER282" s="277"/>
      <c r="ES282" s="381"/>
      <c r="ET282" s="381"/>
      <c r="EU282" s="381"/>
      <c r="EV282" s="381"/>
      <c r="EW282" s="381"/>
      <c r="EX282" s="381"/>
      <c r="EY282" s="381"/>
      <c r="EZ282" s="381"/>
      <c r="FA282" s="381"/>
      <c r="FB282" s="381"/>
      <c r="FC282" s="381"/>
      <c r="FD282" s="381"/>
      <c r="FE282" s="381"/>
      <c r="FF282" s="381"/>
      <c r="FG282" s="381"/>
      <c r="FH282" s="381"/>
      <c r="FI282" s="381"/>
      <c r="FJ282" s="381"/>
      <c r="FK282" s="381"/>
      <c r="FL282" s="381"/>
      <c r="FM282" s="381"/>
      <c r="FN282" s="381"/>
      <c r="FO282" s="381"/>
      <c r="FP282" s="381"/>
      <c r="FQ282" s="381"/>
      <c r="FR282" s="381"/>
      <c r="FS282" s="381"/>
      <c r="FT282" s="381"/>
      <c r="FU282" s="381"/>
      <c r="FV282" s="381"/>
      <c r="FW282" s="381"/>
      <c r="FX282" s="381"/>
      <c r="FY282" s="381"/>
      <c r="FZ282" s="381"/>
      <c r="GA282" s="381"/>
      <c r="GB282" s="381"/>
      <c r="GC282" s="381"/>
      <c r="GD282" s="381"/>
      <c r="GE282" s="381"/>
      <c r="GF282" s="381"/>
      <c r="GG282" s="381"/>
      <c r="GH282" s="381"/>
      <c r="GI282" s="381"/>
      <c r="GJ282" s="381"/>
      <c r="GK282" s="381"/>
      <c r="GL282" s="381"/>
      <c r="GM282" s="381"/>
      <c r="GN282" s="381"/>
      <c r="GO282" s="381"/>
      <c r="GP282" s="381"/>
      <c r="GQ282" s="381"/>
      <c r="GR282" s="381"/>
      <c r="GS282" s="381"/>
      <c r="GT282" s="381"/>
      <c r="GU282" s="381"/>
      <c r="GV282" s="381"/>
      <c r="GW282" s="381"/>
      <c r="GX282" s="381"/>
      <c r="GY282" s="381"/>
      <c r="GZ282" s="381"/>
      <c r="HA282" s="381"/>
      <c r="HB282" s="381"/>
      <c r="HC282" s="381"/>
      <c r="HD282" s="381"/>
      <c r="HE282" s="381"/>
      <c r="HF282" s="381"/>
      <c r="HG282" s="381"/>
      <c r="HH282" s="381"/>
      <c r="HI282" s="381"/>
      <c r="HJ282" s="381"/>
      <c r="HK282" s="381"/>
      <c r="HL282" s="381"/>
      <c r="HM282" s="381"/>
      <c r="HN282" s="381"/>
      <c r="HO282" s="381"/>
      <c r="HP282" s="381"/>
      <c r="HQ282" s="381"/>
      <c r="HR282" s="381"/>
      <c r="HS282" s="381"/>
      <c r="HT282" s="381"/>
      <c r="HU282" s="381"/>
      <c r="HV282" s="381"/>
      <c r="HW282" s="381"/>
      <c r="HX282" s="381"/>
      <c r="HY282" s="381"/>
      <c r="HZ282" s="381"/>
      <c r="IA282" s="381"/>
      <c r="IB282" s="381"/>
      <c r="IC282" s="381"/>
      <c r="ID282" s="381"/>
      <c r="IE282" s="381"/>
      <c r="IF282" s="381"/>
      <c r="IG282" s="381"/>
      <c r="IH282" s="381"/>
      <c r="II282" s="381"/>
      <c r="IJ282" s="381"/>
      <c r="IK282" s="381"/>
      <c r="IL282" s="381"/>
      <c r="IM282" s="381"/>
      <c r="IN282" s="381"/>
      <c r="IO282" s="381"/>
      <c r="IP282" s="381"/>
      <c r="IQ282" s="381"/>
      <c r="IR282" s="381"/>
      <c r="IS282" s="381"/>
      <c r="IT282" s="381"/>
      <c r="IU282" s="381"/>
      <c r="IV282" s="381"/>
      <c r="IW282" s="381"/>
      <c r="IX282" s="381"/>
      <c r="IY282" s="381"/>
      <c r="IZ282" s="381"/>
      <c r="JA282" s="381"/>
      <c r="JB282" s="381"/>
      <c r="JC282" s="381"/>
      <c r="JD282" s="381"/>
      <c r="JE282" s="381"/>
      <c r="JF282" s="381"/>
      <c r="JG282" s="277"/>
      <c r="JH282" s="381"/>
      <c r="JI282" s="381"/>
      <c r="JJ282" s="381"/>
      <c r="JK282" s="381"/>
      <c r="JL282" s="381"/>
      <c r="JM282" s="381"/>
      <c r="JN282" s="381"/>
      <c r="JO282" s="381"/>
      <c r="JP282" s="381"/>
      <c r="JQ282" s="381"/>
      <c r="JR282" s="381"/>
      <c r="JS282" s="381"/>
      <c r="JT282" s="381"/>
      <c r="JU282" s="381"/>
      <c r="JV282" s="381"/>
      <c r="JW282" s="381"/>
      <c r="JX282" s="381"/>
      <c r="JY282" s="381"/>
      <c r="JZ282" s="381"/>
      <c r="KA282" s="381"/>
      <c r="KB282" s="277"/>
    </row>
    <row r="283" spans="2:288" ht="15" customHeight="1" x14ac:dyDescent="0.25">
      <c r="B283" s="216" t="str">
        <f t="shared" si="23"/>
        <v>Desk 67</v>
      </c>
      <c r="C283" s="218" t="str">
        <v/>
      </c>
      <c r="D283" s="218" t="str">
        <v/>
      </c>
      <c r="E283" s="218" t="str">
        <v/>
      </c>
      <c r="F283" s="218" t="str">
        <v/>
      </c>
      <c r="G283" s="402" t="str">
        <v/>
      </c>
      <c r="H283" s="381"/>
      <c r="I283" s="381"/>
      <c r="J283" s="381"/>
      <c r="K283" s="381"/>
      <c r="L283" s="381"/>
      <c r="M283" s="381"/>
      <c r="N283" s="381"/>
      <c r="O283" s="381"/>
      <c r="P283" s="381"/>
      <c r="Q283" s="381"/>
      <c r="R283" s="381"/>
      <c r="S283" s="381"/>
      <c r="T283" s="381"/>
      <c r="U283" s="381"/>
      <c r="V283" s="381"/>
      <c r="W283" s="381"/>
      <c r="X283" s="381"/>
      <c r="Y283" s="381"/>
      <c r="Z283" s="381"/>
      <c r="AA283" s="381"/>
      <c r="AB283" s="381"/>
      <c r="AC283" s="381"/>
      <c r="AD283" s="381"/>
      <c r="AE283" s="381"/>
      <c r="AF283" s="381"/>
      <c r="AG283" s="381"/>
      <c r="AH283" s="381"/>
      <c r="AI283" s="381"/>
      <c r="AJ283" s="381"/>
      <c r="AK283" s="381"/>
      <c r="AL283" s="381"/>
      <c r="AM283" s="381"/>
      <c r="AN283" s="381"/>
      <c r="AO283" s="381"/>
      <c r="AP283" s="381"/>
      <c r="AQ283" s="381"/>
      <c r="AR283" s="381"/>
      <c r="AS283" s="381"/>
      <c r="AT283" s="381"/>
      <c r="AU283" s="381"/>
      <c r="AV283" s="381"/>
      <c r="AW283" s="381"/>
      <c r="AX283" s="381"/>
      <c r="AY283" s="381"/>
      <c r="AZ283" s="381"/>
      <c r="BA283" s="381"/>
      <c r="BB283" s="381"/>
      <c r="BC283" s="381"/>
      <c r="BD283" s="381"/>
      <c r="BE283" s="381"/>
      <c r="BF283" s="381"/>
      <c r="BG283" s="381"/>
      <c r="BH283" s="381"/>
      <c r="BI283" s="381"/>
      <c r="BJ283" s="381"/>
      <c r="BK283" s="381"/>
      <c r="BL283" s="381"/>
      <c r="BM283" s="381"/>
      <c r="BN283" s="381"/>
      <c r="BO283" s="381"/>
      <c r="BP283" s="381"/>
      <c r="BQ283" s="381"/>
      <c r="BR283" s="381"/>
      <c r="BS283" s="381"/>
      <c r="BT283" s="381"/>
      <c r="BU283" s="381"/>
      <c r="BV283" s="381"/>
      <c r="BW283" s="381"/>
      <c r="BX283" s="381"/>
      <c r="BY283" s="381"/>
      <c r="BZ283" s="381"/>
      <c r="CA283" s="381"/>
      <c r="CB283" s="381"/>
      <c r="CC283" s="381"/>
      <c r="CD283" s="381"/>
      <c r="CE283" s="381"/>
      <c r="CF283" s="381"/>
      <c r="CG283" s="381"/>
      <c r="CH283" s="381"/>
      <c r="CI283" s="381"/>
      <c r="CJ283" s="381"/>
      <c r="CK283" s="381"/>
      <c r="CL283" s="381"/>
      <c r="CM283" s="381"/>
      <c r="CN283" s="381"/>
      <c r="CO283" s="381"/>
      <c r="CP283" s="381"/>
      <c r="CQ283" s="381"/>
      <c r="CR283" s="381"/>
      <c r="CS283" s="381"/>
      <c r="CT283" s="381"/>
      <c r="CU283" s="381"/>
      <c r="CV283" s="381"/>
      <c r="CW283" s="381"/>
      <c r="CX283" s="381"/>
      <c r="CY283" s="381"/>
      <c r="CZ283" s="381"/>
      <c r="DA283" s="381"/>
      <c r="DB283" s="381"/>
      <c r="DC283" s="381"/>
      <c r="DD283" s="381"/>
      <c r="DE283" s="381"/>
      <c r="DF283" s="381"/>
      <c r="DG283" s="381"/>
      <c r="DH283" s="381"/>
      <c r="DI283" s="381"/>
      <c r="DJ283" s="381"/>
      <c r="DK283" s="381"/>
      <c r="DL283" s="381"/>
      <c r="DM283" s="381"/>
      <c r="DN283" s="381"/>
      <c r="DO283" s="381"/>
      <c r="DP283" s="381"/>
      <c r="DQ283" s="381"/>
      <c r="DR283" s="381"/>
      <c r="DS283" s="381"/>
      <c r="DT283" s="381"/>
      <c r="DU283" s="381"/>
      <c r="DV283" s="381"/>
      <c r="DW283" s="277"/>
      <c r="DX283" s="381"/>
      <c r="DY283" s="381"/>
      <c r="DZ283" s="381"/>
      <c r="EA283" s="381"/>
      <c r="EB283" s="381"/>
      <c r="EC283" s="381"/>
      <c r="ED283" s="381"/>
      <c r="EE283" s="381"/>
      <c r="EF283" s="381"/>
      <c r="EG283" s="381"/>
      <c r="EH283" s="381"/>
      <c r="EI283" s="381"/>
      <c r="EJ283" s="381"/>
      <c r="EK283" s="381"/>
      <c r="EL283" s="381"/>
      <c r="EM283" s="381"/>
      <c r="EN283" s="381"/>
      <c r="EO283" s="381"/>
      <c r="EP283" s="381"/>
      <c r="EQ283" s="381"/>
      <c r="ER283" s="277"/>
      <c r="ES283" s="381"/>
      <c r="ET283" s="381"/>
      <c r="EU283" s="381"/>
      <c r="EV283" s="381"/>
      <c r="EW283" s="381"/>
      <c r="EX283" s="381"/>
      <c r="EY283" s="381"/>
      <c r="EZ283" s="381"/>
      <c r="FA283" s="381"/>
      <c r="FB283" s="381"/>
      <c r="FC283" s="381"/>
      <c r="FD283" s="381"/>
      <c r="FE283" s="381"/>
      <c r="FF283" s="381"/>
      <c r="FG283" s="381"/>
      <c r="FH283" s="381"/>
      <c r="FI283" s="381"/>
      <c r="FJ283" s="381"/>
      <c r="FK283" s="381"/>
      <c r="FL283" s="381"/>
      <c r="FM283" s="381"/>
      <c r="FN283" s="381"/>
      <c r="FO283" s="381"/>
      <c r="FP283" s="381"/>
      <c r="FQ283" s="381"/>
      <c r="FR283" s="381"/>
      <c r="FS283" s="381"/>
      <c r="FT283" s="381"/>
      <c r="FU283" s="381"/>
      <c r="FV283" s="381"/>
      <c r="FW283" s="381"/>
      <c r="FX283" s="381"/>
      <c r="FY283" s="381"/>
      <c r="FZ283" s="381"/>
      <c r="GA283" s="381"/>
      <c r="GB283" s="381"/>
      <c r="GC283" s="381"/>
      <c r="GD283" s="381"/>
      <c r="GE283" s="381"/>
      <c r="GF283" s="381"/>
      <c r="GG283" s="381"/>
      <c r="GH283" s="381"/>
      <c r="GI283" s="381"/>
      <c r="GJ283" s="381"/>
      <c r="GK283" s="381"/>
      <c r="GL283" s="381"/>
      <c r="GM283" s="381"/>
      <c r="GN283" s="381"/>
      <c r="GO283" s="381"/>
      <c r="GP283" s="381"/>
      <c r="GQ283" s="381"/>
      <c r="GR283" s="381"/>
      <c r="GS283" s="381"/>
      <c r="GT283" s="381"/>
      <c r="GU283" s="381"/>
      <c r="GV283" s="381"/>
      <c r="GW283" s="381"/>
      <c r="GX283" s="381"/>
      <c r="GY283" s="381"/>
      <c r="GZ283" s="381"/>
      <c r="HA283" s="381"/>
      <c r="HB283" s="381"/>
      <c r="HC283" s="381"/>
      <c r="HD283" s="381"/>
      <c r="HE283" s="381"/>
      <c r="HF283" s="381"/>
      <c r="HG283" s="381"/>
      <c r="HH283" s="381"/>
      <c r="HI283" s="381"/>
      <c r="HJ283" s="381"/>
      <c r="HK283" s="381"/>
      <c r="HL283" s="381"/>
      <c r="HM283" s="381"/>
      <c r="HN283" s="381"/>
      <c r="HO283" s="381"/>
      <c r="HP283" s="381"/>
      <c r="HQ283" s="381"/>
      <c r="HR283" s="381"/>
      <c r="HS283" s="381"/>
      <c r="HT283" s="381"/>
      <c r="HU283" s="381"/>
      <c r="HV283" s="381"/>
      <c r="HW283" s="381"/>
      <c r="HX283" s="381"/>
      <c r="HY283" s="381"/>
      <c r="HZ283" s="381"/>
      <c r="IA283" s="381"/>
      <c r="IB283" s="381"/>
      <c r="IC283" s="381"/>
      <c r="ID283" s="381"/>
      <c r="IE283" s="381"/>
      <c r="IF283" s="381"/>
      <c r="IG283" s="381"/>
      <c r="IH283" s="381"/>
      <c r="II283" s="381"/>
      <c r="IJ283" s="381"/>
      <c r="IK283" s="381"/>
      <c r="IL283" s="381"/>
      <c r="IM283" s="381"/>
      <c r="IN283" s="381"/>
      <c r="IO283" s="381"/>
      <c r="IP283" s="381"/>
      <c r="IQ283" s="381"/>
      <c r="IR283" s="381"/>
      <c r="IS283" s="381"/>
      <c r="IT283" s="381"/>
      <c r="IU283" s="381"/>
      <c r="IV283" s="381"/>
      <c r="IW283" s="381"/>
      <c r="IX283" s="381"/>
      <c r="IY283" s="381"/>
      <c r="IZ283" s="381"/>
      <c r="JA283" s="381"/>
      <c r="JB283" s="381"/>
      <c r="JC283" s="381"/>
      <c r="JD283" s="381"/>
      <c r="JE283" s="381"/>
      <c r="JF283" s="381"/>
      <c r="JG283" s="277"/>
      <c r="JH283" s="381"/>
      <c r="JI283" s="381"/>
      <c r="JJ283" s="381"/>
      <c r="JK283" s="381"/>
      <c r="JL283" s="381"/>
      <c r="JM283" s="381"/>
      <c r="JN283" s="381"/>
      <c r="JO283" s="381"/>
      <c r="JP283" s="381"/>
      <c r="JQ283" s="381"/>
      <c r="JR283" s="381"/>
      <c r="JS283" s="381"/>
      <c r="JT283" s="381"/>
      <c r="JU283" s="381"/>
      <c r="JV283" s="381"/>
      <c r="JW283" s="381"/>
      <c r="JX283" s="381"/>
      <c r="JY283" s="381"/>
      <c r="JZ283" s="381"/>
      <c r="KA283" s="381"/>
      <c r="KB283" s="277"/>
    </row>
    <row r="284" spans="2:288" ht="15" customHeight="1" x14ac:dyDescent="0.25">
      <c r="B284" s="216" t="str">
        <f t="shared" si="23"/>
        <v>Desk 68</v>
      </c>
      <c r="C284" s="218" t="str">
        <v/>
      </c>
      <c r="D284" s="218" t="str">
        <v/>
      </c>
      <c r="E284" s="218" t="str">
        <v/>
      </c>
      <c r="F284" s="218" t="str">
        <v/>
      </c>
      <c r="G284" s="402" t="str">
        <v/>
      </c>
      <c r="H284" s="381"/>
      <c r="I284" s="381"/>
      <c r="J284" s="381"/>
      <c r="K284" s="381"/>
      <c r="L284" s="381"/>
      <c r="M284" s="381"/>
      <c r="N284" s="381"/>
      <c r="O284" s="381"/>
      <c r="P284" s="381"/>
      <c r="Q284" s="381"/>
      <c r="R284" s="381"/>
      <c r="S284" s="381"/>
      <c r="T284" s="381"/>
      <c r="U284" s="381"/>
      <c r="V284" s="381"/>
      <c r="W284" s="381"/>
      <c r="X284" s="381"/>
      <c r="Y284" s="381"/>
      <c r="Z284" s="381"/>
      <c r="AA284" s="381"/>
      <c r="AB284" s="381"/>
      <c r="AC284" s="381"/>
      <c r="AD284" s="381"/>
      <c r="AE284" s="381"/>
      <c r="AF284" s="381"/>
      <c r="AG284" s="381"/>
      <c r="AH284" s="381"/>
      <c r="AI284" s="381"/>
      <c r="AJ284" s="381"/>
      <c r="AK284" s="381"/>
      <c r="AL284" s="381"/>
      <c r="AM284" s="381"/>
      <c r="AN284" s="381"/>
      <c r="AO284" s="381"/>
      <c r="AP284" s="381"/>
      <c r="AQ284" s="381"/>
      <c r="AR284" s="381"/>
      <c r="AS284" s="381"/>
      <c r="AT284" s="381"/>
      <c r="AU284" s="381"/>
      <c r="AV284" s="381"/>
      <c r="AW284" s="381"/>
      <c r="AX284" s="381"/>
      <c r="AY284" s="381"/>
      <c r="AZ284" s="381"/>
      <c r="BA284" s="381"/>
      <c r="BB284" s="381"/>
      <c r="BC284" s="381"/>
      <c r="BD284" s="381"/>
      <c r="BE284" s="381"/>
      <c r="BF284" s="381"/>
      <c r="BG284" s="381"/>
      <c r="BH284" s="381"/>
      <c r="BI284" s="381"/>
      <c r="BJ284" s="381"/>
      <c r="BK284" s="381"/>
      <c r="BL284" s="381"/>
      <c r="BM284" s="381"/>
      <c r="BN284" s="381"/>
      <c r="BO284" s="381"/>
      <c r="BP284" s="381"/>
      <c r="BQ284" s="381"/>
      <c r="BR284" s="381"/>
      <c r="BS284" s="381"/>
      <c r="BT284" s="381"/>
      <c r="BU284" s="381"/>
      <c r="BV284" s="381"/>
      <c r="BW284" s="381"/>
      <c r="BX284" s="381"/>
      <c r="BY284" s="381"/>
      <c r="BZ284" s="381"/>
      <c r="CA284" s="381"/>
      <c r="CB284" s="381"/>
      <c r="CC284" s="381"/>
      <c r="CD284" s="381"/>
      <c r="CE284" s="381"/>
      <c r="CF284" s="381"/>
      <c r="CG284" s="381"/>
      <c r="CH284" s="381"/>
      <c r="CI284" s="381"/>
      <c r="CJ284" s="381"/>
      <c r="CK284" s="381"/>
      <c r="CL284" s="381"/>
      <c r="CM284" s="381"/>
      <c r="CN284" s="381"/>
      <c r="CO284" s="381"/>
      <c r="CP284" s="381"/>
      <c r="CQ284" s="381"/>
      <c r="CR284" s="381"/>
      <c r="CS284" s="381"/>
      <c r="CT284" s="381"/>
      <c r="CU284" s="381"/>
      <c r="CV284" s="381"/>
      <c r="CW284" s="381"/>
      <c r="CX284" s="381"/>
      <c r="CY284" s="381"/>
      <c r="CZ284" s="381"/>
      <c r="DA284" s="381"/>
      <c r="DB284" s="381"/>
      <c r="DC284" s="381"/>
      <c r="DD284" s="381"/>
      <c r="DE284" s="381"/>
      <c r="DF284" s="381"/>
      <c r="DG284" s="381"/>
      <c r="DH284" s="381"/>
      <c r="DI284" s="381"/>
      <c r="DJ284" s="381"/>
      <c r="DK284" s="381"/>
      <c r="DL284" s="381"/>
      <c r="DM284" s="381"/>
      <c r="DN284" s="381"/>
      <c r="DO284" s="381"/>
      <c r="DP284" s="381"/>
      <c r="DQ284" s="381"/>
      <c r="DR284" s="381"/>
      <c r="DS284" s="381"/>
      <c r="DT284" s="381"/>
      <c r="DU284" s="381"/>
      <c r="DV284" s="381"/>
      <c r="DW284" s="277"/>
      <c r="DX284" s="381"/>
      <c r="DY284" s="381"/>
      <c r="DZ284" s="381"/>
      <c r="EA284" s="381"/>
      <c r="EB284" s="381"/>
      <c r="EC284" s="381"/>
      <c r="ED284" s="381"/>
      <c r="EE284" s="381"/>
      <c r="EF284" s="381"/>
      <c r="EG284" s="381"/>
      <c r="EH284" s="381"/>
      <c r="EI284" s="381"/>
      <c r="EJ284" s="381"/>
      <c r="EK284" s="381"/>
      <c r="EL284" s="381"/>
      <c r="EM284" s="381"/>
      <c r="EN284" s="381"/>
      <c r="EO284" s="381"/>
      <c r="EP284" s="381"/>
      <c r="EQ284" s="381"/>
      <c r="ER284" s="277"/>
      <c r="ES284" s="381"/>
      <c r="ET284" s="381"/>
      <c r="EU284" s="381"/>
      <c r="EV284" s="381"/>
      <c r="EW284" s="381"/>
      <c r="EX284" s="381"/>
      <c r="EY284" s="381"/>
      <c r="EZ284" s="381"/>
      <c r="FA284" s="381"/>
      <c r="FB284" s="381"/>
      <c r="FC284" s="381"/>
      <c r="FD284" s="381"/>
      <c r="FE284" s="381"/>
      <c r="FF284" s="381"/>
      <c r="FG284" s="381"/>
      <c r="FH284" s="381"/>
      <c r="FI284" s="381"/>
      <c r="FJ284" s="381"/>
      <c r="FK284" s="381"/>
      <c r="FL284" s="381"/>
      <c r="FM284" s="381"/>
      <c r="FN284" s="381"/>
      <c r="FO284" s="381"/>
      <c r="FP284" s="381"/>
      <c r="FQ284" s="381"/>
      <c r="FR284" s="381"/>
      <c r="FS284" s="381"/>
      <c r="FT284" s="381"/>
      <c r="FU284" s="381"/>
      <c r="FV284" s="381"/>
      <c r="FW284" s="381"/>
      <c r="FX284" s="381"/>
      <c r="FY284" s="381"/>
      <c r="FZ284" s="381"/>
      <c r="GA284" s="381"/>
      <c r="GB284" s="381"/>
      <c r="GC284" s="381"/>
      <c r="GD284" s="381"/>
      <c r="GE284" s="381"/>
      <c r="GF284" s="381"/>
      <c r="GG284" s="381"/>
      <c r="GH284" s="381"/>
      <c r="GI284" s="381"/>
      <c r="GJ284" s="381"/>
      <c r="GK284" s="381"/>
      <c r="GL284" s="381"/>
      <c r="GM284" s="381"/>
      <c r="GN284" s="381"/>
      <c r="GO284" s="381"/>
      <c r="GP284" s="381"/>
      <c r="GQ284" s="381"/>
      <c r="GR284" s="381"/>
      <c r="GS284" s="381"/>
      <c r="GT284" s="381"/>
      <c r="GU284" s="381"/>
      <c r="GV284" s="381"/>
      <c r="GW284" s="381"/>
      <c r="GX284" s="381"/>
      <c r="GY284" s="381"/>
      <c r="GZ284" s="381"/>
      <c r="HA284" s="381"/>
      <c r="HB284" s="381"/>
      <c r="HC284" s="381"/>
      <c r="HD284" s="381"/>
      <c r="HE284" s="381"/>
      <c r="HF284" s="381"/>
      <c r="HG284" s="381"/>
      <c r="HH284" s="381"/>
      <c r="HI284" s="381"/>
      <c r="HJ284" s="381"/>
      <c r="HK284" s="381"/>
      <c r="HL284" s="381"/>
      <c r="HM284" s="381"/>
      <c r="HN284" s="381"/>
      <c r="HO284" s="381"/>
      <c r="HP284" s="381"/>
      <c r="HQ284" s="381"/>
      <c r="HR284" s="381"/>
      <c r="HS284" s="381"/>
      <c r="HT284" s="381"/>
      <c r="HU284" s="381"/>
      <c r="HV284" s="381"/>
      <c r="HW284" s="381"/>
      <c r="HX284" s="381"/>
      <c r="HY284" s="381"/>
      <c r="HZ284" s="381"/>
      <c r="IA284" s="381"/>
      <c r="IB284" s="381"/>
      <c r="IC284" s="381"/>
      <c r="ID284" s="381"/>
      <c r="IE284" s="381"/>
      <c r="IF284" s="381"/>
      <c r="IG284" s="381"/>
      <c r="IH284" s="381"/>
      <c r="II284" s="381"/>
      <c r="IJ284" s="381"/>
      <c r="IK284" s="381"/>
      <c r="IL284" s="381"/>
      <c r="IM284" s="381"/>
      <c r="IN284" s="381"/>
      <c r="IO284" s="381"/>
      <c r="IP284" s="381"/>
      <c r="IQ284" s="381"/>
      <c r="IR284" s="381"/>
      <c r="IS284" s="381"/>
      <c r="IT284" s="381"/>
      <c r="IU284" s="381"/>
      <c r="IV284" s="381"/>
      <c r="IW284" s="381"/>
      <c r="IX284" s="381"/>
      <c r="IY284" s="381"/>
      <c r="IZ284" s="381"/>
      <c r="JA284" s="381"/>
      <c r="JB284" s="381"/>
      <c r="JC284" s="381"/>
      <c r="JD284" s="381"/>
      <c r="JE284" s="381"/>
      <c r="JF284" s="381"/>
      <c r="JG284" s="277"/>
      <c r="JH284" s="381"/>
      <c r="JI284" s="381"/>
      <c r="JJ284" s="381"/>
      <c r="JK284" s="381"/>
      <c r="JL284" s="381"/>
      <c r="JM284" s="381"/>
      <c r="JN284" s="381"/>
      <c r="JO284" s="381"/>
      <c r="JP284" s="381"/>
      <c r="JQ284" s="381"/>
      <c r="JR284" s="381"/>
      <c r="JS284" s="381"/>
      <c r="JT284" s="381"/>
      <c r="JU284" s="381"/>
      <c r="JV284" s="381"/>
      <c r="JW284" s="381"/>
      <c r="JX284" s="381"/>
      <c r="JY284" s="381"/>
      <c r="JZ284" s="381"/>
      <c r="KA284" s="381"/>
      <c r="KB284" s="277"/>
    </row>
    <row r="285" spans="2:288" ht="15" customHeight="1" x14ac:dyDescent="0.25">
      <c r="B285" s="216" t="str">
        <f t="shared" si="23"/>
        <v>Desk 69</v>
      </c>
      <c r="C285" s="218" t="str">
        <v/>
      </c>
      <c r="D285" s="218" t="str">
        <v/>
      </c>
      <c r="E285" s="218" t="str">
        <v/>
      </c>
      <c r="F285" s="218" t="str">
        <v/>
      </c>
      <c r="G285" s="402" t="str">
        <v/>
      </c>
      <c r="H285" s="381"/>
      <c r="I285" s="381"/>
      <c r="J285" s="381"/>
      <c r="K285" s="381"/>
      <c r="L285" s="381"/>
      <c r="M285" s="381"/>
      <c r="N285" s="381"/>
      <c r="O285" s="381"/>
      <c r="P285" s="381"/>
      <c r="Q285" s="381"/>
      <c r="R285" s="381"/>
      <c r="S285" s="381"/>
      <c r="T285" s="381"/>
      <c r="U285" s="381"/>
      <c r="V285" s="381"/>
      <c r="W285" s="381"/>
      <c r="X285" s="381"/>
      <c r="Y285" s="381"/>
      <c r="Z285" s="381"/>
      <c r="AA285" s="381"/>
      <c r="AB285" s="381"/>
      <c r="AC285" s="381"/>
      <c r="AD285" s="381"/>
      <c r="AE285" s="381"/>
      <c r="AF285" s="381"/>
      <c r="AG285" s="381"/>
      <c r="AH285" s="381"/>
      <c r="AI285" s="381"/>
      <c r="AJ285" s="381"/>
      <c r="AK285" s="381"/>
      <c r="AL285" s="381"/>
      <c r="AM285" s="381"/>
      <c r="AN285" s="381"/>
      <c r="AO285" s="381"/>
      <c r="AP285" s="381"/>
      <c r="AQ285" s="381"/>
      <c r="AR285" s="381"/>
      <c r="AS285" s="381"/>
      <c r="AT285" s="381"/>
      <c r="AU285" s="381"/>
      <c r="AV285" s="381"/>
      <c r="AW285" s="381"/>
      <c r="AX285" s="381"/>
      <c r="AY285" s="381"/>
      <c r="AZ285" s="381"/>
      <c r="BA285" s="381"/>
      <c r="BB285" s="381"/>
      <c r="BC285" s="381"/>
      <c r="BD285" s="381"/>
      <c r="BE285" s="381"/>
      <c r="BF285" s="381"/>
      <c r="BG285" s="381"/>
      <c r="BH285" s="381"/>
      <c r="BI285" s="381"/>
      <c r="BJ285" s="381"/>
      <c r="BK285" s="381"/>
      <c r="BL285" s="381"/>
      <c r="BM285" s="381"/>
      <c r="BN285" s="381"/>
      <c r="BO285" s="381"/>
      <c r="BP285" s="381"/>
      <c r="BQ285" s="381"/>
      <c r="BR285" s="381"/>
      <c r="BS285" s="381"/>
      <c r="BT285" s="381"/>
      <c r="BU285" s="381"/>
      <c r="BV285" s="381"/>
      <c r="BW285" s="381"/>
      <c r="BX285" s="381"/>
      <c r="BY285" s="381"/>
      <c r="BZ285" s="381"/>
      <c r="CA285" s="381"/>
      <c r="CB285" s="381"/>
      <c r="CC285" s="381"/>
      <c r="CD285" s="381"/>
      <c r="CE285" s="381"/>
      <c r="CF285" s="381"/>
      <c r="CG285" s="381"/>
      <c r="CH285" s="381"/>
      <c r="CI285" s="381"/>
      <c r="CJ285" s="381"/>
      <c r="CK285" s="381"/>
      <c r="CL285" s="381"/>
      <c r="CM285" s="381"/>
      <c r="CN285" s="381"/>
      <c r="CO285" s="381"/>
      <c r="CP285" s="381"/>
      <c r="CQ285" s="381"/>
      <c r="CR285" s="381"/>
      <c r="CS285" s="381"/>
      <c r="CT285" s="381"/>
      <c r="CU285" s="381"/>
      <c r="CV285" s="381"/>
      <c r="CW285" s="381"/>
      <c r="CX285" s="381"/>
      <c r="CY285" s="381"/>
      <c r="CZ285" s="381"/>
      <c r="DA285" s="381"/>
      <c r="DB285" s="381"/>
      <c r="DC285" s="381"/>
      <c r="DD285" s="381"/>
      <c r="DE285" s="381"/>
      <c r="DF285" s="381"/>
      <c r="DG285" s="381"/>
      <c r="DH285" s="381"/>
      <c r="DI285" s="381"/>
      <c r="DJ285" s="381"/>
      <c r="DK285" s="381"/>
      <c r="DL285" s="381"/>
      <c r="DM285" s="381"/>
      <c r="DN285" s="381"/>
      <c r="DO285" s="381"/>
      <c r="DP285" s="381"/>
      <c r="DQ285" s="381"/>
      <c r="DR285" s="381"/>
      <c r="DS285" s="381"/>
      <c r="DT285" s="381"/>
      <c r="DU285" s="381"/>
      <c r="DV285" s="381"/>
      <c r="DW285" s="277"/>
      <c r="DX285" s="381"/>
      <c r="DY285" s="381"/>
      <c r="DZ285" s="381"/>
      <c r="EA285" s="381"/>
      <c r="EB285" s="381"/>
      <c r="EC285" s="381"/>
      <c r="ED285" s="381"/>
      <c r="EE285" s="381"/>
      <c r="EF285" s="381"/>
      <c r="EG285" s="381"/>
      <c r="EH285" s="381"/>
      <c r="EI285" s="381"/>
      <c r="EJ285" s="381"/>
      <c r="EK285" s="381"/>
      <c r="EL285" s="381"/>
      <c r="EM285" s="381"/>
      <c r="EN285" s="381"/>
      <c r="EO285" s="381"/>
      <c r="EP285" s="381"/>
      <c r="EQ285" s="381"/>
      <c r="ER285" s="277"/>
      <c r="ES285" s="381"/>
      <c r="ET285" s="381"/>
      <c r="EU285" s="381"/>
      <c r="EV285" s="381"/>
      <c r="EW285" s="381"/>
      <c r="EX285" s="381"/>
      <c r="EY285" s="381"/>
      <c r="EZ285" s="381"/>
      <c r="FA285" s="381"/>
      <c r="FB285" s="381"/>
      <c r="FC285" s="381"/>
      <c r="FD285" s="381"/>
      <c r="FE285" s="381"/>
      <c r="FF285" s="381"/>
      <c r="FG285" s="381"/>
      <c r="FH285" s="381"/>
      <c r="FI285" s="381"/>
      <c r="FJ285" s="381"/>
      <c r="FK285" s="381"/>
      <c r="FL285" s="381"/>
      <c r="FM285" s="381"/>
      <c r="FN285" s="381"/>
      <c r="FO285" s="381"/>
      <c r="FP285" s="381"/>
      <c r="FQ285" s="381"/>
      <c r="FR285" s="381"/>
      <c r="FS285" s="381"/>
      <c r="FT285" s="381"/>
      <c r="FU285" s="381"/>
      <c r="FV285" s="381"/>
      <c r="FW285" s="381"/>
      <c r="FX285" s="381"/>
      <c r="FY285" s="381"/>
      <c r="FZ285" s="381"/>
      <c r="GA285" s="381"/>
      <c r="GB285" s="381"/>
      <c r="GC285" s="381"/>
      <c r="GD285" s="381"/>
      <c r="GE285" s="381"/>
      <c r="GF285" s="381"/>
      <c r="GG285" s="381"/>
      <c r="GH285" s="381"/>
      <c r="GI285" s="381"/>
      <c r="GJ285" s="381"/>
      <c r="GK285" s="381"/>
      <c r="GL285" s="381"/>
      <c r="GM285" s="381"/>
      <c r="GN285" s="381"/>
      <c r="GO285" s="381"/>
      <c r="GP285" s="381"/>
      <c r="GQ285" s="381"/>
      <c r="GR285" s="381"/>
      <c r="GS285" s="381"/>
      <c r="GT285" s="381"/>
      <c r="GU285" s="381"/>
      <c r="GV285" s="381"/>
      <c r="GW285" s="381"/>
      <c r="GX285" s="381"/>
      <c r="GY285" s="381"/>
      <c r="GZ285" s="381"/>
      <c r="HA285" s="381"/>
      <c r="HB285" s="381"/>
      <c r="HC285" s="381"/>
      <c r="HD285" s="381"/>
      <c r="HE285" s="381"/>
      <c r="HF285" s="381"/>
      <c r="HG285" s="381"/>
      <c r="HH285" s="381"/>
      <c r="HI285" s="381"/>
      <c r="HJ285" s="381"/>
      <c r="HK285" s="381"/>
      <c r="HL285" s="381"/>
      <c r="HM285" s="381"/>
      <c r="HN285" s="381"/>
      <c r="HO285" s="381"/>
      <c r="HP285" s="381"/>
      <c r="HQ285" s="381"/>
      <c r="HR285" s="381"/>
      <c r="HS285" s="381"/>
      <c r="HT285" s="381"/>
      <c r="HU285" s="381"/>
      <c r="HV285" s="381"/>
      <c r="HW285" s="381"/>
      <c r="HX285" s="381"/>
      <c r="HY285" s="381"/>
      <c r="HZ285" s="381"/>
      <c r="IA285" s="381"/>
      <c r="IB285" s="381"/>
      <c r="IC285" s="381"/>
      <c r="ID285" s="381"/>
      <c r="IE285" s="381"/>
      <c r="IF285" s="381"/>
      <c r="IG285" s="381"/>
      <c r="IH285" s="381"/>
      <c r="II285" s="381"/>
      <c r="IJ285" s="381"/>
      <c r="IK285" s="381"/>
      <c r="IL285" s="381"/>
      <c r="IM285" s="381"/>
      <c r="IN285" s="381"/>
      <c r="IO285" s="381"/>
      <c r="IP285" s="381"/>
      <c r="IQ285" s="381"/>
      <c r="IR285" s="381"/>
      <c r="IS285" s="381"/>
      <c r="IT285" s="381"/>
      <c r="IU285" s="381"/>
      <c r="IV285" s="381"/>
      <c r="IW285" s="381"/>
      <c r="IX285" s="381"/>
      <c r="IY285" s="381"/>
      <c r="IZ285" s="381"/>
      <c r="JA285" s="381"/>
      <c r="JB285" s="381"/>
      <c r="JC285" s="381"/>
      <c r="JD285" s="381"/>
      <c r="JE285" s="381"/>
      <c r="JF285" s="381"/>
      <c r="JG285" s="277"/>
      <c r="JH285" s="381"/>
      <c r="JI285" s="381"/>
      <c r="JJ285" s="381"/>
      <c r="JK285" s="381"/>
      <c r="JL285" s="381"/>
      <c r="JM285" s="381"/>
      <c r="JN285" s="381"/>
      <c r="JO285" s="381"/>
      <c r="JP285" s="381"/>
      <c r="JQ285" s="381"/>
      <c r="JR285" s="381"/>
      <c r="JS285" s="381"/>
      <c r="JT285" s="381"/>
      <c r="JU285" s="381"/>
      <c r="JV285" s="381"/>
      <c r="JW285" s="381"/>
      <c r="JX285" s="381"/>
      <c r="JY285" s="381"/>
      <c r="JZ285" s="381"/>
      <c r="KA285" s="381"/>
      <c r="KB285" s="277"/>
    </row>
    <row r="286" spans="2:288" ht="15" customHeight="1" x14ac:dyDescent="0.25">
      <c r="B286" s="216" t="str">
        <f t="shared" si="23"/>
        <v>Desk 70</v>
      </c>
      <c r="C286" s="218" t="str">
        <v/>
      </c>
      <c r="D286" s="218" t="str">
        <v/>
      </c>
      <c r="E286" s="218" t="str">
        <v/>
      </c>
      <c r="F286" s="218" t="str">
        <v/>
      </c>
      <c r="G286" s="402" t="str">
        <v/>
      </c>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c r="AD286" s="381"/>
      <c r="AE286" s="381"/>
      <c r="AF286" s="381"/>
      <c r="AG286" s="381"/>
      <c r="AH286" s="381"/>
      <c r="AI286" s="381"/>
      <c r="AJ286" s="381"/>
      <c r="AK286" s="381"/>
      <c r="AL286" s="381"/>
      <c r="AM286" s="381"/>
      <c r="AN286" s="381"/>
      <c r="AO286" s="381"/>
      <c r="AP286" s="381"/>
      <c r="AQ286" s="381"/>
      <c r="AR286" s="381"/>
      <c r="AS286" s="381"/>
      <c r="AT286" s="381"/>
      <c r="AU286" s="381"/>
      <c r="AV286" s="381"/>
      <c r="AW286" s="381"/>
      <c r="AX286" s="381"/>
      <c r="AY286" s="381"/>
      <c r="AZ286" s="381"/>
      <c r="BA286" s="381"/>
      <c r="BB286" s="381"/>
      <c r="BC286" s="381"/>
      <c r="BD286" s="381"/>
      <c r="BE286" s="381"/>
      <c r="BF286" s="381"/>
      <c r="BG286" s="381"/>
      <c r="BH286" s="381"/>
      <c r="BI286" s="381"/>
      <c r="BJ286" s="381"/>
      <c r="BK286" s="381"/>
      <c r="BL286" s="381"/>
      <c r="BM286" s="381"/>
      <c r="BN286" s="381"/>
      <c r="BO286" s="381"/>
      <c r="BP286" s="381"/>
      <c r="BQ286" s="381"/>
      <c r="BR286" s="381"/>
      <c r="BS286" s="381"/>
      <c r="BT286" s="381"/>
      <c r="BU286" s="381"/>
      <c r="BV286" s="381"/>
      <c r="BW286" s="381"/>
      <c r="BX286" s="381"/>
      <c r="BY286" s="381"/>
      <c r="BZ286" s="381"/>
      <c r="CA286" s="381"/>
      <c r="CB286" s="381"/>
      <c r="CC286" s="381"/>
      <c r="CD286" s="381"/>
      <c r="CE286" s="381"/>
      <c r="CF286" s="381"/>
      <c r="CG286" s="381"/>
      <c r="CH286" s="381"/>
      <c r="CI286" s="381"/>
      <c r="CJ286" s="381"/>
      <c r="CK286" s="381"/>
      <c r="CL286" s="381"/>
      <c r="CM286" s="381"/>
      <c r="CN286" s="381"/>
      <c r="CO286" s="381"/>
      <c r="CP286" s="381"/>
      <c r="CQ286" s="381"/>
      <c r="CR286" s="381"/>
      <c r="CS286" s="381"/>
      <c r="CT286" s="381"/>
      <c r="CU286" s="381"/>
      <c r="CV286" s="381"/>
      <c r="CW286" s="381"/>
      <c r="CX286" s="381"/>
      <c r="CY286" s="381"/>
      <c r="CZ286" s="381"/>
      <c r="DA286" s="381"/>
      <c r="DB286" s="381"/>
      <c r="DC286" s="381"/>
      <c r="DD286" s="381"/>
      <c r="DE286" s="381"/>
      <c r="DF286" s="381"/>
      <c r="DG286" s="381"/>
      <c r="DH286" s="381"/>
      <c r="DI286" s="381"/>
      <c r="DJ286" s="381"/>
      <c r="DK286" s="381"/>
      <c r="DL286" s="381"/>
      <c r="DM286" s="381"/>
      <c r="DN286" s="381"/>
      <c r="DO286" s="381"/>
      <c r="DP286" s="381"/>
      <c r="DQ286" s="381"/>
      <c r="DR286" s="381"/>
      <c r="DS286" s="381"/>
      <c r="DT286" s="381"/>
      <c r="DU286" s="381"/>
      <c r="DV286" s="381"/>
      <c r="DW286" s="277"/>
      <c r="DX286" s="381"/>
      <c r="DY286" s="381"/>
      <c r="DZ286" s="381"/>
      <c r="EA286" s="381"/>
      <c r="EB286" s="381"/>
      <c r="EC286" s="381"/>
      <c r="ED286" s="381"/>
      <c r="EE286" s="381"/>
      <c r="EF286" s="381"/>
      <c r="EG286" s="381"/>
      <c r="EH286" s="381"/>
      <c r="EI286" s="381"/>
      <c r="EJ286" s="381"/>
      <c r="EK286" s="381"/>
      <c r="EL286" s="381"/>
      <c r="EM286" s="381"/>
      <c r="EN286" s="381"/>
      <c r="EO286" s="381"/>
      <c r="EP286" s="381"/>
      <c r="EQ286" s="381"/>
      <c r="ER286" s="277"/>
      <c r="ES286" s="381"/>
      <c r="ET286" s="381"/>
      <c r="EU286" s="381"/>
      <c r="EV286" s="381"/>
      <c r="EW286" s="381"/>
      <c r="EX286" s="381"/>
      <c r="EY286" s="381"/>
      <c r="EZ286" s="381"/>
      <c r="FA286" s="381"/>
      <c r="FB286" s="381"/>
      <c r="FC286" s="381"/>
      <c r="FD286" s="381"/>
      <c r="FE286" s="381"/>
      <c r="FF286" s="381"/>
      <c r="FG286" s="381"/>
      <c r="FH286" s="381"/>
      <c r="FI286" s="381"/>
      <c r="FJ286" s="381"/>
      <c r="FK286" s="381"/>
      <c r="FL286" s="381"/>
      <c r="FM286" s="381"/>
      <c r="FN286" s="381"/>
      <c r="FO286" s="381"/>
      <c r="FP286" s="381"/>
      <c r="FQ286" s="381"/>
      <c r="FR286" s="381"/>
      <c r="FS286" s="381"/>
      <c r="FT286" s="381"/>
      <c r="FU286" s="381"/>
      <c r="FV286" s="381"/>
      <c r="FW286" s="381"/>
      <c r="FX286" s="381"/>
      <c r="FY286" s="381"/>
      <c r="FZ286" s="381"/>
      <c r="GA286" s="381"/>
      <c r="GB286" s="381"/>
      <c r="GC286" s="381"/>
      <c r="GD286" s="381"/>
      <c r="GE286" s="381"/>
      <c r="GF286" s="381"/>
      <c r="GG286" s="381"/>
      <c r="GH286" s="381"/>
      <c r="GI286" s="381"/>
      <c r="GJ286" s="381"/>
      <c r="GK286" s="381"/>
      <c r="GL286" s="381"/>
      <c r="GM286" s="381"/>
      <c r="GN286" s="381"/>
      <c r="GO286" s="381"/>
      <c r="GP286" s="381"/>
      <c r="GQ286" s="381"/>
      <c r="GR286" s="381"/>
      <c r="GS286" s="381"/>
      <c r="GT286" s="381"/>
      <c r="GU286" s="381"/>
      <c r="GV286" s="381"/>
      <c r="GW286" s="381"/>
      <c r="GX286" s="381"/>
      <c r="GY286" s="381"/>
      <c r="GZ286" s="381"/>
      <c r="HA286" s="381"/>
      <c r="HB286" s="381"/>
      <c r="HC286" s="381"/>
      <c r="HD286" s="381"/>
      <c r="HE286" s="381"/>
      <c r="HF286" s="381"/>
      <c r="HG286" s="381"/>
      <c r="HH286" s="381"/>
      <c r="HI286" s="381"/>
      <c r="HJ286" s="381"/>
      <c r="HK286" s="381"/>
      <c r="HL286" s="381"/>
      <c r="HM286" s="381"/>
      <c r="HN286" s="381"/>
      <c r="HO286" s="381"/>
      <c r="HP286" s="381"/>
      <c r="HQ286" s="381"/>
      <c r="HR286" s="381"/>
      <c r="HS286" s="381"/>
      <c r="HT286" s="381"/>
      <c r="HU286" s="381"/>
      <c r="HV286" s="381"/>
      <c r="HW286" s="381"/>
      <c r="HX286" s="381"/>
      <c r="HY286" s="381"/>
      <c r="HZ286" s="381"/>
      <c r="IA286" s="381"/>
      <c r="IB286" s="381"/>
      <c r="IC286" s="381"/>
      <c r="ID286" s="381"/>
      <c r="IE286" s="381"/>
      <c r="IF286" s="381"/>
      <c r="IG286" s="381"/>
      <c r="IH286" s="381"/>
      <c r="II286" s="381"/>
      <c r="IJ286" s="381"/>
      <c r="IK286" s="381"/>
      <c r="IL286" s="381"/>
      <c r="IM286" s="381"/>
      <c r="IN286" s="381"/>
      <c r="IO286" s="381"/>
      <c r="IP286" s="381"/>
      <c r="IQ286" s="381"/>
      <c r="IR286" s="381"/>
      <c r="IS286" s="381"/>
      <c r="IT286" s="381"/>
      <c r="IU286" s="381"/>
      <c r="IV286" s="381"/>
      <c r="IW286" s="381"/>
      <c r="IX286" s="381"/>
      <c r="IY286" s="381"/>
      <c r="IZ286" s="381"/>
      <c r="JA286" s="381"/>
      <c r="JB286" s="381"/>
      <c r="JC286" s="381"/>
      <c r="JD286" s="381"/>
      <c r="JE286" s="381"/>
      <c r="JF286" s="381"/>
      <c r="JG286" s="277"/>
      <c r="JH286" s="381"/>
      <c r="JI286" s="381"/>
      <c r="JJ286" s="381"/>
      <c r="JK286" s="381"/>
      <c r="JL286" s="381"/>
      <c r="JM286" s="381"/>
      <c r="JN286" s="381"/>
      <c r="JO286" s="381"/>
      <c r="JP286" s="381"/>
      <c r="JQ286" s="381"/>
      <c r="JR286" s="381"/>
      <c r="JS286" s="381"/>
      <c r="JT286" s="381"/>
      <c r="JU286" s="381"/>
      <c r="JV286" s="381"/>
      <c r="JW286" s="381"/>
      <c r="JX286" s="381"/>
      <c r="JY286" s="381"/>
      <c r="JZ286" s="381"/>
      <c r="KA286" s="381"/>
      <c r="KB286" s="277"/>
    </row>
    <row r="287" spans="2:288" ht="15" customHeight="1" x14ac:dyDescent="0.25">
      <c r="B287" s="216" t="str">
        <f t="shared" si="23"/>
        <v>Desk 71</v>
      </c>
      <c r="C287" s="218" t="str">
        <v/>
      </c>
      <c r="D287" s="218" t="str">
        <v/>
      </c>
      <c r="E287" s="218" t="str">
        <v/>
      </c>
      <c r="F287" s="218" t="str">
        <v/>
      </c>
      <c r="G287" s="402" t="str">
        <v/>
      </c>
      <c r="H287" s="381"/>
      <c r="I287" s="381"/>
      <c r="J287" s="381"/>
      <c r="K287" s="381"/>
      <c r="L287" s="381"/>
      <c r="M287" s="381"/>
      <c r="N287" s="381"/>
      <c r="O287" s="381"/>
      <c r="P287" s="381"/>
      <c r="Q287" s="381"/>
      <c r="R287" s="381"/>
      <c r="S287" s="381"/>
      <c r="T287" s="381"/>
      <c r="U287" s="381"/>
      <c r="V287" s="381"/>
      <c r="W287" s="381"/>
      <c r="X287" s="381"/>
      <c r="Y287" s="381"/>
      <c r="Z287" s="381"/>
      <c r="AA287" s="381"/>
      <c r="AB287" s="381"/>
      <c r="AC287" s="381"/>
      <c r="AD287" s="381"/>
      <c r="AE287" s="381"/>
      <c r="AF287" s="381"/>
      <c r="AG287" s="381"/>
      <c r="AH287" s="381"/>
      <c r="AI287" s="381"/>
      <c r="AJ287" s="381"/>
      <c r="AK287" s="381"/>
      <c r="AL287" s="381"/>
      <c r="AM287" s="381"/>
      <c r="AN287" s="381"/>
      <c r="AO287" s="381"/>
      <c r="AP287" s="381"/>
      <c r="AQ287" s="381"/>
      <c r="AR287" s="381"/>
      <c r="AS287" s="381"/>
      <c r="AT287" s="381"/>
      <c r="AU287" s="381"/>
      <c r="AV287" s="381"/>
      <c r="AW287" s="381"/>
      <c r="AX287" s="381"/>
      <c r="AY287" s="381"/>
      <c r="AZ287" s="381"/>
      <c r="BA287" s="381"/>
      <c r="BB287" s="381"/>
      <c r="BC287" s="381"/>
      <c r="BD287" s="381"/>
      <c r="BE287" s="381"/>
      <c r="BF287" s="381"/>
      <c r="BG287" s="381"/>
      <c r="BH287" s="381"/>
      <c r="BI287" s="381"/>
      <c r="BJ287" s="381"/>
      <c r="BK287" s="381"/>
      <c r="BL287" s="381"/>
      <c r="BM287" s="381"/>
      <c r="BN287" s="381"/>
      <c r="BO287" s="381"/>
      <c r="BP287" s="381"/>
      <c r="BQ287" s="381"/>
      <c r="BR287" s="381"/>
      <c r="BS287" s="381"/>
      <c r="BT287" s="381"/>
      <c r="BU287" s="381"/>
      <c r="BV287" s="381"/>
      <c r="BW287" s="381"/>
      <c r="BX287" s="381"/>
      <c r="BY287" s="381"/>
      <c r="BZ287" s="381"/>
      <c r="CA287" s="381"/>
      <c r="CB287" s="381"/>
      <c r="CC287" s="381"/>
      <c r="CD287" s="381"/>
      <c r="CE287" s="381"/>
      <c r="CF287" s="381"/>
      <c r="CG287" s="381"/>
      <c r="CH287" s="381"/>
      <c r="CI287" s="381"/>
      <c r="CJ287" s="381"/>
      <c r="CK287" s="381"/>
      <c r="CL287" s="381"/>
      <c r="CM287" s="381"/>
      <c r="CN287" s="381"/>
      <c r="CO287" s="381"/>
      <c r="CP287" s="381"/>
      <c r="CQ287" s="381"/>
      <c r="CR287" s="381"/>
      <c r="CS287" s="381"/>
      <c r="CT287" s="381"/>
      <c r="CU287" s="381"/>
      <c r="CV287" s="381"/>
      <c r="CW287" s="381"/>
      <c r="CX287" s="381"/>
      <c r="CY287" s="381"/>
      <c r="CZ287" s="381"/>
      <c r="DA287" s="381"/>
      <c r="DB287" s="381"/>
      <c r="DC287" s="381"/>
      <c r="DD287" s="381"/>
      <c r="DE287" s="381"/>
      <c r="DF287" s="381"/>
      <c r="DG287" s="381"/>
      <c r="DH287" s="381"/>
      <c r="DI287" s="381"/>
      <c r="DJ287" s="381"/>
      <c r="DK287" s="381"/>
      <c r="DL287" s="381"/>
      <c r="DM287" s="381"/>
      <c r="DN287" s="381"/>
      <c r="DO287" s="381"/>
      <c r="DP287" s="381"/>
      <c r="DQ287" s="381"/>
      <c r="DR287" s="381"/>
      <c r="DS287" s="381"/>
      <c r="DT287" s="381"/>
      <c r="DU287" s="381"/>
      <c r="DV287" s="381"/>
      <c r="DW287" s="277"/>
      <c r="DX287" s="381"/>
      <c r="DY287" s="381"/>
      <c r="DZ287" s="381"/>
      <c r="EA287" s="381"/>
      <c r="EB287" s="381"/>
      <c r="EC287" s="381"/>
      <c r="ED287" s="381"/>
      <c r="EE287" s="381"/>
      <c r="EF287" s="381"/>
      <c r="EG287" s="381"/>
      <c r="EH287" s="381"/>
      <c r="EI287" s="381"/>
      <c r="EJ287" s="381"/>
      <c r="EK287" s="381"/>
      <c r="EL287" s="381"/>
      <c r="EM287" s="381"/>
      <c r="EN287" s="381"/>
      <c r="EO287" s="381"/>
      <c r="EP287" s="381"/>
      <c r="EQ287" s="381"/>
      <c r="ER287" s="277"/>
      <c r="ES287" s="381"/>
      <c r="ET287" s="381"/>
      <c r="EU287" s="381"/>
      <c r="EV287" s="381"/>
      <c r="EW287" s="381"/>
      <c r="EX287" s="381"/>
      <c r="EY287" s="381"/>
      <c r="EZ287" s="381"/>
      <c r="FA287" s="381"/>
      <c r="FB287" s="381"/>
      <c r="FC287" s="381"/>
      <c r="FD287" s="381"/>
      <c r="FE287" s="381"/>
      <c r="FF287" s="381"/>
      <c r="FG287" s="381"/>
      <c r="FH287" s="381"/>
      <c r="FI287" s="381"/>
      <c r="FJ287" s="381"/>
      <c r="FK287" s="381"/>
      <c r="FL287" s="381"/>
      <c r="FM287" s="381"/>
      <c r="FN287" s="381"/>
      <c r="FO287" s="381"/>
      <c r="FP287" s="381"/>
      <c r="FQ287" s="381"/>
      <c r="FR287" s="381"/>
      <c r="FS287" s="381"/>
      <c r="FT287" s="381"/>
      <c r="FU287" s="381"/>
      <c r="FV287" s="381"/>
      <c r="FW287" s="381"/>
      <c r="FX287" s="381"/>
      <c r="FY287" s="381"/>
      <c r="FZ287" s="381"/>
      <c r="GA287" s="381"/>
      <c r="GB287" s="381"/>
      <c r="GC287" s="381"/>
      <c r="GD287" s="381"/>
      <c r="GE287" s="381"/>
      <c r="GF287" s="381"/>
      <c r="GG287" s="381"/>
      <c r="GH287" s="381"/>
      <c r="GI287" s="381"/>
      <c r="GJ287" s="381"/>
      <c r="GK287" s="381"/>
      <c r="GL287" s="381"/>
      <c r="GM287" s="381"/>
      <c r="GN287" s="381"/>
      <c r="GO287" s="381"/>
      <c r="GP287" s="381"/>
      <c r="GQ287" s="381"/>
      <c r="GR287" s="381"/>
      <c r="GS287" s="381"/>
      <c r="GT287" s="381"/>
      <c r="GU287" s="381"/>
      <c r="GV287" s="381"/>
      <c r="GW287" s="381"/>
      <c r="GX287" s="381"/>
      <c r="GY287" s="381"/>
      <c r="GZ287" s="381"/>
      <c r="HA287" s="381"/>
      <c r="HB287" s="381"/>
      <c r="HC287" s="381"/>
      <c r="HD287" s="381"/>
      <c r="HE287" s="381"/>
      <c r="HF287" s="381"/>
      <c r="HG287" s="381"/>
      <c r="HH287" s="381"/>
      <c r="HI287" s="381"/>
      <c r="HJ287" s="381"/>
      <c r="HK287" s="381"/>
      <c r="HL287" s="381"/>
      <c r="HM287" s="381"/>
      <c r="HN287" s="381"/>
      <c r="HO287" s="381"/>
      <c r="HP287" s="381"/>
      <c r="HQ287" s="381"/>
      <c r="HR287" s="381"/>
      <c r="HS287" s="381"/>
      <c r="HT287" s="381"/>
      <c r="HU287" s="381"/>
      <c r="HV287" s="381"/>
      <c r="HW287" s="381"/>
      <c r="HX287" s="381"/>
      <c r="HY287" s="381"/>
      <c r="HZ287" s="381"/>
      <c r="IA287" s="381"/>
      <c r="IB287" s="381"/>
      <c r="IC287" s="381"/>
      <c r="ID287" s="381"/>
      <c r="IE287" s="381"/>
      <c r="IF287" s="381"/>
      <c r="IG287" s="381"/>
      <c r="IH287" s="381"/>
      <c r="II287" s="381"/>
      <c r="IJ287" s="381"/>
      <c r="IK287" s="381"/>
      <c r="IL287" s="381"/>
      <c r="IM287" s="381"/>
      <c r="IN287" s="381"/>
      <c r="IO287" s="381"/>
      <c r="IP287" s="381"/>
      <c r="IQ287" s="381"/>
      <c r="IR287" s="381"/>
      <c r="IS287" s="381"/>
      <c r="IT287" s="381"/>
      <c r="IU287" s="381"/>
      <c r="IV287" s="381"/>
      <c r="IW287" s="381"/>
      <c r="IX287" s="381"/>
      <c r="IY287" s="381"/>
      <c r="IZ287" s="381"/>
      <c r="JA287" s="381"/>
      <c r="JB287" s="381"/>
      <c r="JC287" s="381"/>
      <c r="JD287" s="381"/>
      <c r="JE287" s="381"/>
      <c r="JF287" s="381"/>
      <c r="JG287" s="277"/>
      <c r="JH287" s="381"/>
      <c r="JI287" s="381"/>
      <c r="JJ287" s="381"/>
      <c r="JK287" s="381"/>
      <c r="JL287" s="381"/>
      <c r="JM287" s="381"/>
      <c r="JN287" s="381"/>
      <c r="JO287" s="381"/>
      <c r="JP287" s="381"/>
      <c r="JQ287" s="381"/>
      <c r="JR287" s="381"/>
      <c r="JS287" s="381"/>
      <c r="JT287" s="381"/>
      <c r="JU287" s="381"/>
      <c r="JV287" s="381"/>
      <c r="JW287" s="381"/>
      <c r="JX287" s="381"/>
      <c r="JY287" s="381"/>
      <c r="JZ287" s="381"/>
      <c r="KA287" s="381"/>
      <c r="KB287" s="277"/>
    </row>
    <row r="288" spans="2:288" ht="15" customHeight="1" x14ac:dyDescent="0.25">
      <c r="B288" s="216" t="str">
        <f t="shared" si="23"/>
        <v>Desk 72</v>
      </c>
      <c r="C288" s="218" t="str">
        <v/>
      </c>
      <c r="D288" s="218" t="str">
        <v/>
      </c>
      <c r="E288" s="218" t="str">
        <v/>
      </c>
      <c r="F288" s="218" t="str">
        <v/>
      </c>
      <c r="G288" s="402" t="str">
        <v/>
      </c>
      <c r="H288" s="381"/>
      <c r="I288" s="381"/>
      <c r="J288" s="381"/>
      <c r="K288" s="381"/>
      <c r="L288" s="381"/>
      <c r="M288" s="381"/>
      <c r="N288" s="381"/>
      <c r="O288" s="381"/>
      <c r="P288" s="381"/>
      <c r="Q288" s="381"/>
      <c r="R288" s="381"/>
      <c r="S288" s="381"/>
      <c r="T288" s="381"/>
      <c r="U288" s="381"/>
      <c r="V288" s="381"/>
      <c r="W288" s="381"/>
      <c r="X288" s="381"/>
      <c r="Y288" s="381"/>
      <c r="Z288" s="381"/>
      <c r="AA288" s="381"/>
      <c r="AB288" s="381"/>
      <c r="AC288" s="381"/>
      <c r="AD288" s="381"/>
      <c r="AE288" s="381"/>
      <c r="AF288" s="381"/>
      <c r="AG288" s="381"/>
      <c r="AH288" s="381"/>
      <c r="AI288" s="381"/>
      <c r="AJ288" s="381"/>
      <c r="AK288" s="381"/>
      <c r="AL288" s="381"/>
      <c r="AM288" s="381"/>
      <c r="AN288" s="381"/>
      <c r="AO288" s="381"/>
      <c r="AP288" s="381"/>
      <c r="AQ288" s="381"/>
      <c r="AR288" s="381"/>
      <c r="AS288" s="381"/>
      <c r="AT288" s="381"/>
      <c r="AU288" s="381"/>
      <c r="AV288" s="381"/>
      <c r="AW288" s="381"/>
      <c r="AX288" s="381"/>
      <c r="AY288" s="381"/>
      <c r="AZ288" s="381"/>
      <c r="BA288" s="381"/>
      <c r="BB288" s="381"/>
      <c r="BC288" s="381"/>
      <c r="BD288" s="381"/>
      <c r="BE288" s="381"/>
      <c r="BF288" s="381"/>
      <c r="BG288" s="381"/>
      <c r="BH288" s="381"/>
      <c r="BI288" s="381"/>
      <c r="BJ288" s="381"/>
      <c r="BK288" s="381"/>
      <c r="BL288" s="381"/>
      <c r="BM288" s="381"/>
      <c r="BN288" s="381"/>
      <c r="BO288" s="381"/>
      <c r="BP288" s="381"/>
      <c r="BQ288" s="381"/>
      <c r="BR288" s="381"/>
      <c r="BS288" s="381"/>
      <c r="BT288" s="381"/>
      <c r="BU288" s="381"/>
      <c r="BV288" s="381"/>
      <c r="BW288" s="381"/>
      <c r="BX288" s="381"/>
      <c r="BY288" s="381"/>
      <c r="BZ288" s="381"/>
      <c r="CA288" s="381"/>
      <c r="CB288" s="381"/>
      <c r="CC288" s="381"/>
      <c r="CD288" s="381"/>
      <c r="CE288" s="381"/>
      <c r="CF288" s="381"/>
      <c r="CG288" s="381"/>
      <c r="CH288" s="381"/>
      <c r="CI288" s="381"/>
      <c r="CJ288" s="381"/>
      <c r="CK288" s="381"/>
      <c r="CL288" s="381"/>
      <c r="CM288" s="381"/>
      <c r="CN288" s="381"/>
      <c r="CO288" s="381"/>
      <c r="CP288" s="381"/>
      <c r="CQ288" s="381"/>
      <c r="CR288" s="381"/>
      <c r="CS288" s="381"/>
      <c r="CT288" s="381"/>
      <c r="CU288" s="381"/>
      <c r="CV288" s="381"/>
      <c r="CW288" s="381"/>
      <c r="CX288" s="381"/>
      <c r="CY288" s="381"/>
      <c r="CZ288" s="381"/>
      <c r="DA288" s="381"/>
      <c r="DB288" s="381"/>
      <c r="DC288" s="381"/>
      <c r="DD288" s="381"/>
      <c r="DE288" s="381"/>
      <c r="DF288" s="381"/>
      <c r="DG288" s="381"/>
      <c r="DH288" s="381"/>
      <c r="DI288" s="381"/>
      <c r="DJ288" s="381"/>
      <c r="DK288" s="381"/>
      <c r="DL288" s="381"/>
      <c r="DM288" s="381"/>
      <c r="DN288" s="381"/>
      <c r="DO288" s="381"/>
      <c r="DP288" s="381"/>
      <c r="DQ288" s="381"/>
      <c r="DR288" s="381"/>
      <c r="DS288" s="381"/>
      <c r="DT288" s="381"/>
      <c r="DU288" s="381"/>
      <c r="DV288" s="381"/>
      <c r="DW288" s="277"/>
      <c r="DX288" s="381"/>
      <c r="DY288" s="381"/>
      <c r="DZ288" s="381"/>
      <c r="EA288" s="381"/>
      <c r="EB288" s="381"/>
      <c r="EC288" s="381"/>
      <c r="ED288" s="381"/>
      <c r="EE288" s="381"/>
      <c r="EF288" s="381"/>
      <c r="EG288" s="381"/>
      <c r="EH288" s="381"/>
      <c r="EI288" s="381"/>
      <c r="EJ288" s="381"/>
      <c r="EK288" s="381"/>
      <c r="EL288" s="381"/>
      <c r="EM288" s="381"/>
      <c r="EN288" s="381"/>
      <c r="EO288" s="381"/>
      <c r="EP288" s="381"/>
      <c r="EQ288" s="381"/>
      <c r="ER288" s="277"/>
      <c r="ES288" s="381"/>
      <c r="ET288" s="381"/>
      <c r="EU288" s="381"/>
      <c r="EV288" s="381"/>
      <c r="EW288" s="381"/>
      <c r="EX288" s="381"/>
      <c r="EY288" s="381"/>
      <c r="EZ288" s="381"/>
      <c r="FA288" s="381"/>
      <c r="FB288" s="381"/>
      <c r="FC288" s="381"/>
      <c r="FD288" s="381"/>
      <c r="FE288" s="381"/>
      <c r="FF288" s="381"/>
      <c r="FG288" s="381"/>
      <c r="FH288" s="381"/>
      <c r="FI288" s="381"/>
      <c r="FJ288" s="381"/>
      <c r="FK288" s="381"/>
      <c r="FL288" s="381"/>
      <c r="FM288" s="381"/>
      <c r="FN288" s="381"/>
      <c r="FO288" s="381"/>
      <c r="FP288" s="381"/>
      <c r="FQ288" s="381"/>
      <c r="FR288" s="381"/>
      <c r="FS288" s="381"/>
      <c r="FT288" s="381"/>
      <c r="FU288" s="381"/>
      <c r="FV288" s="381"/>
      <c r="FW288" s="381"/>
      <c r="FX288" s="381"/>
      <c r="FY288" s="381"/>
      <c r="FZ288" s="381"/>
      <c r="GA288" s="381"/>
      <c r="GB288" s="381"/>
      <c r="GC288" s="381"/>
      <c r="GD288" s="381"/>
      <c r="GE288" s="381"/>
      <c r="GF288" s="381"/>
      <c r="GG288" s="381"/>
      <c r="GH288" s="381"/>
      <c r="GI288" s="381"/>
      <c r="GJ288" s="381"/>
      <c r="GK288" s="381"/>
      <c r="GL288" s="381"/>
      <c r="GM288" s="381"/>
      <c r="GN288" s="381"/>
      <c r="GO288" s="381"/>
      <c r="GP288" s="381"/>
      <c r="GQ288" s="381"/>
      <c r="GR288" s="381"/>
      <c r="GS288" s="381"/>
      <c r="GT288" s="381"/>
      <c r="GU288" s="381"/>
      <c r="GV288" s="381"/>
      <c r="GW288" s="381"/>
      <c r="GX288" s="381"/>
      <c r="GY288" s="381"/>
      <c r="GZ288" s="381"/>
      <c r="HA288" s="381"/>
      <c r="HB288" s="381"/>
      <c r="HC288" s="381"/>
      <c r="HD288" s="381"/>
      <c r="HE288" s="381"/>
      <c r="HF288" s="381"/>
      <c r="HG288" s="381"/>
      <c r="HH288" s="381"/>
      <c r="HI288" s="381"/>
      <c r="HJ288" s="381"/>
      <c r="HK288" s="381"/>
      <c r="HL288" s="381"/>
      <c r="HM288" s="381"/>
      <c r="HN288" s="381"/>
      <c r="HO288" s="381"/>
      <c r="HP288" s="381"/>
      <c r="HQ288" s="381"/>
      <c r="HR288" s="381"/>
      <c r="HS288" s="381"/>
      <c r="HT288" s="381"/>
      <c r="HU288" s="381"/>
      <c r="HV288" s="381"/>
      <c r="HW288" s="381"/>
      <c r="HX288" s="381"/>
      <c r="HY288" s="381"/>
      <c r="HZ288" s="381"/>
      <c r="IA288" s="381"/>
      <c r="IB288" s="381"/>
      <c r="IC288" s="381"/>
      <c r="ID288" s="381"/>
      <c r="IE288" s="381"/>
      <c r="IF288" s="381"/>
      <c r="IG288" s="381"/>
      <c r="IH288" s="381"/>
      <c r="II288" s="381"/>
      <c r="IJ288" s="381"/>
      <c r="IK288" s="381"/>
      <c r="IL288" s="381"/>
      <c r="IM288" s="381"/>
      <c r="IN288" s="381"/>
      <c r="IO288" s="381"/>
      <c r="IP288" s="381"/>
      <c r="IQ288" s="381"/>
      <c r="IR288" s="381"/>
      <c r="IS288" s="381"/>
      <c r="IT288" s="381"/>
      <c r="IU288" s="381"/>
      <c r="IV288" s="381"/>
      <c r="IW288" s="381"/>
      <c r="IX288" s="381"/>
      <c r="IY288" s="381"/>
      <c r="IZ288" s="381"/>
      <c r="JA288" s="381"/>
      <c r="JB288" s="381"/>
      <c r="JC288" s="381"/>
      <c r="JD288" s="381"/>
      <c r="JE288" s="381"/>
      <c r="JF288" s="381"/>
      <c r="JG288" s="277"/>
      <c r="JH288" s="381"/>
      <c r="JI288" s="381"/>
      <c r="JJ288" s="381"/>
      <c r="JK288" s="381"/>
      <c r="JL288" s="381"/>
      <c r="JM288" s="381"/>
      <c r="JN288" s="381"/>
      <c r="JO288" s="381"/>
      <c r="JP288" s="381"/>
      <c r="JQ288" s="381"/>
      <c r="JR288" s="381"/>
      <c r="JS288" s="381"/>
      <c r="JT288" s="381"/>
      <c r="JU288" s="381"/>
      <c r="JV288" s="381"/>
      <c r="JW288" s="381"/>
      <c r="JX288" s="381"/>
      <c r="JY288" s="381"/>
      <c r="JZ288" s="381"/>
      <c r="KA288" s="381"/>
      <c r="KB288" s="277"/>
    </row>
    <row r="289" spans="2:288" ht="15" customHeight="1" x14ac:dyDescent="0.25">
      <c r="B289" s="216" t="str">
        <f t="shared" si="23"/>
        <v>Desk 73</v>
      </c>
      <c r="C289" s="218" t="str">
        <v/>
      </c>
      <c r="D289" s="218" t="str">
        <v/>
      </c>
      <c r="E289" s="218" t="str">
        <v/>
      </c>
      <c r="F289" s="218" t="str">
        <v/>
      </c>
      <c r="G289" s="402" t="str">
        <v/>
      </c>
      <c r="H289" s="381"/>
      <c r="I289" s="381"/>
      <c r="J289" s="381"/>
      <c r="K289" s="381"/>
      <c r="L289" s="381"/>
      <c r="M289" s="381"/>
      <c r="N289" s="381"/>
      <c r="O289" s="381"/>
      <c r="P289" s="381"/>
      <c r="Q289" s="381"/>
      <c r="R289" s="381"/>
      <c r="S289" s="381"/>
      <c r="T289" s="381"/>
      <c r="U289" s="381"/>
      <c r="V289" s="381"/>
      <c r="W289" s="381"/>
      <c r="X289" s="381"/>
      <c r="Y289" s="381"/>
      <c r="Z289" s="381"/>
      <c r="AA289" s="381"/>
      <c r="AB289" s="381"/>
      <c r="AC289" s="381"/>
      <c r="AD289" s="381"/>
      <c r="AE289" s="381"/>
      <c r="AF289" s="381"/>
      <c r="AG289" s="381"/>
      <c r="AH289" s="381"/>
      <c r="AI289" s="381"/>
      <c r="AJ289" s="381"/>
      <c r="AK289" s="381"/>
      <c r="AL289" s="381"/>
      <c r="AM289" s="381"/>
      <c r="AN289" s="381"/>
      <c r="AO289" s="381"/>
      <c r="AP289" s="381"/>
      <c r="AQ289" s="381"/>
      <c r="AR289" s="381"/>
      <c r="AS289" s="381"/>
      <c r="AT289" s="381"/>
      <c r="AU289" s="381"/>
      <c r="AV289" s="381"/>
      <c r="AW289" s="381"/>
      <c r="AX289" s="381"/>
      <c r="AY289" s="381"/>
      <c r="AZ289" s="381"/>
      <c r="BA289" s="381"/>
      <c r="BB289" s="381"/>
      <c r="BC289" s="381"/>
      <c r="BD289" s="381"/>
      <c r="BE289" s="381"/>
      <c r="BF289" s="381"/>
      <c r="BG289" s="381"/>
      <c r="BH289" s="381"/>
      <c r="BI289" s="381"/>
      <c r="BJ289" s="381"/>
      <c r="BK289" s="381"/>
      <c r="BL289" s="381"/>
      <c r="BM289" s="381"/>
      <c r="BN289" s="381"/>
      <c r="BO289" s="381"/>
      <c r="BP289" s="381"/>
      <c r="BQ289" s="381"/>
      <c r="BR289" s="381"/>
      <c r="BS289" s="381"/>
      <c r="BT289" s="381"/>
      <c r="BU289" s="381"/>
      <c r="BV289" s="381"/>
      <c r="BW289" s="381"/>
      <c r="BX289" s="381"/>
      <c r="BY289" s="381"/>
      <c r="BZ289" s="381"/>
      <c r="CA289" s="381"/>
      <c r="CB289" s="381"/>
      <c r="CC289" s="381"/>
      <c r="CD289" s="381"/>
      <c r="CE289" s="381"/>
      <c r="CF289" s="381"/>
      <c r="CG289" s="381"/>
      <c r="CH289" s="381"/>
      <c r="CI289" s="381"/>
      <c r="CJ289" s="381"/>
      <c r="CK289" s="381"/>
      <c r="CL289" s="381"/>
      <c r="CM289" s="381"/>
      <c r="CN289" s="381"/>
      <c r="CO289" s="381"/>
      <c r="CP289" s="381"/>
      <c r="CQ289" s="381"/>
      <c r="CR289" s="381"/>
      <c r="CS289" s="381"/>
      <c r="CT289" s="381"/>
      <c r="CU289" s="381"/>
      <c r="CV289" s="381"/>
      <c r="CW289" s="381"/>
      <c r="CX289" s="381"/>
      <c r="CY289" s="381"/>
      <c r="CZ289" s="381"/>
      <c r="DA289" s="381"/>
      <c r="DB289" s="381"/>
      <c r="DC289" s="381"/>
      <c r="DD289" s="381"/>
      <c r="DE289" s="381"/>
      <c r="DF289" s="381"/>
      <c r="DG289" s="381"/>
      <c r="DH289" s="381"/>
      <c r="DI289" s="381"/>
      <c r="DJ289" s="381"/>
      <c r="DK289" s="381"/>
      <c r="DL289" s="381"/>
      <c r="DM289" s="381"/>
      <c r="DN289" s="381"/>
      <c r="DO289" s="381"/>
      <c r="DP289" s="381"/>
      <c r="DQ289" s="381"/>
      <c r="DR289" s="381"/>
      <c r="DS289" s="381"/>
      <c r="DT289" s="381"/>
      <c r="DU289" s="381"/>
      <c r="DV289" s="381"/>
      <c r="DW289" s="277"/>
      <c r="DX289" s="381"/>
      <c r="DY289" s="381"/>
      <c r="DZ289" s="381"/>
      <c r="EA289" s="381"/>
      <c r="EB289" s="381"/>
      <c r="EC289" s="381"/>
      <c r="ED289" s="381"/>
      <c r="EE289" s="381"/>
      <c r="EF289" s="381"/>
      <c r="EG289" s="381"/>
      <c r="EH289" s="381"/>
      <c r="EI289" s="381"/>
      <c r="EJ289" s="381"/>
      <c r="EK289" s="381"/>
      <c r="EL289" s="381"/>
      <c r="EM289" s="381"/>
      <c r="EN289" s="381"/>
      <c r="EO289" s="381"/>
      <c r="EP289" s="381"/>
      <c r="EQ289" s="381"/>
      <c r="ER289" s="277"/>
      <c r="ES289" s="381"/>
      <c r="ET289" s="381"/>
      <c r="EU289" s="381"/>
      <c r="EV289" s="381"/>
      <c r="EW289" s="381"/>
      <c r="EX289" s="381"/>
      <c r="EY289" s="381"/>
      <c r="EZ289" s="381"/>
      <c r="FA289" s="381"/>
      <c r="FB289" s="381"/>
      <c r="FC289" s="381"/>
      <c r="FD289" s="381"/>
      <c r="FE289" s="381"/>
      <c r="FF289" s="381"/>
      <c r="FG289" s="381"/>
      <c r="FH289" s="381"/>
      <c r="FI289" s="381"/>
      <c r="FJ289" s="381"/>
      <c r="FK289" s="381"/>
      <c r="FL289" s="381"/>
      <c r="FM289" s="381"/>
      <c r="FN289" s="381"/>
      <c r="FO289" s="381"/>
      <c r="FP289" s="381"/>
      <c r="FQ289" s="381"/>
      <c r="FR289" s="381"/>
      <c r="FS289" s="381"/>
      <c r="FT289" s="381"/>
      <c r="FU289" s="381"/>
      <c r="FV289" s="381"/>
      <c r="FW289" s="381"/>
      <c r="FX289" s="381"/>
      <c r="FY289" s="381"/>
      <c r="FZ289" s="381"/>
      <c r="GA289" s="381"/>
      <c r="GB289" s="381"/>
      <c r="GC289" s="381"/>
      <c r="GD289" s="381"/>
      <c r="GE289" s="381"/>
      <c r="GF289" s="381"/>
      <c r="GG289" s="381"/>
      <c r="GH289" s="381"/>
      <c r="GI289" s="381"/>
      <c r="GJ289" s="381"/>
      <c r="GK289" s="381"/>
      <c r="GL289" s="381"/>
      <c r="GM289" s="381"/>
      <c r="GN289" s="381"/>
      <c r="GO289" s="381"/>
      <c r="GP289" s="381"/>
      <c r="GQ289" s="381"/>
      <c r="GR289" s="381"/>
      <c r="GS289" s="381"/>
      <c r="GT289" s="381"/>
      <c r="GU289" s="381"/>
      <c r="GV289" s="381"/>
      <c r="GW289" s="381"/>
      <c r="GX289" s="381"/>
      <c r="GY289" s="381"/>
      <c r="GZ289" s="381"/>
      <c r="HA289" s="381"/>
      <c r="HB289" s="381"/>
      <c r="HC289" s="381"/>
      <c r="HD289" s="381"/>
      <c r="HE289" s="381"/>
      <c r="HF289" s="381"/>
      <c r="HG289" s="381"/>
      <c r="HH289" s="381"/>
      <c r="HI289" s="381"/>
      <c r="HJ289" s="381"/>
      <c r="HK289" s="381"/>
      <c r="HL289" s="381"/>
      <c r="HM289" s="381"/>
      <c r="HN289" s="381"/>
      <c r="HO289" s="381"/>
      <c r="HP289" s="381"/>
      <c r="HQ289" s="381"/>
      <c r="HR289" s="381"/>
      <c r="HS289" s="381"/>
      <c r="HT289" s="381"/>
      <c r="HU289" s="381"/>
      <c r="HV289" s="381"/>
      <c r="HW289" s="381"/>
      <c r="HX289" s="381"/>
      <c r="HY289" s="381"/>
      <c r="HZ289" s="381"/>
      <c r="IA289" s="381"/>
      <c r="IB289" s="381"/>
      <c r="IC289" s="381"/>
      <c r="ID289" s="381"/>
      <c r="IE289" s="381"/>
      <c r="IF289" s="381"/>
      <c r="IG289" s="381"/>
      <c r="IH289" s="381"/>
      <c r="II289" s="381"/>
      <c r="IJ289" s="381"/>
      <c r="IK289" s="381"/>
      <c r="IL289" s="381"/>
      <c r="IM289" s="381"/>
      <c r="IN289" s="381"/>
      <c r="IO289" s="381"/>
      <c r="IP289" s="381"/>
      <c r="IQ289" s="381"/>
      <c r="IR289" s="381"/>
      <c r="IS289" s="381"/>
      <c r="IT289" s="381"/>
      <c r="IU289" s="381"/>
      <c r="IV289" s="381"/>
      <c r="IW289" s="381"/>
      <c r="IX289" s="381"/>
      <c r="IY289" s="381"/>
      <c r="IZ289" s="381"/>
      <c r="JA289" s="381"/>
      <c r="JB289" s="381"/>
      <c r="JC289" s="381"/>
      <c r="JD289" s="381"/>
      <c r="JE289" s="381"/>
      <c r="JF289" s="381"/>
      <c r="JG289" s="277"/>
      <c r="JH289" s="381"/>
      <c r="JI289" s="381"/>
      <c r="JJ289" s="381"/>
      <c r="JK289" s="381"/>
      <c r="JL289" s="381"/>
      <c r="JM289" s="381"/>
      <c r="JN289" s="381"/>
      <c r="JO289" s="381"/>
      <c r="JP289" s="381"/>
      <c r="JQ289" s="381"/>
      <c r="JR289" s="381"/>
      <c r="JS289" s="381"/>
      <c r="JT289" s="381"/>
      <c r="JU289" s="381"/>
      <c r="JV289" s="381"/>
      <c r="JW289" s="381"/>
      <c r="JX289" s="381"/>
      <c r="JY289" s="381"/>
      <c r="JZ289" s="381"/>
      <c r="KA289" s="381"/>
      <c r="KB289" s="277"/>
    </row>
    <row r="290" spans="2:288" ht="15" customHeight="1" x14ac:dyDescent="0.25">
      <c r="B290" s="216" t="str">
        <f t="shared" si="23"/>
        <v>Desk 74</v>
      </c>
      <c r="C290" s="218" t="str">
        <v/>
      </c>
      <c r="D290" s="218" t="str">
        <v/>
      </c>
      <c r="E290" s="218" t="str">
        <v/>
      </c>
      <c r="F290" s="218" t="str">
        <v/>
      </c>
      <c r="G290" s="402" t="str">
        <v/>
      </c>
      <c r="H290" s="381"/>
      <c r="I290" s="381"/>
      <c r="J290" s="381"/>
      <c r="K290" s="381"/>
      <c r="L290" s="381"/>
      <c r="M290" s="381"/>
      <c r="N290" s="381"/>
      <c r="O290" s="381"/>
      <c r="P290" s="381"/>
      <c r="Q290" s="381"/>
      <c r="R290" s="381"/>
      <c r="S290" s="381"/>
      <c r="T290" s="381"/>
      <c r="U290" s="381"/>
      <c r="V290" s="381"/>
      <c r="W290" s="381"/>
      <c r="X290" s="381"/>
      <c r="Y290" s="381"/>
      <c r="Z290" s="381"/>
      <c r="AA290" s="381"/>
      <c r="AB290" s="381"/>
      <c r="AC290" s="381"/>
      <c r="AD290" s="381"/>
      <c r="AE290" s="381"/>
      <c r="AF290" s="381"/>
      <c r="AG290" s="381"/>
      <c r="AH290" s="381"/>
      <c r="AI290" s="381"/>
      <c r="AJ290" s="381"/>
      <c r="AK290" s="381"/>
      <c r="AL290" s="381"/>
      <c r="AM290" s="381"/>
      <c r="AN290" s="381"/>
      <c r="AO290" s="381"/>
      <c r="AP290" s="381"/>
      <c r="AQ290" s="381"/>
      <c r="AR290" s="381"/>
      <c r="AS290" s="381"/>
      <c r="AT290" s="381"/>
      <c r="AU290" s="381"/>
      <c r="AV290" s="381"/>
      <c r="AW290" s="381"/>
      <c r="AX290" s="381"/>
      <c r="AY290" s="381"/>
      <c r="AZ290" s="381"/>
      <c r="BA290" s="381"/>
      <c r="BB290" s="381"/>
      <c r="BC290" s="381"/>
      <c r="BD290" s="381"/>
      <c r="BE290" s="381"/>
      <c r="BF290" s="381"/>
      <c r="BG290" s="381"/>
      <c r="BH290" s="381"/>
      <c r="BI290" s="381"/>
      <c r="BJ290" s="381"/>
      <c r="BK290" s="381"/>
      <c r="BL290" s="381"/>
      <c r="BM290" s="381"/>
      <c r="BN290" s="381"/>
      <c r="BO290" s="381"/>
      <c r="BP290" s="381"/>
      <c r="BQ290" s="381"/>
      <c r="BR290" s="381"/>
      <c r="BS290" s="381"/>
      <c r="BT290" s="381"/>
      <c r="BU290" s="381"/>
      <c r="BV290" s="381"/>
      <c r="BW290" s="381"/>
      <c r="BX290" s="381"/>
      <c r="BY290" s="381"/>
      <c r="BZ290" s="381"/>
      <c r="CA290" s="381"/>
      <c r="CB290" s="381"/>
      <c r="CC290" s="381"/>
      <c r="CD290" s="381"/>
      <c r="CE290" s="381"/>
      <c r="CF290" s="381"/>
      <c r="CG290" s="381"/>
      <c r="CH290" s="381"/>
      <c r="CI290" s="381"/>
      <c r="CJ290" s="381"/>
      <c r="CK290" s="381"/>
      <c r="CL290" s="381"/>
      <c r="CM290" s="381"/>
      <c r="CN290" s="381"/>
      <c r="CO290" s="381"/>
      <c r="CP290" s="381"/>
      <c r="CQ290" s="381"/>
      <c r="CR290" s="381"/>
      <c r="CS290" s="381"/>
      <c r="CT290" s="381"/>
      <c r="CU290" s="381"/>
      <c r="CV290" s="381"/>
      <c r="CW290" s="381"/>
      <c r="CX290" s="381"/>
      <c r="CY290" s="381"/>
      <c r="CZ290" s="381"/>
      <c r="DA290" s="381"/>
      <c r="DB290" s="381"/>
      <c r="DC290" s="381"/>
      <c r="DD290" s="381"/>
      <c r="DE290" s="381"/>
      <c r="DF290" s="381"/>
      <c r="DG290" s="381"/>
      <c r="DH290" s="381"/>
      <c r="DI290" s="381"/>
      <c r="DJ290" s="381"/>
      <c r="DK290" s="381"/>
      <c r="DL290" s="381"/>
      <c r="DM290" s="381"/>
      <c r="DN290" s="381"/>
      <c r="DO290" s="381"/>
      <c r="DP290" s="381"/>
      <c r="DQ290" s="381"/>
      <c r="DR290" s="381"/>
      <c r="DS290" s="381"/>
      <c r="DT290" s="381"/>
      <c r="DU290" s="381"/>
      <c r="DV290" s="381"/>
      <c r="DW290" s="277"/>
      <c r="DX290" s="381"/>
      <c r="DY290" s="381"/>
      <c r="DZ290" s="381"/>
      <c r="EA290" s="381"/>
      <c r="EB290" s="381"/>
      <c r="EC290" s="381"/>
      <c r="ED290" s="381"/>
      <c r="EE290" s="381"/>
      <c r="EF290" s="381"/>
      <c r="EG290" s="381"/>
      <c r="EH290" s="381"/>
      <c r="EI290" s="381"/>
      <c r="EJ290" s="381"/>
      <c r="EK290" s="381"/>
      <c r="EL290" s="381"/>
      <c r="EM290" s="381"/>
      <c r="EN290" s="381"/>
      <c r="EO290" s="381"/>
      <c r="EP290" s="381"/>
      <c r="EQ290" s="381"/>
      <c r="ER290" s="277"/>
      <c r="ES290" s="381"/>
      <c r="ET290" s="381"/>
      <c r="EU290" s="381"/>
      <c r="EV290" s="381"/>
      <c r="EW290" s="381"/>
      <c r="EX290" s="381"/>
      <c r="EY290" s="381"/>
      <c r="EZ290" s="381"/>
      <c r="FA290" s="381"/>
      <c r="FB290" s="381"/>
      <c r="FC290" s="381"/>
      <c r="FD290" s="381"/>
      <c r="FE290" s="381"/>
      <c r="FF290" s="381"/>
      <c r="FG290" s="381"/>
      <c r="FH290" s="381"/>
      <c r="FI290" s="381"/>
      <c r="FJ290" s="381"/>
      <c r="FK290" s="381"/>
      <c r="FL290" s="381"/>
      <c r="FM290" s="381"/>
      <c r="FN290" s="381"/>
      <c r="FO290" s="381"/>
      <c r="FP290" s="381"/>
      <c r="FQ290" s="381"/>
      <c r="FR290" s="381"/>
      <c r="FS290" s="381"/>
      <c r="FT290" s="381"/>
      <c r="FU290" s="381"/>
      <c r="FV290" s="381"/>
      <c r="FW290" s="381"/>
      <c r="FX290" s="381"/>
      <c r="FY290" s="381"/>
      <c r="FZ290" s="381"/>
      <c r="GA290" s="381"/>
      <c r="GB290" s="381"/>
      <c r="GC290" s="381"/>
      <c r="GD290" s="381"/>
      <c r="GE290" s="381"/>
      <c r="GF290" s="381"/>
      <c r="GG290" s="381"/>
      <c r="GH290" s="381"/>
      <c r="GI290" s="381"/>
      <c r="GJ290" s="381"/>
      <c r="GK290" s="381"/>
      <c r="GL290" s="381"/>
      <c r="GM290" s="381"/>
      <c r="GN290" s="381"/>
      <c r="GO290" s="381"/>
      <c r="GP290" s="381"/>
      <c r="GQ290" s="381"/>
      <c r="GR290" s="381"/>
      <c r="GS290" s="381"/>
      <c r="GT290" s="381"/>
      <c r="GU290" s="381"/>
      <c r="GV290" s="381"/>
      <c r="GW290" s="381"/>
      <c r="GX290" s="381"/>
      <c r="GY290" s="381"/>
      <c r="GZ290" s="381"/>
      <c r="HA290" s="381"/>
      <c r="HB290" s="381"/>
      <c r="HC290" s="381"/>
      <c r="HD290" s="381"/>
      <c r="HE290" s="381"/>
      <c r="HF290" s="381"/>
      <c r="HG290" s="381"/>
      <c r="HH290" s="381"/>
      <c r="HI290" s="381"/>
      <c r="HJ290" s="381"/>
      <c r="HK290" s="381"/>
      <c r="HL290" s="381"/>
      <c r="HM290" s="381"/>
      <c r="HN290" s="381"/>
      <c r="HO290" s="381"/>
      <c r="HP290" s="381"/>
      <c r="HQ290" s="381"/>
      <c r="HR290" s="381"/>
      <c r="HS290" s="381"/>
      <c r="HT290" s="381"/>
      <c r="HU290" s="381"/>
      <c r="HV290" s="381"/>
      <c r="HW290" s="381"/>
      <c r="HX290" s="381"/>
      <c r="HY290" s="381"/>
      <c r="HZ290" s="381"/>
      <c r="IA290" s="381"/>
      <c r="IB290" s="381"/>
      <c r="IC290" s="381"/>
      <c r="ID290" s="381"/>
      <c r="IE290" s="381"/>
      <c r="IF290" s="381"/>
      <c r="IG290" s="381"/>
      <c r="IH290" s="381"/>
      <c r="II290" s="381"/>
      <c r="IJ290" s="381"/>
      <c r="IK290" s="381"/>
      <c r="IL290" s="381"/>
      <c r="IM290" s="381"/>
      <c r="IN290" s="381"/>
      <c r="IO290" s="381"/>
      <c r="IP290" s="381"/>
      <c r="IQ290" s="381"/>
      <c r="IR290" s="381"/>
      <c r="IS290" s="381"/>
      <c r="IT290" s="381"/>
      <c r="IU290" s="381"/>
      <c r="IV290" s="381"/>
      <c r="IW290" s="381"/>
      <c r="IX290" s="381"/>
      <c r="IY290" s="381"/>
      <c r="IZ290" s="381"/>
      <c r="JA290" s="381"/>
      <c r="JB290" s="381"/>
      <c r="JC290" s="381"/>
      <c r="JD290" s="381"/>
      <c r="JE290" s="381"/>
      <c r="JF290" s="381"/>
      <c r="JG290" s="277"/>
      <c r="JH290" s="381"/>
      <c r="JI290" s="381"/>
      <c r="JJ290" s="381"/>
      <c r="JK290" s="381"/>
      <c r="JL290" s="381"/>
      <c r="JM290" s="381"/>
      <c r="JN290" s="381"/>
      <c r="JO290" s="381"/>
      <c r="JP290" s="381"/>
      <c r="JQ290" s="381"/>
      <c r="JR290" s="381"/>
      <c r="JS290" s="381"/>
      <c r="JT290" s="381"/>
      <c r="JU290" s="381"/>
      <c r="JV290" s="381"/>
      <c r="JW290" s="381"/>
      <c r="JX290" s="381"/>
      <c r="JY290" s="381"/>
      <c r="JZ290" s="381"/>
      <c r="KA290" s="381"/>
      <c r="KB290" s="277"/>
    </row>
    <row r="291" spans="2:288" ht="15" customHeight="1" x14ac:dyDescent="0.25">
      <c r="B291" s="216" t="str">
        <f t="shared" si="23"/>
        <v>Desk 75</v>
      </c>
      <c r="C291" s="218" t="str">
        <v/>
      </c>
      <c r="D291" s="218" t="str">
        <v/>
      </c>
      <c r="E291" s="218" t="str">
        <v/>
      </c>
      <c r="F291" s="218" t="str">
        <v/>
      </c>
      <c r="G291" s="402" t="str">
        <v/>
      </c>
      <c r="H291" s="381"/>
      <c r="I291" s="381"/>
      <c r="J291" s="381"/>
      <c r="K291" s="381"/>
      <c r="L291" s="381"/>
      <c r="M291" s="381"/>
      <c r="N291" s="381"/>
      <c r="O291" s="381"/>
      <c r="P291" s="381"/>
      <c r="Q291" s="381"/>
      <c r="R291" s="381"/>
      <c r="S291" s="381"/>
      <c r="T291" s="381"/>
      <c r="U291" s="381"/>
      <c r="V291" s="381"/>
      <c r="W291" s="381"/>
      <c r="X291" s="381"/>
      <c r="Y291" s="381"/>
      <c r="Z291" s="381"/>
      <c r="AA291" s="381"/>
      <c r="AB291" s="381"/>
      <c r="AC291" s="381"/>
      <c r="AD291" s="381"/>
      <c r="AE291" s="381"/>
      <c r="AF291" s="381"/>
      <c r="AG291" s="381"/>
      <c r="AH291" s="381"/>
      <c r="AI291" s="381"/>
      <c r="AJ291" s="381"/>
      <c r="AK291" s="381"/>
      <c r="AL291" s="381"/>
      <c r="AM291" s="381"/>
      <c r="AN291" s="381"/>
      <c r="AO291" s="381"/>
      <c r="AP291" s="381"/>
      <c r="AQ291" s="381"/>
      <c r="AR291" s="381"/>
      <c r="AS291" s="381"/>
      <c r="AT291" s="381"/>
      <c r="AU291" s="381"/>
      <c r="AV291" s="381"/>
      <c r="AW291" s="381"/>
      <c r="AX291" s="381"/>
      <c r="AY291" s="381"/>
      <c r="AZ291" s="381"/>
      <c r="BA291" s="381"/>
      <c r="BB291" s="381"/>
      <c r="BC291" s="381"/>
      <c r="BD291" s="381"/>
      <c r="BE291" s="381"/>
      <c r="BF291" s="381"/>
      <c r="BG291" s="381"/>
      <c r="BH291" s="381"/>
      <c r="BI291" s="381"/>
      <c r="BJ291" s="381"/>
      <c r="BK291" s="381"/>
      <c r="BL291" s="381"/>
      <c r="BM291" s="381"/>
      <c r="BN291" s="381"/>
      <c r="BO291" s="381"/>
      <c r="BP291" s="381"/>
      <c r="BQ291" s="381"/>
      <c r="BR291" s="381"/>
      <c r="BS291" s="381"/>
      <c r="BT291" s="381"/>
      <c r="BU291" s="381"/>
      <c r="BV291" s="381"/>
      <c r="BW291" s="381"/>
      <c r="BX291" s="381"/>
      <c r="BY291" s="381"/>
      <c r="BZ291" s="381"/>
      <c r="CA291" s="381"/>
      <c r="CB291" s="381"/>
      <c r="CC291" s="381"/>
      <c r="CD291" s="381"/>
      <c r="CE291" s="381"/>
      <c r="CF291" s="381"/>
      <c r="CG291" s="381"/>
      <c r="CH291" s="381"/>
      <c r="CI291" s="381"/>
      <c r="CJ291" s="381"/>
      <c r="CK291" s="381"/>
      <c r="CL291" s="381"/>
      <c r="CM291" s="381"/>
      <c r="CN291" s="381"/>
      <c r="CO291" s="381"/>
      <c r="CP291" s="381"/>
      <c r="CQ291" s="381"/>
      <c r="CR291" s="381"/>
      <c r="CS291" s="381"/>
      <c r="CT291" s="381"/>
      <c r="CU291" s="381"/>
      <c r="CV291" s="381"/>
      <c r="CW291" s="381"/>
      <c r="CX291" s="381"/>
      <c r="CY291" s="381"/>
      <c r="CZ291" s="381"/>
      <c r="DA291" s="381"/>
      <c r="DB291" s="381"/>
      <c r="DC291" s="381"/>
      <c r="DD291" s="381"/>
      <c r="DE291" s="381"/>
      <c r="DF291" s="381"/>
      <c r="DG291" s="381"/>
      <c r="DH291" s="381"/>
      <c r="DI291" s="381"/>
      <c r="DJ291" s="381"/>
      <c r="DK291" s="381"/>
      <c r="DL291" s="381"/>
      <c r="DM291" s="381"/>
      <c r="DN291" s="381"/>
      <c r="DO291" s="381"/>
      <c r="DP291" s="381"/>
      <c r="DQ291" s="381"/>
      <c r="DR291" s="381"/>
      <c r="DS291" s="381"/>
      <c r="DT291" s="381"/>
      <c r="DU291" s="381"/>
      <c r="DV291" s="381"/>
      <c r="DW291" s="277"/>
      <c r="DX291" s="381"/>
      <c r="DY291" s="381"/>
      <c r="DZ291" s="381"/>
      <c r="EA291" s="381"/>
      <c r="EB291" s="381"/>
      <c r="EC291" s="381"/>
      <c r="ED291" s="381"/>
      <c r="EE291" s="381"/>
      <c r="EF291" s="381"/>
      <c r="EG291" s="381"/>
      <c r="EH291" s="381"/>
      <c r="EI291" s="381"/>
      <c r="EJ291" s="381"/>
      <c r="EK291" s="381"/>
      <c r="EL291" s="381"/>
      <c r="EM291" s="381"/>
      <c r="EN291" s="381"/>
      <c r="EO291" s="381"/>
      <c r="EP291" s="381"/>
      <c r="EQ291" s="381"/>
      <c r="ER291" s="277"/>
      <c r="ES291" s="381"/>
      <c r="ET291" s="381"/>
      <c r="EU291" s="381"/>
      <c r="EV291" s="381"/>
      <c r="EW291" s="381"/>
      <c r="EX291" s="381"/>
      <c r="EY291" s="381"/>
      <c r="EZ291" s="381"/>
      <c r="FA291" s="381"/>
      <c r="FB291" s="381"/>
      <c r="FC291" s="381"/>
      <c r="FD291" s="381"/>
      <c r="FE291" s="381"/>
      <c r="FF291" s="381"/>
      <c r="FG291" s="381"/>
      <c r="FH291" s="381"/>
      <c r="FI291" s="381"/>
      <c r="FJ291" s="381"/>
      <c r="FK291" s="381"/>
      <c r="FL291" s="381"/>
      <c r="FM291" s="381"/>
      <c r="FN291" s="381"/>
      <c r="FO291" s="381"/>
      <c r="FP291" s="381"/>
      <c r="FQ291" s="381"/>
      <c r="FR291" s="381"/>
      <c r="FS291" s="381"/>
      <c r="FT291" s="381"/>
      <c r="FU291" s="381"/>
      <c r="FV291" s="381"/>
      <c r="FW291" s="381"/>
      <c r="FX291" s="381"/>
      <c r="FY291" s="381"/>
      <c r="FZ291" s="381"/>
      <c r="GA291" s="381"/>
      <c r="GB291" s="381"/>
      <c r="GC291" s="381"/>
      <c r="GD291" s="381"/>
      <c r="GE291" s="381"/>
      <c r="GF291" s="381"/>
      <c r="GG291" s="381"/>
      <c r="GH291" s="381"/>
      <c r="GI291" s="381"/>
      <c r="GJ291" s="381"/>
      <c r="GK291" s="381"/>
      <c r="GL291" s="381"/>
      <c r="GM291" s="381"/>
      <c r="GN291" s="381"/>
      <c r="GO291" s="381"/>
      <c r="GP291" s="381"/>
      <c r="GQ291" s="381"/>
      <c r="GR291" s="381"/>
      <c r="GS291" s="381"/>
      <c r="GT291" s="381"/>
      <c r="GU291" s="381"/>
      <c r="GV291" s="381"/>
      <c r="GW291" s="381"/>
      <c r="GX291" s="381"/>
      <c r="GY291" s="381"/>
      <c r="GZ291" s="381"/>
      <c r="HA291" s="381"/>
      <c r="HB291" s="381"/>
      <c r="HC291" s="381"/>
      <c r="HD291" s="381"/>
      <c r="HE291" s="381"/>
      <c r="HF291" s="381"/>
      <c r="HG291" s="381"/>
      <c r="HH291" s="381"/>
      <c r="HI291" s="381"/>
      <c r="HJ291" s="381"/>
      <c r="HK291" s="381"/>
      <c r="HL291" s="381"/>
      <c r="HM291" s="381"/>
      <c r="HN291" s="381"/>
      <c r="HO291" s="381"/>
      <c r="HP291" s="381"/>
      <c r="HQ291" s="381"/>
      <c r="HR291" s="381"/>
      <c r="HS291" s="381"/>
      <c r="HT291" s="381"/>
      <c r="HU291" s="381"/>
      <c r="HV291" s="381"/>
      <c r="HW291" s="381"/>
      <c r="HX291" s="381"/>
      <c r="HY291" s="381"/>
      <c r="HZ291" s="381"/>
      <c r="IA291" s="381"/>
      <c r="IB291" s="381"/>
      <c r="IC291" s="381"/>
      <c r="ID291" s="381"/>
      <c r="IE291" s="381"/>
      <c r="IF291" s="381"/>
      <c r="IG291" s="381"/>
      <c r="IH291" s="381"/>
      <c r="II291" s="381"/>
      <c r="IJ291" s="381"/>
      <c r="IK291" s="381"/>
      <c r="IL291" s="381"/>
      <c r="IM291" s="381"/>
      <c r="IN291" s="381"/>
      <c r="IO291" s="381"/>
      <c r="IP291" s="381"/>
      <c r="IQ291" s="381"/>
      <c r="IR291" s="381"/>
      <c r="IS291" s="381"/>
      <c r="IT291" s="381"/>
      <c r="IU291" s="381"/>
      <c r="IV291" s="381"/>
      <c r="IW291" s="381"/>
      <c r="IX291" s="381"/>
      <c r="IY291" s="381"/>
      <c r="IZ291" s="381"/>
      <c r="JA291" s="381"/>
      <c r="JB291" s="381"/>
      <c r="JC291" s="381"/>
      <c r="JD291" s="381"/>
      <c r="JE291" s="381"/>
      <c r="JF291" s="381"/>
      <c r="JG291" s="277"/>
      <c r="JH291" s="381"/>
      <c r="JI291" s="381"/>
      <c r="JJ291" s="381"/>
      <c r="JK291" s="381"/>
      <c r="JL291" s="381"/>
      <c r="JM291" s="381"/>
      <c r="JN291" s="381"/>
      <c r="JO291" s="381"/>
      <c r="JP291" s="381"/>
      <c r="JQ291" s="381"/>
      <c r="JR291" s="381"/>
      <c r="JS291" s="381"/>
      <c r="JT291" s="381"/>
      <c r="JU291" s="381"/>
      <c r="JV291" s="381"/>
      <c r="JW291" s="381"/>
      <c r="JX291" s="381"/>
      <c r="JY291" s="381"/>
      <c r="JZ291" s="381"/>
      <c r="KA291" s="381"/>
      <c r="KB291" s="277"/>
    </row>
    <row r="292" spans="2:288" ht="15" customHeight="1" x14ac:dyDescent="0.25">
      <c r="B292" s="216" t="str">
        <f t="shared" si="23"/>
        <v>Desk 76</v>
      </c>
      <c r="C292" s="218" t="str">
        <v/>
      </c>
      <c r="D292" s="218" t="str">
        <v/>
      </c>
      <c r="E292" s="218" t="str">
        <v/>
      </c>
      <c r="F292" s="218" t="str">
        <v/>
      </c>
      <c r="G292" s="402" t="str">
        <v/>
      </c>
      <c r="H292" s="381"/>
      <c r="I292" s="381"/>
      <c r="J292" s="381"/>
      <c r="K292" s="381"/>
      <c r="L292" s="381"/>
      <c r="M292" s="381"/>
      <c r="N292" s="381"/>
      <c r="O292" s="381"/>
      <c r="P292" s="381"/>
      <c r="Q292" s="381"/>
      <c r="R292" s="381"/>
      <c r="S292" s="381"/>
      <c r="T292" s="381"/>
      <c r="U292" s="381"/>
      <c r="V292" s="381"/>
      <c r="W292" s="381"/>
      <c r="X292" s="381"/>
      <c r="Y292" s="381"/>
      <c r="Z292" s="381"/>
      <c r="AA292" s="381"/>
      <c r="AB292" s="381"/>
      <c r="AC292" s="381"/>
      <c r="AD292" s="381"/>
      <c r="AE292" s="381"/>
      <c r="AF292" s="381"/>
      <c r="AG292" s="381"/>
      <c r="AH292" s="381"/>
      <c r="AI292" s="381"/>
      <c r="AJ292" s="381"/>
      <c r="AK292" s="381"/>
      <c r="AL292" s="381"/>
      <c r="AM292" s="381"/>
      <c r="AN292" s="381"/>
      <c r="AO292" s="381"/>
      <c r="AP292" s="381"/>
      <c r="AQ292" s="381"/>
      <c r="AR292" s="381"/>
      <c r="AS292" s="381"/>
      <c r="AT292" s="381"/>
      <c r="AU292" s="381"/>
      <c r="AV292" s="381"/>
      <c r="AW292" s="381"/>
      <c r="AX292" s="381"/>
      <c r="AY292" s="381"/>
      <c r="AZ292" s="381"/>
      <c r="BA292" s="381"/>
      <c r="BB292" s="381"/>
      <c r="BC292" s="381"/>
      <c r="BD292" s="381"/>
      <c r="BE292" s="381"/>
      <c r="BF292" s="381"/>
      <c r="BG292" s="381"/>
      <c r="BH292" s="381"/>
      <c r="BI292" s="381"/>
      <c r="BJ292" s="381"/>
      <c r="BK292" s="381"/>
      <c r="BL292" s="381"/>
      <c r="BM292" s="381"/>
      <c r="BN292" s="381"/>
      <c r="BO292" s="381"/>
      <c r="BP292" s="381"/>
      <c r="BQ292" s="381"/>
      <c r="BR292" s="381"/>
      <c r="BS292" s="381"/>
      <c r="BT292" s="381"/>
      <c r="BU292" s="381"/>
      <c r="BV292" s="381"/>
      <c r="BW292" s="381"/>
      <c r="BX292" s="381"/>
      <c r="BY292" s="381"/>
      <c r="BZ292" s="381"/>
      <c r="CA292" s="381"/>
      <c r="CB292" s="381"/>
      <c r="CC292" s="381"/>
      <c r="CD292" s="381"/>
      <c r="CE292" s="381"/>
      <c r="CF292" s="381"/>
      <c r="CG292" s="381"/>
      <c r="CH292" s="381"/>
      <c r="CI292" s="381"/>
      <c r="CJ292" s="381"/>
      <c r="CK292" s="381"/>
      <c r="CL292" s="381"/>
      <c r="CM292" s="381"/>
      <c r="CN292" s="381"/>
      <c r="CO292" s="381"/>
      <c r="CP292" s="381"/>
      <c r="CQ292" s="381"/>
      <c r="CR292" s="381"/>
      <c r="CS292" s="381"/>
      <c r="CT292" s="381"/>
      <c r="CU292" s="381"/>
      <c r="CV292" s="381"/>
      <c r="CW292" s="381"/>
      <c r="CX292" s="381"/>
      <c r="CY292" s="381"/>
      <c r="CZ292" s="381"/>
      <c r="DA292" s="381"/>
      <c r="DB292" s="381"/>
      <c r="DC292" s="381"/>
      <c r="DD292" s="381"/>
      <c r="DE292" s="381"/>
      <c r="DF292" s="381"/>
      <c r="DG292" s="381"/>
      <c r="DH292" s="381"/>
      <c r="DI292" s="381"/>
      <c r="DJ292" s="381"/>
      <c r="DK292" s="381"/>
      <c r="DL292" s="381"/>
      <c r="DM292" s="381"/>
      <c r="DN292" s="381"/>
      <c r="DO292" s="381"/>
      <c r="DP292" s="381"/>
      <c r="DQ292" s="381"/>
      <c r="DR292" s="381"/>
      <c r="DS292" s="381"/>
      <c r="DT292" s="381"/>
      <c r="DU292" s="381"/>
      <c r="DV292" s="381"/>
      <c r="DW292" s="277"/>
      <c r="DX292" s="381"/>
      <c r="DY292" s="381"/>
      <c r="DZ292" s="381"/>
      <c r="EA292" s="381"/>
      <c r="EB292" s="381"/>
      <c r="EC292" s="381"/>
      <c r="ED292" s="381"/>
      <c r="EE292" s="381"/>
      <c r="EF292" s="381"/>
      <c r="EG292" s="381"/>
      <c r="EH292" s="381"/>
      <c r="EI292" s="381"/>
      <c r="EJ292" s="381"/>
      <c r="EK292" s="381"/>
      <c r="EL292" s="381"/>
      <c r="EM292" s="381"/>
      <c r="EN292" s="381"/>
      <c r="EO292" s="381"/>
      <c r="EP292" s="381"/>
      <c r="EQ292" s="381"/>
      <c r="ER292" s="277"/>
      <c r="ES292" s="381"/>
      <c r="ET292" s="381"/>
      <c r="EU292" s="381"/>
      <c r="EV292" s="381"/>
      <c r="EW292" s="381"/>
      <c r="EX292" s="381"/>
      <c r="EY292" s="381"/>
      <c r="EZ292" s="381"/>
      <c r="FA292" s="381"/>
      <c r="FB292" s="381"/>
      <c r="FC292" s="381"/>
      <c r="FD292" s="381"/>
      <c r="FE292" s="381"/>
      <c r="FF292" s="381"/>
      <c r="FG292" s="381"/>
      <c r="FH292" s="381"/>
      <c r="FI292" s="381"/>
      <c r="FJ292" s="381"/>
      <c r="FK292" s="381"/>
      <c r="FL292" s="381"/>
      <c r="FM292" s="381"/>
      <c r="FN292" s="381"/>
      <c r="FO292" s="381"/>
      <c r="FP292" s="381"/>
      <c r="FQ292" s="381"/>
      <c r="FR292" s="381"/>
      <c r="FS292" s="381"/>
      <c r="FT292" s="381"/>
      <c r="FU292" s="381"/>
      <c r="FV292" s="381"/>
      <c r="FW292" s="381"/>
      <c r="FX292" s="381"/>
      <c r="FY292" s="381"/>
      <c r="FZ292" s="381"/>
      <c r="GA292" s="381"/>
      <c r="GB292" s="381"/>
      <c r="GC292" s="381"/>
      <c r="GD292" s="381"/>
      <c r="GE292" s="381"/>
      <c r="GF292" s="381"/>
      <c r="GG292" s="381"/>
      <c r="GH292" s="381"/>
      <c r="GI292" s="381"/>
      <c r="GJ292" s="381"/>
      <c r="GK292" s="381"/>
      <c r="GL292" s="381"/>
      <c r="GM292" s="381"/>
      <c r="GN292" s="381"/>
      <c r="GO292" s="381"/>
      <c r="GP292" s="381"/>
      <c r="GQ292" s="381"/>
      <c r="GR292" s="381"/>
      <c r="GS292" s="381"/>
      <c r="GT292" s="381"/>
      <c r="GU292" s="381"/>
      <c r="GV292" s="381"/>
      <c r="GW292" s="381"/>
      <c r="GX292" s="381"/>
      <c r="GY292" s="381"/>
      <c r="GZ292" s="381"/>
      <c r="HA292" s="381"/>
      <c r="HB292" s="381"/>
      <c r="HC292" s="381"/>
      <c r="HD292" s="381"/>
      <c r="HE292" s="381"/>
      <c r="HF292" s="381"/>
      <c r="HG292" s="381"/>
      <c r="HH292" s="381"/>
      <c r="HI292" s="381"/>
      <c r="HJ292" s="381"/>
      <c r="HK292" s="381"/>
      <c r="HL292" s="381"/>
      <c r="HM292" s="381"/>
      <c r="HN292" s="381"/>
      <c r="HO292" s="381"/>
      <c r="HP292" s="381"/>
      <c r="HQ292" s="381"/>
      <c r="HR292" s="381"/>
      <c r="HS292" s="381"/>
      <c r="HT292" s="381"/>
      <c r="HU292" s="381"/>
      <c r="HV292" s="381"/>
      <c r="HW292" s="381"/>
      <c r="HX292" s="381"/>
      <c r="HY292" s="381"/>
      <c r="HZ292" s="381"/>
      <c r="IA292" s="381"/>
      <c r="IB292" s="381"/>
      <c r="IC292" s="381"/>
      <c r="ID292" s="381"/>
      <c r="IE292" s="381"/>
      <c r="IF292" s="381"/>
      <c r="IG292" s="381"/>
      <c r="IH292" s="381"/>
      <c r="II292" s="381"/>
      <c r="IJ292" s="381"/>
      <c r="IK292" s="381"/>
      <c r="IL292" s="381"/>
      <c r="IM292" s="381"/>
      <c r="IN292" s="381"/>
      <c r="IO292" s="381"/>
      <c r="IP292" s="381"/>
      <c r="IQ292" s="381"/>
      <c r="IR292" s="381"/>
      <c r="IS292" s="381"/>
      <c r="IT292" s="381"/>
      <c r="IU292" s="381"/>
      <c r="IV292" s="381"/>
      <c r="IW292" s="381"/>
      <c r="IX292" s="381"/>
      <c r="IY292" s="381"/>
      <c r="IZ292" s="381"/>
      <c r="JA292" s="381"/>
      <c r="JB292" s="381"/>
      <c r="JC292" s="381"/>
      <c r="JD292" s="381"/>
      <c r="JE292" s="381"/>
      <c r="JF292" s="381"/>
      <c r="JG292" s="277"/>
      <c r="JH292" s="381"/>
      <c r="JI292" s="381"/>
      <c r="JJ292" s="381"/>
      <c r="JK292" s="381"/>
      <c r="JL292" s="381"/>
      <c r="JM292" s="381"/>
      <c r="JN292" s="381"/>
      <c r="JO292" s="381"/>
      <c r="JP292" s="381"/>
      <c r="JQ292" s="381"/>
      <c r="JR292" s="381"/>
      <c r="JS292" s="381"/>
      <c r="JT292" s="381"/>
      <c r="JU292" s="381"/>
      <c r="JV292" s="381"/>
      <c r="JW292" s="381"/>
      <c r="JX292" s="381"/>
      <c r="JY292" s="381"/>
      <c r="JZ292" s="381"/>
      <c r="KA292" s="381"/>
      <c r="KB292" s="277"/>
    </row>
    <row r="293" spans="2:288" ht="15" customHeight="1" x14ac:dyDescent="0.25">
      <c r="B293" s="216" t="str">
        <f t="shared" si="23"/>
        <v>Desk 77</v>
      </c>
      <c r="C293" s="218" t="str">
        <v/>
      </c>
      <c r="D293" s="218" t="str">
        <v/>
      </c>
      <c r="E293" s="218" t="str">
        <v/>
      </c>
      <c r="F293" s="218" t="str">
        <v/>
      </c>
      <c r="G293" s="402" t="str">
        <v/>
      </c>
      <c r="H293" s="381"/>
      <c r="I293" s="381"/>
      <c r="J293" s="381"/>
      <c r="K293" s="381"/>
      <c r="L293" s="381"/>
      <c r="M293" s="381"/>
      <c r="N293" s="381"/>
      <c r="O293" s="381"/>
      <c r="P293" s="381"/>
      <c r="Q293" s="381"/>
      <c r="R293" s="381"/>
      <c r="S293" s="381"/>
      <c r="T293" s="381"/>
      <c r="U293" s="381"/>
      <c r="V293" s="381"/>
      <c r="W293" s="381"/>
      <c r="X293" s="381"/>
      <c r="Y293" s="381"/>
      <c r="Z293" s="381"/>
      <c r="AA293" s="381"/>
      <c r="AB293" s="381"/>
      <c r="AC293" s="381"/>
      <c r="AD293" s="381"/>
      <c r="AE293" s="381"/>
      <c r="AF293" s="381"/>
      <c r="AG293" s="381"/>
      <c r="AH293" s="381"/>
      <c r="AI293" s="381"/>
      <c r="AJ293" s="381"/>
      <c r="AK293" s="381"/>
      <c r="AL293" s="381"/>
      <c r="AM293" s="381"/>
      <c r="AN293" s="381"/>
      <c r="AO293" s="381"/>
      <c r="AP293" s="381"/>
      <c r="AQ293" s="381"/>
      <c r="AR293" s="381"/>
      <c r="AS293" s="381"/>
      <c r="AT293" s="381"/>
      <c r="AU293" s="381"/>
      <c r="AV293" s="381"/>
      <c r="AW293" s="381"/>
      <c r="AX293" s="381"/>
      <c r="AY293" s="381"/>
      <c r="AZ293" s="381"/>
      <c r="BA293" s="381"/>
      <c r="BB293" s="381"/>
      <c r="BC293" s="381"/>
      <c r="BD293" s="381"/>
      <c r="BE293" s="381"/>
      <c r="BF293" s="381"/>
      <c r="BG293" s="381"/>
      <c r="BH293" s="381"/>
      <c r="BI293" s="381"/>
      <c r="BJ293" s="381"/>
      <c r="BK293" s="381"/>
      <c r="BL293" s="381"/>
      <c r="BM293" s="381"/>
      <c r="BN293" s="381"/>
      <c r="BO293" s="381"/>
      <c r="BP293" s="381"/>
      <c r="BQ293" s="381"/>
      <c r="BR293" s="381"/>
      <c r="BS293" s="381"/>
      <c r="BT293" s="381"/>
      <c r="BU293" s="381"/>
      <c r="BV293" s="381"/>
      <c r="BW293" s="381"/>
      <c r="BX293" s="381"/>
      <c r="BY293" s="381"/>
      <c r="BZ293" s="381"/>
      <c r="CA293" s="381"/>
      <c r="CB293" s="381"/>
      <c r="CC293" s="381"/>
      <c r="CD293" s="381"/>
      <c r="CE293" s="381"/>
      <c r="CF293" s="381"/>
      <c r="CG293" s="381"/>
      <c r="CH293" s="381"/>
      <c r="CI293" s="381"/>
      <c r="CJ293" s="381"/>
      <c r="CK293" s="381"/>
      <c r="CL293" s="381"/>
      <c r="CM293" s="381"/>
      <c r="CN293" s="381"/>
      <c r="CO293" s="381"/>
      <c r="CP293" s="381"/>
      <c r="CQ293" s="381"/>
      <c r="CR293" s="381"/>
      <c r="CS293" s="381"/>
      <c r="CT293" s="381"/>
      <c r="CU293" s="381"/>
      <c r="CV293" s="381"/>
      <c r="CW293" s="381"/>
      <c r="CX293" s="381"/>
      <c r="CY293" s="381"/>
      <c r="CZ293" s="381"/>
      <c r="DA293" s="381"/>
      <c r="DB293" s="381"/>
      <c r="DC293" s="381"/>
      <c r="DD293" s="381"/>
      <c r="DE293" s="381"/>
      <c r="DF293" s="381"/>
      <c r="DG293" s="381"/>
      <c r="DH293" s="381"/>
      <c r="DI293" s="381"/>
      <c r="DJ293" s="381"/>
      <c r="DK293" s="381"/>
      <c r="DL293" s="381"/>
      <c r="DM293" s="381"/>
      <c r="DN293" s="381"/>
      <c r="DO293" s="381"/>
      <c r="DP293" s="381"/>
      <c r="DQ293" s="381"/>
      <c r="DR293" s="381"/>
      <c r="DS293" s="381"/>
      <c r="DT293" s="381"/>
      <c r="DU293" s="381"/>
      <c r="DV293" s="381"/>
      <c r="DW293" s="277"/>
      <c r="DX293" s="381"/>
      <c r="DY293" s="381"/>
      <c r="DZ293" s="381"/>
      <c r="EA293" s="381"/>
      <c r="EB293" s="381"/>
      <c r="EC293" s="381"/>
      <c r="ED293" s="381"/>
      <c r="EE293" s="381"/>
      <c r="EF293" s="381"/>
      <c r="EG293" s="381"/>
      <c r="EH293" s="381"/>
      <c r="EI293" s="381"/>
      <c r="EJ293" s="381"/>
      <c r="EK293" s="381"/>
      <c r="EL293" s="381"/>
      <c r="EM293" s="381"/>
      <c r="EN293" s="381"/>
      <c r="EO293" s="381"/>
      <c r="EP293" s="381"/>
      <c r="EQ293" s="381"/>
      <c r="ER293" s="277"/>
      <c r="ES293" s="381"/>
      <c r="ET293" s="381"/>
      <c r="EU293" s="381"/>
      <c r="EV293" s="381"/>
      <c r="EW293" s="381"/>
      <c r="EX293" s="381"/>
      <c r="EY293" s="381"/>
      <c r="EZ293" s="381"/>
      <c r="FA293" s="381"/>
      <c r="FB293" s="381"/>
      <c r="FC293" s="381"/>
      <c r="FD293" s="381"/>
      <c r="FE293" s="381"/>
      <c r="FF293" s="381"/>
      <c r="FG293" s="381"/>
      <c r="FH293" s="381"/>
      <c r="FI293" s="381"/>
      <c r="FJ293" s="381"/>
      <c r="FK293" s="381"/>
      <c r="FL293" s="381"/>
      <c r="FM293" s="381"/>
      <c r="FN293" s="381"/>
      <c r="FO293" s="381"/>
      <c r="FP293" s="381"/>
      <c r="FQ293" s="381"/>
      <c r="FR293" s="381"/>
      <c r="FS293" s="381"/>
      <c r="FT293" s="381"/>
      <c r="FU293" s="381"/>
      <c r="FV293" s="381"/>
      <c r="FW293" s="381"/>
      <c r="FX293" s="381"/>
      <c r="FY293" s="381"/>
      <c r="FZ293" s="381"/>
      <c r="GA293" s="381"/>
      <c r="GB293" s="381"/>
      <c r="GC293" s="381"/>
      <c r="GD293" s="381"/>
      <c r="GE293" s="381"/>
      <c r="GF293" s="381"/>
      <c r="GG293" s="381"/>
      <c r="GH293" s="381"/>
      <c r="GI293" s="381"/>
      <c r="GJ293" s="381"/>
      <c r="GK293" s="381"/>
      <c r="GL293" s="381"/>
      <c r="GM293" s="381"/>
      <c r="GN293" s="381"/>
      <c r="GO293" s="381"/>
      <c r="GP293" s="381"/>
      <c r="GQ293" s="381"/>
      <c r="GR293" s="381"/>
      <c r="GS293" s="381"/>
      <c r="GT293" s="381"/>
      <c r="GU293" s="381"/>
      <c r="GV293" s="381"/>
      <c r="GW293" s="381"/>
      <c r="GX293" s="381"/>
      <c r="GY293" s="381"/>
      <c r="GZ293" s="381"/>
      <c r="HA293" s="381"/>
      <c r="HB293" s="381"/>
      <c r="HC293" s="381"/>
      <c r="HD293" s="381"/>
      <c r="HE293" s="381"/>
      <c r="HF293" s="381"/>
      <c r="HG293" s="381"/>
      <c r="HH293" s="381"/>
      <c r="HI293" s="381"/>
      <c r="HJ293" s="381"/>
      <c r="HK293" s="381"/>
      <c r="HL293" s="381"/>
      <c r="HM293" s="381"/>
      <c r="HN293" s="381"/>
      <c r="HO293" s="381"/>
      <c r="HP293" s="381"/>
      <c r="HQ293" s="381"/>
      <c r="HR293" s="381"/>
      <c r="HS293" s="381"/>
      <c r="HT293" s="381"/>
      <c r="HU293" s="381"/>
      <c r="HV293" s="381"/>
      <c r="HW293" s="381"/>
      <c r="HX293" s="381"/>
      <c r="HY293" s="381"/>
      <c r="HZ293" s="381"/>
      <c r="IA293" s="381"/>
      <c r="IB293" s="381"/>
      <c r="IC293" s="381"/>
      <c r="ID293" s="381"/>
      <c r="IE293" s="381"/>
      <c r="IF293" s="381"/>
      <c r="IG293" s="381"/>
      <c r="IH293" s="381"/>
      <c r="II293" s="381"/>
      <c r="IJ293" s="381"/>
      <c r="IK293" s="381"/>
      <c r="IL293" s="381"/>
      <c r="IM293" s="381"/>
      <c r="IN293" s="381"/>
      <c r="IO293" s="381"/>
      <c r="IP293" s="381"/>
      <c r="IQ293" s="381"/>
      <c r="IR293" s="381"/>
      <c r="IS293" s="381"/>
      <c r="IT293" s="381"/>
      <c r="IU293" s="381"/>
      <c r="IV293" s="381"/>
      <c r="IW293" s="381"/>
      <c r="IX293" s="381"/>
      <c r="IY293" s="381"/>
      <c r="IZ293" s="381"/>
      <c r="JA293" s="381"/>
      <c r="JB293" s="381"/>
      <c r="JC293" s="381"/>
      <c r="JD293" s="381"/>
      <c r="JE293" s="381"/>
      <c r="JF293" s="381"/>
      <c r="JG293" s="277"/>
      <c r="JH293" s="381"/>
      <c r="JI293" s="381"/>
      <c r="JJ293" s="381"/>
      <c r="JK293" s="381"/>
      <c r="JL293" s="381"/>
      <c r="JM293" s="381"/>
      <c r="JN293" s="381"/>
      <c r="JO293" s="381"/>
      <c r="JP293" s="381"/>
      <c r="JQ293" s="381"/>
      <c r="JR293" s="381"/>
      <c r="JS293" s="381"/>
      <c r="JT293" s="381"/>
      <c r="JU293" s="381"/>
      <c r="JV293" s="381"/>
      <c r="JW293" s="381"/>
      <c r="JX293" s="381"/>
      <c r="JY293" s="381"/>
      <c r="JZ293" s="381"/>
      <c r="KA293" s="381"/>
      <c r="KB293" s="277"/>
    </row>
    <row r="294" spans="2:288" ht="15" customHeight="1" x14ac:dyDescent="0.25">
      <c r="B294" s="216" t="str">
        <f t="shared" si="23"/>
        <v>Desk 78</v>
      </c>
      <c r="C294" s="218" t="str">
        <v/>
      </c>
      <c r="D294" s="218" t="str">
        <v/>
      </c>
      <c r="E294" s="218" t="str">
        <v/>
      </c>
      <c r="F294" s="218" t="str">
        <v/>
      </c>
      <c r="G294" s="402" t="str">
        <v/>
      </c>
      <c r="H294" s="381"/>
      <c r="I294" s="381"/>
      <c r="J294" s="381"/>
      <c r="K294" s="381"/>
      <c r="L294" s="381"/>
      <c r="M294" s="381"/>
      <c r="N294" s="381"/>
      <c r="O294" s="381"/>
      <c r="P294" s="381"/>
      <c r="Q294" s="381"/>
      <c r="R294" s="381"/>
      <c r="S294" s="381"/>
      <c r="T294" s="381"/>
      <c r="U294" s="381"/>
      <c r="V294" s="381"/>
      <c r="W294" s="381"/>
      <c r="X294" s="381"/>
      <c r="Y294" s="381"/>
      <c r="Z294" s="381"/>
      <c r="AA294" s="381"/>
      <c r="AB294" s="381"/>
      <c r="AC294" s="381"/>
      <c r="AD294" s="381"/>
      <c r="AE294" s="381"/>
      <c r="AF294" s="381"/>
      <c r="AG294" s="381"/>
      <c r="AH294" s="381"/>
      <c r="AI294" s="381"/>
      <c r="AJ294" s="381"/>
      <c r="AK294" s="381"/>
      <c r="AL294" s="381"/>
      <c r="AM294" s="381"/>
      <c r="AN294" s="381"/>
      <c r="AO294" s="381"/>
      <c r="AP294" s="381"/>
      <c r="AQ294" s="381"/>
      <c r="AR294" s="381"/>
      <c r="AS294" s="381"/>
      <c r="AT294" s="381"/>
      <c r="AU294" s="381"/>
      <c r="AV294" s="381"/>
      <c r="AW294" s="381"/>
      <c r="AX294" s="381"/>
      <c r="AY294" s="381"/>
      <c r="AZ294" s="381"/>
      <c r="BA294" s="381"/>
      <c r="BB294" s="381"/>
      <c r="BC294" s="381"/>
      <c r="BD294" s="381"/>
      <c r="BE294" s="381"/>
      <c r="BF294" s="381"/>
      <c r="BG294" s="381"/>
      <c r="BH294" s="381"/>
      <c r="BI294" s="381"/>
      <c r="BJ294" s="381"/>
      <c r="BK294" s="381"/>
      <c r="BL294" s="381"/>
      <c r="BM294" s="381"/>
      <c r="BN294" s="381"/>
      <c r="BO294" s="381"/>
      <c r="BP294" s="381"/>
      <c r="BQ294" s="381"/>
      <c r="BR294" s="381"/>
      <c r="BS294" s="381"/>
      <c r="BT294" s="381"/>
      <c r="BU294" s="381"/>
      <c r="BV294" s="381"/>
      <c r="BW294" s="381"/>
      <c r="BX294" s="381"/>
      <c r="BY294" s="381"/>
      <c r="BZ294" s="381"/>
      <c r="CA294" s="381"/>
      <c r="CB294" s="381"/>
      <c r="CC294" s="381"/>
      <c r="CD294" s="381"/>
      <c r="CE294" s="381"/>
      <c r="CF294" s="381"/>
      <c r="CG294" s="381"/>
      <c r="CH294" s="381"/>
      <c r="CI294" s="381"/>
      <c r="CJ294" s="381"/>
      <c r="CK294" s="381"/>
      <c r="CL294" s="381"/>
      <c r="CM294" s="381"/>
      <c r="CN294" s="381"/>
      <c r="CO294" s="381"/>
      <c r="CP294" s="381"/>
      <c r="CQ294" s="381"/>
      <c r="CR294" s="381"/>
      <c r="CS294" s="381"/>
      <c r="CT294" s="381"/>
      <c r="CU294" s="381"/>
      <c r="CV294" s="381"/>
      <c r="CW294" s="381"/>
      <c r="CX294" s="381"/>
      <c r="CY294" s="381"/>
      <c r="CZ294" s="381"/>
      <c r="DA294" s="381"/>
      <c r="DB294" s="381"/>
      <c r="DC294" s="381"/>
      <c r="DD294" s="381"/>
      <c r="DE294" s="381"/>
      <c r="DF294" s="381"/>
      <c r="DG294" s="381"/>
      <c r="DH294" s="381"/>
      <c r="DI294" s="381"/>
      <c r="DJ294" s="381"/>
      <c r="DK294" s="381"/>
      <c r="DL294" s="381"/>
      <c r="DM294" s="381"/>
      <c r="DN294" s="381"/>
      <c r="DO294" s="381"/>
      <c r="DP294" s="381"/>
      <c r="DQ294" s="381"/>
      <c r="DR294" s="381"/>
      <c r="DS294" s="381"/>
      <c r="DT294" s="381"/>
      <c r="DU294" s="381"/>
      <c r="DV294" s="381"/>
      <c r="DW294" s="277"/>
      <c r="DX294" s="381"/>
      <c r="DY294" s="381"/>
      <c r="DZ294" s="381"/>
      <c r="EA294" s="381"/>
      <c r="EB294" s="381"/>
      <c r="EC294" s="381"/>
      <c r="ED294" s="381"/>
      <c r="EE294" s="381"/>
      <c r="EF294" s="381"/>
      <c r="EG294" s="381"/>
      <c r="EH294" s="381"/>
      <c r="EI294" s="381"/>
      <c r="EJ294" s="381"/>
      <c r="EK294" s="381"/>
      <c r="EL294" s="381"/>
      <c r="EM294" s="381"/>
      <c r="EN294" s="381"/>
      <c r="EO294" s="381"/>
      <c r="EP294" s="381"/>
      <c r="EQ294" s="381"/>
      <c r="ER294" s="277"/>
      <c r="ES294" s="381"/>
      <c r="ET294" s="381"/>
      <c r="EU294" s="381"/>
      <c r="EV294" s="381"/>
      <c r="EW294" s="381"/>
      <c r="EX294" s="381"/>
      <c r="EY294" s="381"/>
      <c r="EZ294" s="381"/>
      <c r="FA294" s="381"/>
      <c r="FB294" s="381"/>
      <c r="FC294" s="381"/>
      <c r="FD294" s="381"/>
      <c r="FE294" s="381"/>
      <c r="FF294" s="381"/>
      <c r="FG294" s="381"/>
      <c r="FH294" s="381"/>
      <c r="FI294" s="381"/>
      <c r="FJ294" s="381"/>
      <c r="FK294" s="381"/>
      <c r="FL294" s="381"/>
      <c r="FM294" s="381"/>
      <c r="FN294" s="381"/>
      <c r="FO294" s="381"/>
      <c r="FP294" s="381"/>
      <c r="FQ294" s="381"/>
      <c r="FR294" s="381"/>
      <c r="FS294" s="381"/>
      <c r="FT294" s="381"/>
      <c r="FU294" s="381"/>
      <c r="FV294" s="381"/>
      <c r="FW294" s="381"/>
      <c r="FX294" s="381"/>
      <c r="FY294" s="381"/>
      <c r="FZ294" s="381"/>
      <c r="GA294" s="381"/>
      <c r="GB294" s="381"/>
      <c r="GC294" s="381"/>
      <c r="GD294" s="381"/>
      <c r="GE294" s="381"/>
      <c r="GF294" s="381"/>
      <c r="GG294" s="381"/>
      <c r="GH294" s="381"/>
      <c r="GI294" s="381"/>
      <c r="GJ294" s="381"/>
      <c r="GK294" s="381"/>
      <c r="GL294" s="381"/>
      <c r="GM294" s="381"/>
      <c r="GN294" s="381"/>
      <c r="GO294" s="381"/>
      <c r="GP294" s="381"/>
      <c r="GQ294" s="381"/>
      <c r="GR294" s="381"/>
      <c r="GS294" s="381"/>
      <c r="GT294" s="381"/>
      <c r="GU294" s="381"/>
      <c r="GV294" s="381"/>
      <c r="GW294" s="381"/>
      <c r="GX294" s="381"/>
      <c r="GY294" s="381"/>
      <c r="GZ294" s="381"/>
      <c r="HA294" s="381"/>
      <c r="HB294" s="381"/>
      <c r="HC294" s="381"/>
      <c r="HD294" s="381"/>
      <c r="HE294" s="381"/>
      <c r="HF294" s="381"/>
      <c r="HG294" s="381"/>
      <c r="HH294" s="381"/>
      <c r="HI294" s="381"/>
      <c r="HJ294" s="381"/>
      <c r="HK294" s="381"/>
      <c r="HL294" s="381"/>
      <c r="HM294" s="381"/>
      <c r="HN294" s="381"/>
      <c r="HO294" s="381"/>
      <c r="HP294" s="381"/>
      <c r="HQ294" s="381"/>
      <c r="HR294" s="381"/>
      <c r="HS294" s="381"/>
      <c r="HT294" s="381"/>
      <c r="HU294" s="381"/>
      <c r="HV294" s="381"/>
      <c r="HW294" s="381"/>
      <c r="HX294" s="381"/>
      <c r="HY294" s="381"/>
      <c r="HZ294" s="381"/>
      <c r="IA294" s="381"/>
      <c r="IB294" s="381"/>
      <c r="IC294" s="381"/>
      <c r="ID294" s="381"/>
      <c r="IE294" s="381"/>
      <c r="IF294" s="381"/>
      <c r="IG294" s="381"/>
      <c r="IH294" s="381"/>
      <c r="II294" s="381"/>
      <c r="IJ294" s="381"/>
      <c r="IK294" s="381"/>
      <c r="IL294" s="381"/>
      <c r="IM294" s="381"/>
      <c r="IN294" s="381"/>
      <c r="IO294" s="381"/>
      <c r="IP294" s="381"/>
      <c r="IQ294" s="381"/>
      <c r="IR294" s="381"/>
      <c r="IS294" s="381"/>
      <c r="IT294" s="381"/>
      <c r="IU294" s="381"/>
      <c r="IV294" s="381"/>
      <c r="IW294" s="381"/>
      <c r="IX294" s="381"/>
      <c r="IY294" s="381"/>
      <c r="IZ294" s="381"/>
      <c r="JA294" s="381"/>
      <c r="JB294" s="381"/>
      <c r="JC294" s="381"/>
      <c r="JD294" s="381"/>
      <c r="JE294" s="381"/>
      <c r="JF294" s="381"/>
      <c r="JG294" s="277"/>
      <c r="JH294" s="381"/>
      <c r="JI294" s="381"/>
      <c r="JJ294" s="381"/>
      <c r="JK294" s="381"/>
      <c r="JL294" s="381"/>
      <c r="JM294" s="381"/>
      <c r="JN294" s="381"/>
      <c r="JO294" s="381"/>
      <c r="JP294" s="381"/>
      <c r="JQ294" s="381"/>
      <c r="JR294" s="381"/>
      <c r="JS294" s="381"/>
      <c r="JT294" s="381"/>
      <c r="JU294" s="381"/>
      <c r="JV294" s="381"/>
      <c r="JW294" s="381"/>
      <c r="JX294" s="381"/>
      <c r="JY294" s="381"/>
      <c r="JZ294" s="381"/>
      <c r="KA294" s="381"/>
      <c r="KB294" s="277"/>
    </row>
    <row r="295" spans="2:288" ht="15" customHeight="1" x14ac:dyDescent="0.25">
      <c r="B295" s="216" t="str">
        <f t="shared" si="23"/>
        <v>Desk 79</v>
      </c>
      <c r="C295" s="218" t="str">
        <v/>
      </c>
      <c r="D295" s="218" t="str">
        <v/>
      </c>
      <c r="E295" s="218" t="str">
        <v/>
      </c>
      <c r="F295" s="218" t="str">
        <v/>
      </c>
      <c r="G295" s="402" t="str">
        <v/>
      </c>
      <c r="H295" s="381"/>
      <c r="I295" s="381"/>
      <c r="J295" s="381"/>
      <c r="K295" s="381"/>
      <c r="L295" s="381"/>
      <c r="M295" s="381"/>
      <c r="N295" s="381"/>
      <c r="O295" s="381"/>
      <c r="P295" s="381"/>
      <c r="Q295" s="381"/>
      <c r="R295" s="381"/>
      <c r="S295" s="381"/>
      <c r="T295" s="381"/>
      <c r="U295" s="381"/>
      <c r="V295" s="381"/>
      <c r="W295" s="381"/>
      <c r="X295" s="381"/>
      <c r="Y295" s="381"/>
      <c r="Z295" s="381"/>
      <c r="AA295" s="381"/>
      <c r="AB295" s="381"/>
      <c r="AC295" s="381"/>
      <c r="AD295" s="381"/>
      <c r="AE295" s="381"/>
      <c r="AF295" s="381"/>
      <c r="AG295" s="381"/>
      <c r="AH295" s="381"/>
      <c r="AI295" s="381"/>
      <c r="AJ295" s="381"/>
      <c r="AK295" s="381"/>
      <c r="AL295" s="381"/>
      <c r="AM295" s="381"/>
      <c r="AN295" s="381"/>
      <c r="AO295" s="381"/>
      <c r="AP295" s="381"/>
      <c r="AQ295" s="381"/>
      <c r="AR295" s="381"/>
      <c r="AS295" s="381"/>
      <c r="AT295" s="381"/>
      <c r="AU295" s="381"/>
      <c r="AV295" s="381"/>
      <c r="AW295" s="381"/>
      <c r="AX295" s="381"/>
      <c r="AY295" s="381"/>
      <c r="AZ295" s="381"/>
      <c r="BA295" s="381"/>
      <c r="BB295" s="381"/>
      <c r="BC295" s="381"/>
      <c r="BD295" s="381"/>
      <c r="BE295" s="381"/>
      <c r="BF295" s="381"/>
      <c r="BG295" s="381"/>
      <c r="BH295" s="381"/>
      <c r="BI295" s="381"/>
      <c r="BJ295" s="381"/>
      <c r="BK295" s="381"/>
      <c r="BL295" s="381"/>
      <c r="BM295" s="381"/>
      <c r="BN295" s="381"/>
      <c r="BO295" s="381"/>
      <c r="BP295" s="381"/>
      <c r="BQ295" s="381"/>
      <c r="BR295" s="381"/>
      <c r="BS295" s="381"/>
      <c r="BT295" s="381"/>
      <c r="BU295" s="381"/>
      <c r="BV295" s="381"/>
      <c r="BW295" s="381"/>
      <c r="BX295" s="381"/>
      <c r="BY295" s="381"/>
      <c r="BZ295" s="381"/>
      <c r="CA295" s="381"/>
      <c r="CB295" s="381"/>
      <c r="CC295" s="381"/>
      <c r="CD295" s="381"/>
      <c r="CE295" s="381"/>
      <c r="CF295" s="381"/>
      <c r="CG295" s="381"/>
      <c r="CH295" s="381"/>
      <c r="CI295" s="381"/>
      <c r="CJ295" s="381"/>
      <c r="CK295" s="381"/>
      <c r="CL295" s="381"/>
      <c r="CM295" s="381"/>
      <c r="CN295" s="381"/>
      <c r="CO295" s="381"/>
      <c r="CP295" s="381"/>
      <c r="CQ295" s="381"/>
      <c r="CR295" s="381"/>
      <c r="CS295" s="381"/>
      <c r="CT295" s="381"/>
      <c r="CU295" s="381"/>
      <c r="CV295" s="381"/>
      <c r="CW295" s="381"/>
      <c r="CX295" s="381"/>
      <c r="CY295" s="381"/>
      <c r="CZ295" s="381"/>
      <c r="DA295" s="381"/>
      <c r="DB295" s="381"/>
      <c r="DC295" s="381"/>
      <c r="DD295" s="381"/>
      <c r="DE295" s="381"/>
      <c r="DF295" s="381"/>
      <c r="DG295" s="381"/>
      <c r="DH295" s="381"/>
      <c r="DI295" s="381"/>
      <c r="DJ295" s="381"/>
      <c r="DK295" s="381"/>
      <c r="DL295" s="381"/>
      <c r="DM295" s="381"/>
      <c r="DN295" s="381"/>
      <c r="DO295" s="381"/>
      <c r="DP295" s="381"/>
      <c r="DQ295" s="381"/>
      <c r="DR295" s="381"/>
      <c r="DS295" s="381"/>
      <c r="DT295" s="381"/>
      <c r="DU295" s="381"/>
      <c r="DV295" s="381"/>
      <c r="DW295" s="277"/>
      <c r="DX295" s="381"/>
      <c r="DY295" s="381"/>
      <c r="DZ295" s="381"/>
      <c r="EA295" s="381"/>
      <c r="EB295" s="381"/>
      <c r="EC295" s="381"/>
      <c r="ED295" s="381"/>
      <c r="EE295" s="381"/>
      <c r="EF295" s="381"/>
      <c r="EG295" s="381"/>
      <c r="EH295" s="381"/>
      <c r="EI295" s="381"/>
      <c r="EJ295" s="381"/>
      <c r="EK295" s="381"/>
      <c r="EL295" s="381"/>
      <c r="EM295" s="381"/>
      <c r="EN295" s="381"/>
      <c r="EO295" s="381"/>
      <c r="EP295" s="381"/>
      <c r="EQ295" s="381"/>
      <c r="ER295" s="277"/>
      <c r="ES295" s="381"/>
      <c r="ET295" s="381"/>
      <c r="EU295" s="381"/>
      <c r="EV295" s="381"/>
      <c r="EW295" s="381"/>
      <c r="EX295" s="381"/>
      <c r="EY295" s="381"/>
      <c r="EZ295" s="381"/>
      <c r="FA295" s="381"/>
      <c r="FB295" s="381"/>
      <c r="FC295" s="381"/>
      <c r="FD295" s="381"/>
      <c r="FE295" s="381"/>
      <c r="FF295" s="381"/>
      <c r="FG295" s="381"/>
      <c r="FH295" s="381"/>
      <c r="FI295" s="381"/>
      <c r="FJ295" s="381"/>
      <c r="FK295" s="381"/>
      <c r="FL295" s="381"/>
      <c r="FM295" s="381"/>
      <c r="FN295" s="381"/>
      <c r="FO295" s="381"/>
      <c r="FP295" s="381"/>
      <c r="FQ295" s="381"/>
      <c r="FR295" s="381"/>
      <c r="FS295" s="381"/>
      <c r="FT295" s="381"/>
      <c r="FU295" s="381"/>
      <c r="FV295" s="381"/>
      <c r="FW295" s="381"/>
      <c r="FX295" s="381"/>
      <c r="FY295" s="381"/>
      <c r="FZ295" s="381"/>
      <c r="GA295" s="381"/>
      <c r="GB295" s="381"/>
      <c r="GC295" s="381"/>
      <c r="GD295" s="381"/>
      <c r="GE295" s="381"/>
      <c r="GF295" s="381"/>
      <c r="GG295" s="381"/>
      <c r="GH295" s="381"/>
      <c r="GI295" s="381"/>
      <c r="GJ295" s="381"/>
      <c r="GK295" s="381"/>
      <c r="GL295" s="381"/>
      <c r="GM295" s="381"/>
      <c r="GN295" s="381"/>
      <c r="GO295" s="381"/>
      <c r="GP295" s="381"/>
      <c r="GQ295" s="381"/>
      <c r="GR295" s="381"/>
      <c r="GS295" s="381"/>
      <c r="GT295" s="381"/>
      <c r="GU295" s="381"/>
      <c r="GV295" s="381"/>
      <c r="GW295" s="381"/>
      <c r="GX295" s="381"/>
      <c r="GY295" s="381"/>
      <c r="GZ295" s="381"/>
      <c r="HA295" s="381"/>
      <c r="HB295" s="381"/>
      <c r="HC295" s="381"/>
      <c r="HD295" s="381"/>
      <c r="HE295" s="381"/>
      <c r="HF295" s="381"/>
      <c r="HG295" s="381"/>
      <c r="HH295" s="381"/>
      <c r="HI295" s="381"/>
      <c r="HJ295" s="381"/>
      <c r="HK295" s="381"/>
      <c r="HL295" s="381"/>
      <c r="HM295" s="381"/>
      <c r="HN295" s="381"/>
      <c r="HO295" s="381"/>
      <c r="HP295" s="381"/>
      <c r="HQ295" s="381"/>
      <c r="HR295" s="381"/>
      <c r="HS295" s="381"/>
      <c r="HT295" s="381"/>
      <c r="HU295" s="381"/>
      <c r="HV295" s="381"/>
      <c r="HW295" s="381"/>
      <c r="HX295" s="381"/>
      <c r="HY295" s="381"/>
      <c r="HZ295" s="381"/>
      <c r="IA295" s="381"/>
      <c r="IB295" s="381"/>
      <c r="IC295" s="381"/>
      <c r="ID295" s="381"/>
      <c r="IE295" s="381"/>
      <c r="IF295" s="381"/>
      <c r="IG295" s="381"/>
      <c r="IH295" s="381"/>
      <c r="II295" s="381"/>
      <c r="IJ295" s="381"/>
      <c r="IK295" s="381"/>
      <c r="IL295" s="381"/>
      <c r="IM295" s="381"/>
      <c r="IN295" s="381"/>
      <c r="IO295" s="381"/>
      <c r="IP295" s="381"/>
      <c r="IQ295" s="381"/>
      <c r="IR295" s="381"/>
      <c r="IS295" s="381"/>
      <c r="IT295" s="381"/>
      <c r="IU295" s="381"/>
      <c r="IV295" s="381"/>
      <c r="IW295" s="381"/>
      <c r="IX295" s="381"/>
      <c r="IY295" s="381"/>
      <c r="IZ295" s="381"/>
      <c r="JA295" s="381"/>
      <c r="JB295" s="381"/>
      <c r="JC295" s="381"/>
      <c r="JD295" s="381"/>
      <c r="JE295" s="381"/>
      <c r="JF295" s="381"/>
      <c r="JG295" s="277"/>
      <c r="JH295" s="381"/>
      <c r="JI295" s="381"/>
      <c r="JJ295" s="381"/>
      <c r="JK295" s="381"/>
      <c r="JL295" s="381"/>
      <c r="JM295" s="381"/>
      <c r="JN295" s="381"/>
      <c r="JO295" s="381"/>
      <c r="JP295" s="381"/>
      <c r="JQ295" s="381"/>
      <c r="JR295" s="381"/>
      <c r="JS295" s="381"/>
      <c r="JT295" s="381"/>
      <c r="JU295" s="381"/>
      <c r="JV295" s="381"/>
      <c r="JW295" s="381"/>
      <c r="JX295" s="381"/>
      <c r="JY295" s="381"/>
      <c r="JZ295" s="381"/>
      <c r="KA295" s="381"/>
      <c r="KB295" s="277"/>
    </row>
    <row r="296" spans="2:288" ht="15" customHeight="1" x14ac:dyDescent="0.25">
      <c r="B296" s="216" t="str">
        <f t="shared" si="23"/>
        <v>Desk 80</v>
      </c>
      <c r="C296" s="218" t="str">
        <v/>
      </c>
      <c r="D296" s="218" t="str">
        <v/>
      </c>
      <c r="E296" s="218" t="str">
        <v/>
      </c>
      <c r="F296" s="218" t="str">
        <v/>
      </c>
      <c r="G296" s="402" t="str">
        <v/>
      </c>
      <c r="H296" s="381"/>
      <c r="I296" s="381"/>
      <c r="J296" s="381"/>
      <c r="K296" s="381"/>
      <c r="L296" s="381"/>
      <c r="M296" s="381"/>
      <c r="N296" s="381"/>
      <c r="O296" s="381"/>
      <c r="P296" s="381"/>
      <c r="Q296" s="381"/>
      <c r="R296" s="381"/>
      <c r="S296" s="381"/>
      <c r="T296" s="381"/>
      <c r="U296" s="381"/>
      <c r="V296" s="381"/>
      <c r="W296" s="381"/>
      <c r="X296" s="381"/>
      <c r="Y296" s="381"/>
      <c r="Z296" s="381"/>
      <c r="AA296" s="381"/>
      <c r="AB296" s="381"/>
      <c r="AC296" s="381"/>
      <c r="AD296" s="381"/>
      <c r="AE296" s="381"/>
      <c r="AF296" s="381"/>
      <c r="AG296" s="381"/>
      <c r="AH296" s="381"/>
      <c r="AI296" s="381"/>
      <c r="AJ296" s="381"/>
      <c r="AK296" s="381"/>
      <c r="AL296" s="381"/>
      <c r="AM296" s="381"/>
      <c r="AN296" s="381"/>
      <c r="AO296" s="381"/>
      <c r="AP296" s="381"/>
      <c r="AQ296" s="381"/>
      <c r="AR296" s="381"/>
      <c r="AS296" s="381"/>
      <c r="AT296" s="381"/>
      <c r="AU296" s="381"/>
      <c r="AV296" s="381"/>
      <c r="AW296" s="381"/>
      <c r="AX296" s="381"/>
      <c r="AY296" s="381"/>
      <c r="AZ296" s="381"/>
      <c r="BA296" s="381"/>
      <c r="BB296" s="381"/>
      <c r="BC296" s="381"/>
      <c r="BD296" s="381"/>
      <c r="BE296" s="381"/>
      <c r="BF296" s="381"/>
      <c r="BG296" s="381"/>
      <c r="BH296" s="381"/>
      <c r="BI296" s="381"/>
      <c r="BJ296" s="381"/>
      <c r="BK296" s="381"/>
      <c r="BL296" s="381"/>
      <c r="BM296" s="381"/>
      <c r="BN296" s="381"/>
      <c r="BO296" s="381"/>
      <c r="BP296" s="381"/>
      <c r="BQ296" s="381"/>
      <c r="BR296" s="381"/>
      <c r="BS296" s="381"/>
      <c r="BT296" s="381"/>
      <c r="BU296" s="381"/>
      <c r="BV296" s="381"/>
      <c r="BW296" s="381"/>
      <c r="BX296" s="381"/>
      <c r="BY296" s="381"/>
      <c r="BZ296" s="381"/>
      <c r="CA296" s="381"/>
      <c r="CB296" s="381"/>
      <c r="CC296" s="381"/>
      <c r="CD296" s="381"/>
      <c r="CE296" s="381"/>
      <c r="CF296" s="381"/>
      <c r="CG296" s="381"/>
      <c r="CH296" s="381"/>
      <c r="CI296" s="381"/>
      <c r="CJ296" s="381"/>
      <c r="CK296" s="381"/>
      <c r="CL296" s="381"/>
      <c r="CM296" s="381"/>
      <c r="CN296" s="381"/>
      <c r="CO296" s="381"/>
      <c r="CP296" s="381"/>
      <c r="CQ296" s="381"/>
      <c r="CR296" s="381"/>
      <c r="CS296" s="381"/>
      <c r="CT296" s="381"/>
      <c r="CU296" s="381"/>
      <c r="CV296" s="381"/>
      <c r="CW296" s="381"/>
      <c r="CX296" s="381"/>
      <c r="CY296" s="381"/>
      <c r="CZ296" s="381"/>
      <c r="DA296" s="381"/>
      <c r="DB296" s="381"/>
      <c r="DC296" s="381"/>
      <c r="DD296" s="381"/>
      <c r="DE296" s="381"/>
      <c r="DF296" s="381"/>
      <c r="DG296" s="381"/>
      <c r="DH296" s="381"/>
      <c r="DI296" s="381"/>
      <c r="DJ296" s="381"/>
      <c r="DK296" s="381"/>
      <c r="DL296" s="381"/>
      <c r="DM296" s="381"/>
      <c r="DN296" s="381"/>
      <c r="DO296" s="381"/>
      <c r="DP296" s="381"/>
      <c r="DQ296" s="381"/>
      <c r="DR296" s="381"/>
      <c r="DS296" s="381"/>
      <c r="DT296" s="381"/>
      <c r="DU296" s="381"/>
      <c r="DV296" s="381"/>
      <c r="DW296" s="277"/>
      <c r="DX296" s="381"/>
      <c r="DY296" s="381"/>
      <c r="DZ296" s="381"/>
      <c r="EA296" s="381"/>
      <c r="EB296" s="381"/>
      <c r="EC296" s="381"/>
      <c r="ED296" s="381"/>
      <c r="EE296" s="381"/>
      <c r="EF296" s="381"/>
      <c r="EG296" s="381"/>
      <c r="EH296" s="381"/>
      <c r="EI296" s="381"/>
      <c r="EJ296" s="381"/>
      <c r="EK296" s="381"/>
      <c r="EL296" s="381"/>
      <c r="EM296" s="381"/>
      <c r="EN296" s="381"/>
      <c r="EO296" s="381"/>
      <c r="EP296" s="381"/>
      <c r="EQ296" s="381"/>
      <c r="ER296" s="277"/>
      <c r="ES296" s="381"/>
      <c r="ET296" s="381"/>
      <c r="EU296" s="381"/>
      <c r="EV296" s="381"/>
      <c r="EW296" s="381"/>
      <c r="EX296" s="381"/>
      <c r="EY296" s="381"/>
      <c r="EZ296" s="381"/>
      <c r="FA296" s="381"/>
      <c r="FB296" s="381"/>
      <c r="FC296" s="381"/>
      <c r="FD296" s="381"/>
      <c r="FE296" s="381"/>
      <c r="FF296" s="381"/>
      <c r="FG296" s="381"/>
      <c r="FH296" s="381"/>
      <c r="FI296" s="381"/>
      <c r="FJ296" s="381"/>
      <c r="FK296" s="381"/>
      <c r="FL296" s="381"/>
      <c r="FM296" s="381"/>
      <c r="FN296" s="381"/>
      <c r="FO296" s="381"/>
      <c r="FP296" s="381"/>
      <c r="FQ296" s="381"/>
      <c r="FR296" s="381"/>
      <c r="FS296" s="381"/>
      <c r="FT296" s="381"/>
      <c r="FU296" s="381"/>
      <c r="FV296" s="381"/>
      <c r="FW296" s="381"/>
      <c r="FX296" s="381"/>
      <c r="FY296" s="381"/>
      <c r="FZ296" s="381"/>
      <c r="GA296" s="381"/>
      <c r="GB296" s="381"/>
      <c r="GC296" s="381"/>
      <c r="GD296" s="381"/>
      <c r="GE296" s="381"/>
      <c r="GF296" s="381"/>
      <c r="GG296" s="381"/>
      <c r="GH296" s="381"/>
      <c r="GI296" s="381"/>
      <c r="GJ296" s="381"/>
      <c r="GK296" s="381"/>
      <c r="GL296" s="381"/>
      <c r="GM296" s="381"/>
      <c r="GN296" s="381"/>
      <c r="GO296" s="381"/>
      <c r="GP296" s="381"/>
      <c r="GQ296" s="381"/>
      <c r="GR296" s="381"/>
      <c r="GS296" s="381"/>
      <c r="GT296" s="381"/>
      <c r="GU296" s="381"/>
      <c r="GV296" s="381"/>
      <c r="GW296" s="381"/>
      <c r="GX296" s="381"/>
      <c r="GY296" s="381"/>
      <c r="GZ296" s="381"/>
      <c r="HA296" s="381"/>
      <c r="HB296" s="381"/>
      <c r="HC296" s="381"/>
      <c r="HD296" s="381"/>
      <c r="HE296" s="381"/>
      <c r="HF296" s="381"/>
      <c r="HG296" s="381"/>
      <c r="HH296" s="381"/>
      <c r="HI296" s="381"/>
      <c r="HJ296" s="381"/>
      <c r="HK296" s="381"/>
      <c r="HL296" s="381"/>
      <c r="HM296" s="381"/>
      <c r="HN296" s="381"/>
      <c r="HO296" s="381"/>
      <c r="HP296" s="381"/>
      <c r="HQ296" s="381"/>
      <c r="HR296" s="381"/>
      <c r="HS296" s="381"/>
      <c r="HT296" s="381"/>
      <c r="HU296" s="381"/>
      <c r="HV296" s="381"/>
      <c r="HW296" s="381"/>
      <c r="HX296" s="381"/>
      <c r="HY296" s="381"/>
      <c r="HZ296" s="381"/>
      <c r="IA296" s="381"/>
      <c r="IB296" s="381"/>
      <c r="IC296" s="381"/>
      <c r="ID296" s="381"/>
      <c r="IE296" s="381"/>
      <c r="IF296" s="381"/>
      <c r="IG296" s="381"/>
      <c r="IH296" s="381"/>
      <c r="II296" s="381"/>
      <c r="IJ296" s="381"/>
      <c r="IK296" s="381"/>
      <c r="IL296" s="381"/>
      <c r="IM296" s="381"/>
      <c r="IN296" s="381"/>
      <c r="IO296" s="381"/>
      <c r="IP296" s="381"/>
      <c r="IQ296" s="381"/>
      <c r="IR296" s="381"/>
      <c r="IS296" s="381"/>
      <c r="IT296" s="381"/>
      <c r="IU296" s="381"/>
      <c r="IV296" s="381"/>
      <c r="IW296" s="381"/>
      <c r="IX296" s="381"/>
      <c r="IY296" s="381"/>
      <c r="IZ296" s="381"/>
      <c r="JA296" s="381"/>
      <c r="JB296" s="381"/>
      <c r="JC296" s="381"/>
      <c r="JD296" s="381"/>
      <c r="JE296" s="381"/>
      <c r="JF296" s="381"/>
      <c r="JG296" s="277"/>
      <c r="JH296" s="381"/>
      <c r="JI296" s="381"/>
      <c r="JJ296" s="381"/>
      <c r="JK296" s="381"/>
      <c r="JL296" s="381"/>
      <c r="JM296" s="381"/>
      <c r="JN296" s="381"/>
      <c r="JO296" s="381"/>
      <c r="JP296" s="381"/>
      <c r="JQ296" s="381"/>
      <c r="JR296" s="381"/>
      <c r="JS296" s="381"/>
      <c r="JT296" s="381"/>
      <c r="JU296" s="381"/>
      <c r="JV296" s="381"/>
      <c r="JW296" s="381"/>
      <c r="JX296" s="381"/>
      <c r="JY296" s="381"/>
      <c r="JZ296" s="381"/>
      <c r="KA296" s="381"/>
      <c r="KB296" s="277"/>
    </row>
    <row r="297" spans="2:288" ht="15" customHeight="1" x14ac:dyDescent="0.25">
      <c r="B297" s="216" t="str">
        <f t="shared" si="23"/>
        <v>Desk 81</v>
      </c>
      <c r="C297" s="218" t="str">
        <v/>
      </c>
      <c r="D297" s="218" t="str">
        <v/>
      </c>
      <c r="E297" s="218" t="str">
        <v/>
      </c>
      <c r="F297" s="218" t="str">
        <v/>
      </c>
      <c r="G297" s="402" t="str">
        <v/>
      </c>
      <c r="H297" s="381"/>
      <c r="I297" s="381"/>
      <c r="J297" s="381"/>
      <c r="K297" s="381"/>
      <c r="L297" s="381"/>
      <c r="M297" s="381"/>
      <c r="N297" s="381"/>
      <c r="O297" s="381"/>
      <c r="P297" s="381"/>
      <c r="Q297" s="381"/>
      <c r="R297" s="381"/>
      <c r="S297" s="381"/>
      <c r="T297" s="381"/>
      <c r="U297" s="381"/>
      <c r="V297" s="381"/>
      <c r="W297" s="381"/>
      <c r="X297" s="381"/>
      <c r="Y297" s="381"/>
      <c r="Z297" s="381"/>
      <c r="AA297" s="381"/>
      <c r="AB297" s="381"/>
      <c r="AC297" s="381"/>
      <c r="AD297" s="381"/>
      <c r="AE297" s="381"/>
      <c r="AF297" s="381"/>
      <c r="AG297" s="381"/>
      <c r="AH297" s="381"/>
      <c r="AI297" s="381"/>
      <c r="AJ297" s="381"/>
      <c r="AK297" s="381"/>
      <c r="AL297" s="381"/>
      <c r="AM297" s="381"/>
      <c r="AN297" s="381"/>
      <c r="AO297" s="381"/>
      <c r="AP297" s="381"/>
      <c r="AQ297" s="381"/>
      <c r="AR297" s="381"/>
      <c r="AS297" s="381"/>
      <c r="AT297" s="381"/>
      <c r="AU297" s="381"/>
      <c r="AV297" s="381"/>
      <c r="AW297" s="381"/>
      <c r="AX297" s="381"/>
      <c r="AY297" s="381"/>
      <c r="AZ297" s="381"/>
      <c r="BA297" s="381"/>
      <c r="BB297" s="381"/>
      <c r="BC297" s="381"/>
      <c r="BD297" s="381"/>
      <c r="BE297" s="381"/>
      <c r="BF297" s="381"/>
      <c r="BG297" s="381"/>
      <c r="BH297" s="381"/>
      <c r="BI297" s="381"/>
      <c r="BJ297" s="381"/>
      <c r="BK297" s="381"/>
      <c r="BL297" s="381"/>
      <c r="BM297" s="381"/>
      <c r="BN297" s="381"/>
      <c r="BO297" s="381"/>
      <c r="BP297" s="381"/>
      <c r="BQ297" s="381"/>
      <c r="BR297" s="381"/>
      <c r="BS297" s="381"/>
      <c r="BT297" s="381"/>
      <c r="BU297" s="381"/>
      <c r="BV297" s="381"/>
      <c r="BW297" s="381"/>
      <c r="BX297" s="381"/>
      <c r="BY297" s="381"/>
      <c r="BZ297" s="381"/>
      <c r="CA297" s="381"/>
      <c r="CB297" s="381"/>
      <c r="CC297" s="381"/>
      <c r="CD297" s="381"/>
      <c r="CE297" s="381"/>
      <c r="CF297" s="381"/>
      <c r="CG297" s="381"/>
      <c r="CH297" s="381"/>
      <c r="CI297" s="381"/>
      <c r="CJ297" s="381"/>
      <c r="CK297" s="381"/>
      <c r="CL297" s="381"/>
      <c r="CM297" s="381"/>
      <c r="CN297" s="381"/>
      <c r="CO297" s="381"/>
      <c r="CP297" s="381"/>
      <c r="CQ297" s="381"/>
      <c r="CR297" s="381"/>
      <c r="CS297" s="381"/>
      <c r="CT297" s="381"/>
      <c r="CU297" s="381"/>
      <c r="CV297" s="381"/>
      <c r="CW297" s="381"/>
      <c r="CX297" s="381"/>
      <c r="CY297" s="381"/>
      <c r="CZ297" s="381"/>
      <c r="DA297" s="381"/>
      <c r="DB297" s="381"/>
      <c r="DC297" s="381"/>
      <c r="DD297" s="381"/>
      <c r="DE297" s="381"/>
      <c r="DF297" s="381"/>
      <c r="DG297" s="381"/>
      <c r="DH297" s="381"/>
      <c r="DI297" s="381"/>
      <c r="DJ297" s="381"/>
      <c r="DK297" s="381"/>
      <c r="DL297" s="381"/>
      <c r="DM297" s="381"/>
      <c r="DN297" s="381"/>
      <c r="DO297" s="381"/>
      <c r="DP297" s="381"/>
      <c r="DQ297" s="381"/>
      <c r="DR297" s="381"/>
      <c r="DS297" s="381"/>
      <c r="DT297" s="381"/>
      <c r="DU297" s="381"/>
      <c r="DV297" s="381"/>
      <c r="DW297" s="277"/>
      <c r="DX297" s="381"/>
      <c r="DY297" s="381"/>
      <c r="DZ297" s="381"/>
      <c r="EA297" s="381"/>
      <c r="EB297" s="381"/>
      <c r="EC297" s="381"/>
      <c r="ED297" s="381"/>
      <c r="EE297" s="381"/>
      <c r="EF297" s="381"/>
      <c r="EG297" s="381"/>
      <c r="EH297" s="381"/>
      <c r="EI297" s="381"/>
      <c r="EJ297" s="381"/>
      <c r="EK297" s="381"/>
      <c r="EL297" s="381"/>
      <c r="EM297" s="381"/>
      <c r="EN297" s="381"/>
      <c r="EO297" s="381"/>
      <c r="EP297" s="381"/>
      <c r="EQ297" s="381"/>
      <c r="ER297" s="277"/>
      <c r="ES297" s="381"/>
      <c r="ET297" s="381"/>
      <c r="EU297" s="381"/>
      <c r="EV297" s="381"/>
      <c r="EW297" s="381"/>
      <c r="EX297" s="381"/>
      <c r="EY297" s="381"/>
      <c r="EZ297" s="381"/>
      <c r="FA297" s="381"/>
      <c r="FB297" s="381"/>
      <c r="FC297" s="381"/>
      <c r="FD297" s="381"/>
      <c r="FE297" s="381"/>
      <c r="FF297" s="381"/>
      <c r="FG297" s="381"/>
      <c r="FH297" s="381"/>
      <c r="FI297" s="381"/>
      <c r="FJ297" s="381"/>
      <c r="FK297" s="381"/>
      <c r="FL297" s="381"/>
      <c r="FM297" s="381"/>
      <c r="FN297" s="381"/>
      <c r="FO297" s="381"/>
      <c r="FP297" s="381"/>
      <c r="FQ297" s="381"/>
      <c r="FR297" s="381"/>
      <c r="FS297" s="381"/>
      <c r="FT297" s="381"/>
      <c r="FU297" s="381"/>
      <c r="FV297" s="381"/>
      <c r="FW297" s="381"/>
      <c r="FX297" s="381"/>
      <c r="FY297" s="381"/>
      <c r="FZ297" s="381"/>
      <c r="GA297" s="381"/>
      <c r="GB297" s="381"/>
      <c r="GC297" s="381"/>
      <c r="GD297" s="381"/>
      <c r="GE297" s="381"/>
      <c r="GF297" s="381"/>
      <c r="GG297" s="381"/>
      <c r="GH297" s="381"/>
      <c r="GI297" s="381"/>
      <c r="GJ297" s="381"/>
      <c r="GK297" s="381"/>
      <c r="GL297" s="381"/>
      <c r="GM297" s="381"/>
      <c r="GN297" s="381"/>
      <c r="GO297" s="381"/>
      <c r="GP297" s="381"/>
      <c r="GQ297" s="381"/>
      <c r="GR297" s="381"/>
      <c r="GS297" s="381"/>
      <c r="GT297" s="381"/>
      <c r="GU297" s="381"/>
      <c r="GV297" s="381"/>
      <c r="GW297" s="381"/>
      <c r="GX297" s="381"/>
      <c r="GY297" s="381"/>
      <c r="GZ297" s="381"/>
      <c r="HA297" s="381"/>
      <c r="HB297" s="381"/>
      <c r="HC297" s="381"/>
      <c r="HD297" s="381"/>
      <c r="HE297" s="381"/>
      <c r="HF297" s="381"/>
      <c r="HG297" s="381"/>
      <c r="HH297" s="381"/>
      <c r="HI297" s="381"/>
      <c r="HJ297" s="381"/>
      <c r="HK297" s="381"/>
      <c r="HL297" s="381"/>
      <c r="HM297" s="381"/>
      <c r="HN297" s="381"/>
      <c r="HO297" s="381"/>
      <c r="HP297" s="381"/>
      <c r="HQ297" s="381"/>
      <c r="HR297" s="381"/>
      <c r="HS297" s="381"/>
      <c r="HT297" s="381"/>
      <c r="HU297" s="381"/>
      <c r="HV297" s="381"/>
      <c r="HW297" s="381"/>
      <c r="HX297" s="381"/>
      <c r="HY297" s="381"/>
      <c r="HZ297" s="381"/>
      <c r="IA297" s="381"/>
      <c r="IB297" s="381"/>
      <c r="IC297" s="381"/>
      <c r="ID297" s="381"/>
      <c r="IE297" s="381"/>
      <c r="IF297" s="381"/>
      <c r="IG297" s="381"/>
      <c r="IH297" s="381"/>
      <c r="II297" s="381"/>
      <c r="IJ297" s="381"/>
      <c r="IK297" s="381"/>
      <c r="IL297" s="381"/>
      <c r="IM297" s="381"/>
      <c r="IN297" s="381"/>
      <c r="IO297" s="381"/>
      <c r="IP297" s="381"/>
      <c r="IQ297" s="381"/>
      <c r="IR297" s="381"/>
      <c r="IS297" s="381"/>
      <c r="IT297" s="381"/>
      <c r="IU297" s="381"/>
      <c r="IV297" s="381"/>
      <c r="IW297" s="381"/>
      <c r="IX297" s="381"/>
      <c r="IY297" s="381"/>
      <c r="IZ297" s="381"/>
      <c r="JA297" s="381"/>
      <c r="JB297" s="381"/>
      <c r="JC297" s="381"/>
      <c r="JD297" s="381"/>
      <c r="JE297" s="381"/>
      <c r="JF297" s="381"/>
      <c r="JG297" s="277"/>
      <c r="JH297" s="381"/>
      <c r="JI297" s="381"/>
      <c r="JJ297" s="381"/>
      <c r="JK297" s="381"/>
      <c r="JL297" s="381"/>
      <c r="JM297" s="381"/>
      <c r="JN297" s="381"/>
      <c r="JO297" s="381"/>
      <c r="JP297" s="381"/>
      <c r="JQ297" s="381"/>
      <c r="JR297" s="381"/>
      <c r="JS297" s="381"/>
      <c r="JT297" s="381"/>
      <c r="JU297" s="381"/>
      <c r="JV297" s="381"/>
      <c r="JW297" s="381"/>
      <c r="JX297" s="381"/>
      <c r="JY297" s="381"/>
      <c r="JZ297" s="381"/>
      <c r="KA297" s="381"/>
      <c r="KB297" s="277"/>
    </row>
    <row r="298" spans="2:288" ht="15" customHeight="1" x14ac:dyDescent="0.25">
      <c r="B298" s="216" t="str">
        <f t="shared" si="23"/>
        <v>Desk 82</v>
      </c>
      <c r="C298" s="218" t="str">
        <v/>
      </c>
      <c r="D298" s="218" t="str">
        <v/>
      </c>
      <c r="E298" s="218" t="str">
        <v/>
      </c>
      <c r="F298" s="218" t="str">
        <v/>
      </c>
      <c r="G298" s="402" t="str">
        <v/>
      </c>
      <c r="H298" s="381"/>
      <c r="I298" s="381"/>
      <c r="J298" s="381"/>
      <c r="K298" s="381"/>
      <c r="L298" s="381"/>
      <c r="M298" s="381"/>
      <c r="N298" s="381"/>
      <c r="O298" s="381"/>
      <c r="P298" s="381"/>
      <c r="Q298" s="381"/>
      <c r="R298" s="381"/>
      <c r="S298" s="381"/>
      <c r="T298" s="381"/>
      <c r="U298" s="381"/>
      <c r="V298" s="381"/>
      <c r="W298" s="381"/>
      <c r="X298" s="381"/>
      <c r="Y298" s="381"/>
      <c r="Z298" s="381"/>
      <c r="AA298" s="381"/>
      <c r="AB298" s="381"/>
      <c r="AC298" s="381"/>
      <c r="AD298" s="381"/>
      <c r="AE298" s="381"/>
      <c r="AF298" s="381"/>
      <c r="AG298" s="381"/>
      <c r="AH298" s="381"/>
      <c r="AI298" s="381"/>
      <c r="AJ298" s="381"/>
      <c r="AK298" s="381"/>
      <c r="AL298" s="381"/>
      <c r="AM298" s="381"/>
      <c r="AN298" s="381"/>
      <c r="AO298" s="381"/>
      <c r="AP298" s="381"/>
      <c r="AQ298" s="381"/>
      <c r="AR298" s="381"/>
      <c r="AS298" s="381"/>
      <c r="AT298" s="381"/>
      <c r="AU298" s="381"/>
      <c r="AV298" s="381"/>
      <c r="AW298" s="381"/>
      <c r="AX298" s="381"/>
      <c r="AY298" s="381"/>
      <c r="AZ298" s="381"/>
      <c r="BA298" s="381"/>
      <c r="BB298" s="381"/>
      <c r="BC298" s="381"/>
      <c r="BD298" s="381"/>
      <c r="BE298" s="381"/>
      <c r="BF298" s="381"/>
      <c r="BG298" s="381"/>
      <c r="BH298" s="381"/>
      <c r="BI298" s="381"/>
      <c r="BJ298" s="381"/>
      <c r="BK298" s="381"/>
      <c r="BL298" s="381"/>
      <c r="BM298" s="381"/>
      <c r="BN298" s="381"/>
      <c r="BO298" s="381"/>
      <c r="BP298" s="381"/>
      <c r="BQ298" s="381"/>
      <c r="BR298" s="381"/>
      <c r="BS298" s="381"/>
      <c r="BT298" s="381"/>
      <c r="BU298" s="381"/>
      <c r="BV298" s="381"/>
      <c r="BW298" s="381"/>
      <c r="BX298" s="381"/>
      <c r="BY298" s="381"/>
      <c r="BZ298" s="381"/>
      <c r="CA298" s="381"/>
      <c r="CB298" s="381"/>
      <c r="CC298" s="381"/>
      <c r="CD298" s="381"/>
      <c r="CE298" s="381"/>
      <c r="CF298" s="381"/>
      <c r="CG298" s="381"/>
      <c r="CH298" s="381"/>
      <c r="CI298" s="381"/>
      <c r="CJ298" s="381"/>
      <c r="CK298" s="381"/>
      <c r="CL298" s="381"/>
      <c r="CM298" s="381"/>
      <c r="CN298" s="381"/>
      <c r="CO298" s="381"/>
      <c r="CP298" s="381"/>
      <c r="CQ298" s="381"/>
      <c r="CR298" s="381"/>
      <c r="CS298" s="381"/>
      <c r="CT298" s="381"/>
      <c r="CU298" s="381"/>
      <c r="CV298" s="381"/>
      <c r="CW298" s="381"/>
      <c r="CX298" s="381"/>
      <c r="CY298" s="381"/>
      <c r="CZ298" s="381"/>
      <c r="DA298" s="381"/>
      <c r="DB298" s="381"/>
      <c r="DC298" s="381"/>
      <c r="DD298" s="381"/>
      <c r="DE298" s="381"/>
      <c r="DF298" s="381"/>
      <c r="DG298" s="381"/>
      <c r="DH298" s="381"/>
      <c r="DI298" s="381"/>
      <c r="DJ298" s="381"/>
      <c r="DK298" s="381"/>
      <c r="DL298" s="381"/>
      <c r="DM298" s="381"/>
      <c r="DN298" s="381"/>
      <c r="DO298" s="381"/>
      <c r="DP298" s="381"/>
      <c r="DQ298" s="381"/>
      <c r="DR298" s="381"/>
      <c r="DS298" s="381"/>
      <c r="DT298" s="381"/>
      <c r="DU298" s="381"/>
      <c r="DV298" s="381"/>
      <c r="DW298" s="277"/>
      <c r="DX298" s="381"/>
      <c r="DY298" s="381"/>
      <c r="DZ298" s="381"/>
      <c r="EA298" s="381"/>
      <c r="EB298" s="381"/>
      <c r="EC298" s="381"/>
      <c r="ED298" s="381"/>
      <c r="EE298" s="381"/>
      <c r="EF298" s="381"/>
      <c r="EG298" s="381"/>
      <c r="EH298" s="381"/>
      <c r="EI298" s="381"/>
      <c r="EJ298" s="381"/>
      <c r="EK298" s="381"/>
      <c r="EL298" s="381"/>
      <c r="EM298" s="381"/>
      <c r="EN298" s="381"/>
      <c r="EO298" s="381"/>
      <c r="EP298" s="381"/>
      <c r="EQ298" s="381"/>
      <c r="ER298" s="277"/>
      <c r="ES298" s="381"/>
      <c r="ET298" s="381"/>
      <c r="EU298" s="381"/>
      <c r="EV298" s="381"/>
      <c r="EW298" s="381"/>
      <c r="EX298" s="381"/>
      <c r="EY298" s="381"/>
      <c r="EZ298" s="381"/>
      <c r="FA298" s="381"/>
      <c r="FB298" s="381"/>
      <c r="FC298" s="381"/>
      <c r="FD298" s="381"/>
      <c r="FE298" s="381"/>
      <c r="FF298" s="381"/>
      <c r="FG298" s="381"/>
      <c r="FH298" s="381"/>
      <c r="FI298" s="381"/>
      <c r="FJ298" s="381"/>
      <c r="FK298" s="381"/>
      <c r="FL298" s="381"/>
      <c r="FM298" s="381"/>
      <c r="FN298" s="381"/>
      <c r="FO298" s="381"/>
      <c r="FP298" s="381"/>
      <c r="FQ298" s="381"/>
      <c r="FR298" s="381"/>
      <c r="FS298" s="381"/>
      <c r="FT298" s="381"/>
      <c r="FU298" s="381"/>
      <c r="FV298" s="381"/>
      <c r="FW298" s="381"/>
      <c r="FX298" s="381"/>
      <c r="FY298" s="381"/>
      <c r="FZ298" s="381"/>
      <c r="GA298" s="381"/>
      <c r="GB298" s="381"/>
      <c r="GC298" s="381"/>
      <c r="GD298" s="381"/>
      <c r="GE298" s="381"/>
      <c r="GF298" s="381"/>
      <c r="GG298" s="381"/>
      <c r="GH298" s="381"/>
      <c r="GI298" s="381"/>
      <c r="GJ298" s="381"/>
      <c r="GK298" s="381"/>
      <c r="GL298" s="381"/>
      <c r="GM298" s="381"/>
      <c r="GN298" s="381"/>
      <c r="GO298" s="381"/>
      <c r="GP298" s="381"/>
      <c r="GQ298" s="381"/>
      <c r="GR298" s="381"/>
      <c r="GS298" s="381"/>
      <c r="GT298" s="381"/>
      <c r="GU298" s="381"/>
      <c r="GV298" s="381"/>
      <c r="GW298" s="381"/>
      <c r="GX298" s="381"/>
      <c r="GY298" s="381"/>
      <c r="GZ298" s="381"/>
      <c r="HA298" s="381"/>
      <c r="HB298" s="381"/>
      <c r="HC298" s="381"/>
      <c r="HD298" s="381"/>
      <c r="HE298" s="381"/>
      <c r="HF298" s="381"/>
      <c r="HG298" s="381"/>
      <c r="HH298" s="381"/>
      <c r="HI298" s="381"/>
      <c r="HJ298" s="381"/>
      <c r="HK298" s="381"/>
      <c r="HL298" s="381"/>
      <c r="HM298" s="381"/>
      <c r="HN298" s="381"/>
      <c r="HO298" s="381"/>
      <c r="HP298" s="381"/>
      <c r="HQ298" s="381"/>
      <c r="HR298" s="381"/>
      <c r="HS298" s="381"/>
      <c r="HT298" s="381"/>
      <c r="HU298" s="381"/>
      <c r="HV298" s="381"/>
      <c r="HW298" s="381"/>
      <c r="HX298" s="381"/>
      <c r="HY298" s="381"/>
      <c r="HZ298" s="381"/>
      <c r="IA298" s="381"/>
      <c r="IB298" s="381"/>
      <c r="IC298" s="381"/>
      <c r="ID298" s="381"/>
      <c r="IE298" s="381"/>
      <c r="IF298" s="381"/>
      <c r="IG298" s="381"/>
      <c r="IH298" s="381"/>
      <c r="II298" s="381"/>
      <c r="IJ298" s="381"/>
      <c r="IK298" s="381"/>
      <c r="IL298" s="381"/>
      <c r="IM298" s="381"/>
      <c r="IN298" s="381"/>
      <c r="IO298" s="381"/>
      <c r="IP298" s="381"/>
      <c r="IQ298" s="381"/>
      <c r="IR298" s="381"/>
      <c r="IS298" s="381"/>
      <c r="IT298" s="381"/>
      <c r="IU298" s="381"/>
      <c r="IV298" s="381"/>
      <c r="IW298" s="381"/>
      <c r="IX298" s="381"/>
      <c r="IY298" s="381"/>
      <c r="IZ298" s="381"/>
      <c r="JA298" s="381"/>
      <c r="JB298" s="381"/>
      <c r="JC298" s="381"/>
      <c r="JD298" s="381"/>
      <c r="JE298" s="381"/>
      <c r="JF298" s="381"/>
      <c r="JG298" s="277"/>
      <c r="JH298" s="381"/>
      <c r="JI298" s="381"/>
      <c r="JJ298" s="381"/>
      <c r="JK298" s="381"/>
      <c r="JL298" s="381"/>
      <c r="JM298" s="381"/>
      <c r="JN298" s="381"/>
      <c r="JO298" s="381"/>
      <c r="JP298" s="381"/>
      <c r="JQ298" s="381"/>
      <c r="JR298" s="381"/>
      <c r="JS298" s="381"/>
      <c r="JT298" s="381"/>
      <c r="JU298" s="381"/>
      <c r="JV298" s="381"/>
      <c r="JW298" s="381"/>
      <c r="JX298" s="381"/>
      <c r="JY298" s="381"/>
      <c r="JZ298" s="381"/>
      <c r="KA298" s="381"/>
      <c r="KB298" s="277"/>
    </row>
    <row r="299" spans="2:288" ht="15" customHeight="1" x14ac:dyDescent="0.25">
      <c r="B299" s="216" t="str">
        <f t="shared" si="23"/>
        <v>Desk 83</v>
      </c>
      <c r="C299" s="218" t="str">
        <v/>
      </c>
      <c r="D299" s="218" t="str">
        <v/>
      </c>
      <c r="E299" s="218" t="str">
        <v/>
      </c>
      <c r="F299" s="218" t="str">
        <v/>
      </c>
      <c r="G299" s="402" t="str">
        <v/>
      </c>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c r="AD299" s="381"/>
      <c r="AE299" s="381"/>
      <c r="AF299" s="381"/>
      <c r="AG299" s="381"/>
      <c r="AH299" s="381"/>
      <c r="AI299" s="381"/>
      <c r="AJ299" s="381"/>
      <c r="AK299" s="381"/>
      <c r="AL299" s="381"/>
      <c r="AM299" s="381"/>
      <c r="AN299" s="381"/>
      <c r="AO299" s="381"/>
      <c r="AP299" s="381"/>
      <c r="AQ299" s="381"/>
      <c r="AR299" s="381"/>
      <c r="AS299" s="381"/>
      <c r="AT299" s="381"/>
      <c r="AU299" s="381"/>
      <c r="AV299" s="381"/>
      <c r="AW299" s="381"/>
      <c r="AX299" s="381"/>
      <c r="AY299" s="381"/>
      <c r="AZ299" s="381"/>
      <c r="BA299" s="381"/>
      <c r="BB299" s="381"/>
      <c r="BC299" s="381"/>
      <c r="BD299" s="381"/>
      <c r="BE299" s="381"/>
      <c r="BF299" s="381"/>
      <c r="BG299" s="381"/>
      <c r="BH299" s="381"/>
      <c r="BI299" s="381"/>
      <c r="BJ299" s="381"/>
      <c r="BK299" s="381"/>
      <c r="BL299" s="381"/>
      <c r="BM299" s="381"/>
      <c r="BN299" s="381"/>
      <c r="BO299" s="381"/>
      <c r="BP299" s="381"/>
      <c r="BQ299" s="381"/>
      <c r="BR299" s="381"/>
      <c r="BS299" s="381"/>
      <c r="BT299" s="381"/>
      <c r="BU299" s="381"/>
      <c r="BV299" s="381"/>
      <c r="BW299" s="381"/>
      <c r="BX299" s="381"/>
      <c r="BY299" s="381"/>
      <c r="BZ299" s="381"/>
      <c r="CA299" s="381"/>
      <c r="CB299" s="381"/>
      <c r="CC299" s="381"/>
      <c r="CD299" s="381"/>
      <c r="CE299" s="381"/>
      <c r="CF299" s="381"/>
      <c r="CG299" s="381"/>
      <c r="CH299" s="381"/>
      <c r="CI299" s="381"/>
      <c r="CJ299" s="381"/>
      <c r="CK299" s="381"/>
      <c r="CL299" s="381"/>
      <c r="CM299" s="381"/>
      <c r="CN299" s="381"/>
      <c r="CO299" s="381"/>
      <c r="CP299" s="381"/>
      <c r="CQ299" s="381"/>
      <c r="CR299" s="381"/>
      <c r="CS299" s="381"/>
      <c r="CT299" s="381"/>
      <c r="CU299" s="381"/>
      <c r="CV299" s="381"/>
      <c r="CW299" s="381"/>
      <c r="CX299" s="381"/>
      <c r="CY299" s="381"/>
      <c r="CZ299" s="381"/>
      <c r="DA299" s="381"/>
      <c r="DB299" s="381"/>
      <c r="DC299" s="381"/>
      <c r="DD299" s="381"/>
      <c r="DE299" s="381"/>
      <c r="DF299" s="381"/>
      <c r="DG299" s="381"/>
      <c r="DH299" s="381"/>
      <c r="DI299" s="381"/>
      <c r="DJ299" s="381"/>
      <c r="DK299" s="381"/>
      <c r="DL299" s="381"/>
      <c r="DM299" s="381"/>
      <c r="DN299" s="381"/>
      <c r="DO299" s="381"/>
      <c r="DP299" s="381"/>
      <c r="DQ299" s="381"/>
      <c r="DR299" s="381"/>
      <c r="DS299" s="381"/>
      <c r="DT299" s="381"/>
      <c r="DU299" s="381"/>
      <c r="DV299" s="381"/>
      <c r="DW299" s="277"/>
      <c r="DX299" s="381"/>
      <c r="DY299" s="381"/>
      <c r="DZ299" s="381"/>
      <c r="EA299" s="381"/>
      <c r="EB299" s="381"/>
      <c r="EC299" s="381"/>
      <c r="ED299" s="381"/>
      <c r="EE299" s="381"/>
      <c r="EF299" s="381"/>
      <c r="EG299" s="381"/>
      <c r="EH299" s="381"/>
      <c r="EI299" s="381"/>
      <c r="EJ299" s="381"/>
      <c r="EK299" s="381"/>
      <c r="EL299" s="381"/>
      <c r="EM299" s="381"/>
      <c r="EN299" s="381"/>
      <c r="EO299" s="381"/>
      <c r="EP299" s="381"/>
      <c r="EQ299" s="381"/>
      <c r="ER299" s="277"/>
      <c r="ES299" s="381"/>
      <c r="ET299" s="381"/>
      <c r="EU299" s="381"/>
      <c r="EV299" s="381"/>
      <c r="EW299" s="381"/>
      <c r="EX299" s="381"/>
      <c r="EY299" s="381"/>
      <c r="EZ299" s="381"/>
      <c r="FA299" s="381"/>
      <c r="FB299" s="381"/>
      <c r="FC299" s="381"/>
      <c r="FD299" s="381"/>
      <c r="FE299" s="381"/>
      <c r="FF299" s="381"/>
      <c r="FG299" s="381"/>
      <c r="FH299" s="381"/>
      <c r="FI299" s="381"/>
      <c r="FJ299" s="381"/>
      <c r="FK299" s="381"/>
      <c r="FL299" s="381"/>
      <c r="FM299" s="381"/>
      <c r="FN299" s="381"/>
      <c r="FO299" s="381"/>
      <c r="FP299" s="381"/>
      <c r="FQ299" s="381"/>
      <c r="FR299" s="381"/>
      <c r="FS299" s="381"/>
      <c r="FT299" s="381"/>
      <c r="FU299" s="381"/>
      <c r="FV299" s="381"/>
      <c r="FW299" s="381"/>
      <c r="FX299" s="381"/>
      <c r="FY299" s="381"/>
      <c r="FZ299" s="381"/>
      <c r="GA299" s="381"/>
      <c r="GB299" s="381"/>
      <c r="GC299" s="381"/>
      <c r="GD299" s="381"/>
      <c r="GE299" s="381"/>
      <c r="GF299" s="381"/>
      <c r="GG299" s="381"/>
      <c r="GH299" s="381"/>
      <c r="GI299" s="381"/>
      <c r="GJ299" s="381"/>
      <c r="GK299" s="381"/>
      <c r="GL299" s="381"/>
      <c r="GM299" s="381"/>
      <c r="GN299" s="381"/>
      <c r="GO299" s="381"/>
      <c r="GP299" s="381"/>
      <c r="GQ299" s="381"/>
      <c r="GR299" s="381"/>
      <c r="GS299" s="381"/>
      <c r="GT299" s="381"/>
      <c r="GU299" s="381"/>
      <c r="GV299" s="381"/>
      <c r="GW299" s="381"/>
      <c r="GX299" s="381"/>
      <c r="GY299" s="381"/>
      <c r="GZ299" s="381"/>
      <c r="HA299" s="381"/>
      <c r="HB299" s="381"/>
      <c r="HC299" s="381"/>
      <c r="HD299" s="381"/>
      <c r="HE299" s="381"/>
      <c r="HF299" s="381"/>
      <c r="HG299" s="381"/>
      <c r="HH299" s="381"/>
      <c r="HI299" s="381"/>
      <c r="HJ299" s="381"/>
      <c r="HK299" s="381"/>
      <c r="HL299" s="381"/>
      <c r="HM299" s="381"/>
      <c r="HN299" s="381"/>
      <c r="HO299" s="381"/>
      <c r="HP299" s="381"/>
      <c r="HQ299" s="381"/>
      <c r="HR299" s="381"/>
      <c r="HS299" s="381"/>
      <c r="HT299" s="381"/>
      <c r="HU299" s="381"/>
      <c r="HV299" s="381"/>
      <c r="HW299" s="381"/>
      <c r="HX299" s="381"/>
      <c r="HY299" s="381"/>
      <c r="HZ299" s="381"/>
      <c r="IA299" s="381"/>
      <c r="IB299" s="381"/>
      <c r="IC299" s="381"/>
      <c r="ID299" s="381"/>
      <c r="IE299" s="381"/>
      <c r="IF299" s="381"/>
      <c r="IG299" s="381"/>
      <c r="IH299" s="381"/>
      <c r="II299" s="381"/>
      <c r="IJ299" s="381"/>
      <c r="IK299" s="381"/>
      <c r="IL299" s="381"/>
      <c r="IM299" s="381"/>
      <c r="IN299" s="381"/>
      <c r="IO299" s="381"/>
      <c r="IP299" s="381"/>
      <c r="IQ299" s="381"/>
      <c r="IR299" s="381"/>
      <c r="IS299" s="381"/>
      <c r="IT299" s="381"/>
      <c r="IU299" s="381"/>
      <c r="IV299" s="381"/>
      <c r="IW299" s="381"/>
      <c r="IX299" s="381"/>
      <c r="IY299" s="381"/>
      <c r="IZ299" s="381"/>
      <c r="JA299" s="381"/>
      <c r="JB299" s="381"/>
      <c r="JC299" s="381"/>
      <c r="JD299" s="381"/>
      <c r="JE299" s="381"/>
      <c r="JF299" s="381"/>
      <c r="JG299" s="277"/>
      <c r="JH299" s="381"/>
      <c r="JI299" s="381"/>
      <c r="JJ299" s="381"/>
      <c r="JK299" s="381"/>
      <c r="JL299" s="381"/>
      <c r="JM299" s="381"/>
      <c r="JN299" s="381"/>
      <c r="JO299" s="381"/>
      <c r="JP299" s="381"/>
      <c r="JQ299" s="381"/>
      <c r="JR299" s="381"/>
      <c r="JS299" s="381"/>
      <c r="JT299" s="381"/>
      <c r="JU299" s="381"/>
      <c r="JV299" s="381"/>
      <c r="JW299" s="381"/>
      <c r="JX299" s="381"/>
      <c r="JY299" s="381"/>
      <c r="JZ299" s="381"/>
      <c r="KA299" s="381"/>
      <c r="KB299" s="277"/>
    </row>
    <row r="300" spans="2:288" ht="15" customHeight="1" x14ac:dyDescent="0.25">
      <c r="B300" s="216" t="str">
        <f t="shared" si="23"/>
        <v>Desk 84</v>
      </c>
      <c r="C300" s="218" t="str">
        <v/>
      </c>
      <c r="D300" s="218" t="str">
        <v/>
      </c>
      <c r="E300" s="218" t="str">
        <v/>
      </c>
      <c r="F300" s="218" t="str">
        <v/>
      </c>
      <c r="G300" s="402" t="str">
        <v/>
      </c>
      <c r="H300" s="381"/>
      <c r="I300" s="381"/>
      <c r="J300" s="381"/>
      <c r="K300" s="381"/>
      <c r="L300" s="381"/>
      <c r="M300" s="381"/>
      <c r="N300" s="381"/>
      <c r="O300" s="381"/>
      <c r="P300" s="381"/>
      <c r="Q300" s="381"/>
      <c r="R300" s="381"/>
      <c r="S300" s="381"/>
      <c r="T300" s="381"/>
      <c r="U300" s="381"/>
      <c r="V300" s="381"/>
      <c r="W300" s="381"/>
      <c r="X300" s="381"/>
      <c r="Y300" s="381"/>
      <c r="Z300" s="381"/>
      <c r="AA300" s="381"/>
      <c r="AB300" s="381"/>
      <c r="AC300" s="381"/>
      <c r="AD300" s="381"/>
      <c r="AE300" s="381"/>
      <c r="AF300" s="381"/>
      <c r="AG300" s="381"/>
      <c r="AH300" s="381"/>
      <c r="AI300" s="381"/>
      <c r="AJ300" s="381"/>
      <c r="AK300" s="381"/>
      <c r="AL300" s="381"/>
      <c r="AM300" s="381"/>
      <c r="AN300" s="381"/>
      <c r="AO300" s="381"/>
      <c r="AP300" s="381"/>
      <c r="AQ300" s="381"/>
      <c r="AR300" s="381"/>
      <c r="AS300" s="381"/>
      <c r="AT300" s="381"/>
      <c r="AU300" s="381"/>
      <c r="AV300" s="381"/>
      <c r="AW300" s="381"/>
      <c r="AX300" s="381"/>
      <c r="AY300" s="381"/>
      <c r="AZ300" s="381"/>
      <c r="BA300" s="381"/>
      <c r="BB300" s="381"/>
      <c r="BC300" s="381"/>
      <c r="BD300" s="381"/>
      <c r="BE300" s="381"/>
      <c r="BF300" s="381"/>
      <c r="BG300" s="381"/>
      <c r="BH300" s="381"/>
      <c r="BI300" s="381"/>
      <c r="BJ300" s="381"/>
      <c r="BK300" s="381"/>
      <c r="BL300" s="381"/>
      <c r="BM300" s="381"/>
      <c r="BN300" s="381"/>
      <c r="BO300" s="381"/>
      <c r="BP300" s="381"/>
      <c r="BQ300" s="381"/>
      <c r="BR300" s="381"/>
      <c r="BS300" s="381"/>
      <c r="BT300" s="381"/>
      <c r="BU300" s="381"/>
      <c r="BV300" s="381"/>
      <c r="BW300" s="381"/>
      <c r="BX300" s="381"/>
      <c r="BY300" s="381"/>
      <c r="BZ300" s="381"/>
      <c r="CA300" s="381"/>
      <c r="CB300" s="381"/>
      <c r="CC300" s="381"/>
      <c r="CD300" s="381"/>
      <c r="CE300" s="381"/>
      <c r="CF300" s="381"/>
      <c r="CG300" s="381"/>
      <c r="CH300" s="381"/>
      <c r="CI300" s="381"/>
      <c r="CJ300" s="381"/>
      <c r="CK300" s="381"/>
      <c r="CL300" s="381"/>
      <c r="CM300" s="381"/>
      <c r="CN300" s="381"/>
      <c r="CO300" s="381"/>
      <c r="CP300" s="381"/>
      <c r="CQ300" s="381"/>
      <c r="CR300" s="381"/>
      <c r="CS300" s="381"/>
      <c r="CT300" s="381"/>
      <c r="CU300" s="381"/>
      <c r="CV300" s="381"/>
      <c r="CW300" s="381"/>
      <c r="CX300" s="381"/>
      <c r="CY300" s="381"/>
      <c r="CZ300" s="381"/>
      <c r="DA300" s="381"/>
      <c r="DB300" s="381"/>
      <c r="DC300" s="381"/>
      <c r="DD300" s="381"/>
      <c r="DE300" s="381"/>
      <c r="DF300" s="381"/>
      <c r="DG300" s="381"/>
      <c r="DH300" s="381"/>
      <c r="DI300" s="381"/>
      <c r="DJ300" s="381"/>
      <c r="DK300" s="381"/>
      <c r="DL300" s="381"/>
      <c r="DM300" s="381"/>
      <c r="DN300" s="381"/>
      <c r="DO300" s="381"/>
      <c r="DP300" s="381"/>
      <c r="DQ300" s="381"/>
      <c r="DR300" s="381"/>
      <c r="DS300" s="381"/>
      <c r="DT300" s="381"/>
      <c r="DU300" s="381"/>
      <c r="DV300" s="381"/>
      <c r="DW300" s="277"/>
      <c r="DX300" s="381"/>
      <c r="DY300" s="381"/>
      <c r="DZ300" s="381"/>
      <c r="EA300" s="381"/>
      <c r="EB300" s="381"/>
      <c r="EC300" s="381"/>
      <c r="ED300" s="381"/>
      <c r="EE300" s="381"/>
      <c r="EF300" s="381"/>
      <c r="EG300" s="381"/>
      <c r="EH300" s="381"/>
      <c r="EI300" s="381"/>
      <c r="EJ300" s="381"/>
      <c r="EK300" s="381"/>
      <c r="EL300" s="381"/>
      <c r="EM300" s="381"/>
      <c r="EN300" s="381"/>
      <c r="EO300" s="381"/>
      <c r="EP300" s="381"/>
      <c r="EQ300" s="381"/>
      <c r="ER300" s="277"/>
      <c r="ES300" s="381"/>
      <c r="ET300" s="381"/>
      <c r="EU300" s="381"/>
      <c r="EV300" s="381"/>
      <c r="EW300" s="381"/>
      <c r="EX300" s="381"/>
      <c r="EY300" s="381"/>
      <c r="EZ300" s="381"/>
      <c r="FA300" s="381"/>
      <c r="FB300" s="381"/>
      <c r="FC300" s="381"/>
      <c r="FD300" s="381"/>
      <c r="FE300" s="381"/>
      <c r="FF300" s="381"/>
      <c r="FG300" s="381"/>
      <c r="FH300" s="381"/>
      <c r="FI300" s="381"/>
      <c r="FJ300" s="381"/>
      <c r="FK300" s="381"/>
      <c r="FL300" s="381"/>
      <c r="FM300" s="381"/>
      <c r="FN300" s="381"/>
      <c r="FO300" s="381"/>
      <c r="FP300" s="381"/>
      <c r="FQ300" s="381"/>
      <c r="FR300" s="381"/>
      <c r="FS300" s="381"/>
      <c r="FT300" s="381"/>
      <c r="FU300" s="381"/>
      <c r="FV300" s="381"/>
      <c r="FW300" s="381"/>
      <c r="FX300" s="381"/>
      <c r="FY300" s="381"/>
      <c r="FZ300" s="381"/>
      <c r="GA300" s="381"/>
      <c r="GB300" s="381"/>
      <c r="GC300" s="381"/>
      <c r="GD300" s="381"/>
      <c r="GE300" s="381"/>
      <c r="GF300" s="381"/>
      <c r="GG300" s="381"/>
      <c r="GH300" s="381"/>
      <c r="GI300" s="381"/>
      <c r="GJ300" s="381"/>
      <c r="GK300" s="381"/>
      <c r="GL300" s="381"/>
      <c r="GM300" s="381"/>
      <c r="GN300" s="381"/>
      <c r="GO300" s="381"/>
      <c r="GP300" s="381"/>
      <c r="GQ300" s="381"/>
      <c r="GR300" s="381"/>
      <c r="GS300" s="381"/>
      <c r="GT300" s="381"/>
      <c r="GU300" s="381"/>
      <c r="GV300" s="381"/>
      <c r="GW300" s="381"/>
      <c r="GX300" s="381"/>
      <c r="GY300" s="381"/>
      <c r="GZ300" s="381"/>
      <c r="HA300" s="381"/>
      <c r="HB300" s="381"/>
      <c r="HC300" s="381"/>
      <c r="HD300" s="381"/>
      <c r="HE300" s="381"/>
      <c r="HF300" s="381"/>
      <c r="HG300" s="381"/>
      <c r="HH300" s="381"/>
      <c r="HI300" s="381"/>
      <c r="HJ300" s="381"/>
      <c r="HK300" s="381"/>
      <c r="HL300" s="381"/>
      <c r="HM300" s="381"/>
      <c r="HN300" s="381"/>
      <c r="HO300" s="381"/>
      <c r="HP300" s="381"/>
      <c r="HQ300" s="381"/>
      <c r="HR300" s="381"/>
      <c r="HS300" s="381"/>
      <c r="HT300" s="381"/>
      <c r="HU300" s="381"/>
      <c r="HV300" s="381"/>
      <c r="HW300" s="381"/>
      <c r="HX300" s="381"/>
      <c r="HY300" s="381"/>
      <c r="HZ300" s="381"/>
      <c r="IA300" s="381"/>
      <c r="IB300" s="381"/>
      <c r="IC300" s="381"/>
      <c r="ID300" s="381"/>
      <c r="IE300" s="381"/>
      <c r="IF300" s="381"/>
      <c r="IG300" s="381"/>
      <c r="IH300" s="381"/>
      <c r="II300" s="381"/>
      <c r="IJ300" s="381"/>
      <c r="IK300" s="381"/>
      <c r="IL300" s="381"/>
      <c r="IM300" s="381"/>
      <c r="IN300" s="381"/>
      <c r="IO300" s="381"/>
      <c r="IP300" s="381"/>
      <c r="IQ300" s="381"/>
      <c r="IR300" s="381"/>
      <c r="IS300" s="381"/>
      <c r="IT300" s="381"/>
      <c r="IU300" s="381"/>
      <c r="IV300" s="381"/>
      <c r="IW300" s="381"/>
      <c r="IX300" s="381"/>
      <c r="IY300" s="381"/>
      <c r="IZ300" s="381"/>
      <c r="JA300" s="381"/>
      <c r="JB300" s="381"/>
      <c r="JC300" s="381"/>
      <c r="JD300" s="381"/>
      <c r="JE300" s="381"/>
      <c r="JF300" s="381"/>
      <c r="JG300" s="277"/>
      <c r="JH300" s="381"/>
      <c r="JI300" s="381"/>
      <c r="JJ300" s="381"/>
      <c r="JK300" s="381"/>
      <c r="JL300" s="381"/>
      <c r="JM300" s="381"/>
      <c r="JN300" s="381"/>
      <c r="JO300" s="381"/>
      <c r="JP300" s="381"/>
      <c r="JQ300" s="381"/>
      <c r="JR300" s="381"/>
      <c r="JS300" s="381"/>
      <c r="JT300" s="381"/>
      <c r="JU300" s="381"/>
      <c r="JV300" s="381"/>
      <c r="JW300" s="381"/>
      <c r="JX300" s="381"/>
      <c r="JY300" s="381"/>
      <c r="JZ300" s="381"/>
      <c r="KA300" s="381"/>
      <c r="KB300" s="277"/>
    </row>
    <row r="301" spans="2:288" ht="15" customHeight="1" x14ac:dyDescent="0.25">
      <c r="B301" s="216" t="str">
        <f t="shared" si="23"/>
        <v>Desk 85</v>
      </c>
      <c r="C301" s="218" t="str">
        <v/>
      </c>
      <c r="D301" s="218" t="str">
        <v/>
      </c>
      <c r="E301" s="218" t="str">
        <v/>
      </c>
      <c r="F301" s="218" t="str">
        <v/>
      </c>
      <c r="G301" s="402" t="str">
        <v/>
      </c>
      <c r="H301" s="381"/>
      <c r="I301" s="381"/>
      <c r="J301" s="381"/>
      <c r="K301" s="381"/>
      <c r="L301" s="381"/>
      <c r="M301" s="381"/>
      <c r="N301" s="381"/>
      <c r="O301" s="381"/>
      <c r="P301" s="381"/>
      <c r="Q301" s="381"/>
      <c r="R301" s="381"/>
      <c r="S301" s="381"/>
      <c r="T301" s="381"/>
      <c r="U301" s="381"/>
      <c r="V301" s="381"/>
      <c r="W301" s="381"/>
      <c r="X301" s="381"/>
      <c r="Y301" s="381"/>
      <c r="Z301" s="381"/>
      <c r="AA301" s="381"/>
      <c r="AB301" s="381"/>
      <c r="AC301" s="381"/>
      <c r="AD301" s="381"/>
      <c r="AE301" s="381"/>
      <c r="AF301" s="381"/>
      <c r="AG301" s="381"/>
      <c r="AH301" s="381"/>
      <c r="AI301" s="381"/>
      <c r="AJ301" s="381"/>
      <c r="AK301" s="381"/>
      <c r="AL301" s="381"/>
      <c r="AM301" s="381"/>
      <c r="AN301" s="381"/>
      <c r="AO301" s="381"/>
      <c r="AP301" s="381"/>
      <c r="AQ301" s="381"/>
      <c r="AR301" s="381"/>
      <c r="AS301" s="381"/>
      <c r="AT301" s="381"/>
      <c r="AU301" s="381"/>
      <c r="AV301" s="381"/>
      <c r="AW301" s="381"/>
      <c r="AX301" s="381"/>
      <c r="AY301" s="381"/>
      <c r="AZ301" s="381"/>
      <c r="BA301" s="381"/>
      <c r="BB301" s="381"/>
      <c r="BC301" s="381"/>
      <c r="BD301" s="381"/>
      <c r="BE301" s="381"/>
      <c r="BF301" s="381"/>
      <c r="BG301" s="381"/>
      <c r="BH301" s="381"/>
      <c r="BI301" s="381"/>
      <c r="BJ301" s="381"/>
      <c r="BK301" s="381"/>
      <c r="BL301" s="381"/>
      <c r="BM301" s="381"/>
      <c r="BN301" s="381"/>
      <c r="BO301" s="381"/>
      <c r="BP301" s="381"/>
      <c r="BQ301" s="381"/>
      <c r="BR301" s="381"/>
      <c r="BS301" s="381"/>
      <c r="BT301" s="381"/>
      <c r="BU301" s="381"/>
      <c r="BV301" s="381"/>
      <c r="BW301" s="381"/>
      <c r="BX301" s="381"/>
      <c r="BY301" s="381"/>
      <c r="BZ301" s="381"/>
      <c r="CA301" s="381"/>
      <c r="CB301" s="381"/>
      <c r="CC301" s="381"/>
      <c r="CD301" s="381"/>
      <c r="CE301" s="381"/>
      <c r="CF301" s="381"/>
      <c r="CG301" s="381"/>
      <c r="CH301" s="381"/>
      <c r="CI301" s="381"/>
      <c r="CJ301" s="381"/>
      <c r="CK301" s="381"/>
      <c r="CL301" s="381"/>
      <c r="CM301" s="381"/>
      <c r="CN301" s="381"/>
      <c r="CO301" s="381"/>
      <c r="CP301" s="381"/>
      <c r="CQ301" s="381"/>
      <c r="CR301" s="381"/>
      <c r="CS301" s="381"/>
      <c r="CT301" s="381"/>
      <c r="CU301" s="381"/>
      <c r="CV301" s="381"/>
      <c r="CW301" s="381"/>
      <c r="CX301" s="381"/>
      <c r="CY301" s="381"/>
      <c r="CZ301" s="381"/>
      <c r="DA301" s="381"/>
      <c r="DB301" s="381"/>
      <c r="DC301" s="381"/>
      <c r="DD301" s="381"/>
      <c r="DE301" s="381"/>
      <c r="DF301" s="381"/>
      <c r="DG301" s="381"/>
      <c r="DH301" s="381"/>
      <c r="DI301" s="381"/>
      <c r="DJ301" s="381"/>
      <c r="DK301" s="381"/>
      <c r="DL301" s="381"/>
      <c r="DM301" s="381"/>
      <c r="DN301" s="381"/>
      <c r="DO301" s="381"/>
      <c r="DP301" s="381"/>
      <c r="DQ301" s="381"/>
      <c r="DR301" s="381"/>
      <c r="DS301" s="381"/>
      <c r="DT301" s="381"/>
      <c r="DU301" s="381"/>
      <c r="DV301" s="381"/>
      <c r="DW301" s="277"/>
      <c r="DX301" s="381"/>
      <c r="DY301" s="381"/>
      <c r="DZ301" s="381"/>
      <c r="EA301" s="381"/>
      <c r="EB301" s="381"/>
      <c r="EC301" s="381"/>
      <c r="ED301" s="381"/>
      <c r="EE301" s="381"/>
      <c r="EF301" s="381"/>
      <c r="EG301" s="381"/>
      <c r="EH301" s="381"/>
      <c r="EI301" s="381"/>
      <c r="EJ301" s="381"/>
      <c r="EK301" s="381"/>
      <c r="EL301" s="381"/>
      <c r="EM301" s="381"/>
      <c r="EN301" s="381"/>
      <c r="EO301" s="381"/>
      <c r="EP301" s="381"/>
      <c r="EQ301" s="381"/>
      <c r="ER301" s="277"/>
      <c r="ES301" s="381"/>
      <c r="ET301" s="381"/>
      <c r="EU301" s="381"/>
      <c r="EV301" s="381"/>
      <c r="EW301" s="381"/>
      <c r="EX301" s="381"/>
      <c r="EY301" s="381"/>
      <c r="EZ301" s="381"/>
      <c r="FA301" s="381"/>
      <c r="FB301" s="381"/>
      <c r="FC301" s="381"/>
      <c r="FD301" s="381"/>
      <c r="FE301" s="381"/>
      <c r="FF301" s="381"/>
      <c r="FG301" s="381"/>
      <c r="FH301" s="381"/>
      <c r="FI301" s="381"/>
      <c r="FJ301" s="381"/>
      <c r="FK301" s="381"/>
      <c r="FL301" s="381"/>
      <c r="FM301" s="381"/>
      <c r="FN301" s="381"/>
      <c r="FO301" s="381"/>
      <c r="FP301" s="381"/>
      <c r="FQ301" s="381"/>
      <c r="FR301" s="381"/>
      <c r="FS301" s="381"/>
      <c r="FT301" s="381"/>
      <c r="FU301" s="381"/>
      <c r="FV301" s="381"/>
      <c r="FW301" s="381"/>
      <c r="FX301" s="381"/>
      <c r="FY301" s="381"/>
      <c r="FZ301" s="381"/>
      <c r="GA301" s="381"/>
      <c r="GB301" s="381"/>
      <c r="GC301" s="381"/>
      <c r="GD301" s="381"/>
      <c r="GE301" s="381"/>
      <c r="GF301" s="381"/>
      <c r="GG301" s="381"/>
      <c r="GH301" s="381"/>
      <c r="GI301" s="381"/>
      <c r="GJ301" s="381"/>
      <c r="GK301" s="381"/>
      <c r="GL301" s="381"/>
      <c r="GM301" s="381"/>
      <c r="GN301" s="381"/>
      <c r="GO301" s="381"/>
      <c r="GP301" s="381"/>
      <c r="GQ301" s="381"/>
      <c r="GR301" s="381"/>
      <c r="GS301" s="381"/>
      <c r="GT301" s="381"/>
      <c r="GU301" s="381"/>
      <c r="GV301" s="381"/>
      <c r="GW301" s="381"/>
      <c r="GX301" s="381"/>
      <c r="GY301" s="381"/>
      <c r="GZ301" s="381"/>
      <c r="HA301" s="381"/>
      <c r="HB301" s="381"/>
      <c r="HC301" s="381"/>
      <c r="HD301" s="381"/>
      <c r="HE301" s="381"/>
      <c r="HF301" s="381"/>
      <c r="HG301" s="381"/>
      <c r="HH301" s="381"/>
      <c r="HI301" s="381"/>
      <c r="HJ301" s="381"/>
      <c r="HK301" s="381"/>
      <c r="HL301" s="381"/>
      <c r="HM301" s="381"/>
      <c r="HN301" s="381"/>
      <c r="HO301" s="381"/>
      <c r="HP301" s="381"/>
      <c r="HQ301" s="381"/>
      <c r="HR301" s="381"/>
      <c r="HS301" s="381"/>
      <c r="HT301" s="381"/>
      <c r="HU301" s="381"/>
      <c r="HV301" s="381"/>
      <c r="HW301" s="381"/>
      <c r="HX301" s="381"/>
      <c r="HY301" s="381"/>
      <c r="HZ301" s="381"/>
      <c r="IA301" s="381"/>
      <c r="IB301" s="381"/>
      <c r="IC301" s="381"/>
      <c r="ID301" s="381"/>
      <c r="IE301" s="381"/>
      <c r="IF301" s="381"/>
      <c r="IG301" s="381"/>
      <c r="IH301" s="381"/>
      <c r="II301" s="381"/>
      <c r="IJ301" s="381"/>
      <c r="IK301" s="381"/>
      <c r="IL301" s="381"/>
      <c r="IM301" s="381"/>
      <c r="IN301" s="381"/>
      <c r="IO301" s="381"/>
      <c r="IP301" s="381"/>
      <c r="IQ301" s="381"/>
      <c r="IR301" s="381"/>
      <c r="IS301" s="381"/>
      <c r="IT301" s="381"/>
      <c r="IU301" s="381"/>
      <c r="IV301" s="381"/>
      <c r="IW301" s="381"/>
      <c r="IX301" s="381"/>
      <c r="IY301" s="381"/>
      <c r="IZ301" s="381"/>
      <c r="JA301" s="381"/>
      <c r="JB301" s="381"/>
      <c r="JC301" s="381"/>
      <c r="JD301" s="381"/>
      <c r="JE301" s="381"/>
      <c r="JF301" s="381"/>
      <c r="JG301" s="277"/>
      <c r="JH301" s="381"/>
      <c r="JI301" s="381"/>
      <c r="JJ301" s="381"/>
      <c r="JK301" s="381"/>
      <c r="JL301" s="381"/>
      <c r="JM301" s="381"/>
      <c r="JN301" s="381"/>
      <c r="JO301" s="381"/>
      <c r="JP301" s="381"/>
      <c r="JQ301" s="381"/>
      <c r="JR301" s="381"/>
      <c r="JS301" s="381"/>
      <c r="JT301" s="381"/>
      <c r="JU301" s="381"/>
      <c r="JV301" s="381"/>
      <c r="JW301" s="381"/>
      <c r="JX301" s="381"/>
      <c r="JY301" s="381"/>
      <c r="JZ301" s="381"/>
      <c r="KA301" s="381"/>
      <c r="KB301" s="277"/>
    </row>
    <row r="302" spans="2:288" ht="15" customHeight="1" x14ac:dyDescent="0.25">
      <c r="B302" s="216" t="str">
        <f t="shared" si="23"/>
        <v>Desk 86</v>
      </c>
      <c r="C302" s="218" t="str">
        <v/>
      </c>
      <c r="D302" s="218" t="str">
        <v/>
      </c>
      <c r="E302" s="218" t="str">
        <v/>
      </c>
      <c r="F302" s="218" t="str">
        <v/>
      </c>
      <c r="G302" s="402" t="str">
        <v/>
      </c>
      <c r="H302" s="381"/>
      <c r="I302" s="381"/>
      <c r="J302" s="381"/>
      <c r="K302" s="381"/>
      <c r="L302" s="381"/>
      <c r="M302" s="381"/>
      <c r="N302" s="381"/>
      <c r="O302" s="381"/>
      <c r="P302" s="381"/>
      <c r="Q302" s="381"/>
      <c r="R302" s="381"/>
      <c r="S302" s="381"/>
      <c r="T302" s="381"/>
      <c r="U302" s="381"/>
      <c r="V302" s="381"/>
      <c r="W302" s="381"/>
      <c r="X302" s="381"/>
      <c r="Y302" s="381"/>
      <c r="Z302" s="381"/>
      <c r="AA302" s="381"/>
      <c r="AB302" s="381"/>
      <c r="AC302" s="381"/>
      <c r="AD302" s="381"/>
      <c r="AE302" s="381"/>
      <c r="AF302" s="381"/>
      <c r="AG302" s="381"/>
      <c r="AH302" s="381"/>
      <c r="AI302" s="381"/>
      <c r="AJ302" s="381"/>
      <c r="AK302" s="381"/>
      <c r="AL302" s="381"/>
      <c r="AM302" s="381"/>
      <c r="AN302" s="381"/>
      <c r="AO302" s="381"/>
      <c r="AP302" s="381"/>
      <c r="AQ302" s="381"/>
      <c r="AR302" s="381"/>
      <c r="AS302" s="381"/>
      <c r="AT302" s="381"/>
      <c r="AU302" s="381"/>
      <c r="AV302" s="381"/>
      <c r="AW302" s="381"/>
      <c r="AX302" s="381"/>
      <c r="AY302" s="381"/>
      <c r="AZ302" s="381"/>
      <c r="BA302" s="381"/>
      <c r="BB302" s="381"/>
      <c r="BC302" s="381"/>
      <c r="BD302" s="381"/>
      <c r="BE302" s="381"/>
      <c r="BF302" s="381"/>
      <c r="BG302" s="381"/>
      <c r="BH302" s="381"/>
      <c r="BI302" s="381"/>
      <c r="BJ302" s="381"/>
      <c r="BK302" s="381"/>
      <c r="BL302" s="381"/>
      <c r="BM302" s="381"/>
      <c r="BN302" s="381"/>
      <c r="BO302" s="381"/>
      <c r="BP302" s="381"/>
      <c r="BQ302" s="381"/>
      <c r="BR302" s="381"/>
      <c r="BS302" s="381"/>
      <c r="BT302" s="381"/>
      <c r="BU302" s="381"/>
      <c r="BV302" s="381"/>
      <c r="BW302" s="381"/>
      <c r="BX302" s="381"/>
      <c r="BY302" s="381"/>
      <c r="BZ302" s="381"/>
      <c r="CA302" s="381"/>
      <c r="CB302" s="381"/>
      <c r="CC302" s="381"/>
      <c r="CD302" s="381"/>
      <c r="CE302" s="381"/>
      <c r="CF302" s="381"/>
      <c r="CG302" s="381"/>
      <c r="CH302" s="381"/>
      <c r="CI302" s="381"/>
      <c r="CJ302" s="381"/>
      <c r="CK302" s="381"/>
      <c r="CL302" s="381"/>
      <c r="CM302" s="381"/>
      <c r="CN302" s="381"/>
      <c r="CO302" s="381"/>
      <c r="CP302" s="381"/>
      <c r="CQ302" s="381"/>
      <c r="CR302" s="381"/>
      <c r="CS302" s="381"/>
      <c r="CT302" s="381"/>
      <c r="CU302" s="381"/>
      <c r="CV302" s="381"/>
      <c r="CW302" s="381"/>
      <c r="CX302" s="381"/>
      <c r="CY302" s="381"/>
      <c r="CZ302" s="381"/>
      <c r="DA302" s="381"/>
      <c r="DB302" s="381"/>
      <c r="DC302" s="381"/>
      <c r="DD302" s="381"/>
      <c r="DE302" s="381"/>
      <c r="DF302" s="381"/>
      <c r="DG302" s="381"/>
      <c r="DH302" s="381"/>
      <c r="DI302" s="381"/>
      <c r="DJ302" s="381"/>
      <c r="DK302" s="381"/>
      <c r="DL302" s="381"/>
      <c r="DM302" s="381"/>
      <c r="DN302" s="381"/>
      <c r="DO302" s="381"/>
      <c r="DP302" s="381"/>
      <c r="DQ302" s="381"/>
      <c r="DR302" s="381"/>
      <c r="DS302" s="381"/>
      <c r="DT302" s="381"/>
      <c r="DU302" s="381"/>
      <c r="DV302" s="381"/>
      <c r="DW302" s="277"/>
      <c r="DX302" s="381"/>
      <c r="DY302" s="381"/>
      <c r="DZ302" s="381"/>
      <c r="EA302" s="381"/>
      <c r="EB302" s="381"/>
      <c r="EC302" s="381"/>
      <c r="ED302" s="381"/>
      <c r="EE302" s="381"/>
      <c r="EF302" s="381"/>
      <c r="EG302" s="381"/>
      <c r="EH302" s="381"/>
      <c r="EI302" s="381"/>
      <c r="EJ302" s="381"/>
      <c r="EK302" s="381"/>
      <c r="EL302" s="381"/>
      <c r="EM302" s="381"/>
      <c r="EN302" s="381"/>
      <c r="EO302" s="381"/>
      <c r="EP302" s="381"/>
      <c r="EQ302" s="381"/>
      <c r="ER302" s="277"/>
      <c r="ES302" s="381"/>
      <c r="ET302" s="381"/>
      <c r="EU302" s="381"/>
      <c r="EV302" s="381"/>
      <c r="EW302" s="381"/>
      <c r="EX302" s="381"/>
      <c r="EY302" s="381"/>
      <c r="EZ302" s="381"/>
      <c r="FA302" s="381"/>
      <c r="FB302" s="381"/>
      <c r="FC302" s="381"/>
      <c r="FD302" s="381"/>
      <c r="FE302" s="381"/>
      <c r="FF302" s="381"/>
      <c r="FG302" s="381"/>
      <c r="FH302" s="381"/>
      <c r="FI302" s="381"/>
      <c r="FJ302" s="381"/>
      <c r="FK302" s="381"/>
      <c r="FL302" s="381"/>
      <c r="FM302" s="381"/>
      <c r="FN302" s="381"/>
      <c r="FO302" s="381"/>
      <c r="FP302" s="381"/>
      <c r="FQ302" s="381"/>
      <c r="FR302" s="381"/>
      <c r="FS302" s="381"/>
      <c r="FT302" s="381"/>
      <c r="FU302" s="381"/>
      <c r="FV302" s="381"/>
      <c r="FW302" s="381"/>
      <c r="FX302" s="381"/>
      <c r="FY302" s="381"/>
      <c r="FZ302" s="381"/>
      <c r="GA302" s="381"/>
      <c r="GB302" s="381"/>
      <c r="GC302" s="381"/>
      <c r="GD302" s="381"/>
      <c r="GE302" s="381"/>
      <c r="GF302" s="381"/>
      <c r="GG302" s="381"/>
      <c r="GH302" s="381"/>
      <c r="GI302" s="381"/>
      <c r="GJ302" s="381"/>
      <c r="GK302" s="381"/>
      <c r="GL302" s="381"/>
      <c r="GM302" s="381"/>
      <c r="GN302" s="381"/>
      <c r="GO302" s="381"/>
      <c r="GP302" s="381"/>
      <c r="GQ302" s="381"/>
      <c r="GR302" s="381"/>
      <c r="GS302" s="381"/>
      <c r="GT302" s="381"/>
      <c r="GU302" s="381"/>
      <c r="GV302" s="381"/>
      <c r="GW302" s="381"/>
      <c r="GX302" s="381"/>
      <c r="GY302" s="381"/>
      <c r="GZ302" s="381"/>
      <c r="HA302" s="381"/>
      <c r="HB302" s="381"/>
      <c r="HC302" s="381"/>
      <c r="HD302" s="381"/>
      <c r="HE302" s="381"/>
      <c r="HF302" s="381"/>
      <c r="HG302" s="381"/>
      <c r="HH302" s="381"/>
      <c r="HI302" s="381"/>
      <c r="HJ302" s="381"/>
      <c r="HK302" s="381"/>
      <c r="HL302" s="381"/>
      <c r="HM302" s="381"/>
      <c r="HN302" s="381"/>
      <c r="HO302" s="381"/>
      <c r="HP302" s="381"/>
      <c r="HQ302" s="381"/>
      <c r="HR302" s="381"/>
      <c r="HS302" s="381"/>
      <c r="HT302" s="381"/>
      <c r="HU302" s="381"/>
      <c r="HV302" s="381"/>
      <c r="HW302" s="381"/>
      <c r="HX302" s="381"/>
      <c r="HY302" s="381"/>
      <c r="HZ302" s="381"/>
      <c r="IA302" s="381"/>
      <c r="IB302" s="381"/>
      <c r="IC302" s="381"/>
      <c r="ID302" s="381"/>
      <c r="IE302" s="381"/>
      <c r="IF302" s="381"/>
      <c r="IG302" s="381"/>
      <c r="IH302" s="381"/>
      <c r="II302" s="381"/>
      <c r="IJ302" s="381"/>
      <c r="IK302" s="381"/>
      <c r="IL302" s="381"/>
      <c r="IM302" s="381"/>
      <c r="IN302" s="381"/>
      <c r="IO302" s="381"/>
      <c r="IP302" s="381"/>
      <c r="IQ302" s="381"/>
      <c r="IR302" s="381"/>
      <c r="IS302" s="381"/>
      <c r="IT302" s="381"/>
      <c r="IU302" s="381"/>
      <c r="IV302" s="381"/>
      <c r="IW302" s="381"/>
      <c r="IX302" s="381"/>
      <c r="IY302" s="381"/>
      <c r="IZ302" s="381"/>
      <c r="JA302" s="381"/>
      <c r="JB302" s="381"/>
      <c r="JC302" s="381"/>
      <c r="JD302" s="381"/>
      <c r="JE302" s="381"/>
      <c r="JF302" s="381"/>
      <c r="JG302" s="277"/>
      <c r="JH302" s="381"/>
      <c r="JI302" s="381"/>
      <c r="JJ302" s="381"/>
      <c r="JK302" s="381"/>
      <c r="JL302" s="381"/>
      <c r="JM302" s="381"/>
      <c r="JN302" s="381"/>
      <c r="JO302" s="381"/>
      <c r="JP302" s="381"/>
      <c r="JQ302" s="381"/>
      <c r="JR302" s="381"/>
      <c r="JS302" s="381"/>
      <c r="JT302" s="381"/>
      <c r="JU302" s="381"/>
      <c r="JV302" s="381"/>
      <c r="JW302" s="381"/>
      <c r="JX302" s="381"/>
      <c r="JY302" s="381"/>
      <c r="JZ302" s="381"/>
      <c r="KA302" s="381"/>
      <c r="KB302" s="277"/>
    </row>
    <row r="303" spans="2:288" ht="15" customHeight="1" x14ac:dyDescent="0.25">
      <c r="B303" s="216" t="str">
        <f t="shared" si="23"/>
        <v>Desk 87</v>
      </c>
      <c r="C303" s="218" t="str">
        <v/>
      </c>
      <c r="D303" s="218" t="str">
        <v/>
      </c>
      <c r="E303" s="218" t="str">
        <v/>
      </c>
      <c r="F303" s="218" t="str">
        <v/>
      </c>
      <c r="G303" s="402" t="str">
        <v/>
      </c>
      <c r="H303" s="381"/>
      <c r="I303" s="381"/>
      <c r="J303" s="381"/>
      <c r="K303" s="381"/>
      <c r="L303" s="381"/>
      <c r="M303" s="381"/>
      <c r="N303" s="381"/>
      <c r="O303" s="381"/>
      <c r="P303" s="381"/>
      <c r="Q303" s="381"/>
      <c r="R303" s="381"/>
      <c r="S303" s="381"/>
      <c r="T303" s="381"/>
      <c r="U303" s="381"/>
      <c r="V303" s="381"/>
      <c r="W303" s="381"/>
      <c r="X303" s="381"/>
      <c r="Y303" s="381"/>
      <c r="Z303" s="381"/>
      <c r="AA303" s="381"/>
      <c r="AB303" s="381"/>
      <c r="AC303" s="381"/>
      <c r="AD303" s="381"/>
      <c r="AE303" s="381"/>
      <c r="AF303" s="381"/>
      <c r="AG303" s="381"/>
      <c r="AH303" s="381"/>
      <c r="AI303" s="381"/>
      <c r="AJ303" s="381"/>
      <c r="AK303" s="381"/>
      <c r="AL303" s="381"/>
      <c r="AM303" s="381"/>
      <c r="AN303" s="381"/>
      <c r="AO303" s="381"/>
      <c r="AP303" s="381"/>
      <c r="AQ303" s="381"/>
      <c r="AR303" s="381"/>
      <c r="AS303" s="381"/>
      <c r="AT303" s="381"/>
      <c r="AU303" s="381"/>
      <c r="AV303" s="381"/>
      <c r="AW303" s="381"/>
      <c r="AX303" s="381"/>
      <c r="AY303" s="381"/>
      <c r="AZ303" s="381"/>
      <c r="BA303" s="381"/>
      <c r="BB303" s="381"/>
      <c r="BC303" s="381"/>
      <c r="BD303" s="381"/>
      <c r="BE303" s="381"/>
      <c r="BF303" s="381"/>
      <c r="BG303" s="381"/>
      <c r="BH303" s="381"/>
      <c r="BI303" s="381"/>
      <c r="BJ303" s="381"/>
      <c r="BK303" s="381"/>
      <c r="BL303" s="381"/>
      <c r="BM303" s="381"/>
      <c r="BN303" s="381"/>
      <c r="BO303" s="381"/>
      <c r="BP303" s="381"/>
      <c r="BQ303" s="381"/>
      <c r="BR303" s="381"/>
      <c r="BS303" s="381"/>
      <c r="BT303" s="381"/>
      <c r="BU303" s="381"/>
      <c r="BV303" s="381"/>
      <c r="BW303" s="381"/>
      <c r="BX303" s="381"/>
      <c r="BY303" s="381"/>
      <c r="BZ303" s="381"/>
      <c r="CA303" s="381"/>
      <c r="CB303" s="381"/>
      <c r="CC303" s="381"/>
      <c r="CD303" s="381"/>
      <c r="CE303" s="381"/>
      <c r="CF303" s="381"/>
      <c r="CG303" s="381"/>
      <c r="CH303" s="381"/>
      <c r="CI303" s="381"/>
      <c r="CJ303" s="381"/>
      <c r="CK303" s="381"/>
      <c r="CL303" s="381"/>
      <c r="CM303" s="381"/>
      <c r="CN303" s="381"/>
      <c r="CO303" s="381"/>
      <c r="CP303" s="381"/>
      <c r="CQ303" s="381"/>
      <c r="CR303" s="381"/>
      <c r="CS303" s="381"/>
      <c r="CT303" s="381"/>
      <c r="CU303" s="381"/>
      <c r="CV303" s="381"/>
      <c r="CW303" s="381"/>
      <c r="CX303" s="381"/>
      <c r="CY303" s="381"/>
      <c r="CZ303" s="381"/>
      <c r="DA303" s="381"/>
      <c r="DB303" s="381"/>
      <c r="DC303" s="381"/>
      <c r="DD303" s="381"/>
      <c r="DE303" s="381"/>
      <c r="DF303" s="381"/>
      <c r="DG303" s="381"/>
      <c r="DH303" s="381"/>
      <c r="DI303" s="381"/>
      <c r="DJ303" s="381"/>
      <c r="DK303" s="381"/>
      <c r="DL303" s="381"/>
      <c r="DM303" s="381"/>
      <c r="DN303" s="381"/>
      <c r="DO303" s="381"/>
      <c r="DP303" s="381"/>
      <c r="DQ303" s="381"/>
      <c r="DR303" s="381"/>
      <c r="DS303" s="381"/>
      <c r="DT303" s="381"/>
      <c r="DU303" s="381"/>
      <c r="DV303" s="381"/>
      <c r="DW303" s="277"/>
      <c r="DX303" s="381"/>
      <c r="DY303" s="381"/>
      <c r="DZ303" s="381"/>
      <c r="EA303" s="381"/>
      <c r="EB303" s="381"/>
      <c r="EC303" s="381"/>
      <c r="ED303" s="381"/>
      <c r="EE303" s="381"/>
      <c r="EF303" s="381"/>
      <c r="EG303" s="381"/>
      <c r="EH303" s="381"/>
      <c r="EI303" s="381"/>
      <c r="EJ303" s="381"/>
      <c r="EK303" s="381"/>
      <c r="EL303" s="381"/>
      <c r="EM303" s="381"/>
      <c r="EN303" s="381"/>
      <c r="EO303" s="381"/>
      <c r="EP303" s="381"/>
      <c r="EQ303" s="381"/>
      <c r="ER303" s="277"/>
      <c r="ES303" s="381"/>
      <c r="ET303" s="381"/>
      <c r="EU303" s="381"/>
      <c r="EV303" s="381"/>
      <c r="EW303" s="381"/>
      <c r="EX303" s="381"/>
      <c r="EY303" s="381"/>
      <c r="EZ303" s="381"/>
      <c r="FA303" s="381"/>
      <c r="FB303" s="381"/>
      <c r="FC303" s="381"/>
      <c r="FD303" s="381"/>
      <c r="FE303" s="381"/>
      <c r="FF303" s="381"/>
      <c r="FG303" s="381"/>
      <c r="FH303" s="381"/>
      <c r="FI303" s="381"/>
      <c r="FJ303" s="381"/>
      <c r="FK303" s="381"/>
      <c r="FL303" s="381"/>
      <c r="FM303" s="381"/>
      <c r="FN303" s="381"/>
      <c r="FO303" s="381"/>
      <c r="FP303" s="381"/>
      <c r="FQ303" s="381"/>
      <c r="FR303" s="381"/>
      <c r="FS303" s="381"/>
      <c r="FT303" s="381"/>
      <c r="FU303" s="381"/>
      <c r="FV303" s="381"/>
      <c r="FW303" s="381"/>
      <c r="FX303" s="381"/>
      <c r="FY303" s="381"/>
      <c r="FZ303" s="381"/>
      <c r="GA303" s="381"/>
      <c r="GB303" s="381"/>
      <c r="GC303" s="381"/>
      <c r="GD303" s="381"/>
      <c r="GE303" s="381"/>
      <c r="GF303" s="381"/>
      <c r="GG303" s="381"/>
      <c r="GH303" s="381"/>
      <c r="GI303" s="381"/>
      <c r="GJ303" s="381"/>
      <c r="GK303" s="381"/>
      <c r="GL303" s="381"/>
      <c r="GM303" s="381"/>
      <c r="GN303" s="381"/>
      <c r="GO303" s="381"/>
      <c r="GP303" s="381"/>
      <c r="GQ303" s="381"/>
      <c r="GR303" s="381"/>
      <c r="GS303" s="381"/>
      <c r="GT303" s="381"/>
      <c r="GU303" s="381"/>
      <c r="GV303" s="381"/>
      <c r="GW303" s="381"/>
      <c r="GX303" s="381"/>
      <c r="GY303" s="381"/>
      <c r="GZ303" s="381"/>
      <c r="HA303" s="381"/>
      <c r="HB303" s="381"/>
      <c r="HC303" s="381"/>
      <c r="HD303" s="381"/>
      <c r="HE303" s="381"/>
      <c r="HF303" s="381"/>
      <c r="HG303" s="381"/>
      <c r="HH303" s="381"/>
      <c r="HI303" s="381"/>
      <c r="HJ303" s="381"/>
      <c r="HK303" s="381"/>
      <c r="HL303" s="381"/>
      <c r="HM303" s="381"/>
      <c r="HN303" s="381"/>
      <c r="HO303" s="381"/>
      <c r="HP303" s="381"/>
      <c r="HQ303" s="381"/>
      <c r="HR303" s="381"/>
      <c r="HS303" s="381"/>
      <c r="HT303" s="381"/>
      <c r="HU303" s="381"/>
      <c r="HV303" s="381"/>
      <c r="HW303" s="381"/>
      <c r="HX303" s="381"/>
      <c r="HY303" s="381"/>
      <c r="HZ303" s="381"/>
      <c r="IA303" s="381"/>
      <c r="IB303" s="381"/>
      <c r="IC303" s="381"/>
      <c r="ID303" s="381"/>
      <c r="IE303" s="381"/>
      <c r="IF303" s="381"/>
      <c r="IG303" s="381"/>
      <c r="IH303" s="381"/>
      <c r="II303" s="381"/>
      <c r="IJ303" s="381"/>
      <c r="IK303" s="381"/>
      <c r="IL303" s="381"/>
      <c r="IM303" s="381"/>
      <c r="IN303" s="381"/>
      <c r="IO303" s="381"/>
      <c r="IP303" s="381"/>
      <c r="IQ303" s="381"/>
      <c r="IR303" s="381"/>
      <c r="IS303" s="381"/>
      <c r="IT303" s="381"/>
      <c r="IU303" s="381"/>
      <c r="IV303" s="381"/>
      <c r="IW303" s="381"/>
      <c r="IX303" s="381"/>
      <c r="IY303" s="381"/>
      <c r="IZ303" s="381"/>
      <c r="JA303" s="381"/>
      <c r="JB303" s="381"/>
      <c r="JC303" s="381"/>
      <c r="JD303" s="381"/>
      <c r="JE303" s="381"/>
      <c r="JF303" s="381"/>
      <c r="JG303" s="277"/>
      <c r="JH303" s="381"/>
      <c r="JI303" s="381"/>
      <c r="JJ303" s="381"/>
      <c r="JK303" s="381"/>
      <c r="JL303" s="381"/>
      <c r="JM303" s="381"/>
      <c r="JN303" s="381"/>
      <c r="JO303" s="381"/>
      <c r="JP303" s="381"/>
      <c r="JQ303" s="381"/>
      <c r="JR303" s="381"/>
      <c r="JS303" s="381"/>
      <c r="JT303" s="381"/>
      <c r="JU303" s="381"/>
      <c r="JV303" s="381"/>
      <c r="JW303" s="381"/>
      <c r="JX303" s="381"/>
      <c r="JY303" s="381"/>
      <c r="JZ303" s="381"/>
      <c r="KA303" s="381"/>
      <c r="KB303" s="277"/>
    </row>
    <row r="304" spans="2:288" ht="15" customHeight="1" x14ac:dyDescent="0.25">
      <c r="B304" s="216" t="str">
        <f t="shared" si="23"/>
        <v>Desk 88</v>
      </c>
      <c r="C304" s="218" t="str">
        <v/>
      </c>
      <c r="D304" s="218" t="str">
        <v/>
      </c>
      <c r="E304" s="218" t="str">
        <v/>
      </c>
      <c r="F304" s="218" t="str">
        <v/>
      </c>
      <c r="G304" s="402" t="str">
        <v/>
      </c>
      <c r="H304" s="381"/>
      <c r="I304" s="381"/>
      <c r="J304" s="381"/>
      <c r="K304" s="381"/>
      <c r="L304" s="381"/>
      <c r="M304" s="381"/>
      <c r="N304" s="381"/>
      <c r="O304" s="381"/>
      <c r="P304" s="381"/>
      <c r="Q304" s="381"/>
      <c r="R304" s="381"/>
      <c r="S304" s="381"/>
      <c r="T304" s="381"/>
      <c r="U304" s="381"/>
      <c r="V304" s="381"/>
      <c r="W304" s="381"/>
      <c r="X304" s="381"/>
      <c r="Y304" s="381"/>
      <c r="Z304" s="381"/>
      <c r="AA304" s="381"/>
      <c r="AB304" s="381"/>
      <c r="AC304" s="381"/>
      <c r="AD304" s="381"/>
      <c r="AE304" s="381"/>
      <c r="AF304" s="381"/>
      <c r="AG304" s="381"/>
      <c r="AH304" s="381"/>
      <c r="AI304" s="381"/>
      <c r="AJ304" s="381"/>
      <c r="AK304" s="381"/>
      <c r="AL304" s="381"/>
      <c r="AM304" s="381"/>
      <c r="AN304" s="381"/>
      <c r="AO304" s="381"/>
      <c r="AP304" s="381"/>
      <c r="AQ304" s="381"/>
      <c r="AR304" s="381"/>
      <c r="AS304" s="381"/>
      <c r="AT304" s="381"/>
      <c r="AU304" s="381"/>
      <c r="AV304" s="381"/>
      <c r="AW304" s="381"/>
      <c r="AX304" s="381"/>
      <c r="AY304" s="381"/>
      <c r="AZ304" s="381"/>
      <c r="BA304" s="381"/>
      <c r="BB304" s="381"/>
      <c r="BC304" s="381"/>
      <c r="BD304" s="381"/>
      <c r="BE304" s="381"/>
      <c r="BF304" s="381"/>
      <c r="BG304" s="381"/>
      <c r="BH304" s="381"/>
      <c r="BI304" s="381"/>
      <c r="BJ304" s="381"/>
      <c r="BK304" s="381"/>
      <c r="BL304" s="381"/>
      <c r="BM304" s="381"/>
      <c r="BN304" s="381"/>
      <c r="BO304" s="381"/>
      <c r="BP304" s="381"/>
      <c r="BQ304" s="381"/>
      <c r="BR304" s="381"/>
      <c r="BS304" s="381"/>
      <c r="BT304" s="381"/>
      <c r="BU304" s="381"/>
      <c r="BV304" s="381"/>
      <c r="BW304" s="381"/>
      <c r="BX304" s="381"/>
      <c r="BY304" s="381"/>
      <c r="BZ304" s="381"/>
      <c r="CA304" s="381"/>
      <c r="CB304" s="381"/>
      <c r="CC304" s="381"/>
      <c r="CD304" s="381"/>
      <c r="CE304" s="381"/>
      <c r="CF304" s="381"/>
      <c r="CG304" s="381"/>
      <c r="CH304" s="381"/>
      <c r="CI304" s="381"/>
      <c r="CJ304" s="381"/>
      <c r="CK304" s="381"/>
      <c r="CL304" s="381"/>
      <c r="CM304" s="381"/>
      <c r="CN304" s="381"/>
      <c r="CO304" s="381"/>
      <c r="CP304" s="381"/>
      <c r="CQ304" s="381"/>
      <c r="CR304" s="381"/>
      <c r="CS304" s="381"/>
      <c r="CT304" s="381"/>
      <c r="CU304" s="381"/>
      <c r="CV304" s="381"/>
      <c r="CW304" s="381"/>
      <c r="CX304" s="381"/>
      <c r="CY304" s="381"/>
      <c r="CZ304" s="381"/>
      <c r="DA304" s="381"/>
      <c r="DB304" s="381"/>
      <c r="DC304" s="381"/>
      <c r="DD304" s="381"/>
      <c r="DE304" s="381"/>
      <c r="DF304" s="381"/>
      <c r="DG304" s="381"/>
      <c r="DH304" s="381"/>
      <c r="DI304" s="381"/>
      <c r="DJ304" s="381"/>
      <c r="DK304" s="381"/>
      <c r="DL304" s="381"/>
      <c r="DM304" s="381"/>
      <c r="DN304" s="381"/>
      <c r="DO304" s="381"/>
      <c r="DP304" s="381"/>
      <c r="DQ304" s="381"/>
      <c r="DR304" s="381"/>
      <c r="DS304" s="381"/>
      <c r="DT304" s="381"/>
      <c r="DU304" s="381"/>
      <c r="DV304" s="381"/>
      <c r="DW304" s="277"/>
      <c r="DX304" s="381"/>
      <c r="DY304" s="381"/>
      <c r="DZ304" s="381"/>
      <c r="EA304" s="381"/>
      <c r="EB304" s="381"/>
      <c r="EC304" s="381"/>
      <c r="ED304" s="381"/>
      <c r="EE304" s="381"/>
      <c r="EF304" s="381"/>
      <c r="EG304" s="381"/>
      <c r="EH304" s="381"/>
      <c r="EI304" s="381"/>
      <c r="EJ304" s="381"/>
      <c r="EK304" s="381"/>
      <c r="EL304" s="381"/>
      <c r="EM304" s="381"/>
      <c r="EN304" s="381"/>
      <c r="EO304" s="381"/>
      <c r="EP304" s="381"/>
      <c r="EQ304" s="381"/>
      <c r="ER304" s="277"/>
      <c r="ES304" s="381"/>
      <c r="ET304" s="381"/>
      <c r="EU304" s="381"/>
      <c r="EV304" s="381"/>
      <c r="EW304" s="381"/>
      <c r="EX304" s="381"/>
      <c r="EY304" s="381"/>
      <c r="EZ304" s="381"/>
      <c r="FA304" s="381"/>
      <c r="FB304" s="381"/>
      <c r="FC304" s="381"/>
      <c r="FD304" s="381"/>
      <c r="FE304" s="381"/>
      <c r="FF304" s="381"/>
      <c r="FG304" s="381"/>
      <c r="FH304" s="381"/>
      <c r="FI304" s="381"/>
      <c r="FJ304" s="381"/>
      <c r="FK304" s="381"/>
      <c r="FL304" s="381"/>
      <c r="FM304" s="381"/>
      <c r="FN304" s="381"/>
      <c r="FO304" s="381"/>
      <c r="FP304" s="381"/>
      <c r="FQ304" s="381"/>
      <c r="FR304" s="381"/>
      <c r="FS304" s="381"/>
      <c r="FT304" s="381"/>
      <c r="FU304" s="381"/>
      <c r="FV304" s="381"/>
      <c r="FW304" s="381"/>
      <c r="FX304" s="381"/>
      <c r="FY304" s="381"/>
      <c r="FZ304" s="381"/>
      <c r="GA304" s="381"/>
      <c r="GB304" s="381"/>
      <c r="GC304" s="381"/>
      <c r="GD304" s="381"/>
      <c r="GE304" s="381"/>
      <c r="GF304" s="381"/>
      <c r="GG304" s="381"/>
      <c r="GH304" s="381"/>
      <c r="GI304" s="381"/>
      <c r="GJ304" s="381"/>
      <c r="GK304" s="381"/>
      <c r="GL304" s="381"/>
      <c r="GM304" s="381"/>
      <c r="GN304" s="381"/>
      <c r="GO304" s="381"/>
      <c r="GP304" s="381"/>
      <c r="GQ304" s="381"/>
      <c r="GR304" s="381"/>
      <c r="GS304" s="381"/>
      <c r="GT304" s="381"/>
      <c r="GU304" s="381"/>
      <c r="GV304" s="381"/>
      <c r="GW304" s="381"/>
      <c r="GX304" s="381"/>
      <c r="GY304" s="381"/>
      <c r="GZ304" s="381"/>
      <c r="HA304" s="381"/>
      <c r="HB304" s="381"/>
      <c r="HC304" s="381"/>
      <c r="HD304" s="381"/>
      <c r="HE304" s="381"/>
      <c r="HF304" s="381"/>
      <c r="HG304" s="381"/>
      <c r="HH304" s="381"/>
      <c r="HI304" s="381"/>
      <c r="HJ304" s="381"/>
      <c r="HK304" s="381"/>
      <c r="HL304" s="381"/>
      <c r="HM304" s="381"/>
      <c r="HN304" s="381"/>
      <c r="HO304" s="381"/>
      <c r="HP304" s="381"/>
      <c r="HQ304" s="381"/>
      <c r="HR304" s="381"/>
      <c r="HS304" s="381"/>
      <c r="HT304" s="381"/>
      <c r="HU304" s="381"/>
      <c r="HV304" s="381"/>
      <c r="HW304" s="381"/>
      <c r="HX304" s="381"/>
      <c r="HY304" s="381"/>
      <c r="HZ304" s="381"/>
      <c r="IA304" s="381"/>
      <c r="IB304" s="381"/>
      <c r="IC304" s="381"/>
      <c r="ID304" s="381"/>
      <c r="IE304" s="381"/>
      <c r="IF304" s="381"/>
      <c r="IG304" s="381"/>
      <c r="IH304" s="381"/>
      <c r="II304" s="381"/>
      <c r="IJ304" s="381"/>
      <c r="IK304" s="381"/>
      <c r="IL304" s="381"/>
      <c r="IM304" s="381"/>
      <c r="IN304" s="381"/>
      <c r="IO304" s="381"/>
      <c r="IP304" s="381"/>
      <c r="IQ304" s="381"/>
      <c r="IR304" s="381"/>
      <c r="IS304" s="381"/>
      <c r="IT304" s="381"/>
      <c r="IU304" s="381"/>
      <c r="IV304" s="381"/>
      <c r="IW304" s="381"/>
      <c r="IX304" s="381"/>
      <c r="IY304" s="381"/>
      <c r="IZ304" s="381"/>
      <c r="JA304" s="381"/>
      <c r="JB304" s="381"/>
      <c r="JC304" s="381"/>
      <c r="JD304" s="381"/>
      <c r="JE304" s="381"/>
      <c r="JF304" s="381"/>
      <c r="JG304" s="277"/>
      <c r="JH304" s="381"/>
      <c r="JI304" s="381"/>
      <c r="JJ304" s="381"/>
      <c r="JK304" s="381"/>
      <c r="JL304" s="381"/>
      <c r="JM304" s="381"/>
      <c r="JN304" s="381"/>
      <c r="JO304" s="381"/>
      <c r="JP304" s="381"/>
      <c r="JQ304" s="381"/>
      <c r="JR304" s="381"/>
      <c r="JS304" s="381"/>
      <c r="JT304" s="381"/>
      <c r="JU304" s="381"/>
      <c r="JV304" s="381"/>
      <c r="JW304" s="381"/>
      <c r="JX304" s="381"/>
      <c r="JY304" s="381"/>
      <c r="JZ304" s="381"/>
      <c r="KA304" s="381"/>
      <c r="KB304" s="277"/>
    </row>
    <row r="305" spans="1:289" ht="15" customHeight="1" x14ac:dyDescent="0.25">
      <c r="B305" s="216" t="str">
        <f t="shared" si="23"/>
        <v>Desk 89</v>
      </c>
      <c r="C305" s="218" t="str">
        <v/>
      </c>
      <c r="D305" s="218" t="str">
        <v/>
      </c>
      <c r="E305" s="218" t="str">
        <v/>
      </c>
      <c r="F305" s="218" t="str">
        <v/>
      </c>
      <c r="G305" s="402" t="str">
        <v/>
      </c>
      <c r="H305" s="381"/>
      <c r="I305" s="381"/>
      <c r="J305" s="381"/>
      <c r="K305" s="381"/>
      <c r="L305" s="381"/>
      <c r="M305" s="381"/>
      <c r="N305" s="381"/>
      <c r="O305" s="381"/>
      <c r="P305" s="381"/>
      <c r="Q305" s="381"/>
      <c r="R305" s="381"/>
      <c r="S305" s="381"/>
      <c r="T305" s="381"/>
      <c r="U305" s="381"/>
      <c r="V305" s="381"/>
      <c r="W305" s="381"/>
      <c r="X305" s="381"/>
      <c r="Y305" s="381"/>
      <c r="Z305" s="381"/>
      <c r="AA305" s="381"/>
      <c r="AB305" s="381"/>
      <c r="AC305" s="381"/>
      <c r="AD305" s="381"/>
      <c r="AE305" s="381"/>
      <c r="AF305" s="381"/>
      <c r="AG305" s="381"/>
      <c r="AH305" s="381"/>
      <c r="AI305" s="381"/>
      <c r="AJ305" s="381"/>
      <c r="AK305" s="381"/>
      <c r="AL305" s="381"/>
      <c r="AM305" s="381"/>
      <c r="AN305" s="381"/>
      <c r="AO305" s="381"/>
      <c r="AP305" s="381"/>
      <c r="AQ305" s="381"/>
      <c r="AR305" s="381"/>
      <c r="AS305" s="381"/>
      <c r="AT305" s="381"/>
      <c r="AU305" s="381"/>
      <c r="AV305" s="381"/>
      <c r="AW305" s="381"/>
      <c r="AX305" s="381"/>
      <c r="AY305" s="381"/>
      <c r="AZ305" s="381"/>
      <c r="BA305" s="381"/>
      <c r="BB305" s="381"/>
      <c r="BC305" s="381"/>
      <c r="BD305" s="381"/>
      <c r="BE305" s="381"/>
      <c r="BF305" s="381"/>
      <c r="BG305" s="381"/>
      <c r="BH305" s="381"/>
      <c r="BI305" s="381"/>
      <c r="BJ305" s="381"/>
      <c r="BK305" s="381"/>
      <c r="BL305" s="381"/>
      <c r="BM305" s="381"/>
      <c r="BN305" s="381"/>
      <c r="BO305" s="381"/>
      <c r="BP305" s="381"/>
      <c r="BQ305" s="381"/>
      <c r="BR305" s="381"/>
      <c r="BS305" s="381"/>
      <c r="BT305" s="381"/>
      <c r="BU305" s="381"/>
      <c r="BV305" s="381"/>
      <c r="BW305" s="381"/>
      <c r="BX305" s="381"/>
      <c r="BY305" s="381"/>
      <c r="BZ305" s="381"/>
      <c r="CA305" s="381"/>
      <c r="CB305" s="381"/>
      <c r="CC305" s="381"/>
      <c r="CD305" s="381"/>
      <c r="CE305" s="381"/>
      <c r="CF305" s="381"/>
      <c r="CG305" s="381"/>
      <c r="CH305" s="381"/>
      <c r="CI305" s="381"/>
      <c r="CJ305" s="381"/>
      <c r="CK305" s="381"/>
      <c r="CL305" s="381"/>
      <c r="CM305" s="381"/>
      <c r="CN305" s="381"/>
      <c r="CO305" s="381"/>
      <c r="CP305" s="381"/>
      <c r="CQ305" s="381"/>
      <c r="CR305" s="381"/>
      <c r="CS305" s="381"/>
      <c r="CT305" s="381"/>
      <c r="CU305" s="381"/>
      <c r="CV305" s="381"/>
      <c r="CW305" s="381"/>
      <c r="CX305" s="381"/>
      <c r="CY305" s="381"/>
      <c r="CZ305" s="381"/>
      <c r="DA305" s="381"/>
      <c r="DB305" s="381"/>
      <c r="DC305" s="381"/>
      <c r="DD305" s="381"/>
      <c r="DE305" s="381"/>
      <c r="DF305" s="381"/>
      <c r="DG305" s="381"/>
      <c r="DH305" s="381"/>
      <c r="DI305" s="381"/>
      <c r="DJ305" s="381"/>
      <c r="DK305" s="381"/>
      <c r="DL305" s="381"/>
      <c r="DM305" s="381"/>
      <c r="DN305" s="381"/>
      <c r="DO305" s="381"/>
      <c r="DP305" s="381"/>
      <c r="DQ305" s="381"/>
      <c r="DR305" s="381"/>
      <c r="DS305" s="381"/>
      <c r="DT305" s="381"/>
      <c r="DU305" s="381"/>
      <c r="DV305" s="381"/>
      <c r="DW305" s="277"/>
      <c r="DX305" s="381"/>
      <c r="DY305" s="381"/>
      <c r="DZ305" s="381"/>
      <c r="EA305" s="381"/>
      <c r="EB305" s="381"/>
      <c r="EC305" s="381"/>
      <c r="ED305" s="381"/>
      <c r="EE305" s="381"/>
      <c r="EF305" s="381"/>
      <c r="EG305" s="381"/>
      <c r="EH305" s="381"/>
      <c r="EI305" s="381"/>
      <c r="EJ305" s="381"/>
      <c r="EK305" s="381"/>
      <c r="EL305" s="381"/>
      <c r="EM305" s="381"/>
      <c r="EN305" s="381"/>
      <c r="EO305" s="381"/>
      <c r="EP305" s="381"/>
      <c r="EQ305" s="381"/>
      <c r="ER305" s="277"/>
      <c r="ES305" s="381"/>
      <c r="ET305" s="381"/>
      <c r="EU305" s="381"/>
      <c r="EV305" s="381"/>
      <c r="EW305" s="381"/>
      <c r="EX305" s="381"/>
      <c r="EY305" s="381"/>
      <c r="EZ305" s="381"/>
      <c r="FA305" s="381"/>
      <c r="FB305" s="381"/>
      <c r="FC305" s="381"/>
      <c r="FD305" s="381"/>
      <c r="FE305" s="381"/>
      <c r="FF305" s="381"/>
      <c r="FG305" s="381"/>
      <c r="FH305" s="381"/>
      <c r="FI305" s="381"/>
      <c r="FJ305" s="381"/>
      <c r="FK305" s="381"/>
      <c r="FL305" s="381"/>
      <c r="FM305" s="381"/>
      <c r="FN305" s="381"/>
      <c r="FO305" s="381"/>
      <c r="FP305" s="381"/>
      <c r="FQ305" s="381"/>
      <c r="FR305" s="381"/>
      <c r="FS305" s="381"/>
      <c r="FT305" s="381"/>
      <c r="FU305" s="381"/>
      <c r="FV305" s="381"/>
      <c r="FW305" s="381"/>
      <c r="FX305" s="381"/>
      <c r="FY305" s="381"/>
      <c r="FZ305" s="381"/>
      <c r="GA305" s="381"/>
      <c r="GB305" s="381"/>
      <c r="GC305" s="381"/>
      <c r="GD305" s="381"/>
      <c r="GE305" s="381"/>
      <c r="GF305" s="381"/>
      <c r="GG305" s="381"/>
      <c r="GH305" s="381"/>
      <c r="GI305" s="381"/>
      <c r="GJ305" s="381"/>
      <c r="GK305" s="381"/>
      <c r="GL305" s="381"/>
      <c r="GM305" s="381"/>
      <c r="GN305" s="381"/>
      <c r="GO305" s="381"/>
      <c r="GP305" s="381"/>
      <c r="GQ305" s="381"/>
      <c r="GR305" s="381"/>
      <c r="GS305" s="381"/>
      <c r="GT305" s="381"/>
      <c r="GU305" s="381"/>
      <c r="GV305" s="381"/>
      <c r="GW305" s="381"/>
      <c r="GX305" s="381"/>
      <c r="GY305" s="381"/>
      <c r="GZ305" s="381"/>
      <c r="HA305" s="381"/>
      <c r="HB305" s="381"/>
      <c r="HC305" s="381"/>
      <c r="HD305" s="381"/>
      <c r="HE305" s="381"/>
      <c r="HF305" s="381"/>
      <c r="HG305" s="381"/>
      <c r="HH305" s="381"/>
      <c r="HI305" s="381"/>
      <c r="HJ305" s="381"/>
      <c r="HK305" s="381"/>
      <c r="HL305" s="381"/>
      <c r="HM305" s="381"/>
      <c r="HN305" s="381"/>
      <c r="HO305" s="381"/>
      <c r="HP305" s="381"/>
      <c r="HQ305" s="381"/>
      <c r="HR305" s="381"/>
      <c r="HS305" s="381"/>
      <c r="HT305" s="381"/>
      <c r="HU305" s="381"/>
      <c r="HV305" s="381"/>
      <c r="HW305" s="381"/>
      <c r="HX305" s="381"/>
      <c r="HY305" s="381"/>
      <c r="HZ305" s="381"/>
      <c r="IA305" s="381"/>
      <c r="IB305" s="381"/>
      <c r="IC305" s="381"/>
      <c r="ID305" s="381"/>
      <c r="IE305" s="381"/>
      <c r="IF305" s="381"/>
      <c r="IG305" s="381"/>
      <c r="IH305" s="381"/>
      <c r="II305" s="381"/>
      <c r="IJ305" s="381"/>
      <c r="IK305" s="381"/>
      <c r="IL305" s="381"/>
      <c r="IM305" s="381"/>
      <c r="IN305" s="381"/>
      <c r="IO305" s="381"/>
      <c r="IP305" s="381"/>
      <c r="IQ305" s="381"/>
      <c r="IR305" s="381"/>
      <c r="IS305" s="381"/>
      <c r="IT305" s="381"/>
      <c r="IU305" s="381"/>
      <c r="IV305" s="381"/>
      <c r="IW305" s="381"/>
      <c r="IX305" s="381"/>
      <c r="IY305" s="381"/>
      <c r="IZ305" s="381"/>
      <c r="JA305" s="381"/>
      <c r="JB305" s="381"/>
      <c r="JC305" s="381"/>
      <c r="JD305" s="381"/>
      <c r="JE305" s="381"/>
      <c r="JF305" s="381"/>
      <c r="JG305" s="277"/>
      <c r="JH305" s="381"/>
      <c r="JI305" s="381"/>
      <c r="JJ305" s="381"/>
      <c r="JK305" s="381"/>
      <c r="JL305" s="381"/>
      <c r="JM305" s="381"/>
      <c r="JN305" s="381"/>
      <c r="JO305" s="381"/>
      <c r="JP305" s="381"/>
      <c r="JQ305" s="381"/>
      <c r="JR305" s="381"/>
      <c r="JS305" s="381"/>
      <c r="JT305" s="381"/>
      <c r="JU305" s="381"/>
      <c r="JV305" s="381"/>
      <c r="JW305" s="381"/>
      <c r="JX305" s="381"/>
      <c r="JY305" s="381"/>
      <c r="JZ305" s="381"/>
      <c r="KA305" s="381"/>
      <c r="KB305" s="277"/>
    </row>
    <row r="306" spans="1:289" ht="15" customHeight="1" x14ac:dyDescent="0.25">
      <c r="B306" s="216" t="str">
        <f t="shared" si="23"/>
        <v>Desk 90</v>
      </c>
      <c r="C306" s="218" t="str">
        <v/>
      </c>
      <c r="D306" s="218" t="str">
        <v/>
      </c>
      <c r="E306" s="218" t="str">
        <v/>
      </c>
      <c r="F306" s="218" t="str">
        <v/>
      </c>
      <c r="G306" s="402" t="str">
        <v/>
      </c>
      <c r="H306" s="381"/>
      <c r="I306" s="381"/>
      <c r="J306" s="381"/>
      <c r="K306" s="381"/>
      <c r="L306" s="381"/>
      <c r="M306" s="381"/>
      <c r="N306" s="381"/>
      <c r="O306" s="381"/>
      <c r="P306" s="381"/>
      <c r="Q306" s="381"/>
      <c r="R306" s="381"/>
      <c r="S306" s="381"/>
      <c r="T306" s="381"/>
      <c r="U306" s="381"/>
      <c r="V306" s="381"/>
      <c r="W306" s="381"/>
      <c r="X306" s="381"/>
      <c r="Y306" s="381"/>
      <c r="Z306" s="381"/>
      <c r="AA306" s="381"/>
      <c r="AB306" s="381"/>
      <c r="AC306" s="381"/>
      <c r="AD306" s="381"/>
      <c r="AE306" s="381"/>
      <c r="AF306" s="381"/>
      <c r="AG306" s="381"/>
      <c r="AH306" s="381"/>
      <c r="AI306" s="381"/>
      <c r="AJ306" s="381"/>
      <c r="AK306" s="381"/>
      <c r="AL306" s="381"/>
      <c r="AM306" s="381"/>
      <c r="AN306" s="381"/>
      <c r="AO306" s="381"/>
      <c r="AP306" s="381"/>
      <c r="AQ306" s="381"/>
      <c r="AR306" s="381"/>
      <c r="AS306" s="381"/>
      <c r="AT306" s="381"/>
      <c r="AU306" s="381"/>
      <c r="AV306" s="381"/>
      <c r="AW306" s="381"/>
      <c r="AX306" s="381"/>
      <c r="AY306" s="381"/>
      <c r="AZ306" s="381"/>
      <c r="BA306" s="381"/>
      <c r="BB306" s="381"/>
      <c r="BC306" s="381"/>
      <c r="BD306" s="381"/>
      <c r="BE306" s="381"/>
      <c r="BF306" s="381"/>
      <c r="BG306" s="381"/>
      <c r="BH306" s="381"/>
      <c r="BI306" s="381"/>
      <c r="BJ306" s="381"/>
      <c r="BK306" s="381"/>
      <c r="BL306" s="381"/>
      <c r="BM306" s="381"/>
      <c r="BN306" s="381"/>
      <c r="BO306" s="381"/>
      <c r="BP306" s="381"/>
      <c r="BQ306" s="381"/>
      <c r="BR306" s="381"/>
      <c r="BS306" s="381"/>
      <c r="BT306" s="381"/>
      <c r="BU306" s="381"/>
      <c r="BV306" s="381"/>
      <c r="BW306" s="381"/>
      <c r="BX306" s="381"/>
      <c r="BY306" s="381"/>
      <c r="BZ306" s="381"/>
      <c r="CA306" s="381"/>
      <c r="CB306" s="381"/>
      <c r="CC306" s="381"/>
      <c r="CD306" s="381"/>
      <c r="CE306" s="381"/>
      <c r="CF306" s="381"/>
      <c r="CG306" s="381"/>
      <c r="CH306" s="381"/>
      <c r="CI306" s="381"/>
      <c r="CJ306" s="381"/>
      <c r="CK306" s="381"/>
      <c r="CL306" s="381"/>
      <c r="CM306" s="381"/>
      <c r="CN306" s="381"/>
      <c r="CO306" s="381"/>
      <c r="CP306" s="381"/>
      <c r="CQ306" s="381"/>
      <c r="CR306" s="381"/>
      <c r="CS306" s="381"/>
      <c r="CT306" s="381"/>
      <c r="CU306" s="381"/>
      <c r="CV306" s="381"/>
      <c r="CW306" s="381"/>
      <c r="CX306" s="381"/>
      <c r="CY306" s="381"/>
      <c r="CZ306" s="381"/>
      <c r="DA306" s="381"/>
      <c r="DB306" s="381"/>
      <c r="DC306" s="381"/>
      <c r="DD306" s="381"/>
      <c r="DE306" s="381"/>
      <c r="DF306" s="381"/>
      <c r="DG306" s="381"/>
      <c r="DH306" s="381"/>
      <c r="DI306" s="381"/>
      <c r="DJ306" s="381"/>
      <c r="DK306" s="381"/>
      <c r="DL306" s="381"/>
      <c r="DM306" s="381"/>
      <c r="DN306" s="381"/>
      <c r="DO306" s="381"/>
      <c r="DP306" s="381"/>
      <c r="DQ306" s="381"/>
      <c r="DR306" s="381"/>
      <c r="DS306" s="381"/>
      <c r="DT306" s="381"/>
      <c r="DU306" s="381"/>
      <c r="DV306" s="381"/>
      <c r="DW306" s="277"/>
      <c r="DX306" s="381"/>
      <c r="DY306" s="381"/>
      <c r="DZ306" s="381"/>
      <c r="EA306" s="381"/>
      <c r="EB306" s="381"/>
      <c r="EC306" s="381"/>
      <c r="ED306" s="381"/>
      <c r="EE306" s="381"/>
      <c r="EF306" s="381"/>
      <c r="EG306" s="381"/>
      <c r="EH306" s="381"/>
      <c r="EI306" s="381"/>
      <c r="EJ306" s="381"/>
      <c r="EK306" s="381"/>
      <c r="EL306" s="381"/>
      <c r="EM306" s="381"/>
      <c r="EN306" s="381"/>
      <c r="EO306" s="381"/>
      <c r="EP306" s="381"/>
      <c r="EQ306" s="381"/>
      <c r="ER306" s="277"/>
      <c r="ES306" s="381"/>
      <c r="ET306" s="381"/>
      <c r="EU306" s="381"/>
      <c r="EV306" s="381"/>
      <c r="EW306" s="381"/>
      <c r="EX306" s="381"/>
      <c r="EY306" s="381"/>
      <c r="EZ306" s="381"/>
      <c r="FA306" s="381"/>
      <c r="FB306" s="381"/>
      <c r="FC306" s="381"/>
      <c r="FD306" s="381"/>
      <c r="FE306" s="381"/>
      <c r="FF306" s="381"/>
      <c r="FG306" s="381"/>
      <c r="FH306" s="381"/>
      <c r="FI306" s="381"/>
      <c r="FJ306" s="381"/>
      <c r="FK306" s="381"/>
      <c r="FL306" s="381"/>
      <c r="FM306" s="381"/>
      <c r="FN306" s="381"/>
      <c r="FO306" s="381"/>
      <c r="FP306" s="381"/>
      <c r="FQ306" s="381"/>
      <c r="FR306" s="381"/>
      <c r="FS306" s="381"/>
      <c r="FT306" s="381"/>
      <c r="FU306" s="381"/>
      <c r="FV306" s="381"/>
      <c r="FW306" s="381"/>
      <c r="FX306" s="381"/>
      <c r="FY306" s="381"/>
      <c r="FZ306" s="381"/>
      <c r="GA306" s="381"/>
      <c r="GB306" s="381"/>
      <c r="GC306" s="381"/>
      <c r="GD306" s="381"/>
      <c r="GE306" s="381"/>
      <c r="GF306" s="381"/>
      <c r="GG306" s="381"/>
      <c r="GH306" s="381"/>
      <c r="GI306" s="381"/>
      <c r="GJ306" s="381"/>
      <c r="GK306" s="381"/>
      <c r="GL306" s="381"/>
      <c r="GM306" s="381"/>
      <c r="GN306" s="381"/>
      <c r="GO306" s="381"/>
      <c r="GP306" s="381"/>
      <c r="GQ306" s="381"/>
      <c r="GR306" s="381"/>
      <c r="GS306" s="381"/>
      <c r="GT306" s="381"/>
      <c r="GU306" s="381"/>
      <c r="GV306" s="381"/>
      <c r="GW306" s="381"/>
      <c r="GX306" s="381"/>
      <c r="GY306" s="381"/>
      <c r="GZ306" s="381"/>
      <c r="HA306" s="381"/>
      <c r="HB306" s="381"/>
      <c r="HC306" s="381"/>
      <c r="HD306" s="381"/>
      <c r="HE306" s="381"/>
      <c r="HF306" s="381"/>
      <c r="HG306" s="381"/>
      <c r="HH306" s="381"/>
      <c r="HI306" s="381"/>
      <c r="HJ306" s="381"/>
      <c r="HK306" s="381"/>
      <c r="HL306" s="381"/>
      <c r="HM306" s="381"/>
      <c r="HN306" s="381"/>
      <c r="HO306" s="381"/>
      <c r="HP306" s="381"/>
      <c r="HQ306" s="381"/>
      <c r="HR306" s="381"/>
      <c r="HS306" s="381"/>
      <c r="HT306" s="381"/>
      <c r="HU306" s="381"/>
      <c r="HV306" s="381"/>
      <c r="HW306" s="381"/>
      <c r="HX306" s="381"/>
      <c r="HY306" s="381"/>
      <c r="HZ306" s="381"/>
      <c r="IA306" s="381"/>
      <c r="IB306" s="381"/>
      <c r="IC306" s="381"/>
      <c r="ID306" s="381"/>
      <c r="IE306" s="381"/>
      <c r="IF306" s="381"/>
      <c r="IG306" s="381"/>
      <c r="IH306" s="381"/>
      <c r="II306" s="381"/>
      <c r="IJ306" s="381"/>
      <c r="IK306" s="381"/>
      <c r="IL306" s="381"/>
      <c r="IM306" s="381"/>
      <c r="IN306" s="381"/>
      <c r="IO306" s="381"/>
      <c r="IP306" s="381"/>
      <c r="IQ306" s="381"/>
      <c r="IR306" s="381"/>
      <c r="IS306" s="381"/>
      <c r="IT306" s="381"/>
      <c r="IU306" s="381"/>
      <c r="IV306" s="381"/>
      <c r="IW306" s="381"/>
      <c r="IX306" s="381"/>
      <c r="IY306" s="381"/>
      <c r="IZ306" s="381"/>
      <c r="JA306" s="381"/>
      <c r="JB306" s="381"/>
      <c r="JC306" s="381"/>
      <c r="JD306" s="381"/>
      <c r="JE306" s="381"/>
      <c r="JF306" s="381"/>
      <c r="JG306" s="277"/>
      <c r="JH306" s="381"/>
      <c r="JI306" s="381"/>
      <c r="JJ306" s="381"/>
      <c r="JK306" s="381"/>
      <c r="JL306" s="381"/>
      <c r="JM306" s="381"/>
      <c r="JN306" s="381"/>
      <c r="JO306" s="381"/>
      <c r="JP306" s="381"/>
      <c r="JQ306" s="381"/>
      <c r="JR306" s="381"/>
      <c r="JS306" s="381"/>
      <c r="JT306" s="381"/>
      <c r="JU306" s="381"/>
      <c r="JV306" s="381"/>
      <c r="JW306" s="381"/>
      <c r="JX306" s="381"/>
      <c r="JY306" s="381"/>
      <c r="JZ306" s="381"/>
      <c r="KA306" s="381"/>
      <c r="KB306" s="277"/>
    </row>
    <row r="307" spans="1:289" ht="15" customHeight="1" x14ac:dyDescent="0.25">
      <c r="B307" s="216" t="str">
        <f t="shared" si="23"/>
        <v>Desk 91</v>
      </c>
      <c r="C307" s="218" t="str">
        <v/>
      </c>
      <c r="D307" s="218" t="str">
        <v/>
      </c>
      <c r="E307" s="218" t="str">
        <v/>
      </c>
      <c r="F307" s="218" t="str">
        <v/>
      </c>
      <c r="G307" s="402" t="str">
        <v/>
      </c>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c r="AD307" s="381"/>
      <c r="AE307" s="381"/>
      <c r="AF307" s="381"/>
      <c r="AG307" s="381"/>
      <c r="AH307" s="381"/>
      <c r="AI307" s="381"/>
      <c r="AJ307" s="381"/>
      <c r="AK307" s="381"/>
      <c r="AL307" s="381"/>
      <c r="AM307" s="381"/>
      <c r="AN307" s="381"/>
      <c r="AO307" s="381"/>
      <c r="AP307" s="381"/>
      <c r="AQ307" s="381"/>
      <c r="AR307" s="381"/>
      <c r="AS307" s="381"/>
      <c r="AT307" s="381"/>
      <c r="AU307" s="381"/>
      <c r="AV307" s="381"/>
      <c r="AW307" s="381"/>
      <c r="AX307" s="381"/>
      <c r="AY307" s="381"/>
      <c r="AZ307" s="381"/>
      <c r="BA307" s="381"/>
      <c r="BB307" s="381"/>
      <c r="BC307" s="381"/>
      <c r="BD307" s="381"/>
      <c r="BE307" s="381"/>
      <c r="BF307" s="381"/>
      <c r="BG307" s="381"/>
      <c r="BH307" s="381"/>
      <c r="BI307" s="381"/>
      <c r="BJ307" s="381"/>
      <c r="BK307" s="381"/>
      <c r="BL307" s="381"/>
      <c r="BM307" s="381"/>
      <c r="BN307" s="381"/>
      <c r="BO307" s="381"/>
      <c r="BP307" s="381"/>
      <c r="BQ307" s="381"/>
      <c r="BR307" s="381"/>
      <c r="BS307" s="381"/>
      <c r="BT307" s="381"/>
      <c r="BU307" s="381"/>
      <c r="BV307" s="381"/>
      <c r="BW307" s="381"/>
      <c r="BX307" s="381"/>
      <c r="BY307" s="381"/>
      <c r="BZ307" s="381"/>
      <c r="CA307" s="381"/>
      <c r="CB307" s="381"/>
      <c r="CC307" s="381"/>
      <c r="CD307" s="381"/>
      <c r="CE307" s="381"/>
      <c r="CF307" s="381"/>
      <c r="CG307" s="381"/>
      <c r="CH307" s="381"/>
      <c r="CI307" s="381"/>
      <c r="CJ307" s="381"/>
      <c r="CK307" s="381"/>
      <c r="CL307" s="381"/>
      <c r="CM307" s="381"/>
      <c r="CN307" s="381"/>
      <c r="CO307" s="381"/>
      <c r="CP307" s="381"/>
      <c r="CQ307" s="381"/>
      <c r="CR307" s="381"/>
      <c r="CS307" s="381"/>
      <c r="CT307" s="381"/>
      <c r="CU307" s="381"/>
      <c r="CV307" s="381"/>
      <c r="CW307" s="381"/>
      <c r="CX307" s="381"/>
      <c r="CY307" s="381"/>
      <c r="CZ307" s="381"/>
      <c r="DA307" s="381"/>
      <c r="DB307" s="381"/>
      <c r="DC307" s="381"/>
      <c r="DD307" s="381"/>
      <c r="DE307" s="381"/>
      <c r="DF307" s="381"/>
      <c r="DG307" s="381"/>
      <c r="DH307" s="381"/>
      <c r="DI307" s="381"/>
      <c r="DJ307" s="381"/>
      <c r="DK307" s="381"/>
      <c r="DL307" s="381"/>
      <c r="DM307" s="381"/>
      <c r="DN307" s="381"/>
      <c r="DO307" s="381"/>
      <c r="DP307" s="381"/>
      <c r="DQ307" s="381"/>
      <c r="DR307" s="381"/>
      <c r="DS307" s="381"/>
      <c r="DT307" s="381"/>
      <c r="DU307" s="381"/>
      <c r="DV307" s="381"/>
      <c r="DW307" s="277"/>
      <c r="DX307" s="381"/>
      <c r="DY307" s="381"/>
      <c r="DZ307" s="381"/>
      <c r="EA307" s="381"/>
      <c r="EB307" s="381"/>
      <c r="EC307" s="381"/>
      <c r="ED307" s="381"/>
      <c r="EE307" s="381"/>
      <c r="EF307" s="381"/>
      <c r="EG307" s="381"/>
      <c r="EH307" s="381"/>
      <c r="EI307" s="381"/>
      <c r="EJ307" s="381"/>
      <c r="EK307" s="381"/>
      <c r="EL307" s="381"/>
      <c r="EM307" s="381"/>
      <c r="EN307" s="381"/>
      <c r="EO307" s="381"/>
      <c r="EP307" s="381"/>
      <c r="EQ307" s="381"/>
      <c r="ER307" s="277"/>
      <c r="ES307" s="381"/>
      <c r="ET307" s="381"/>
      <c r="EU307" s="381"/>
      <c r="EV307" s="381"/>
      <c r="EW307" s="381"/>
      <c r="EX307" s="381"/>
      <c r="EY307" s="381"/>
      <c r="EZ307" s="381"/>
      <c r="FA307" s="381"/>
      <c r="FB307" s="381"/>
      <c r="FC307" s="381"/>
      <c r="FD307" s="381"/>
      <c r="FE307" s="381"/>
      <c r="FF307" s="381"/>
      <c r="FG307" s="381"/>
      <c r="FH307" s="381"/>
      <c r="FI307" s="381"/>
      <c r="FJ307" s="381"/>
      <c r="FK307" s="381"/>
      <c r="FL307" s="381"/>
      <c r="FM307" s="381"/>
      <c r="FN307" s="381"/>
      <c r="FO307" s="381"/>
      <c r="FP307" s="381"/>
      <c r="FQ307" s="381"/>
      <c r="FR307" s="381"/>
      <c r="FS307" s="381"/>
      <c r="FT307" s="381"/>
      <c r="FU307" s="381"/>
      <c r="FV307" s="381"/>
      <c r="FW307" s="381"/>
      <c r="FX307" s="381"/>
      <c r="FY307" s="381"/>
      <c r="FZ307" s="381"/>
      <c r="GA307" s="381"/>
      <c r="GB307" s="381"/>
      <c r="GC307" s="381"/>
      <c r="GD307" s="381"/>
      <c r="GE307" s="381"/>
      <c r="GF307" s="381"/>
      <c r="GG307" s="381"/>
      <c r="GH307" s="381"/>
      <c r="GI307" s="381"/>
      <c r="GJ307" s="381"/>
      <c r="GK307" s="381"/>
      <c r="GL307" s="381"/>
      <c r="GM307" s="381"/>
      <c r="GN307" s="381"/>
      <c r="GO307" s="381"/>
      <c r="GP307" s="381"/>
      <c r="GQ307" s="381"/>
      <c r="GR307" s="381"/>
      <c r="GS307" s="381"/>
      <c r="GT307" s="381"/>
      <c r="GU307" s="381"/>
      <c r="GV307" s="381"/>
      <c r="GW307" s="381"/>
      <c r="GX307" s="381"/>
      <c r="GY307" s="381"/>
      <c r="GZ307" s="381"/>
      <c r="HA307" s="381"/>
      <c r="HB307" s="381"/>
      <c r="HC307" s="381"/>
      <c r="HD307" s="381"/>
      <c r="HE307" s="381"/>
      <c r="HF307" s="381"/>
      <c r="HG307" s="381"/>
      <c r="HH307" s="381"/>
      <c r="HI307" s="381"/>
      <c r="HJ307" s="381"/>
      <c r="HK307" s="381"/>
      <c r="HL307" s="381"/>
      <c r="HM307" s="381"/>
      <c r="HN307" s="381"/>
      <c r="HO307" s="381"/>
      <c r="HP307" s="381"/>
      <c r="HQ307" s="381"/>
      <c r="HR307" s="381"/>
      <c r="HS307" s="381"/>
      <c r="HT307" s="381"/>
      <c r="HU307" s="381"/>
      <c r="HV307" s="381"/>
      <c r="HW307" s="381"/>
      <c r="HX307" s="381"/>
      <c r="HY307" s="381"/>
      <c r="HZ307" s="381"/>
      <c r="IA307" s="381"/>
      <c r="IB307" s="381"/>
      <c r="IC307" s="381"/>
      <c r="ID307" s="381"/>
      <c r="IE307" s="381"/>
      <c r="IF307" s="381"/>
      <c r="IG307" s="381"/>
      <c r="IH307" s="381"/>
      <c r="II307" s="381"/>
      <c r="IJ307" s="381"/>
      <c r="IK307" s="381"/>
      <c r="IL307" s="381"/>
      <c r="IM307" s="381"/>
      <c r="IN307" s="381"/>
      <c r="IO307" s="381"/>
      <c r="IP307" s="381"/>
      <c r="IQ307" s="381"/>
      <c r="IR307" s="381"/>
      <c r="IS307" s="381"/>
      <c r="IT307" s="381"/>
      <c r="IU307" s="381"/>
      <c r="IV307" s="381"/>
      <c r="IW307" s="381"/>
      <c r="IX307" s="381"/>
      <c r="IY307" s="381"/>
      <c r="IZ307" s="381"/>
      <c r="JA307" s="381"/>
      <c r="JB307" s="381"/>
      <c r="JC307" s="381"/>
      <c r="JD307" s="381"/>
      <c r="JE307" s="381"/>
      <c r="JF307" s="381"/>
      <c r="JG307" s="277"/>
      <c r="JH307" s="381"/>
      <c r="JI307" s="381"/>
      <c r="JJ307" s="381"/>
      <c r="JK307" s="381"/>
      <c r="JL307" s="381"/>
      <c r="JM307" s="381"/>
      <c r="JN307" s="381"/>
      <c r="JO307" s="381"/>
      <c r="JP307" s="381"/>
      <c r="JQ307" s="381"/>
      <c r="JR307" s="381"/>
      <c r="JS307" s="381"/>
      <c r="JT307" s="381"/>
      <c r="JU307" s="381"/>
      <c r="JV307" s="381"/>
      <c r="JW307" s="381"/>
      <c r="JX307" s="381"/>
      <c r="JY307" s="381"/>
      <c r="JZ307" s="381"/>
      <c r="KA307" s="381"/>
      <c r="KB307" s="277"/>
    </row>
    <row r="308" spans="1:289" ht="15" customHeight="1" x14ac:dyDescent="0.25">
      <c r="B308" s="216" t="str">
        <f t="shared" si="23"/>
        <v>Desk 92</v>
      </c>
      <c r="C308" s="218" t="str">
        <v/>
      </c>
      <c r="D308" s="218" t="str">
        <v/>
      </c>
      <c r="E308" s="218" t="str">
        <v/>
      </c>
      <c r="F308" s="218" t="str">
        <v/>
      </c>
      <c r="G308" s="402" t="str">
        <v/>
      </c>
      <c r="H308" s="381"/>
      <c r="I308" s="381"/>
      <c r="J308" s="381"/>
      <c r="K308" s="381"/>
      <c r="L308" s="381"/>
      <c r="M308" s="381"/>
      <c r="N308" s="381"/>
      <c r="O308" s="381"/>
      <c r="P308" s="381"/>
      <c r="Q308" s="381"/>
      <c r="R308" s="381"/>
      <c r="S308" s="381"/>
      <c r="T308" s="381"/>
      <c r="U308" s="381"/>
      <c r="V308" s="381"/>
      <c r="W308" s="381"/>
      <c r="X308" s="381"/>
      <c r="Y308" s="381"/>
      <c r="Z308" s="381"/>
      <c r="AA308" s="381"/>
      <c r="AB308" s="381"/>
      <c r="AC308" s="381"/>
      <c r="AD308" s="381"/>
      <c r="AE308" s="381"/>
      <c r="AF308" s="381"/>
      <c r="AG308" s="381"/>
      <c r="AH308" s="381"/>
      <c r="AI308" s="381"/>
      <c r="AJ308" s="381"/>
      <c r="AK308" s="381"/>
      <c r="AL308" s="381"/>
      <c r="AM308" s="381"/>
      <c r="AN308" s="381"/>
      <c r="AO308" s="381"/>
      <c r="AP308" s="381"/>
      <c r="AQ308" s="381"/>
      <c r="AR308" s="381"/>
      <c r="AS308" s="381"/>
      <c r="AT308" s="381"/>
      <c r="AU308" s="381"/>
      <c r="AV308" s="381"/>
      <c r="AW308" s="381"/>
      <c r="AX308" s="381"/>
      <c r="AY308" s="381"/>
      <c r="AZ308" s="381"/>
      <c r="BA308" s="381"/>
      <c r="BB308" s="381"/>
      <c r="BC308" s="381"/>
      <c r="BD308" s="381"/>
      <c r="BE308" s="381"/>
      <c r="BF308" s="381"/>
      <c r="BG308" s="381"/>
      <c r="BH308" s="381"/>
      <c r="BI308" s="381"/>
      <c r="BJ308" s="381"/>
      <c r="BK308" s="381"/>
      <c r="BL308" s="381"/>
      <c r="BM308" s="381"/>
      <c r="BN308" s="381"/>
      <c r="BO308" s="381"/>
      <c r="BP308" s="381"/>
      <c r="BQ308" s="381"/>
      <c r="BR308" s="381"/>
      <c r="BS308" s="381"/>
      <c r="BT308" s="381"/>
      <c r="BU308" s="381"/>
      <c r="BV308" s="381"/>
      <c r="BW308" s="381"/>
      <c r="BX308" s="381"/>
      <c r="BY308" s="381"/>
      <c r="BZ308" s="381"/>
      <c r="CA308" s="381"/>
      <c r="CB308" s="381"/>
      <c r="CC308" s="381"/>
      <c r="CD308" s="381"/>
      <c r="CE308" s="381"/>
      <c r="CF308" s="381"/>
      <c r="CG308" s="381"/>
      <c r="CH308" s="381"/>
      <c r="CI308" s="381"/>
      <c r="CJ308" s="381"/>
      <c r="CK308" s="381"/>
      <c r="CL308" s="381"/>
      <c r="CM308" s="381"/>
      <c r="CN308" s="381"/>
      <c r="CO308" s="381"/>
      <c r="CP308" s="381"/>
      <c r="CQ308" s="381"/>
      <c r="CR308" s="381"/>
      <c r="CS308" s="381"/>
      <c r="CT308" s="381"/>
      <c r="CU308" s="381"/>
      <c r="CV308" s="381"/>
      <c r="CW308" s="381"/>
      <c r="CX308" s="381"/>
      <c r="CY308" s="381"/>
      <c r="CZ308" s="381"/>
      <c r="DA308" s="381"/>
      <c r="DB308" s="381"/>
      <c r="DC308" s="381"/>
      <c r="DD308" s="381"/>
      <c r="DE308" s="381"/>
      <c r="DF308" s="381"/>
      <c r="DG308" s="381"/>
      <c r="DH308" s="381"/>
      <c r="DI308" s="381"/>
      <c r="DJ308" s="381"/>
      <c r="DK308" s="381"/>
      <c r="DL308" s="381"/>
      <c r="DM308" s="381"/>
      <c r="DN308" s="381"/>
      <c r="DO308" s="381"/>
      <c r="DP308" s="381"/>
      <c r="DQ308" s="381"/>
      <c r="DR308" s="381"/>
      <c r="DS308" s="381"/>
      <c r="DT308" s="381"/>
      <c r="DU308" s="381"/>
      <c r="DV308" s="381"/>
      <c r="DW308" s="277"/>
      <c r="DX308" s="381"/>
      <c r="DY308" s="381"/>
      <c r="DZ308" s="381"/>
      <c r="EA308" s="381"/>
      <c r="EB308" s="381"/>
      <c r="EC308" s="381"/>
      <c r="ED308" s="381"/>
      <c r="EE308" s="381"/>
      <c r="EF308" s="381"/>
      <c r="EG308" s="381"/>
      <c r="EH308" s="381"/>
      <c r="EI308" s="381"/>
      <c r="EJ308" s="381"/>
      <c r="EK308" s="381"/>
      <c r="EL308" s="381"/>
      <c r="EM308" s="381"/>
      <c r="EN308" s="381"/>
      <c r="EO308" s="381"/>
      <c r="EP308" s="381"/>
      <c r="EQ308" s="381"/>
      <c r="ER308" s="277"/>
      <c r="ES308" s="381"/>
      <c r="ET308" s="381"/>
      <c r="EU308" s="381"/>
      <c r="EV308" s="381"/>
      <c r="EW308" s="381"/>
      <c r="EX308" s="381"/>
      <c r="EY308" s="381"/>
      <c r="EZ308" s="381"/>
      <c r="FA308" s="381"/>
      <c r="FB308" s="381"/>
      <c r="FC308" s="381"/>
      <c r="FD308" s="381"/>
      <c r="FE308" s="381"/>
      <c r="FF308" s="381"/>
      <c r="FG308" s="381"/>
      <c r="FH308" s="381"/>
      <c r="FI308" s="381"/>
      <c r="FJ308" s="381"/>
      <c r="FK308" s="381"/>
      <c r="FL308" s="381"/>
      <c r="FM308" s="381"/>
      <c r="FN308" s="381"/>
      <c r="FO308" s="381"/>
      <c r="FP308" s="381"/>
      <c r="FQ308" s="381"/>
      <c r="FR308" s="381"/>
      <c r="FS308" s="381"/>
      <c r="FT308" s="381"/>
      <c r="FU308" s="381"/>
      <c r="FV308" s="381"/>
      <c r="FW308" s="381"/>
      <c r="FX308" s="381"/>
      <c r="FY308" s="381"/>
      <c r="FZ308" s="381"/>
      <c r="GA308" s="381"/>
      <c r="GB308" s="381"/>
      <c r="GC308" s="381"/>
      <c r="GD308" s="381"/>
      <c r="GE308" s="381"/>
      <c r="GF308" s="381"/>
      <c r="GG308" s="381"/>
      <c r="GH308" s="381"/>
      <c r="GI308" s="381"/>
      <c r="GJ308" s="381"/>
      <c r="GK308" s="381"/>
      <c r="GL308" s="381"/>
      <c r="GM308" s="381"/>
      <c r="GN308" s="381"/>
      <c r="GO308" s="381"/>
      <c r="GP308" s="381"/>
      <c r="GQ308" s="381"/>
      <c r="GR308" s="381"/>
      <c r="GS308" s="381"/>
      <c r="GT308" s="381"/>
      <c r="GU308" s="381"/>
      <c r="GV308" s="381"/>
      <c r="GW308" s="381"/>
      <c r="GX308" s="381"/>
      <c r="GY308" s="381"/>
      <c r="GZ308" s="381"/>
      <c r="HA308" s="381"/>
      <c r="HB308" s="381"/>
      <c r="HC308" s="381"/>
      <c r="HD308" s="381"/>
      <c r="HE308" s="381"/>
      <c r="HF308" s="381"/>
      <c r="HG308" s="381"/>
      <c r="HH308" s="381"/>
      <c r="HI308" s="381"/>
      <c r="HJ308" s="381"/>
      <c r="HK308" s="381"/>
      <c r="HL308" s="381"/>
      <c r="HM308" s="381"/>
      <c r="HN308" s="381"/>
      <c r="HO308" s="381"/>
      <c r="HP308" s="381"/>
      <c r="HQ308" s="381"/>
      <c r="HR308" s="381"/>
      <c r="HS308" s="381"/>
      <c r="HT308" s="381"/>
      <c r="HU308" s="381"/>
      <c r="HV308" s="381"/>
      <c r="HW308" s="381"/>
      <c r="HX308" s="381"/>
      <c r="HY308" s="381"/>
      <c r="HZ308" s="381"/>
      <c r="IA308" s="381"/>
      <c r="IB308" s="381"/>
      <c r="IC308" s="381"/>
      <c r="ID308" s="381"/>
      <c r="IE308" s="381"/>
      <c r="IF308" s="381"/>
      <c r="IG308" s="381"/>
      <c r="IH308" s="381"/>
      <c r="II308" s="381"/>
      <c r="IJ308" s="381"/>
      <c r="IK308" s="381"/>
      <c r="IL308" s="381"/>
      <c r="IM308" s="381"/>
      <c r="IN308" s="381"/>
      <c r="IO308" s="381"/>
      <c r="IP308" s="381"/>
      <c r="IQ308" s="381"/>
      <c r="IR308" s="381"/>
      <c r="IS308" s="381"/>
      <c r="IT308" s="381"/>
      <c r="IU308" s="381"/>
      <c r="IV308" s="381"/>
      <c r="IW308" s="381"/>
      <c r="IX308" s="381"/>
      <c r="IY308" s="381"/>
      <c r="IZ308" s="381"/>
      <c r="JA308" s="381"/>
      <c r="JB308" s="381"/>
      <c r="JC308" s="381"/>
      <c r="JD308" s="381"/>
      <c r="JE308" s="381"/>
      <c r="JF308" s="381"/>
      <c r="JG308" s="277"/>
      <c r="JH308" s="381"/>
      <c r="JI308" s="381"/>
      <c r="JJ308" s="381"/>
      <c r="JK308" s="381"/>
      <c r="JL308" s="381"/>
      <c r="JM308" s="381"/>
      <c r="JN308" s="381"/>
      <c r="JO308" s="381"/>
      <c r="JP308" s="381"/>
      <c r="JQ308" s="381"/>
      <c r="JR308" s="381"/>
      <c r="JS308" s="381"/>
      <c r="JT308" s="381"/>
      <c r="JU308" s="381"/>
      <c r="JV308" s="381"/>
      <c r="JW308" s="381"/>
      <c r="JX308" s="381"/>
      <c r="JY308" s="381"/>
      <c r="JZ308" s="381"/>
      <c r="KA308" s="381"/>
      <c r="KB308" s="277"/>
    </row>
    <row r="309" spans="1:289" ht="15" customHeight="1" x14ac:dyDescent="0.25">
      <c r="B309" s="216" t="str">
        <f t="shared" si="23"/>
        <v>Desk 93</v>
      </c>
      <c r="C309" s="218" t="str">
        <v/>
      </c>
      <c r="D309" s="218" t="str">
        <v/>
      </c>
      <c r="E309" s="218" t="str">
        <v/>
      </c>
      <c r="F309" s="218" t="str">
        <v/>
      </c>
      <c r="G309" s="402" t="str">
        <v/>
      </c>
      <c r="H309" s="381"/>
      <c r="I309" s="381"/>
      <c r="J309" s="381"/>
      <c r="K309" s="381"/>
      <c r="L309" s="381"/>
      <c r="M309" s="381"/>
      <c r="N309" s="381"/>
      <c r="O309" s="381"/>
      <c r="P309" s="381"/>
      <c r="Q309" s="381"/>
      <c r="R309" s="381"/>
      <c r="S309" s="381"/>
      <c r="T309" s="381"/>
      <c r="U309" s="381"/>
      <c r="V309" s="381"/>
      <c r="W309" s="381"/>
      <c r="X309" s="381"/>
      <c r="Y309" s="381"/>
      <c r="Z309" s="381"/>
      <c r="AA309" s="381"/>
      <c r="AB309" s="381"/>
      <c r="AC309" s="381"/>
      <c r="AD309" s="381"/>
      <c r="AE309" s="381"/>
      <c r="AF309" s="381"/>
      <c r="AG309" s="381"/>
      <c r="AH309" s="381"/>
      <c r="AI309" s="381"/>
      <c r="AJ309" s="381"/>
      <c r="AK309" s="381"/>
      <c r="AL309" s="381"/>
      <c r="AM309" s="381"/>
      <c r="AN309" s="381"/>
      <c r="AO309" s="381"/>
      <c r="AP309" s="381"/>
      <c r="AQ309" s="381"/>
      <c r="AR309" s="381"/>
      <c r="AS309" s="381"/>
      <c r="AT309" s="381"/>
      <c r="AU309" s="381"/>
      <c r="AV309" s="381"/>
      <c r="AW309" s="381"/>
      <c r="AX309" s="381"/>
      <c r="AY309" s="381"/>
      <c r="AZ309" s="381"/>
      <c r="BA309" s="381"/>
      <c r="BB309" s="381"/>
      <c r="BC309" s="381"/>
      <c r="BD309" s="381"/>
      <c r="BE309" s="381"/>
      <c r="BF309" s="381"/>
      <c r="BG309" s="381"/>
      <c r="BH309" s="381"/>
      <c r="BI309" s="381"/>
      <c r="BJ309" s="381"/>
      <c r="BK309" s="381"/>
      <c r="BL309" s="381"/>
      <c r="BM309" s="381"/>
      <c r="BN309" s="381"/>
      <c r="BO309" s="381"/>
      <c r="BP309" s="381"/>
      <c r="BQ309" s="381"/>
      <c r="BR309" s="381"/>
      <c r="BS309" s="381"/>
      <c r="BT309" s="381"/>
      <c r="BU309" s="381"/>
      <c r="BV309" s="381"/>
      <c r="BW309" s="381"/>
      <c r="BX309" s="381"/>
      <c r="BY309" s="381"/>
      <c r="BZ309" s="381"/>
      <c r="CA309" s="381"/>
      <c r="CB309" s="381"/>
      <c r="CC309" s="381"/>
      <c r="CD309" s="381"/>
      <c r="CE309" s="381"/>
      <c r="CF309" s="381"/>
      <c r="CG309" s="381"/>
      <c r="CH309" s="381"/>
      <c r="CI309" s="381"/>
      <c r="CJ309" s="381"/>
      <c r="CK309" s="381"/>
      <c r="CL309" s="381"/>
      <c r="CM309" s="381"/>
      <c r="CN309" s="381"/>
      <c r="CO309" s="381"/>
      <c r="CP309" s="381"/>
      <c r="CQ309" s="381"/>
      <c r="CR309" s="381"/>
      <c r="CS309" s="381"/>
      <c r="CT309" s="381"/>
      <c r="CU309" s="381"/>
      <c r="CV309" s="381"/>
      <c r="CW309" s="381"/>
      <c r="CX309" s="381"/>
      <c r="CY309" s="381"/>
      <c r="CZ309" s="381"/>
      <c r="DA309" s="381"/>
      <c r="DB309" s="381"/>
      <c r="DC309" s="381"/>
      <c r="DD309" s="381"/>
      <c r="DE309" s="381"/>
      <c r="DF309" s="381"/>
      <c r="DG309" s="381"/>
      <c r="DH309" s="381"/>
      <c r="DI309" s="381"/>
      <c r="DJ309" s="381"/>
      <c r="DK309" s="381"/>
      <c r="DL309" s="381"/>
      <c r="DM309" s="381"/>
      <c r="DN309" s="381"/>
      <c r="DO309" s="381"/>
      <c r="DP309" s="381"/>
      <c r="DQ309" s="381"/>
      <c r="DR309" s="381"/>
      <c r="DS309" s="381"/>
      <c r="DT309" s="381"/>
      <c r="DU309" s="381"/>
      <c r="DV309" s="381"/>
      <c r="DW309" s="277"/>
      <c r="DX309" s="381"/>
      <c r="DY309" s="381"/>
      <c r="DZ309" s="381"/>
      <c r="EA309" s="381"/>
      <c r="EB309" s="381"/>
      <c r="EC309" s="381"/>
      <c r="ED309" s="381"/>
      <c r="EE309" s="381"/>
      <c r="EF309" s="381"/>
      <c r="EG309" s="381"/>
      <c r="EH309" s="381"/>
      <c r="EI309" s="381"/>
      <c r="EJ309" s="381"/>
      <c r="EK309" s="381"/>
      <c r="EL309" s="381"/>
      <c r="EM309" s="381"/>
      <c r="EN309" s="381"/>
      <c r="EO309" s="381"/>
      <c r="EP309" s="381"/>
      <c r="EQ309" s="381"/>
      <c r="ER309" s="277"/>
      <c r="ES309" s="381"/>
      <c r="ET309" s="381"/>
      <c r="EU309" s="381"/>
      <c r="EV309" s="381"/>
      <c r="EW309" s="381"/>
      <c r="EX309" s="381"/>
      <c r="EY309" s="381"/>
      <c r="EZ309" s="381"/>
      <c r="FA309" s="381"/>
      <c r="FB309" s="381"/>
      <c r="FC309" s="381"/>
      <c r="FD309" s="381"/>
      <c r="FE309" s="381"/>
      <c r="FF309" s="381"/>
      <c r="FG309" s="381"/>
      <c r="FH309" s="381"/>
      <c r="FI309" s="381"/>
      <c r="FJ309" s="381"/>
      <c r="FK309" s="381"/>
      <c r="FL309" s="381"/>
      <c r="FM309" s="381"/>
      <c r="FN309" s="381"/>
      <c r="FO309" s="381"/>
      <c r="FP309" s="381"/>
      <c r="FQ309" s="381"/>
      <c r="FR309" s="381"/>
      <c r="FS309" s="381"/>
      <c r="FT309" s="381"/>
      <c r="FU309" s="381"/>
      <c r="FV309" s="381"/>
      <c r="FW309" s="381"/>
      <c r="FX309" s="381"/>
      <c r="FY309" s="381"/>
      <c r="FZ309" s="381"/>
      <c r="GA309" s="381"/>
      <c r="GB309" s="381"/>
      <c r="GC309" s="381"/>
      <c r="GD309" s="381"/>
      <c r="GE309" s="381"/>
      <c r="GF309" s="381"/>
      <c r="GG309" s="381"/>
      <c r="GH309" s="381"/>
      <c r="GI309" s="381"/>
      <c r="GJ309" s="381"/>
      <c r="GK309" s="381"/>
      <c r="GL309" s="381"/>
      <c r="GM309" s="381"/>
      <c r="GN309" s="381"/>
      <c r="GO309" s="381"/>
      <c r="GP309" s="381"/>
      <c r="GQ309" s="381"/>
      <c r="GR309" s="381"/>
      <c r="GS309" s="381"/>
      <c r="GT309" s="381"/>
      <c r="GU309" s="381"/>
      <c r="GV309" s="381"/>
      <c r="GW309" s="381"/>
      <c r="GX309" s="381"/>
      <c r="GY309" s="381"/>
      <c r="GZ309" s="381"/>
      <c r="HA309" s="381"/>
      <c r="HB309" s="381"/>
      <c r="HC309" s="381"/>
      <c r="HD309" s="381"/>
      <c r="HE309" s="381"/>
      <c r="HF309" s="381"/>
      <c r="HG309" s="381"/>
      <c r="HH309" s="381"/>
      <c r="HI309" s="381"/>
      <c r="HJ309" s="381"/>
      <c r="HK309" s="381"/>
      <c r="HL309" s="381"/>
      <c r="HM309" s="381"/>
      <c r="HN309" s="381"/>
      <c r="HO309" s="381"/>
      <c r="HP309" s="381"/>
      <c r="HQ309" s="381"/>
      <c r="HR309" s="381"/>
      <c r="HS309" s="381"/>
      <c r="HT309" s="381"/>
      <c r="HU309" s="381"/>
      <c r="HV309" s="381"/>
      <c r="HW309" s="381"/>
      <c r="HX309" s="381"/>
      <c r="HY309" s="381"/>
      <c r="HZ309" s="381"/>
      <c r="IA309" s="381"/>
      <c r="IB309" s="381"/>
      <c r="IC309" s="381"/>
      <c r="ID309" s="381"/>
      <c r="IE309" s="381"/>
      <c r="IF309" s="381"/>
      <c r="IG309" s="381"/>
      <c r="IH309" s="381"/>
      <c r="II309" s="381"/>
      <c r="IJ309" s="381"/>
      <c r="IK309" s="381"/>
      <c r="IL309" s="381"/>
      <c r="IM309" s="381"/>
      <c r="IN309" s="381"/>
      <c r="IO309" s="381"/>
      <c r="IP309" s="381"/>
      <c r="IQ309" s="381"/>
      <c r="IR309" s="381"/>
      <c r="IS309" s="381"/>
      <c r="IT309" s="381"/>
      <c r="IU309" s="381"/>
      <c r="IV309" s="381"/>
      <c r="IW309" s="381"/>
      <c r="IX309" s="381"/>
      <c r="IY309" s="381"/>
      <c r="IZ309" s="381"/>
      <c r="JA309" s="381"/>
      <c r="JB309" s="381"/>
      <c r="JC309" s="381"/>
      <c r="JD309" s="381"/>
      <c r="JE309" s="381"/>
      <c r="JF309" s="381"/>
      <c r="JG309" s="277"/>
      <c r="JH309" s="381"/>
      <c r="JI309" s="381"/>
      <c r="JJ309" s="381"/>
      <c r="JK309" s="381"/>
      <c r="JL309" s="381"/>
      <c r="JM309" s="381"/>
      <c r="JN309" s="381"/>
      <c r="JO309" s="381"/>
      <c r="JP309" s="381"/>
      <c r="JQ309" s="381"/>
      <c r="JR309" s="381"/>
      <c r="JS309" s="381"/>
      <c r="JT309" s="381"/>
      <c r="JU309" s="381"/>
      <c r="JV309" s="381"/>
      <c r="JW309" s="381"/>
      <c r="JX309" s="381"/>
      <c r="JY309" s="381"/>
      <c r="JZ309" s="381"/>
      <c r="KA309" s="381"/>
      <c r="KB309" s="277"/>
    </row>
    <row r="310" spans="1:289" ht="15" customHeight="1" x14ac:dyDescent="0.25">
      <c r="B310" s="216" t="str">
        <f t="shared" si="23"/>
        <v>Desk 94</v>
      </c>
      <c r="C310" s="218" t="str">
        <v/>
      </c>
      <c r="D310" s="218" t="str">
        <v/>
      </c>
      <c r="E310" s="218" t="str">
        <v/>
      </c>
      <c r="F310" s="218" t="str">
        <v/>
      </c>
      <c r="G310" s="402" t="str">
        <v/>
      </c>
      <c r="H310" s="381"/>
      <c r="I310" s="381"/>
      <c r="J310" s="381"/>
      <c r="K310" s="381"/>
      <c r="L310" s="381"/>
      <c r="M310" s="381"/>
      <c r="N310" s="381"/>
      <c r="O310" s="381"/>
      <c r="P310" s="381"/>
      <c r="Q310" s="381"/>
      <c r="R310" s="381"/>
      <c r="S310" s="381"/>
      <c r="T310" s="381"/>
      <c r="U310" s="381"/>
      <c r="V310" s="381"/>
      <c r="W310" s="381"/>
      <c r="X310" s="381"/>
      <c r="Y310" s="381"/>
      <c r="Z310" s="381"/>
      <c r="AA310" s="381"/>
      <c r="AB310" s="381"/>
      <c r="AC310" s="381"/>
      <c r="AD310" s="381"/>
      <c r="AE310" s="381"/>
      <c r="AF310" s="381"/>
      <c r="AG310" s="381"/>
      <c r="AH310" s="381"/>
      <c r="AI310" s="381"/>
      <c r="AJ310" s="381"/>
      <c r="AK310" s="381"/>
      <c r="AL310" s="381"/>
      <c r="AM310" s="381"/>
      <c r="AN310" s="381"/>
      <c r="AO310" s="381"/>
      <c r="AP310" s="381"/>
      <c r="AQ310" s="381"/>
      <c r="AR310" s="381"/>
      <c r="AS310" s="381"/>
      <c r="AT310" s="381"/>
      <c r="AU310" s="381"/>
      <c r="AV310" s="381"/>
      <c r="AW310" s="381"/>
      <c r="AX310" s="381"/>
      <c r="AY310" s="381"/>
      <c r="AZ310" s="381"/>
      <c r="BA310" s="381"/>
      <c r="BB310" s="381"/>
      <c r="BC310" s="381"/>
      <c r="BD310" s="381"/>
      <c r="BE310" s="381"/>
      <c r="BF310" s="381"/>
      <c r="BG310" s="381"/>
      <c r="BH310" s="381"/>
      <c r="BI310" s="381"/>
      <c r="BJ310" s="381"/>
      <c r="BK310" s="381"/>
      <c r="BL310" s="381"/>
      <c r="BM310" s="381"/>
      <c r="BN310" s="381"/>
      <c r="BO310" s="381"/>
      <c r="BP310" s="381"/>
      <c r="BQ310" s="381"/>
      <c r="BR310" s="381"/>
      <c r="BS310" s="381"/>
      <c r="BT310" s="381"/>
      <c r="BU310" s="381"/>
      <c r="BV310" s="381"/>
      <c r="BW310" s="381"/>
      <c r="BX310" s="381"/>
      <c r="BY310" s="381"/>
      <c r="BZ310" s="381"/>
      <c r="CA310" s="381"/>
      <c r="CB310" s="381"/>
      <c r="CC310" s="381"/>
      <c r="CD310" s="381"/>
      <c r="CE310" s="381"/>
      <c r="CF310" s="381"/>
      <c r="CG310" s="381"/>
      <c r="CH310" s="381"/>
      <c r="CI310" s="381"/>
      <c r="CJ310" s="381"/>
      <c r="CK310" s="381"/>
      <c r="CL310" s="381"/>
      <c r="CM310" s="381"/>
      <c r="CN310" s="381"/>
      <c r="CO310" s="381"/>
      <c r="CP310" s="381"/>
      <c r="CQ310" s="381"/>
      <c r="CR310" s="381"/>
      <c r="CS310" s="381"/>
      <c r="CT310" s="381"/>
      <c r="CU310" s="381"/>
      <c r="CV310" s="381"/>
      <c r="CW310" s="381"/>
      <c r="CX310" s="381"/>
      <c r="CY310" s="381"/>
      <c r="CZ310" s="381"/>
      <c r="DA310" s="381"/>
      <c r="DB310" s="381"/>
      <c r="DC310" s="381"/>
      <c r="DD310" s="381"/>
      <c r="DE310" s="381"/>
      <c r="DF310" s="381"/>
      <c r="DG310" s="381"/>
      <c r="DH310" s="381"/>
      <c r="DI310" s="381"/>
      <c r="DJ310" s="381"/>
      <c r="DK310" s="381"/>
      <c r="DL310" s="381"/>
      <c r="DM310" s="381"/>
      <c r="DN310" s="381"/>
      <c r="DO310" s="381"/>
      <c r="DP310" s="381"/>
      <c r="DQ310" s="381"/>
      <c r="DR310" s="381"/>
      <c r="DS310" s="381"/>
      <c r="DT310" s="381"/>
      <c r="DU310" s="381"/>
      <c r="DV310" s="381"/>
      <c r="DW310" s="277"/>
      <c r="DX310" s="381"/>
      <c r="DY310" s="381"/>
      <c r="DZ310" s="381"/>
      <c r="EA310" s="381"/>
      <c r="EB310" s="381"/>
      <c r="EC310" s="381"/>
      <c r="ED310" s="381"/>
      <c r="EE310" s="381"/>
      <c r="EF310" s="381"/>
      <c r="EG310" s="381"/>
      <c r="EH310" s="381"/>
      <c r="EI310" s="381"/>
      <c r="EJ310" s="381"/>
      <c r="EK310" s="381"/>
      <c r="EL310" s="381"/>
      <c r="EM310" s="381"/>
      <c r="EN310" s="381"/>
      <c r="EO310" s="381"/>
      <c r="EP310" s="381"/>
      <c r="EQ310" s="381"/>
      <c r="ER310" s="277"/>
      <c r="ES310" s="381"/>
      <c r="ET310" s="381"/>
      <c r="EU310" s="381"/>
      <c r="EV310" s="381"/>
      <c r="EW310" s="381"/>
      <c r="EX310" s="381"/>
      <c r="EY310" s="381"/>
      <c r="EZ310" s="381"/>
      <c r="FA310" s="381"/>
      <c r="FB310" s="381"/>
      <c r="FC310" s="381"/>
      <c r="FD310" s="381"/>
      <c r="FE310" s="381"/>
      <c r="FF310" s="381"/>
      <c r="FG310" s="381"/>
      <c r="FH310" s="381"/>
      <c r="FI310" s="381"/>
      <c r="FJ310" s="381"/>
      <c r="FK310" s="381"/>
      <c r="FL310" s="381"/>
      <c r="FM310" s="381"/>
      <c r="FN310" s="381"/>
      <c r="FO310" s="381"/>
      <c r="FP310" s="381"/>
      <c r="FQ310" s="381"/>
      <c r="FR310" s="381"/>
      <c r="FS310" s="381"/>
      <c r="FT310" s="381"/>
      <c r="FU310" s="381"/>
      <c r="FV310" s="381"/>
      <c r="FW310" s="381"/>
      <c r="FX310" s="381"/>
      <c r="FY310" s="381"/>
      <c r="FZ310" s="381"/>
      <c r="GA310" s="381"/>
      <c r="GB310" s="381"/>
      <c r="GC310" s="381"/>
      <c r="GD310" s="381"/>
      <c r="GE310" s="381"/>
      <c r="GF310" s="381"/>
      <c r="GG310" s="381"/>
      <c r="GH310" s="381"/>
      <c r="GI310" s="381"/>
      <c r="GJ310" s="381"/>
      <c r="GK310" s="381"/>
      <c r="GL310" s="381"/>
      <c r="GM310" s="381"/>
      <c r="GN310" s="381"/>
      <c r="GO310" s="381"/>
      <c r="GP310" s="381"/>
      <c r="GQ310" s="381"/>
      <c r="GR310" s="381"/>
      <c r="GS310" s="381"/>
      <c r="GT310" s="381"/>
      <c r="GU310" s="381"/>
      <c r="GV310" s="381"/>
      <c r="GW310" s="381"/>
      <c r="GX310" s="381"/>
      <c r="GY310" s="381"/>
      <c r="GZ310" s="381"/>
      <c r="HA310" s="381"/>
      <c r="HB310" s="381"/>
      <c r="HC310" s="381"/>
      <c r="HD310" s="381"/>
      <c r="HE310" s="381"/>
      <c r="HF310" s="381"/>
      <c r="HG310" s="381"/>
      <c r="HH310" s="381"/>
      <c r="HI310" s="381"/>
      <c r="HJ310" s="381"/>
      <c r="HK310" s="381"/>
      <c r="HL310" s="381"/>
      <c r="HM310" s="381"/>
      <c r="HN310" s="381"/>
      <c r="HO310" s="381"/>
      <c r="HP310" s="381"/>
      <c r="HQ310" s="381"/>
      <c r="HR310" s="381"/>
      <c r="HS310" s="381"/>
      <c r="HT310" s="381"/>
      <c r="HU310" s="381"/>
      <c r="HV310" s="381"/>
      <c r="HW310" s="381"/>
      <c r="HX310" s="381"/>
      <c r="HY310" s="381"/>
      <c r="HZ310" s="381"/>
      <c r="IA310" s="381"/>
      <c r="IB310" s="381"/>
      <c r="IC310" s="381"/>
      <c r="ID310" s="381"/>
      <c r="IE310" s="381"/>
      <c r="IF310" s="381"/>
      <c r="IG310" s="381"/>
      <c r="IH310" s="381"/>
      <c r="II310" s="381"/>
      <c r="IJ310" s="381"/>
      <c r="IK310" s="381"/>
      <c r="IL310" s="381"/>
      <c r="IM310" s="381"/>
      <c r="IN310" s="381"/>
      <c r="IO310" s="381"/>
      <c r="IP310" s="381"/>
      <c r="IQ310" s="381"/>
      <c r="IR310" s="381"/>
      <c r="IS310" s="381"/>
      <c r="IT310" s="381"/>
      <c r="IU310" s="381"/>
      <c r="IV310" s="381"/>
      <c r="IW310" s="381"/>
      <c r="IX310" s="381"/>
      <c r="IY310" s="381"/>
      <c r="IZ310" s="381"/>
      <c r="JA310" s="381"/>
      <c r="JB310" s="381"/>
      <c r="JC310" s="381"/>
      <c r="JD310" s="381"/>
      <c r="JE310" s="381"/>
      <c r="JF310" s="381"/>
      <c r="JG310" s="277"/>
      <c r="JH310" s="381"/>
      <c r="JI310" s="381"/>
      <c r="JJ310" s="381"/>
      <c r="JK310" s="381"/>
      <c r="JL310" s="381"/>
      <c r="JM310" s="381"/>
      <c r="JN310" s="381"/>
      <c r="JO310" s="381"/>
      <c r="JP310" s="381"/>
      <c r="JQ310" s="381"/>
      <c r="JR310" s="381"/>
      <c r="JS310" s="381"/>
      <c r="JT310" s="381"/>
      <c r="JU310" s="381"/>
      <c r="JV310" s="381"/>
      <c r="JW310" s="381"/>
      <c r="JX310" s="381"/>
      <c r="JY310" s="381"/>
      <c r="JZ310" s="381"/>
      <c r="KA310" s="381"/>
      <c r="KB310" s="277"/>
    </row>
    <row r="311" spans="1:289" ht="15" customHeight="1" x14ac:dyDescent="0.25">
      <c r="B311" s="216" t="str">
        <f t="shared" si="23"/>
        <v>Desk 95</v>
      </c>
      <c r="C311" s="218" t="str">
        <v/>
      </c>
      <c r="D311" s="218" t="str">
        <v/>
      </c>
      <c r="E311" s="218" t="str">
        <v/>
      </c>
      <c r="F311" s="218" t="str">
        <v/>
      </c>
      <c r="G311" s="402" t="str">
        <v/>
      </c>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381"/>
      <c r="AF311" s="381"/>
      <c r="AG311" s="381"/>
      <c r="AH311" s="381"/>
      <c r="AI311" s="381"/>
      <c r="AJ311" s="381"/>
      <c r="AK311" s="381"/>
      <c r="AL311" s="381"/>
      <c r="AM311" s="381"/>
      <c r="AN311" s="381"/>
      <c r="AO311" s="381"/>
      <c r="AP311" s="381"/>
      <c r="AQ311" s="381"/>
      <c r="AR311" s="381"/>
      <c r="AS311" s="381"/>
      <c r="AT311" s="381"/>
      <c r="AU311" s="381"/>
      <c r="AV311" s="381"/>
      <c r="AW311" s="381"/>
      <c r="AX311" s="381"/>
      <c r="AY311" s="381"/>
      <c r="AZ311" s="381"/>
      <c r="BA311" s="381"/>
      <c r="BB311" s="381"/>
      <c r="BC311" s="381"/>
      <c r="BD311" s="381"/>
      <c r="BE311" s="381"/>
      <c r="BF311" s="381"/>
      <c r="BG311" s="381"/>
      <c r="BH311" s="381"/>
      <c r="BI311" s="381"/>
      <c r="BJ311" s="381"/>
      <c r="BK311" s="381"/>
      <c r="BL311" s="381"/>
      <c r="BM311" s="381"/>
      <c r="BN311" s="381"/>
      <c r="BO311" s="381"/>
      <c r="BP311" s="381"/>
      <c r="BQ311" s="381"/>
      <c r="BR311" s="381"/>
      <c r="BS311" s="381"/>
      <c r="BT311" s="381"/>
      <c r="BU311" s="381"/>
      <c r="BV311" s="381"/>
      <c r="BW311" s="381"/>
      <c r="BX311" s="381"/>
      <c r="BY311" s="381"/>
      <c r="BZ311" s="381"/>
      <c r="CA311" s="381"/>
      <c r="CB311" s="381"/>
      <c r="CC311" s="381"/>
      <c r="CD311" s="381"/>
      <c r="CE311" s="381"/>
      <c r="CF311" s="381"/>
      <c r="CG311" s="381"/>
      <c r="CH311" s="381"/>
      <c r="CI311" s="381"/>
      <c r="CJ311" s="381"/>
      <c r="CK311" s="381"/>
      <c r="CL311" s="381"/>
      <c r="CM311" s="381"/>
      <c r="CN311" s="381"/>
      <c r="CO311" s="381"/>
      <c r="CP311" s="381"/>
      <c r="CQ311" s="381"/>
      <c r="CR311" s="381"/>
      <c r="CS311" s="381"/>
      <c r="CT311" s="381"/>
      <c r="CU311" s="381"/>
      <c r="CV311" s="381"/>
      <c r="CW311" s="381"/>
      <c r="CX311" s="381"/>
      <c r="CY311" s="381"/>
      <c r="CZ311" s="381"/>
      <c r="DA311" s="381"/>
      <c r="DB311" s="381"/>
      <c r="DC311" s="381"/>
      <c r="DD311" s="381"/>
      <c r="DE311" s="381"/>
      <c r="DF311" s="381"/>
      <c r="DG311" s="381"/>
      <c r="DH311" s="381"/>
      <c r="DI311" s="381"/>
      <c r="DJ311" s="381"/>
      <c r="DK311" s="381"/>
      <c r="DL311" s="381"/>
      <c r="DM311" s="381"/>
      <c r="DN311" s="381"/>
      <c r="DO311" s="381"/>
      <c r="DP311" s="381"/>
      <c r="DQ311" s="381"/>
      <c r="DR311" s="381"/>
      <c r="DS311" s="381"/>
      <c r="DT311" s="381"/>
      <c r="DU311" s="381"/>
      <c r="DV311" s="381"/>
      <c r="DW311" s="277"/>
      <c r="DX311" s="381"/>
      <c r="DY311" s="381"/>
      <c r="DZ311" s="381"/>
      <c r="EA311" s="381"/>
      <c r="EB311" s="381"/>
      <c r="EC311" s="381"/>
      <c r="ED311" s="381"/>
      <c r="EE311" s="381"/>
      <c r="EF311" s="381"/>
      <c r="EG311" s="381"/>
      <c r="EH311" s="381"/>
      <c r="EI311" s="381"/>
      <c r="EJ311" s="381"/>
      <c r="EK311" s="381"/>
      <c r="EL311" s="381"/>
      <c r="EM311" s="381"/>
      <c r="EN311" s="381"/>
      <c r="EO311" s="381"/>
      <c r="EP311" s="381"/>
      <c r="EQ311" s="381"/>
      <c r="ER311" s="277"/>
      <c r="ES311" s="381"/>
      <c r="ET311" s="381"/>
      <c r="EU311" s="381"/>
      <c r="EV311" s="381"/>
      <c r="EW311" s="381"/>
      <c r="EX311" s="381"/>
      <c r="EY311" s="381"/>
      <c r="EZ311" s="381"/>
      <c r="FA311" s="381"/>
      <c r="FB311" s="381"/>
      <c r="FC311" s="381"/>
      <c r="FD311" s="381"/>
      <c r="FE311" s="381"/>
      <c r="FF311" s="381"/>
      <c r="FG311" s="381"/>
      <c r="FH311" s="381"/>
      <c r="FI311" s="381"/>
      <c r="FJ311" s="381"/>
      <c r="FK311" s="381"/>
      <c r="FL311" s="381"/>
      <c r="FM311" s="381"/>
      <c r="FN311" s="381"/>
      <c r="FO311" s="381"/>
      <c r="FP311" s="381"/>
      <c r="FQ311" s="381"/>
      <c r="FR311" s="381"/>
      <c r="FS311" s="381"/>
      <c r="FT311" s="381"/>
      <c r="FU311" s="381"/>
      <c r="FV311" s="381"/>
      <c r="FW311" s="381"/>
      <c r="FX311" s="381"/>
      <c r="FY311" s="381"/>
      <c r="FZ311" s="381"/>
      <c r="GA311" s="381"/>
      <c r="GB311" s="381"/>
      <c r="GC311" s="381"/>
      <c r="GD311" s="381"/>
      <c r="GE311" s="381"/>
      <c r="GF311" s="381"/>
      <c r="GG311" s="381"/>
      <c r="GH311" s="381"/>
      <c r="GI311" s="381"/>
      <c r="GJ311" s="381"/>
      <c r="GK311" s="381"/>
      <c r="GL311" s="381"/>
      <c r="GM311" s="381"/>
      <c r="GN311" s="381"/>
      <c r="GO311" s="381"/>
      <c r="GP311" s="381"/>
      <c r="GQ311" s="381"/>
      <c r="GR311" s="381"/>
      <c r="GS311" s="381"/>
      <c r="GT311" s="381"/>
      <c r="GU311" s="381"/>
      <c r="GV311" s="381"/>
      <c r="GW311" s="381"/>
      <c r="GX311" s="381"/>
      <c r="GY311" s="381"/>
      <c r="GZ311" s="381"/>
      <c r="HA311" s="381"/>
      <c r="HB311" s="381"/>
      <c r="HC311" s="381"/>
      <c r="HD311" s="381"/>
      <c r="HE311" s="381"/>
      <c r="HF311" s="381"/>
      <c r="HG311" s="381"/>
      <c r="HH311" s="381"/>
      <c r="HI311" s="381"/>
      <c r="HJ311" s="381"/>
      <c r="HK311" s="381"/>
      <c r="HL311" s="381"/>
      <c r="HM311" s="381"/>
      <c r="HN311" s="381"/>
      <c r="HO311" s="381"/>
      <c r="HP311" s="381"/>
      <c r="HQ311" s="381"/>
      <c r="HR311" s="381"/>
      <c r="HS311" s="381"/>
      <c r="HT311" s="381"/>
      <c r="HU311" s="381"/>
      <c r="HV311" s="381"/>
      <c r="HW311" s="381"/>
      <c r="HX311" s="381"/>
      <c r="HY311" s="381"/>
      <c r="HZ311" s="381"/>
      <c r="IA311" s="381"/>
      <c r="IB311" s="381"/>
      <c r="IC311" s="381"/>
      <c r="ID311" s="381"/>
      <c r="IE311" s="381"/>
      <c r="IF311" s="381"/>
      <c r="IG311" s="381"/>
      <c r="IH311" s="381"/>
      <c r="II311" s="381"/>
      <c r="IJ311" s="381"/>
      <c r="IK311" s="381"/>
      <c r="IL311" s="381"/>
      <c r="IM311" s="381"/>
      <c r="IN311" s="381"/>
      <c r="IO311" s="381"/>
      <c r="IP311" s="381"/>
      <c r="IQ311" s="381"/>
      <c r="IR311" s="381"/>
      <c r="IS311" s="381"/>
      <c r="IT311" s="381"/>
      <c r="IU311" s="381"/>
      <c r="IV311" s="381"/>
      <c r="IW311" s="381"/>
      <c r="IX311" s="381"/>
      <c r="IY311" s="381"/>
      <c r="IZ311" s="381"/>
      <c r="JA311" s="381"/>
      <c r="JB311" s="381"/>
      <c r="JC311" s="381"/>
      <c r="JD311" s="381"/>
      <c r="JE311" s="381"/>
      <c r="JF311" s="381"/>
      <c r="JG311" s="277"/>
      <c r="JH311" s="381"/>
      <c r="JI311" s="381"/>
      <c r="JJ311" s="381"/>
      <c r="JK311" s="381"/>
      <c r="JL311" s="381"/>
      <c r="JM311" s="381"/>
      <c r="JN311" s="381"/>
      <c r="JO311" s="381"/>
      <c r="JP311" s="381"/>
      <c r="JQ311" s="381"/>
      <c r="JR311" s="381"/>
      <c r="JS311" s="381"/>
      <c r="JT311" s="381"/>
      <c r="JU311" s="381"/>
      <c r="JV311" s="381"/>
      <c r="JW311" s="381"/>
      <c r="JX311" s="381"/>
      <c r="JY311" s="381"/>
      <c r="JZ311" s="381"/>
      <c r="KA311" s="381"/>
      <c r="KB311" s="277"/>
    </row>
    <row r="312" spans="1:289" ht="15" customHeight="1" x14ac:dyDescent="0.25">
      <c r="B312" s="216" t="str">
        <f t="shared" si="23"/>
        <v>Desk 96</v>
      </c>
      <c r="C312" s="218" t="str">
        <v/>
      </c>
      <c r="D312" s="218" t="str">
        <v/>
      </c>
      <c r="E312" s="218" t="str">
        <v/>
      </c>
      <c r="F312" s="218" t="str">
        <v/>
      </c>
      <c r="G312" s="402" t="str">
        <v/>
      </c>
      <c r="H312" s="381"/>
      <c r="I312" s="381"/>
      <c r="J312" s="381"/>
      <c r="K312" s="381"/>
      <c r="L312" s="381"/>
      <c r="M312" s="381"/>
      <c r="N312" s="381"/>
      <c r="O312" s="381"/>
      <c r="P312" s="381"/>
      <c r="Q312" s="381"/>
      <c r="R312" s="381"/>
      <c r="S312" s="381"/>
      <c r="T312" s="381"/>
      <c r="U312" s="381"/>
      <c r="V312" s="381"/>
      <c r="W312" s="381"/>
      <c r="X312" s="381"/>
      <c r="Y312" s="381"/>
      <c r="Z312" s="381"/>
      <c r="AA312" s="381"/>
      <c r="AB312" s="381"/>
      <c r="AC312" s="381"/>
      <c r="AD312" s="381"/>
      <c r="AE312" s="381"/>
      <c r="AF312" s="381"/>
      <c r="AG312" s="381"/>
      <c r="AH312" s="381"/>
      <c r="AI312" s="381"/>
      <c r="AJ312" s="381"/>
      <c r="AK312" s="381"/>
      <c r="AL312" s="381"/>
      <c r="AM312" s="381"/>
      <c r="AN312" s="381"/>
      <c r="AO312" s="381"/>
      <c r="AP312" s="381"/>
      <c r="AQ312" s="381"/>
      <c r="AR312" s="381"/>
      <c r="AS312" s="381"/>
      <c r="AT312" s="381"/>
      <c r="AU312" s="381"/>
      <c r="AV312" s="381"/>
      <c r="AW312" s="381"/>
      <c r="AX312" s="381"/>
      <c r="AY312" s="381"/>
      <c r="AZ312" s="381"/>
      <c r="BA312" s="381"/>
      <c r="BB312" s="381"/>
      <c r="BC312" s="381"/>
      <c r="BD312" s="381"/>
      <c r="BE312" s="381"/>
      <c r="BF312" s="381"/>
      <c r="BG312" s="381"/>
      <c r="BH312" s="381"/>
      <c r="BI312" s="381"/>
      <c r="BJ312" s="381"/>
      <c r="BK312" s="381"/>
      <c r="BL312" s="381"/>
      <c r="BM312" s="381"/>
      <c r="BN312" s="381"/>
      <c r="BO312" s="381"/>
      <c r="BP312" s="381"/>
      <c r="BQ312" s="381"/>
      <c r="BR312" s="381"/>
      <c r="BS312" s="381"/>
      <c r="BT312" s="381"/>
      <c r="BU312" s="381"/>
      <c r="BV312" s="381"/>
      <c r="BW312" s="381"/>
      <c r="BX312" s="381"/>
      <c r="BY312" s="381"/>
      <c r="BZ312" s="381"/>
      <c r="CA312" s="381"/>
      <c r="CB312" s="381"/>
      <c r="CC312" s="381"/>
      <c r="CD312" s="381"/>
      <c r="CE312" s="381"/>
      <c r="CF312" s="381"/>
      <c r="CG312" s="381"/>
      <c r="CH312" s="381"/>
      <c r="CI312" s="381"/>
      <c r="CJ312" s="381"/>
      <c r="CK312" s="381"/>
      <c r="CL312" s="381"/>
      <c r="CM312" s="381"/>
      <c r="CN312" s="381"/>
      <c r="CO312" s="381"/>
      <c r="CP312" s="381"/>
      <c r="CQ312" s="381"/>
      <c r="CR312" s="381"/>
      <c r="CS312" s="381"/>
      <c r="CT312" s="381"/>
      <c r="CU312" s="381"/>
      <c r="CV312" s="381"/>
      <c r="CW312" s="381"/>
      <c r="CX312" s="381"/>
      <c r="CY312" s="381"/>
      <c r="CZ312" s="381"/>
      <c r="DA312" s="381"/>
      <c r="DB312" s="381"/>
      <c r="DC312" s="381"/>
      <c r="DD312" s="381"/>
      <c r="DE312" s="381"/>
      <c r="DF312" s="381"/>
      <c r="DG312" s="381"/>
      <c r="DH312" s="381"/>
      <c r="DI312" s="381"/>
      <c r="DJ312" s="381"/>
      <c r="DK312" s="381"/>
      <c r="DL312" s="381"/>
      <c r="DM312" s="381"/>
      <c r="DN312" s="381"/>
      <c r="DO312" s="381"/>
      <c r="DP312" s="381"/>
      <c r="DQ312" s="381"/>
      <c r="DR312" s="381"/>
      <c r="DS312" s="381"/>
      <c r="DT312" s="381"/>
      <c r="DU312" s="381"/>
      <c r="DV312" s="381"/>
      <c r="DW312" s="277"/>
      <c r="DX312" s="381"/>
      <c r="DY312" s="381"/>
      <c r="DZ312" s="381"/>
      <c r="EA312" s="381"/>
      <c r="EB312" s="381"/>
      <c r="EC312" s="381"/>
      <c r="ED312" s="381"/>
      <c r="EE312" s="381"/>
      <c r="EF312" s="381"/>
      <c r="EG312" s="381"/>
      <c r="EH312" s="381"/>
      <c r="EI312" s="381"/>
      <c r="EJ312" s="381"/>
      <c r="EK312" s="381"/>
      <c r="EL312" s="381"/>
      <c r="EM312" s="381"/>
      <c r="EN312" s="381"/>
      <c r="EO312" s="381"/>
      <c r="EP312" s="381"/>
      <c r="EQ312" s="381"/>
      <c r="ER312" s="277"/>
      <c r="ES312" s="381"/>
      <c r="ET312" s="381"/>
      <c r="EU312" s="381"/>
      <c r="EV312" s="381"/>
      <c r="EW312" s="381"/>
      <c r="EX312" s="381"/>
      <c r="EY312" s="381"/>
      <c r="EZ312" s="381"/>
      <c r="FA312" s="381"/>
      <c r="FB312" s="381"/>
      <c r="FC312" s="381"/>
      <c r="FD312" s="381"/>
      <c r="FE312" s="381"/>
      <c r="FF312" s="381"/>
      <c r="FG312" s="381"/>
      <c r="FH312" s="381"/>
      <c r="FI312" s="381"/>
      <c r="FJ312" s="381"/>
      <c r="FK312" s="381"/>
      <c r="FL312" s="381"/>
      <c r="FM312" s="381"/>
      <c r="FN312" s="381"/>
      <c r="FO312" s="381"/>
      <c r="FP312" s="381"/>
      <c r="FQ312" s="381"/>
      <c r="FR312" s="381"/>
      <c r="FS312" s="381"/>
      <c r="FT312" s="381"/>
      <c r="FU312" s="381"/>
      <c r="FV312" s="381"/>
      <c r="FW312" s="381"/>
      <c r="FX312" s="381"/>
      <c r="FY312" s="381"/>
      <c r="FZ312" s="381"/>
      <c r="GA312" s="381"/>
      <c r="GB312" s="381"/>
      <c r="GC312" s="381"/>
      <c r="GD312" s="381"/>
      <c r="GE312" s="381"/>
      <c r="GF312" s="381"/>
      <c r="GG312" s="381"/>
      <c r="GH312" s="381"/>
      <c r="GI312" s="381"/>
      <c r="GJ312" s="381"/>
      <c r="GK312" s="381"/>
      <c r="GL312" s="381"/>
      <c r="GM312" s="381"/>
      <c r="GN312" s="381"/>
      <c r="GO312" s="381"/>
      <c r="GP312" s="381"/>
      <c r="GQ312" s="381"/>
      <c r="GR312" s="381"/>
      <c r="GS312" s="381"/>
      <c r="GT312" s="381"/>
      <c r="GU312" s="381"/>
      <c r="GV312" s="381"/>
      <c r="GW312" s="381"/>
      <c r="GX312" s="381"/>
      <c r="GY312" s="381"/>
      <c r="GZ312" s="381"/>
      <c r="HA312" s="381"/>
      <c r="HB312" s="381"/>
      <c r="HC312" s="381"/>
      <c r="HD312" s="381"/>
      <c r="HE312" s="381"/>
      <c r="HF312" s="381"/>
      <c r="HG312" s="381"/>
      <c r="HH312" s="381"/>
      <c r="HI312" s="381"/>
      <c r="HJ312" s="381"/>
      <c r="HK312" s="381"/>
      <c r="HL312" s="381"/>
      <c r="HM312" s="381"/>
      <c r="HN312" s="381"/>
      <c r="HO312" s="381"/>
      <c r="HP312" s="381"/>
      <c r="HQ312" s="381"/>
      <c r="HR312" s="381"/>
      <c r="HS312" s="381"/>
      <c r="HT312" s="381"/>
      <c r="HU312" s="381"/>
      <c r="HV312" s="381"/>
      <c r="HW312" s="381"/>
      <c r="HX312" s="381"/>
      <c r="HY312" s="381"/>
      <c r="HZ312" s="381"/>
      <c r="IA312" s="381"/>
      <c r="IB312" s="381"/>
      <c r="IC312" s="381"/>
      <c r="ID312" s="381"/>
      <c r="IE312" s="381"/>
      <c r="IF312" s="381"/>
      <c r="IG312" s="381"/>
      <c r="IH312" s="381"/>
      <c r="II312" s="381"/>
      <c r="IJ312" s="381"/>
      <c r="IK312" s="381"/>
      <c r="IL312" s="381"/>
      <c r="IM312" s="381"/>
      <c r="IN312" s="381"/>
      <c r="IO312" s="381"/>
      <c r="IP312" s="381"/>
      <c r="IQ312" s="381"/>
      <c r="IR312" s="381"/>
      <c r="IS312" s="381"/>
      <c r="IT312" s="381"/>
      <c r="IU312" s="381"/>
      <c r="IV312" s="381"/>
      <c r="IW312" s="381"/>
      <c r="IX312" s="381"/>
      <c r="IY312" s="381"/>
      <c r="IZ312" s="381"/>
      <c r="JA312" s="381"/>
      <c r="JB312" s="381"/>
      <c r="JC312" s="381"/>
      <c r="JD312" s="381"/>
      <c r="JE312" s="381"/>
      <c r="JF312" s="381"/>
      <c r="JG312" s="277"/>
      <c r="JH312" s="381"/>
      <c r="JI312" s="381"/>
      <c r="JJ312" s="381"/>
      <c r="JK312" s="381"/>
      <c r="JL312" s="381"/>
      <c r="JM312" s="381"/>
      <c r="JN312" s="381"/>
      <c r="JO312" s="381"/>
      <c r="JP312" s="381"/>
      <c r="JQ312" s="381"/>
      <c r="JR312" s="381"/>
      <c r="JS312" s="381"/>
      <c r="JT312" s="381"/>
      <c r="JU312" s="381"/>
      <c r="JV312" s="381"/>
      <c r="JW312" s="381"/>
      <c r="JX312" s="381"/>
      <c r="JY312" s="381"/>
      <c r="JZ312" s="381"/>
      <c r="KA312" s="381"/>
      <c r="KB312" s="277"/>
    </row>
    <row r="313" spans="1:289" ht="15" customHeight="1" x14ac:dyDescent="0.25">
      <c r="B313" s="216" t="str">
        <f t="shared" si="23"/>
        <v>Desk 97</v>
      </c>
      <c r="C313" s="218" t="str">
        <v/>
      </c>
      <c r="D313" s="218" t="str">
        <v/>
      </c>
      <c r="E313" s="218" t="str">
        <v/>
      </c>
      <c r="F313" s="218" t="str">
        <v/>
      </c>
      <c r="G313" s="402" t="str">
        <v/>
      </c>
      <c r="H313" s="381"/>
      <c r="I313" s="381"/>
      <c r="J313" s="381"/>
      <c r="K313" s="381"/>
      <c r="L313" s="381"/>
      <c r="M313" s="381"/>
      <c r="N313" s="381"/>
      <c r="O313" s="381"/>
      <c r="P313" s="381"/>
      <c r="Q313" s="381"/>
      <c r="R313" s="381"/>
      <c r="S313" s="381"/>
      <c r="T313" s="381"/>
      <c r="U313" s="381"/>
      <c r="V313" s="381"/>
      <c r="W313" s="381"/>
      <c r="X313" s="381"/>
      <c r="Y313" s="381"/>
      <c r="Z313" s="381"/>
      <c r="AA313" s="381"/>
      <c r="AB313" s="381"/>
      <c r="AC313" s="381"/>
      <c r="AD313" s="381"/>
      <c r="AE313" s="381"/>
      <c r="AF313" s="381"/>
      <c r="AG313" s="381"/>
      <c r="AH313" s="381"/>
      <c r="AI313" s="381"/>
      <c r="AJ313" s="381"/>
      <c r="AK313" s="381"/>
      <c r="AL313" s="381"/>
      <c r="AM313" s="381"/>
      <c r="AN313" s="381"/>
      <c r="AO313" s="381"/>
      <c r="AP313" s="381"/>
      <c r="AQ313" s="381"/>
      <c r="AR313" s="381"/>
      <c r="AS313" s="381"/>
      <c r="AT313" s="381"/>
      <c r="AU313" s="381"/>
      <c r="AV313" s="381"/>
      <c r="AW313" s="381"/>
      <c r="AX313" s="381"/>
      <c r="AY313" s="381"/>
      <c r="AZ313" s="381"/>
      <c r="BA313" s="381"/>
      <c r="BB313" s="381"/>
      <c r="BC313" s="381"/>
      <c r="BD313" s="381"/>
      <c r="BE313" s="381"/>
      <c r="BF313" s="381"/>
      <c r="BG313" s="381"/>
      <c r="BH313" s="381"/>
      <c r="BI313" s="381"/>
      <c r="BJ313" s="381"/>
      <c r="BK313" s="381"/>
      <c r="BL313" s="381"/>
      <c r="BM313" s="381"/>
      <c r="BN313" s="381"/>
      <c r="BO313" s="381"/>
      <c r="BP313" s="381"/>
      <c r="BQ313" s="381"/>
      <c r="BR313" s="381"/>
      <c r="BS313" s="381"/>
      <c r="BT313" s="381"/>
      <c r="BU313" s="381"/>
      <c r="BV313" s="381"/>
      <c r="BW313" s="381"/>
      <c r="BX313" s="381"/>
      <c r="BY313" s="381"/>
      <c r="BZ313" s="381"/>
      <c r="CA313" s="381"/>
      <c r="CB313" s="381"/>
      <c r="CC313" s="381"/>
      <c r="CD313" s="381"/>
      <c r="CE313" s="381"/>
      <c r="CF313" s="381"/>
      <c r="CG313" s="381"/>
      <c r="CH313" s="381"/>
      <c r="CI313" s="381"/>
      <c r="CJ313" s="381"/>
      <c r="CK313" s="381"/>
      <c r="CL313" s="381"/>
      <c r="CM313" s="381"/>
      <c r="CN313" s="381"/>
      <c r="CO313" s="381"/>
      <c r="CP313" s="381"/>
      <c r="CQ313" s="381"/>
      <c r="CR313" s="381"/>
      <c r="CS313" s="381"/>
      <c r="CT313" s="381"/>
      <c r="CU313" s="381"/>
      <c r="CV313" s="381"/>
      <c r="CW313" s="381"/>
      <c r="CX313" s="381"/>
      <c r="CY313" s="381"/>
      <c r="CZ313" s="381"/>
      <c r="DA313" s="381"/>
      <c r="DB313" s="381"/>
      <c r="DC313" s="381"/>
      <c r="DD313" s="381"/>
      <c r="DE313" s="381"/>
      <c r="DF313" s="381"/>
      <c r="DG313" s="381"/>
      <c r="DH313" s="381"/>
      <c r="DI313" s="381"/>
      <c r="DJ313" s="381"/>
      <c r="DK313" s="381"/>
      <c r="DL313" s="381"/>
      <c r="DM313" s="381"/>
      <c r="DN313" s="381"/>
      <c r="DO313" s="381"/>
      <c r="DP313" s="381"/>
      <c r="DQ313" s="381"/>
      <c r="DR313" s="381"/>
      <c r="DS313" s="381"/>
      <c r="DT313" s="381"/>
      <c r="DU313" s="381"/>
      <c r="DV313" s="381"/>
      <c r="DW313" s="277"/>
      <c r="DX313" s="381"/>
      <c r="DY313" s="381"/>
      <c r="DZ313" s="381"/>
      <c r="EA313" s="381"/>
      <c r="EB313" s="381"/>
      <c r="EC313" s="381"/>
      <c r="ED313" s="381"/>
      <c r="EE313" s="381"/>
      <c r="EF313" s="381"/>
      <c r="EG313" s="381"/>
      <c r="EH313" s="381"/>
      <c r="EI313" s="381"/>
      <c r="EJ313" s="381"/>
      <c r="EK313" s="381"/>
      <c r="EL313" s="381"/>
      <c r="EM313" s="381"/>
      <c r="EN313" s="381"/>
      <c r="EO313" s="381"/>
      <c r="EP313" s="381"/>
      <c r="EQ313" s="381"/>
      <c r="ER313" s="277"/>
      <c r="ES313" s="381"/>
      <c r="ET313" s="381"/>
      <c r="EU313" s="381"/>
      <c r="EV313" s="381"/>
      <c r="EW313" s="381"/>
      <c r="EX313" s="381"/>
      <c r="EY313" s="381"/>
      <c r="EZ313" s="381"/>
      <c r="FA313" s="381"/>
      <c r="FB313" s="381"/>
      <c r="FC313" s="381"/>
      <c r="FD313" s="381"/>
      <c r="FE313" s="381"/>
      <c r="FF313" s="381"/>
      <c r="FG313" s="381"/>
      <c r="FH313" s="381"/>
      <c r="FI313" s="381"/>
      <c r="FJ313" s="381"/>
      <c r="FK313" s="381"/>
      <c r="FL313" s="381"/>
      <c r="FM313" s="381"/>
      <c r="FN313" s="381"/>
      <c r="FO313" s="381"/>
      <c r="FP313" s="381"/>
      <c r="FQ313" s="381"/>
      <c r="FR313" s="381"/>
      <c r="FS313" s="381"/>
      <c r="FT313" s="381"/>
      <c r="FU313" s="381"/>
      <c r="FV313" s="381"/>
      <c r="FW313" s="381"/>
      <c r="FX313" s="381"/>
      <c r="FY313" s="381"/>
      <c r="FZ313" s="381"/>
      <c r="GA313" s="381"/>
      <c r="GB313" s="381"/>
      <c r="GC313" s="381"/>
      <c r="GD313" s="381"/>
      <c r="GE313" s="381"/>
      <c r="GF313" s="381"/>
      <c r="GG313" s="381"/>
      <c r="GH313" s="381"/>
      <c r="GI313" s="381"/>
      <c r="GJ313" s="381"/>
      <c r="GK313" s="381"/>
      <c r="GL313" s="381"/>
      <c r="GM313" s="381"/>
      <c r="GN313" s="381"/>
      <c r="GO313" s="381"/>
      <c r="GP313" s="381"/>
      <c r="GQ313" s="381"/>
      <c r="GR313" s="381"/>
      <c r="GS313" s="381"/>
      <c r="GT313" s="381"/>
      <c r="GU313" s="381"/>
      <c r="GV313" s="381"/>
      <c r="GW313" s="381"/>
      <c r="GX313" s="381"/>
      <c r="GY313" s="381"/>
      <c r="GZ313" s="381"/>
      <c r="HA313" s="381"/>
      <c r="HB313" s="381"/>
      <c r="HC313" s="381"/>
      <c r="HD313" s="381"/>
      <c r="HE313" s="381"/>
      <c r="HF313" s="381"/>
      <c r="HG313" s="381"/>
      <c r="HH313" s="381"/>
      <c r="HI313" s="381"/>
      <c r="HJ313" s="381"/>
      <c r="HK313" s="381"/>
      <c r="HL313" s="381"/>
      <c r="HM313" s="381"/>
      <c r="HN313" s="381"/>
      <c r="HO313" s="381"/>
      <c r="HP313" s="381"/>
      <c r="HQ313" s="381"/>
      <c r="HR313" s="381"/>
      <c r="HS313" s="381"/>
      <c r="HT313" s="381"/>
      <c r="HU313" s="381"/>
      <c r="HV313" s="381"/>
      <c r="HW313" s="381"/>
      <c r="HX313" s="381"/>
      <c r="HY313" s="381"/>
      <c r="HZ313" s="381"/>
      <c r="IA313" s="381"/>
      <c r="IB313" s="381"/>
      <c r="IC313" s="381"/>
      <c r="ID313" s="381"/>
      <c r="IE313" s="381"/>
      <c r="IF313" s="381"/>
      <c r="IG313" s="381"/>
      <c r="IH313" s="381"/>
      <c r="II313" s="381"/>
      <c r="IJ313" s="381"/>
      <c r="IK313" s="381"/>
      <c r="IL313" s="381"/>
      <c r="IM313" s="381"/>
      <c r="IN313" s="381"/>
      <c r="IO313" s="381"/>
      <c r="IP313" s="381"/>
      <c r="IQ313" s="381"/>
      <c r="IR313" s="381"/>
      <c r="IS313" s="381"/>
      <c r="IT313" s="381"/>
      <c r="IU313" s="381"/>
      <c r="IV313" s="381"/>
      <c r="IW313" s="381"/>
      <c r="IX313" s="381"/>
      <c r="IY313" s="381"/>
      <c r="IZ313" s="381"/>
      <c r="JA313" s="381"/>
      <c r="JB313" s="381"/>
      <c r="JC313" s="381"/>
      <c r="JD313" s="381"/>
      <c r="JE313" s="381"/>
      <c r="JF313" s="381"/>
      <c r="JG313" s="277"/>
      <c r="JH313" s="381"/>
      <c r="JI313" s="381"/>
      <c r="JJ313" s="381"/>
      <c r="JK313" s="381"/>
      <c r="JL313" s="381"/>
      <c r="JM313" s="381"/>
      <c r="JN313" s="381"/>
      <c r="JO313" s="381"/>
      <c r="JP313" s="381"/>
      <c r="JQ313" s="381"/>
      <c r="JR313" s="381"/>
      <c r="JS313" s="381"/>
      <c r="JT313" s="381"/>
      <c r="JU313" s="381"/>
      <c r="JV313" s="381"/>
      <c r="JW313" s="381"/>
      <c r="JX313" s="381"/>
      <c r="JY313" s="381"/>
      <c r="JZ313" s="381"/>
      <c r="KA313" s="381"/>
      <c r="KB313" s="277"/>
    </row>
    <row r="314" spans="1:289" ht="15" customHeight="1" x14ac:dyDescent="0.25">
      <c r="B314" s="216" t="str">
        <f t="shared" si="23"/>
        <v>Desk 98</v>
      </c>
      <c r="C314" s="218" t="str">
        <v/>
      </c>
      <c r="D314" s="218" t="str">
        <v/>
      </c>
      <c r="E314" s="218" t="str">
        <v/>
      </c>
      <c r="F314" s="218" t="str">
        <v/>
      </c>
      <c r="G314" s="402" t="str">
        <v/>
      </c>
      <c r="H314" s="381"/>
      <c r="I314" s="381"/>
      <c r="J314" s="381"/>
      <c r="K314" s="381"/>
      <c r="L314" s="381"/>
      <c r="M314" s="381"/>
      <c r="N314" s="381"/>
      <c r="O314" s="381"/>
      <c r="P314" s="381"/>
      <c r="Q314" s="381"/>
      <c r="R314" s="381"/>
      <c r="S314" s="381"/>
      <c r="T314" s="381"/>
      <c r="U314" s="381"/>
      <c r="V314" s="381"/>
      <c r="W314" s="381"/>
      <c r="X314" s="381"/>
      <c r="Y314" s="381"/>
      <c r="Z314" s="381"/>
      <c r="AA314" s="381"/>
      <c r="AB314" s="381"/>
      <c r="AC314" s="381"/>
      <c r="AD314" s="381"/>
      <c r="AE314" s="381"/>
      <c r="AF314" s="381"/>
      <c r="AG314" s="381"/>
      <c r="AH314" s="381"/>
      <c r="AI314" s="381"/>
      <c r="AJ314" s="381"/>
      <c r="AK314" s="381"/>
      <c r="AL314" s="381"/>
      <c r="AM314" s="381"/>
      <c r="AN314" s="381"/>
      <c r="AO314" s="381"/>
      <c r="AP314" s="381"/>
      <c r="AQ314" s="381"/>
      <c r="AR314" s="381"/>
      <c r="AS314" s="381"/>
      <c r="AT314" s="381"/>
      <c r="AU314" s="381"/>
      <c r="AV314" s="381"/>
      <c r="AW314" s="381"/>
      <c r="AX314" s="381"/>
      <c r="AY314" s="381"/>
      <c r="AZ314" s="381"/>
      <c r="BA314" s="381"/>
      <c r="BB314" s="381"/>
      <c r="BC314" s="381"/>
      <c r="BD314" s="381"/>
      <c r="BE314" s="381"/>
      <c r="BF314" s="381"/>
      <c r="BG314" s="381"/>
      <c r="BH314" s="381"/>
      <c r="BI314" s="381"/>
      <c r="BJ314" s="381"/>
      <c r="BK314" s="381"/>
      <c r="BL314" s="381"/>
      <c r="BM314" s="381"/>
      <c r="BN314" s="381"/>
      <c r="BO314" s="381"/>
      <c r="BP314" s="381"/>
      <c r="BQ314" s="381"/>
      <c r="BR314" s="381"/>
      <c r="BS314" s="381"/>
      <c r="BT314" s="381"/>
      <c r="BU314" s="381"/>
      <c r="BV314" s="381"/>
      <c r="BW314" s="381"/>
      <c r="BX314" s="381"/>
      <c r="BY314" s="381"/>
      <c r="BZ314" s="381"/>
      <c r="CA314" s="381"/>
      <c r="CB314" s="381"/>
      <c r="CC314" s="381"/>
      <c r="CD314" s="381"/>
      <c r="CE314" s="381"/>
      <c r="CF314" s="381"/>
      <c r="CG314" s="381"/>
      <c r="CH314" s="381"/>
      <c r="CI314" s="381"/>
      <c r="CJ314" s="381"/>
      <c r="CK314" s="381"/>
      <c r="CL314" s="381"/>
      <c r="CM314" s="381"/>
      <c r="CN314" s="381"/>
      <c r="CO314" s="381"/>
      <c r="CP314" s="381"/>
      <c r="CQ314" s="381"/>
      <c r="CR314" s="381"/>
      <c r="CS314" s="381"/>
      <c r="CT314" s="381"/>
      <c r="CU314" s="381"/>
      <c r="CV314" s="381"/>
      <c r="CW314" s="381"/>
      <c r="CX314" s="381"/>
      <c r="CY314" s="381"/>
      <c r="CZ314" s="381"/>
      <c r="DA314" s="381"/>
      <c r="DB314" s="381"/>
      <c r="DC314" s="381"/>
      <c r="DD314" s="381"/>
      <c r="DE314" s="381"/>
      <c r="DF314" s="381"/>
      <c r="DG314" s="381"/>
      <c r="DH314" s="381"/>
      <c r="DI314" s="381"/>
      <c r="DJ314" s="381"/>
      <c r="DK314" s="381"/>
      <c r="DL314" s="381"/>
      <c r="DM314" s="381"/>
      <c r="DN314" s="381"/>
      <c r="DO314" s="381"/>
      <c r="DP314" s="381"/>
      <c r="DQ314" s="381"/>
      <c r="DR314" s="381"/>
      <c r="DS314" s="381"/>
      <c r="DT314" s="381"/>
      <c r="DU314" s="381"/>
      <c r="DV314" s="381"/>
      <c r="DW314" s="277"/>
      <c r="DX314" s="381"/>
      <c r="DY314" s="381"/>
      <c r="DZ314" s="381"/>
      <c r="EA314" s="381"/>
      <c r="EB314" s="381"/>
      <c r="EC314" s="381"/>
      <c r="ED314" s="381"/>
      <c r="EE314" s="381"/>
      <c r="EF314" s="381"/>
      <c r="EG314" s="381"/>
      <c r="EH314" s="381"/>
      <c r="EI314" s="381"/>
      <c r="EJ314" s="381"/>
      <c r="EK314" s="381"/>
      <c r="EL314" s="381"/>
      <c r="EM314" s="381"/>
      <c r="EN314" s="381"/>
      <c r="EO314" s="381"/>
      <c r="EP314" s="381"/>
      <c r="EQ314" s="381"/>
      <c r="ER314" s="277"/>
      <c r="ES314" s="381"/>
      <c r="ET314" s="381"/>
      <c r="EU314" s="381"/>
      <c r="EV314" s="381"/>
      <c r="EW314" s="381"/>
      <c r="EX314" s="381"/>
      <c r="EY314" s="381"/>
      <c r="EZ314" s="381"/>
      <c r="FA314" s="381"/>
      <c r="FB314" s="381"/>
      <c r="FC314" s="381"/>
      <c r="FD314" s="381"/>
      <c r="FE314" s="381"/>
      <c r="FF314" s="381"/>
      <c r="FG314" s="381"/>
      <c r="FH314" s="381"/>
      <c r="FI314" s="381"/>
      <c r="FJ314" s="381"/>
      <c r="FK314" s="381"/>
      <c r="FL314" s="381"/>
      <c r="FM314" s="381"/>
      <c r="FN314" s="381"/>
      <c r="FO314" s="381"/>
      <c r="FP314" s="381"/>
      <c r="FQ314" s="381"/>
      <c r="FR314" s="381"/>
      <c r="FS314" s="381"/>
      <c r="FT314" s="381"/>
      <c r="FU314" s="381"/>
      <c r="FV314" s="381"/>
      <c r="FW314" s="381"/>
      <c r="FX314" s="381"/>
      <c r="FY314" s="381"/>
      <c r="FZ314" s="381"/>
      <c r="GA314" s="381"/>
      <c r="GB314" s="381"/>
      <c r="GC314" s="381"/>
      <c r="GD314" s="381"/>
      <c r="GE314" s="381"/>
      <c r="GF314" s="381"/>
      <c r="GG314" s="381"/>
      <c r="GH314" s="381"/>
      <c r="GI314" s="381"/>
      <c r="GJ314" s="381"/>
      <c r="GK314" s="381"/>
      <c r="GL314" s="381"/>
      <c r="GM314" s="381"/>
      <c r="GN314" s="381"/>
      <c r="GO314" s="381"/>
      <c r="GP314" s="381"/>
      <c r="GQ314" s="381"/>
      <c r="GR314" s="381"/>
      <c r="GS314" s="381"/>
      <c r="GT314" s="381"/>
      <c r="GU314" s="381"/>
      <c r="GV314" s="381"/>
      <c r="GW314" s="381"/>
      <c r="GX314" s="381"/>
      <c r="GY314" s="381"/>
      <c r="GZ314" s="381"/>
      <c r="HA314" s="381"/>
      <c r="HB314" s="381"/>
      <c r="HC314" s="381"/>
      <c r="HD314" s="381"/>
      <c r="HE314" s="381"/>
      <c r="HF314" s="381"/>
      <c r="HG314" s="381"/>
      <c r="HH314" s="381"/>
      <c r="HI314" s="381"/>
      <c r="HJ314" s="381"/>
      <c r="HK314" s="381"/>
      <c r="HL314" s="381"/>
      <c r="HM314" s="381"/>
      <c r="HN314" s="381"/>
      <c r="HO314" s="381"/>
      <c r="HP314" s="381"/>
      <c r="HQ314" s="381"/>
      <c r="HR314" s="381"/>
      <c r="HS314" s="381"/>
      <c r="HT314" s="381"/>
      <c r="HU314" s="381"/>
      <c r="HV314" s="381"/>
      <c r="HW314" s="381"/>
      <c r="HX314" s="381"/>
      <c r="HY314" s="381"/>
      <c r="HZ314" s="381"/>
      <c r="IA314" s="381"/>
      <c r="IB314" s="381"/>
      <c r="IC314" s="381"/>
      <c r="ID314" s="381"/>
      <c r="IE314" s="381"/>
      <c r="IF314" s="381"/>
      <c r="IG314" s="381"/>
      <c r="IH314" s="381"/>
      <c r="II314" s="381"/>
      <c r="IJ314" s="381"/>
      <c r="IK314" s="381"/>
      <c r="IL314" s="381"/>
      <c r="IM314" s="381"/>
      <c r="IN314" s="381"/>
      <c r="IO314" s="381"/>
      <c r="IP314" s="381"/>
      <c r="IQ314" s="381"/>
      <c r="IR314" s="381"/>
      <c r="IS314" s="381"/>
      <c r="IT314" s="381"/>
      <c r="IU314" s="381"/>
      <c r="IV314" s="381"/>
      <c r="IW314" s="381"/>
      <c r="IX314" s="381"/>
      <c r="IY314" s="381"/>
      <c r="IZ314" s="381"/>
      <c r="JA314" s="381"/>
      <c r="JB314" s="381"/>
      <c r="JC314" s="381"/>
      <c r="JD314" s="381"/>
      <c r="JE314" s="381"/>
      <c r="JF314" s="381"/>
      <c r="JG314" s="277"/>
      <c r="JH314" s="381"/>
      <c r="JI314" s="381"/>
      <c r="JJ314" s="381"/>
      <c r="JK314" s="381"/>
      <c r="JL314" s="381"/>
      <c r="JM314" s="381"/>
      <c r="JN314" s="381"/>
      <c r="JO314" s="381"/>
      <c r="JP314" s="381"/>
      <c r="JQ314" s="381"/>
      <c r="JR314" s="381"/>
      <c r="JS314" s="381"/>
      <c r="JT314" s="381"/>
      <c r="JU314" s="381"/>
      <c r="JV314" s="381"/>
      <c r="JW314" s="381"/>
      <c r="JX314" s="381"/>
      <c r="JY314" s="381"/>
      <c r="JZ314" s="381"/>
      <c r="KA314" s="381"/>
      <c r="KB314" s="277"/>
    </row>
    <row r="315" spans="1:289" ht="15" customHeight="1" x14ac:dyDescent="0.25">
      <c r="B315" s="216" t="str">
        <f t="shared" si="23"/>
        <v>Desk 99</v>
      </c>
      <c r="C315" s="218" t="str">
        <v/>
      </c>
      <c r="D315" s="218" t="str">
        <v/>
      </c>
      <c r="E315" s="218" t="str">
        <v/>
      </c>
      <c r="F315" s="218" t="str">
        <v/>
      </c>
      <c r="G315" s="402" t="str">
        <v/>
      </c>
      <c r="H315" s="381"/>
      <c r="I315" s="381"/>
      <c r="J315" s="381"/>
      <c r="K315" s="381"/>
      <c r="L315" s="381"/>
      <c r="M315" s="381"/>
      <c r="N315" s="381"/>
      <c r="O315" s="381"/>
      <c r="P315" s="381"/>
      <c r="Q315" s="381"/>
      <c r="R315" s="381"/>
      <c r="S315" s="381"/>
      <c r="T315" s="381"/>
      <c r="U315" s="381"/>
      <c r="V315" s="381"/>
      <c r="W315" s="381"/>
      <c r="X315" s="381"/>
      <c r="Y315" s="381"/>
      <c r="Z315" s="381"/>
      <c r="AA315" s="381"/>
      <c r="AB315" s="381"/>
      <c r="AC315" s="381"/>
      <c r="AD315" s="381"/>
      <c r="AE315" s="381"/>
      <c r="AF315" s="381"/>
      <c r="AG315" s="381"/>
      <c r="AH315" s="381"/>
      <c r="AI315" s="381"/>
      <c r="AJ315" s="381"/>
      <c r="AK315" s="381"/>
      <c r="AL315" s="381"/>
      <c r="AM315" s="381"/>
      <c r="AN315" s="381"/>
      <c r="AO315" s="381"/>
      <c r="AP315" s="381"/>
      <c r="AQ315" s="381"/>
      <c r="AR315" s="381"/>
      <c r="AS315" s="381"/>
      <c r="AT315" s="381"/>
      <c r="AU315" s="381"/>
      <c r="AV315" s="381"/>
      <c r="AW315" s="381"/>
      <c r="AX315" s="381"/>
      <c r="AY315" s="381"/>
      <c r="AZ315" s="381"/>
      <c r="BA315" s="381"/>
      <c r="BB315" s="381"/>
      <c r="BC315" s="381"/>
      <c r="BD315" s="381"/>
      <c r="BE315" s="381"/>
      <c r="BF315" s="381"/>
      <c r="BG315" s="381"/>
      <c r="BH315" s="381"/>
      <c r="BI315" s="381"/>
      <c r="BJ315" s="381"/>
      <c r="BK315" s="381"/>
      <c r="BL315" s="381"/>
      <c r="BM315" s="381"/>
      <c r="BN315" s="381"/>
      <c r="BO315" s="381"/>
      <c r="BP315" s="381"/>
      <c r="BQ315" s="381"/>
      <c r="BR315" s="381"/>
      <c r="BS315" s="381"/>
      <c r="BT315" s="381"/>
      <c r="BU315" s="381"/>
      <c r="BV315" s="381"/>
      <c r="BW315" s="381"/>
      <c r="BX315" s="381"/>
      <c r="BY315" s="381"/>
      <c r="BZ315" s="381"/>
      <c r="CA315" s="381"/>
      <c r="CB315" s="381"/>
      <c r="CC315" s="381"/>
      <c r="CD315" s="381"/>
      <c r="CE315" s="381"/>
      <c r="CF315" s="381"/>
      <c r="CG315" s="381"/>
      <c r="CH315" s="381"/>
      <c r="CI315" s="381"/>
      <c r="CJ315" s="381"/>
      <c r="CK315" s="381"/>
      <c r="CL315" s="381"/>
      <c r="CM315" s="381"/>
      <c r="CN315" s="381"/>
      <c r="CO315" s="381"/>
      <c r="CP315" s="381"/>
      <c r="CQ315" s="381"/>
      <c r="CR315" s="381"/>
      <c r="CS315" s="381"/>
      <c r="CT315" s="381"/>
      <c r="CU315" s="381"/>
      <c r="CV315" s="381"/>
      <c r="CW315" s="381"/>
      <c r="CX315" s="381"/>
      <c r="CY315" s="381"/>
      <c r="CZ315" s="381"/>
      <c r="DA315" s="381"/>
      <c r="DB315" s="381"/>
      <c r="DC315" s="381"/>
      <c r="DD315" s="381"/>
      <c r="DE315" s="381"/>
      <c r="DF315" s="381"/>
      <c r="DG315" s="381"/>
      <c r="DH315" s="381"/>
      <c r="DI315" s="381"/>
      <c r="DJ315" s="381"/>
      <c r="DK315" s="381"/>
      <c r="DL315" s="381"/>
      <c r="DM315" s="381"/>
      <c r="DN315" s="381"/>
      <c r="DO315" s="381"/>
      <c r="DP315" s="381"/>
      <c r="DQ315" s="381"/>
      <c r="DR315" s="381"/>
      <c r="DS315" s="381"/>
      <c r="DT315" s="381"/>
      <c r="DU315" s="381"/>
      <c r="DV315" s="381"/>
      <c r="DW315" s="277"/>
      <c r="DX315" s="381"/>
      <c r="DY315" s="381"/>
      <c r="DZ315" s="381"/>
      <c r="EA315" s="381"/>
      <c r="EB315" s="381"/>
      <c r="EC315" s="381"/>
      <c r="ED315" s="381"/>
      <c r="EE315" s="381"/>
      <c r="EF315" s="381"/>
      <c r="EG315" s="381"/>
      <c r="EH315" s="381"/>
      <c r="EI315" s="381"/>
      <c r="EJ315" s="381"/>
      <c r="EK315" s="381"/>
      <c r="EL315" s="381"/>
      <c r="EM315" s="381"/>
      <c r="EN315" s="381"/>
      <c r="EO315" s="381"/>
      <c r="EP315" s="381"/>
      <c r="EQ315" s="381"/>
      <c r="ER315" s="277"/>
      <c r="ES315" s="381"/>
      <c r="ET315" s="381"/>
      <c r="EU315" s="381"/>
      <c r="EV315" s="381"/>
      <c r="EW315" s="381"/>
      <c r="EX315" s="381"/>
      <c r="EY315" s="381"/>
      <c r="EZ315" s="381"/>
      <c r="FA315" s="381"/>
      <c r="FB315" s="381"/>
      <c r="FC315" s="381"/>
      <c r="FD315" s="381"/>
      <c r="FE315" s="381"/>
      <c r="FF315" s="381"/>
      <c r="FG315" s="381"/>
      <c r="FH315" s="381"/>
      <c r="FI315" s="381"/>
      <c r="FJ315" s="381"/>
      <c r="FK315" s="381"/>
      <c r="FL315" s="381"/>
      <c r="FM315" s="381"/>
      <c r="FN315" s="381"/>
      <c r="FO315" s="381"/>
      <c r="FP315" s="381"/>
      <c r="FQ315" s="381"/>
      <c r="FR315" s="381"/>
      <c r="FS315" s="381"/>
      <c r="FT315" s="381"/>
      <c r="FU315" s="381"/>
      <c r="FV315" s="381"/>
      <c r="FW315" s="381"/>
      <c r="FX315" s="381"/>
      <c r="FY315" s="381"/>
      <c r="FZ315" s="381"/>
      <c r="GA315" s="381"/>
      <c r="GB315" s="381"/>
      <c r="GC315" s="381"/>
      <c r="GD315" s="381"/>
      <c r="GE315" s="381"/>
      <c r="GF315" s="381"/>
      <c r="GG315" s="381"/>
      <c r="GH315" s="381"/>
      <c r="GI315" s="381"/>
      <c r="GJ315" s="381"/>
      <c r="GK315" s="381"/>
      <c r="GL315" s="381"/>
      <c r="GM315" s="381"/>
      <c r="GN315" s="381"/>
      <c r="GO315" s="381"/>
      <c r="GP315" s="381"/>
      <c r="GQ315" s="381"/>
      <c r="GR315" s="381"/>
      <c r="GS315" s="381"/>
      <c r="GT315" s="381"/>
      <c r="GU315" s="381"/>
      <c r="GV315" s="381"/>
      <c r="GW315" s="381"/>
      <c r="GX315" s="381"/>
      <c r="GY315" s="381"/>
      <c r="GZ315" s="381"/>
      <c r="HA315" s="381"/>
      <c r="HB315" s="381"/>
      <c r="HC315" s="381"/>
      <c r="HD315" s="381"/>
      <c r="HE315" s="381"/>
      <c r="HF315" s="381"/>
      <c r="HG315" s="381"/>
      <c r="HH315" s="381"/>
      <c r="HI315" s="381"/>
      <c r="HJ315" s="381"/>
      <c r="HK315" s="381"/>
      <c r="HL315" s="381"/>
      <c r="HM315" s="381"/>
      <c r="HN315" s="381"/>
      <c r="HO315" s="381"/>
      <c r="HP315" s="381"/>
      <c r="HQ315" s="381"/>
      <c r="HR315" s="381"/>
      <c r="HS315" s="381"/>
      <c r="HT315" s="381"/>
      <c r="HU315" s="381"/>
      <c r="HV315" s="381"/>
      <c r="HW315" s="381"/>
      <c r="HX315" s="381"/>
      <c r="HY315" s="381"/>
      <c r="HZ315" s="381"/>
      <c r="IA315" s="381"/>
      <c r="IB315" s="381"/>
      <c r="IC315" s="381"/>
      <c r="ID315" s="381"/>
      <c r="IE315" s="381"/>
      <c r="IF315" s="381"/>
      <c r="IG315" s="381"/>
      <c r="IH315" s="381"/>
      <c r="II315" s="381"/>
      <c r="IJ315" s="381"/>
      <c r="IK315" s="381"/>
      <c r="IL315" s="381"/>
      <c r="IM315" s="381"/>
      <c r="IN315" s="381"/>
      <c r="IO315" s="381"/>
      <c r="IP315" s="381"/>
      <c r="IQ315" s="381"/>
      <c r="IR315" s="381"/>
      <c r="IS315" s="381"/>
      <c r="IT315" s="381"/>
      <c r="IU315" s="381"/>
      <c r="IV315" s="381"/>
      <c r="IW315" s="381"/>
      <c r="IX315" s="381"/>
      <c r="IY315" s="381"/>
      <c r="IZ315" s="381"/>
      <c r="JA315" s="381"/>
      <c r="JB315" s="381"/>
      <c r="JC315" s="381"/>
      <c r="JD315" s="381"/>
      <c r="JE315" s="381"/>
      <c r="JF315" s="381"/>
      <c r="JG315" s="277"/>
      <c r="JH315" s="381"/>
      <c r="JI315" s="381"/>
      <c r="JJ315" s="381"/>
      <c r="JK315" s="381"/>
      <c r="JL315" s="381"/>
      <c r="JM315" s="381"/>
      <c r="JN315" s="381"/>
      <c r="JO315" s="381"/>
      <c r="JP315" s="381"/>
      <c r="JQ315" s="381"/>
      <c r="JR315" s="381"/>
      <c r="JS315" s="381"/>
      <c r="JT315" s="381"/>
      <c r="JU315" s="381"/>
      <c r="JV315" s="381"/>
      <c r="JW315" s="381"/>
      <c r="JX315" s="381"/>
      <c r="JY315" s="381"/>
      <c r="JZ315" s="381"/>
      <c r="KA315" s="381"/>
      <c r="KB315" s="277"/>
    </row>
    <row r="316" spans="1:289" ht="15" customHeight="1" x14ac:dyDescent="0.25">
      <c r="B316" s="219" t="str">
        <f t="shared" si="23"/>
        <v>Desk 100</v>
      </c>
      <c r="C316" s="220" t="str">
        <v/>
      </c>
      <c r="D316" s="220" t="str">
        <v/>
      </c>
      <c r="E316" s="220" t="str">
        <v/>
      </c>
      <c r="F316" s="220" t="str">
        <v/>
      </c>
      <c r="G316" s="402" t="str">
        <v/>
      </c>
      <c r="H316" s="382"/>
      <c r="I316" s="382"/>
      <c r="J316" s="382"/>
      <c r="K316" s="382"/>
      <c r="L316" s="382"/>
      <c r="M316" s="382"/>
      <c r="N316" s="382"/>
      <c r="O316" s="382"/>
      <c r="P316" s="382"/>
      <c r="Q316" s="382"/>
      <c r="R316" s="382"/>
      <c r="S316" s="382"/>
      <c r="T316" s="382"/>
      <c r="U316" s="382"/>
      <c r="V316" s="382"/>
      <c r="W316" s="382"/>
      <c r="X316" s="382"/>
      <c r="Y316" s="382"/>
      <c r="Z316" s="382"/>
      <c r="AA316" s="382"/>
      <c r="AB316" s="382"/>
      <c r="AC316" s="382"/>
      <c r="AD316" s="382"/>
      <c r="AE316" s="382"/>
      <c r="AF316" s="382"/>
      <c r="AG316" s="382"/>
      <c r="AH316" s="382"/>
      <c r="AI316" s="382"/>
      <c r="AJ316" s="382"/>
      <c r="AK316" s="382"/>
      <c r="AL316" s="382"/>
      <c r="AM316" s="382"/>
      <c r="AN316" s="382"/>
      <c r="AO316" s="382"/>
      <c r="AP316" s="382"/>
      <c r="AQ316" s="382"/>
      <c r="AR316" s="382"/>
      <c r="AS316" s="382"/>
      <c r="AT316" s="382"/>
      <c r="AU316" s="382"/>
      <c r="AV316" s="382"/>
      <c r="AW316" s="382"/>
      <c r="AX316" s="382"/>
      <c r="AY316" s="382"/>
      <c r="AZ316" s="382"/>
      <c r="BA316" s="382"/>
      <c r="BB316" s="382"/>
      <c r="BC316" s="382"/>
      <c r="BD316" s="382"/>
      <c r="BE316" s="382"/>
      <c r="BF316" s="382"/>
      <c r="BG316" s="382"/>
      <c r="BH316" s="382"/>
      <c r="BI316" s="382"/>
      <c r="BJ316" s="382"/>
      <c r="BK316" s="382"/>
      <c r="BL316" s="382"/>
      <c r="BM316" s="382"/>
      <c r="BN316" s="382"/>
      <c r="BO316" s="382"/>
      <c r="BP316" s="382"/>
      <c r="BQ316" s="382"/>
      <c r="BR316" s="382"/>
      <c r="BS316" s="382"/>
      <c r="BT316" s="382"/>
      <c r="BU316" s="382"/>
      <c r="BV316" s="382"/>
      <c r="BW316" s="382"/>
      <c r="BX316" s="382"/>
      <c r="BY316" s="382"/>
      <c r="BZ316" s="382"/>
      <c r="CA316" s="382"/>
      <c r="CB316" s="382"/>
      <c r="CC316" s="382"/>
      <c r="CD316" s="382"/>
      <c r="CE316" s="382"/>
      <c r="CF316" s="382"/>
      <c r="CG316" s="382"/>
      <c r="CH316" s="382"/>
      <c r="CI316" s="382"/>
      <c r="CJ316" s="382"/>
      <c r="CK316" s="382"/>
      <c r="CL316" s="382"/>
      <c r="CM316" s="382"/>
      <c r="CN316" s="382"/>
      <c r="CO316" s="382"/>
      <c r="CP316" s="382"/>
      <c r="CQ316" s="382"/>
      <c r="CR316" s="382"/>
      <c r="CS316" s="382"/>
      <c r="CT316" s="382"/>
      <c r="CU316" s="382"/>
      <c r="CV316" s="382"/>
      <c r="CW316" s="382"/>
      <c r="CX316" s="382"/>
      <c r="CY316" s="382"/>
      <c r="CZ316" s="382"/>
      <c r="DA316" s="382"/>
      <c r="DB316" s="382"/>
      <c r="DC316" s="382"/>
      <c r="DD316" s="382"/>
      <c r="DE316" s="382"/>
      <c r="DF316" s="382"/>
      <c r="DG316" s="382"/>
      <c r="DH316" s="382"/>
      <c r="DI316" s="382"/>
      <c r="DJ316" s="382"/>
      <c r="DK316" s="382"/>
      <c r="DL316" s="382"/>
      <c r="DM316" s="382"/>
      <c r="DN316" s="382"/>
      <c r="DO316" s="382"/>
      <c r="DP316" s="382"/>
      <c r="DQ316" s="382"/>
      <c r="DR316" s="382"/>
      <c r="DS316" s="382"/>
      <c r="DT316" s="382"/>
      <c r="DU316" s="382"/>
      <c r="DV316" s="382"/>
      <c r="DW316" s="383"/>
      <c r="DX316" s="382"/>
      <c r="DY316" s="382"/>
      <c r="DZ316" s="382"/>
      <c r="EA316" s="382"/>
      <c r="EB316" s="382"/>
      <c r="EC316" s="382"/>
      <c r="ED316" s="382"/>
      <c r="EE316" s="382"/>
      <c r="EF316" s="382"/>
      <c r="EG316" s="382"/>
      <c r="EH316" s="382"/>
      <c r="EI316" s="382"/>
      <c r="EJ316" s="382"/>
      <c r="EK316" s="382"/>
      <c r="EL316" s="382"/>
      <c r="EM316" s="382"/>
      <c r="EN316" s="382"/>
      <c r="EO316" s="382"/>
      <c r="EP316" s="382"/>
      <c r="EQ316" s="382"/>
      <c r="ER316" s="383"/>
      <c r="ES316" s="382"/>
      <c r="ET316" s="382"/>
      <c r="EU316" s="382"/>
      <c r="EV316" s="382"/>
      <c r="EW316" s="382"/>
      <c r="EX316" s="382"/>
      <c r="EY316" s="382"/>
      <c r="EZ316" s="382"/>
      <c r="FA316" s="382"/>
      <c r="FB316" s="382"/>
      <c r="FC316" s="382"/>
      <c r="FD316" s="382"/>
      <c r="FE316" s="382"/>
      <c r="FF316" s="382"/>
      <c r="FG316" s="382"/>
      <c r="FH316" s="382"/>
      <c r="FI316" s="382"/>
      <c r="FJ316" s="382"/>
      <c r="FK316" s="382"/>
      <c r="FL316" s="382"/>
      <c r="FM316" s="382"/>
      <c r="FN316" s="382"/>
      <c r="FO316" s="382"/>
      <c r="FP316" s="382"/>
      <c r="FQ316" s="382"/>
      <c r="FR316" s="382"/>
      <c r="FS316" s="382"/>
      <c r="FT316" s="382"/>
      <c r="FU316" s="382"/>
      <c r="FV316" s="382"/>
      <c r="FW316" s="382"/>
      <c r="FX316" s="382"/>
      <c r="FY316" s="382"/>
      <c r="FZ316" s="382"/>
      <c r="GA316" s="382"/>
      <c r="GB316" s="382"/>
      <c r="GC316" s="382"/>
      <c r="GD316" s="382"/>
      <c r="GE316" s="382"/>
      <c r="GF316" s="382"/>
      <c r="GG316" s="382"/>
      <c r="GH316" s="382"/>
      <c r="GI316" s="382"/>
      <c r="GJ316" s="382"/>
      <c r="GK316" s="382"/>
      <c r="GL316" s="382"/>
      <c r="GM316" s="382"/>
      <c r="GN316" s="382"/>
      <c r="GO316" s="382"/>
      <c r="GP316" s="382"/>
      <c r="GQ316" s="382"/>
      <c r="GR316" s="382"/>
      <c r="GS316" s="382"/>
      <c r="GT316" s="382"/>
      <c r="GU316" s="382"/>
      <c r="GV316" s="382"/>
      <c r="GW316" s="382"/>
      <c r="GX316" s="382"/>
      <c r="GY316" s="382"/>
      <c r="GZ316" s="382"/>
      <c r="HA316" s="382"/>
      <c r="HB316" s="382"/>
      <c r="HC316" s="382"/>
      <c r="HD316" s="382"/>
      <c r="HE316" s="382"/>
      <c r="HF316" s="382"/>
      <c r="HG316" s="382"/>
      <c r="HH316" s="382"/>
      <c r="HI316" s="382"/>
      <c r="HJ316" s="382"/>
      <c r="HK316" s="382"/>
      <c r="HL316" s="382"/>
      <c r="HM316" s="382"/>
      <c r="HN316" s="382"/>
      <c r="HO316" s="382"/>
      <c r="HP316" s="382"/>
      <c r="HQ316" s="382"/>
      <c r="HR316" s="382"/>
      <c r="HS316" s="382"/>
      <c r="HT316" s="382"/>
      <c r="HU316" s="382"/>
      <c r="HV316" s="382"/>
      <c r="HW316" s="382"/>
      <c r="HX316" s="382"/>
      <c r="HY316" s="382"/>
      <c r="HZ316" s="382"/>
      <c r="IA316" s="382"/>
      <c r="IB316" s="382"/>
      <c r="IC316" s="382"/>
      <c r="ID316" s="382"/>
      <c r="IE316" s="382"/>
      <c r="IF316" s="382"/>
      <c r="IG316" s="382"/>
      <c r="IH316" s="382"/>
      <c r="II316" s="382"/>
      <c r="IJ316" s="382"/>
      <c r="IK316" s="382"/>
      <c r="IL316" s="382"/>
      <c r="IM316" s="382"/>
      <c r="IN316" s="382"/>
      <c r="IO316" s="382"/>
      <c r="IP316" s="382"/>
      <c r="IQ316" s="382"/>
      <c r="IR316" s="382"/>
      <c r="IS316" s="382"/>
      <c r="IT316" s="382"/>
      <c r="IU316" s="382"/>
      <c r="IV316" s="382"/>
      <c r="IW316" s="382"/>
      <c r="IX316" s="382"/>
      <c r="IY316" s="382"/>
      <c r="IZ316" s="382"/>
      <c r="JA316" s="382"/>
      <c r="JB316" s="382"/>
      <c r="JC316" s="382"/>
      <c r="JD316" s="382"/>
      <c r="JE316" s="382"/>
      <c r="JF316" s="382"/>
      <c r="JG316" s="383"/>
      <c r="JH316" s="382"/>
      <c r="JI316" s="382"/>
      <c r="JJ316" s="382"/>
      <c r="JK316" s="382"/>
      <c r="JL316" s="382"/>
      <c r="JM316" s="382"/>
      <c r="JN316" s="382"/>
      <c r="JO316" s="382"/>
      <c r="JP316" s="382"/>
      <c r="JQ316" s="382"/>
      <c r="JR316" s="382"/>
      <c r="JS316" s="382"/>
      <c r="JT316" s="382"/>
      <c r="JU316" s="382"/>
      <c r="JV316" s="382"/>
      <c r="JW316" s="382"/>
      <c r="JX316" s="382"/>
      <c r="JY316" s="382"/>
      <c r="JZ316" s="382"/>
      <c r="KA316" s="382"/>
      <c r="KB316" s="383"/>
    </row>
    <row r="317" spans="1:289" ht="15" customHeight="1" x14ac:dyDescent="0.25">
      <c r="B317" s="451" t="s">
        <v>406</v>
      </c>
      <c r="C317" s="403"/>
      <c r="D317" s="403"/>
      <c r="E317" s="403"/>
      <c r="F317" s="403"/>
      <c r="G317" s="403"/>
      <c r="H317" s="452"/>
      <c r="I317" s="452"/>
      <c r="J317" s="452"/>
      <c r="K317" s="452"/>
      <c r="L317" s="452"/>
      <c r="M317" s="452"/>
      <c r="N317" s="452"/>
      <c r="O317" s="452"/>
      <c r="P317" s="452"/>
      <c r="Q317" s="452"/>
      <c r="R317" s="452"/>
      <c r="S317" s="452"/>
      <c r="T317" s="452"/>
      <c r="U317" s="452"/>
      <c r="V317" s="452"/>
      <c r="W317" s="452"/>
      <c r="X317" s="452"/>
      <c r="Y317" s="452"/>
      <c r="Z317" s="452"/>
      <c r="AA317" s="452"/>
      <c r="AB317" s="452"/>
      <c r="AC317" s="452"/>
      <c r="AD317" s="452"/>
      <c r="AE317" s="452"/>
      <c r="AF317" s="452"/>
      <c r="AG317" s="452"/>
      <c r="AH317" s="452"/>
      <c r="AI317" s="452"/>
      <c r="AJ317" s="452"/>
      <c r="AK317" s="452"/>
      <c r="AL317" s="452"/>
      <c r="AM317" s="452"/>
      <c r="AN317" s="452"/>
      <c r="AO317" s="452"/>
      <c r="AP317" s="452"/>
      <c r="AQ317" s="452"/>
      <c r="AR317" s="452"/>
      <c r="AS317" s="452"/>
      <c r="AT317" s="452"/>
      <c r="AU317" s="452"/>
      <c r="AV317" s="452"/>
      <c r="AW317" s="452"/>
      <c r="AX317" s="452"/>
      <c r="AY317" s="452"/>
      <c r="AZ317" s="452"/>
      <c r="BA317" s="452"/>
      <c r="BB317" s="452"/>
      <c r="BC317" s="452"/>
      <c r="BD317" s="452"/>
      <c r="BE317" s="452"/>
      <c r="BF317" s="452"/>
      <c r="BG317" s="452"/>
      <c r="BH317" s="452"/>
      <c r="BI317" s="452"/>
      <c r="BJ317" s="452"/>
      <c r="BK317" s="452"/>
      <c r="BL317" s="452"/>
      <c r="BM317" s="452"/>
      <c r="BN317" s="452"/>
      <c r="BO317" s="452"/>
      <c r="BP317" s="452"/>
      <c r="BQ317" s="452"/>
      <c r="BR317" s="452"/>
      <c r="BS317" s="452"/>
      <c r="BT317" s="452"/>
      <c r="BU317" s="452"/>
      <c r="BV317" s="452"/>
      <c r="BW317" s="452"/>
      <c r="BX317" s="452"/>
      <c r="BY317" s="452"/>
      <c r="BZ317" s="452"/>
      <c r="CA317" s="452"/>
      <c r="CB317" s="452"/>
      <c r="CC317" s="452"/>
      <c r="CD317" s="452"/>
      <c r="CE317" s="452"/>
      <c r="CF317" s="452"/>
      <c r="CG317" s="452"/>
      <c r="CH317" s="452"/>
      <c r="CI317" s="452"/>
      <c r="CJ317" s="452"/>
      <c r="CK317" s="452"/>
      <c r="CL317" s="452"/>
      <c r="CM317" s="452"/>
      <c r="CN317" s="452"/>
      <c r="CO317" s="452"/>
      <c r="CP317" s="452"/>
      <c r="CQ317" s="452"/>
      <c r="CR317" s="452"/>
      <c r="CS317" s="452"/>
      <c r="CT317" s="452"/>
      <c r="CU317" s="452"/>
      <c r="CV317" s="452"/>
      <c r="CW317" s="452"/>
      <c r="CX317" s="452"/>
      <c r="CY317" s="452"/>
      <c r="CZ317" s="452"/>
      <c r="DA317" s="452"/>
      <c r="DB317" s="452"/>
      <c r="DC317" s="452"/>
      <c r="DD317" s="452"/>
      <c r="DE317" s="452"/>
      <c r="DF317" s="452"/>
      <c r="DG317" s="452"/>
      <c r="DH317" s="452"/>
      <c r="DI317" s="452"/>
      <c r="DJ317" s="452"/>
      <c r="DK317" s="452"/>
      <c r="DL317" s="452"/>
      <c r="DM317" s="452"/>
      <c r="DN317" s="452"/>
      <c r="DO317" s="452"/>
      <c r="DP317" s="452"/>
      <c r="DQ317" s="452"/>
      <c r="DR317" s="452"/>
      <c r="DS317" s="452"/>
      <c r="DT317" s="452"/>
      <c r="DU317" s="452"/>
      <c r="DV317" s="452"/>
      <c r="DW317" s="436"/>
      <c r="DX317" s="452"/>
      <c r="DY317" s="452"/>
      <c r="DZ317" s="452"/>
      <c r="EA317" s="452"/>
      <c r="EB317" s="452"/>
      <c r="EC317" s="452"/>
      <c r="ED317" s="452"/>
      <c r="EE317" s="452"/>
      <c r="EF317" s="452"/>
      <c r="EG317" s="452"/>
      <c r="EH317" s="452"/>
      <c r="EI317" s="452"/>
      <c r="EJ317" s="452"/>
      <c r="EK317" s="452"/>
      <c r="EL317" s="452"/>
      <c r="EM317" s="452"/>
      <c r="EN317" s="452"/>
      <c r="EO317" s="452"/>
      <c r="EP317" s="452"/>
      <c r="EQ317" s="452"/>
      <c r="ER317" s="436"/>
      <c r="ES317" s="452"/>
      <c r="ET317" s="452"/>
      <c r="EU317" s="452"/>
      <c r="EV317" s="452"/>
      <c r="EW317" s="452"/>
      <c r="EX317" s="452"/>
      <c r="EY317" s="452"/>
      <c r="EZ317" s="452"/>
      <c r="FA317" s="452"/>
      <c r="FB317" s="452"/>
      <c r="FC317" s="452"/>
      <c r="FD317" s="452"/>
      <c r="FE317" s="452"/>
      <c r="FF317" s="452"/>
      <c r="FG317" s="452"/>
      <c r="FH317" s="452"/>
      <c r="FI317" s="452"/>
      <c r="FJ317" s="452"/>
      <c r="FK317" s="452"/>
      <c r="FL317" s="452"/>
      <c r="FM317" s="452"/>
      <c r="FN317" s="452"/>
      <c r="FO317" s="452"/>
      <c r="FP317" s="452"/>
      <c r="FQ317" s="452"/>
      <c r="FR317" s="452"/>
      <c r="FS317" s="452"/>
      <c r="FT317" s="452"/>
      <c r="FU317" s="452"/>
      <c r="FV317" s="452"/>
      <c r="FW317" s="452"/>
      <c r="FX317" s="452"/>
      <c r="FY317" s="452"/>
      <c r="FZ317" s="452"/>
      <c r="GA317" s="452"/>
      <c r="GB317" s="452"/>
      <c r="GC317" s="452"/>
      <c r="GD317" s="452"/>
      <c r="GE317" s="452"/>
      <c r="GF317" s="452"/>
      <c r="GG317" s="452"/>
      <c r="GH317" s="452"/>
      <c r="GI317" s="452"/>
      <c r="GJ317" s="452"/>
      <c r="GK317" s="452"/>
      <c r="GL317" s="452"/>
      <c r="GM317" s="452"/>
      <c r="GN317" s="452"/>
      <c r="GO317" s="452"/>
      <c r="GP317" s="452"/>
      <c r="GQ317" s="452"/>
      <c r="GR317" s="452"/>
      <c r="GS317" s="452"/>
      <c r="GT317" s="452"/>
      <c r="GU317" s="452"/>
      <c r="GV317" s="452"/>
      <c r="GW317" s="452"/>
      <c r="GX317" s="452"/>
      <c r="GY317" s="452"/>
      <c r="GZ317" s="452"/>
      <c r="HA317" s="452"/>
      <c r="HB317" s="452"/>
      <c r="HC317" s="452"/>
      <c r="HD317" s="452"/>
      <c r="HE317" s="452"/>
      <c r="HF317" s="452"/>
      <c r="HG317" s="452"/>
      <c r="HH317" s="452"/>
      <c r="HI317" s="452"/>
      <c r="HJ317" s="452"/>
      <c r="HK317" s="452"/>
      <c r="HL317" s="452"/>
      <c r="HM317" s="452"/>
      <c r="HN317" s="452"/>
      <c r="HO317" s="452"/>
      <c r="HP317" s="452"/>
      <c r="HQ317" s="452"/>
      <c r="HR317" s="452"/>
      <c r="HS317" s="452"/>
      <c r="HT317" s="452"/>
      <c r="HU317" s="452"/>
      <c r="HV317" s="452"/>
      <c r="HW317" s="452"/>
      <c r="HX317" s="452"/>
      <c r="HY317" s="452"/>
      <c r="HZ317" s="452"/>
      <c r="IA317" s="452"/>
      <c r="IB317" s="452"/>
      <c r="IC317" s="452"/>
      <c r="ID317" s="452"/>
      <c r="IE317" s="452"/>
      <c r="IF317" s="452"/>
      <c r="IG317" s="452"/>
      <c r="IH317" s="452"/>
      <c r="II317" s="452"/>
      <c r="IJ317" s="452"/>
      <c r="IK317" s="452"/>
      <c r="IL317" s="452"/>
      <c r="IM317" s="452"/>
      <c r="IN317" s="452"/>
      <c r="IO317" s="452"/>
      <c r="IP317" s="452"/>
      <c r="IQ317" s="452"/>
      <c r="IR317" s="452"/>
      <c r="IS317" s="452"/>
      <c r="IT317" s="452"/>
      <c r="IU317" s="452"/>
      <c r="IV317" s="452"/>
      <c r="IW317" s="452"/>
      <c r="IX317" s="452"/>
      <c r="IY317" s="452"/>
      <c r="IZ317" s="452"/>
      <c r="JA317" s="452"/>
      <c r="JB317" s="452"/>
      <c r="JC317" s="452"/>
      <c r="JD317" s="452"/>
      <c r="JE317" s="452"/>
      <c r="JF317" s="452"/>
      <c r="JG317" s="436"/>
      <c r="JH317" s="452"/>
      <c r="JI317" s="452"/>
      <c r="JJ317" s="452"/>
      <c r="JK317" s="452"/>
      <c r="JL317" s="452"/>
      <c r="JM317" s="452"/>
      <c r="JN317" s="452"/>
      <c r="JO317" s="452"/>
      <c r="JP317" s="452"/>
      <c r="JQ317" s="452"/>
      <c r="JR317" s="452"/>
      <c r="JS317" s="452"/>
      <c r="JT317" s="452"/>
      <c r="JU317" s="452"/>
      <c r="JV317" s="452"/>
      <c r="JW317" s="452"/>
      <c r="JX317" s="452"/>
      <c r="JY317" s="452"/>
      <c r="JZ317" s="452"/>
      <c r="KA317" s="452"/>
      <c r="KB317" s="1597"/>
    </row>
    <row r="318" spans="1:289" ht="60" customHeight="1" x14ac:dyDescent="0.25">
      <c r="A318" s="412" t="s">
        <v>2221</v>
      </c>
      <c r="B318" s="104"/>
      <c r="C318" s="104"/>
      <c r="D318" s="143"/>
      <c r="E318" s="143"/>
      <c r="F318" s="143"/>
      <c r="G318" s="143"/>
      <c r="H318" s="325"/>
      <c r="I318" s="325"/>
      <c r="J318" s="325"/>
      <c r="K318" s="325"/>
      <c r="L318" s="325"/>
      <c r="M318" s="325"/>
      <c r="N318" s="325"/>
      <c r="O318" s="325"/>
      <c r="P318" s="325"/>
      <c r="Q318" s="325"/>
      <c r="R318" s="325"/>
      <c r="S318" s="325"/>
      <c r="T318" s="325"/>
      <c r="U318" s="325"/>
      <c r="V318" s="325"/>
      <c r="W318" s="325"/>
      <c r="X318" s="325"/>
      <c r="Y318" s="325"/>
      <c r="Z318" s="325"/>
      <c r="AA318" s="325"/>
      <c r="AB318" s="325"/>
      <c r="AC318" s="325"/>
      <c r="AD318" s="325"/>
      <c r="AE318" s="325"/>
      <c r="AF318" s="325"/>
      <c r="AG318" s="325"/>
      <c r="AH318" s="325"/>
      <c r="AI318" s="325"/>
      <c r="AJ318" s="325"/>
      <c r="AK318" s="325"/>
      <c r="AL318" s="325"/>
      <c r="AM318" s="325"/>
      <c r="AN318" s="325"/>
      <c r="AO318" s="325"/>
      <c r="AP318" s="325"/>
      <c r="AQ318" s="325"/>
      <c r="AR318" s="325"/>
      <c r="AS318" s="325"/>
      <c r="AT318" s="325"/>
      <c r="AU318" s="325"/>
      <c r="AV318" s="325"/>
      <c r="AW318" s="325"/>
      <c r="AX318" s="325"/>
      <c r="AY318" s="325"/>
      <c r="AZ318" s="325"/>
      <c r="BA318" s="325"/>
      <c r="BB318" s="325"/>
      <c r="BC318" s="325"/>
      <c r="BD318" s="325"/>
      <c r="BE318" s="325"/>
      <c r="BF318" s="325"/>
      <c r="BG318" s="325"/>
      <c r="BH318" s="325"/>
      <c r="BI318" s="325"/>
      <c r="BJ318" s="325"/>
      <c r="BK318" s="325"/>
      <c r="BL318" s="325"/>
      <c r="BM318" s="325"/>
      <c r="BN318" s="325"/>
      <c r="BO318" s="325"/>
      <c r="BP318" s="325"/>
      <c r="BQ318" s="325"/>
      <c r="BR318" s="325"/>
      <c r="BS318" s="325"/>
      <c r="BT318" s="325"/>
      <c r="BU318" s="325"/>
      <c r="BV318" s="325"/>
      <c r="BW318" s="325"/>
      <c r="BX318" s="325"/>
      <c r="BY318" s="325"/>
      <c r="BZ318" s="325"/>
      <c r="CA318" s="325"/>
      <c r="CB318" s="325"/>
      <c r="CC318" s="325"/>
      <c r="CD318" s="325"/>
      <c r="CE318" s="325"/>
      <c r="CF318" s="325"/>
      <c r="CG318" s="325"/>
      <c r="CH318" s="325"/>
      <c r="CI318" s="325"/>
      <c r="CJ318" s="325"/>
      <c r="CK318" s="325"/>
      <c r="CL318" s="325"/>
      <c r="CM318" s="325"/>
      <c r="CN318" s="325"/>
      <c r="CO318" s="325"/>
      <c r="CP318" s="325"/>
      <c r="CQ318" s="325"/>
      <c r="CR318" s="325"/>
      <c r="CS318" s="325"/>
      <c r="CT318" s="325"/>
      <c r="CU318" s="325"/>
      <c r="CV318" s="325"/>
      <c r="CW318" s="325"/>
      <c r="CX318" s="325"/>
      <c r="CY318" s="325"/>
      <c r="CZ318" s="325"/>
      <c r="DA318" s="325"/>
      <c r="DB318" s="325"/>
      <c r="DC318" s="325"/>
      <c r="DD318" s="325"/>
      <c r="DE318" s="325"/>
      <c r="DF318" s="325"/>
      <c r="DG318" s="325"/>
      <c r="DH318" s="325"/>
      <c r="DI318" s="325"/>
      <c r="DJ318" s="325"/>
      <c r="DK318" s="325"/>
      <c r="DL318" s="325"/>
      <c r="DM318" s="325"/>
      <c r="DN318" s="325"/>
      <c r="DO318" s="325"/>
      <c r="DP318" s="325"/>
      <c r="DQ318" s="325"/>
      <c r="DR318" s="325"/>
      <c r="DS318" s="325"/>
      <c r="DT318" s="325"/>
      <c r="DU318" s="325"/>
      <c r="DV318" s="325"/>
      <c r="DW318" s="325"/>
      <c r="DX318" s="325"/>
      <c r="DY318" s="325"/>
      <c r="DZ318" s="325"/>
      <c r="EA318" s="325"/>
      <c r="EB318" s="325"/>
      <c r="EC318" s="325"/>
      <c r="ED318" s="325"/>
      <c r="EE318" s="325"/>
      <c r="EF318" s="325"/>
      <c r="EG318" s="325"/>
      <c r="EH318" s="325"/>
      <c r="EI318" s="325"/>
      <c r="EJ318" s="325"/>
      <c r="EK318" s="325"/>
      <c r="EL318" s="325"/>
      <c r="EM318" s="325"/>
      <c r="EN318" s="325"/>
      <c r="EO318" s="325"/>
      <c r="EP318" s="325"/>
      <c r="EQ318" s="325"/>
      <c r="ER318" s="325"/>
      <c r="ES318" s="325"/>
      <c r="ET318" s="325"/>
      <c r="EU318" s="325"/>
      <c r="EV318" s="325"/>
      <c r="EW318" s="325"/>
      <c r="EX318" s="325"/>
      <c r="EY318" s="325"/>
      <c r="EZ318" s="325"/>
      <c r="FA318" s="325"/>
      <c r="FB318" s="325"/>
      <c r="FC318" s="325"/>
      <c r="FD318" s="325"/>
      <c r="FE318" s="325"/>
      <c r="FF318" s="325"/>
      <c r="FG318" s="325"/>
      <c r="FH318" s="325"/>
      <c r="FI318" s="325"/>
      <c r="FJ318" s="325"/>
      <c r="FK318" s="325"/>
      <c r="FL318" s="325"/>
      <c r="FM318" s="325"/>
      <c r="FN318" s="325"/>
      <c r="FO318" s="325"/>
      <c r="FP318" s="325"/>
      <c r="FQ318" s="325"/>
      <c r="FR318" s="325"/>
      <c r="FS318" s="325"/>
      <c r="FT318" s="325"/>
      <c r="FU318" s="325"/>
      <c r="FV318" s="325"/>
      <c r="FW318" s="325"/>
      <c r="FX318" s="325"/>
      <c r="FY318" s="325"/>
      <c r="FZ318" s="325"/>
      <c r="GA318" s="325"/>
      <c r="GB318" s="325"/>
      <c r="GC318" s="325"/>
      <c r="GD318" s="325"/>
      <c r="GE318" s="325"/>
      <c r="GF318" s="325"/>
      <c r="GG318" s="325"/>
      <c r="GH318" s="325"/>
      <c r="GI318" s="325"/>
      <c r="GJ318" s="325"/>
      <c r="GK318" s="325"/>
      <c r="GL318" s="325"/>
      <c r="GM318" s="325"/>
      <c r="GN318" s="325"/>
      <c r="GO318" s="325"/>
      <c r="GP318" s="325"/>
      <c r="GQ318" s="325"/>
      <c r="GR318" s="325"/>
      <c r="GS318" s="325"/>
      <c r="GT318" s="325"/>
      <c r="GU318" s="325"/>
      <c r="GV318" s="325"/>
      <c r="GW318" s="325"/>
      <c r="GX318" s="325"/>
      <c r="GY318" s="325"/>
      <c r="GZ318" s="325"/>
      <c r="HA318" s="325"/>
      <c r="HB318" s="325"/>
      <c r="HC318" s="325"/>
      <c r="HD318" s="325"/>
      <c r="HE318" s="325"/>
      <c r="HF318" s="325"/>
      <c r="HG318" s="325"/>
      <c r="HH318" s="325"/>
      <c r="HI318" s="325"/>
      <c r="HJ318" s="325"/>
      <c r="HK318" s="325"/>
      <c r="HL318" s="325"/>
      <c r="HM318" s="325"/>
      <c r="HN318" s="325"/>
      <c r="HO318" s="325"/>
      <c r="HP318" s="325"/>
      <c r="HQ318" s="325"/>
      <c r="HR318" s="325"/>
      <c r="HS318" s="325"/>
      <c r="HT318" s="325"/>
      <c r="HU318" s="325"/>
      <c r="HV318" s="325"/>
      <c r="HW318" s="325"/>
      <c r="HX318" s="325"/>
      <c r="HY318" s="325"/>
      <c r="HZ318" s="325"/>
      <c r="IA318" s="325"/>
      <c r="IB318" s="325"/>
      <c r="IC318" s="325"/>
      <c r="ID318" s="325"/>
      <c r="IE318" s="325"/>
      <c r="IF318" s="325"/>
      <c r="IG318" s="325"/>
      <c r="IH318" s="325"/>
      <c r="II318" s="325"/>
      <c r="IJ318" s="325"/>
      <c r="IK318" s="325"/>
      <c r="IL318" s="325"/>
      <c r="IM318" s="325"/>
      <c r="IN318" s="325"/>
      <c r="IO318" s="325"/>
      <c r="IP318" s="325"/>
      <c r="IQ318" s="325"/>
      <c r="IR318" s="325"/>
      <c r="IS318" s="325"/>
      <c r="IT318" s="325"/>
      <c r="IU318" s="325"/>
      <c r="IV318" s="325"/>
      <c r="IW318" s="325"/>
      <c r="IX318" s="325"/>
      <c r="IY318" s="325"/>
      <c r="IZ318" s="325"/>
      <c r="JA318" s="325"/>
      <c r="JB318" s="325"/>
      <c r="JC318" s="325"/>
      <c r="JD318" s="325"/>
      <c r="JE318" s="325"/>
      <c r="JF318" s="325"/>
      <c r="JG318" s="325"/>
      <c r="JH318" s="325"/>
      <c r="JI318" s="325"/>
      <c r="JJ318" s="325"/>
      <c r="JK318" s="325"/>
      <c r="JL318" s="325"/>
      <c r="JM318" s="325"/>
      <c r="JN318" s="325"/>
      <c r="JO318" s="325"/>
      <c r="JP318" s="325"/>
      <c r="JQ318" s="325"/>
      <c r="JR318" s="325"/>
      <c r="JS318" s="325"/>
      <c r="JT318" s="325"/>
      <c r="JU318" s="325"/>
      <c r="JV318" s="325"/>
      <c r="JW318" s="325"/>
      <c r="JX318" s="325"/>
      <c r="JY318" s="325"/>
      <c r="JZ318" s="325"/>
      <c r="KA318" s="325"/>
      <c r="KB318" s="325"/>
      <c r="KC318" s="441"/>
    </row>
    <row r="319" spans="1:289" ht="60" customHeight="1" x14ac:dyDescent="0.25">
      <c r="B319" s="442" t="s">
        <v>305</v>
      </c>
      <c r="C319" s="400" t="s">
        <v>454</v>
      </c>
      <c r="D319" s="443" t="s">
        <v>432</v>
      </c>
      <c r="E319" s="400" t="s">
        <v>433</v>
      </c>
      <c r="F319" s="2018" t="s">
        <v>1192</v>
      </c>
      <c r="G319" s="2018" t="s">
        <v>1526</v>
      </c>
      <c r="H319" s="400" t="s">
        <v>303</v>
      </c>
      <c r="I319" s="400" t="str">
        <f t="shared" ref="I319:BT319" si="24">"T+" &amp; (COLUMN(I319)-COLUMN($H319))</f>
        <v>T+1</v>
      </c>
      <c r="J319" s="400" t="str">
        <f t="shared" si="24"/>
        <v>T+2</v>
      </c>
      <c r="K319" s="400" t="str">
        <f t="shared" si="24"/>
        <v>T+3</v>
      </c>
      <c r="L319" s="400" t="str">
        <f t="shared" si="24"/>
        <v>T+4</v>
      </c>
      <c r="M319" s="400" t="str">
        <f t="shared" si="24"/>
        <v>T+5</v>
      </c>
      <c r="N319" s="400" t="str">
        <f t="shared" si="24"/>
        <v>T+6</v>
      </c>
      <c r="O319" s="400" t="str">
        <f t="shared" si="24"/>
        <v>T+7</v>
      </c>
      <c r="P319" s="400" t="str">
        <f t="shared" si="24"/>
        <v>T+8</v>
      </c>
      <c r="Q319" s="400" t="str">
        <f t="shared" si="24"/>
        <v>T+9</v>
      </c>
      <c r="R319" s="400" t="str">
        <f t="shared" si="24"/>
        <v>T+10</v>
      </c>
      <c r="S319" s="400" t="str">
        <f t="shared" si="24"/>
        <v>T+11</v>
      </c>
      <c r="T319" s="400" t="str">
        <f t="shared" si="24"/>
        <v>T+12</v>
      </c>
      <c r="U319" s="400" t="str">
        <f t="shared" si="24"/>
        <v>T+13</v>
      </c>
      <c r="V319" s="400" t="str">
        <f t="shared" si="24"/>
        <v>T+14</v>
      </c>
      <c r="W319" s="400" t="str">
        <f t="shared" si="24"/>
        <v>T+15</v>
      </c>
      <c r="X319" s="400" t="str">
        <f t="shared" si="24"/>
        <v>T+16</v>
      </c>
      <c r="Y319" s="400" t="str">
        <f t="shared" si="24"/>
        <v>T+17</v>
      </c>
      <c r="Z319" s="400" t="str">
        <f t="shared" si="24"/>
        <v>T+18</v>
      </c>
      <c r="AA319" s="400" t="str">
        <f t="shared" si="24"/>
        <v>T+19</v>
      </c>
      <c r="AB319" s="400" t="str">
        <f t="shared" si="24"/>
        <v>T+20</v>
      </c>
      <c r="AC319" s="400" t="str">
        <f t="shared" si="24"/>
        <v>T+21</v>
      </c>
      <c r="AD319" s="400" t="str">
        <f t="shared" si="24"/>
        <v>T+22</v>
      </c>
      <c r="AE319" s="400" t="str">
        <f t="shared" si="24"/>
        <v>T+23</v>
      </c>
      <c r="AF319" s="400" t="str">
        <f t="shared" si="24"/>
        <v>T+24</v>
      </c>
      <c r="AG319" s="400" t="str">
        <f t="shared" si="24"/>
        <v>T+25</v>
      </c>
      <c r="AH319" s="400" t="str">
        <f t="shared" si="24"/>
        <v>T+26</v>
      </c>
      <c r="AI319" s="400" t="str">
        <f t="shared" si="24"/>
        <v>T+27</v>
      </c>
      <c r="AJ319" s="400" t="str">
        <f t="shared" si="24"/>
        <v>T+28</v>
      </c>
      <c r="AK319" s="400" t="str">
        <f t="shared" si="24"/>
        <v>T+29</v>
      </c>
      <c r="AL319" s="400" t="str">
        <f t="shared" si="24"/>
        <v>T+30</v>
      </c>
      <c r="AM319" s="400" t="str">
        <f t="shared" si="24"/>
        <v>T+31</v>
      </c>
      <c r="AN319" s="400" t="str">
        <f t="shared" si="24"/>
        <v>T+32</v>
      </c>
      <c r="AO319" s="400" t="str">
        <f t="shared" si="24"/>
        <v>T+33</v>
      </c>
      <c r="AP319" s="400" t="str">
        <f t="shared" si="24"/>
        <v>T+34</v>
      </c>
      <c r="AQ319" s="400" t="str">
        <f t="shared" si="24"/>
        <v>T+35</v>
      </c>
      <c r="AR319" s="400" t="str">
        <f t="shared" si="24"/>
        <v>T+36</v>
      </c>
      <c r="AS319" s="400" t="str">
        <f t="shared" si="24"/>
        <v>T+37</v>
      </c>
      <c r="AT319" s="400" t="str">
        <f t="shared" si="24"/>
        <v>T+38</v>
      </c>
      <c r="AU319" s="400" t="str">
        <f t="shared" si="24"/>
        <v>T+39</v>
      </c>
      <c r="AV319" s="400" t="str">
        <f t="shared" si="24"/>
        <v>T+40</v>
      </c>
      <c r="AW319" s="400" t="str">
        <f t="shared" si="24"/>
        <v>T+41</v>
      </c>
      <c r="AX319" s="400" t="str">
        <f t="shared" si="24"/>
        <v>T+42</v>
      </c>
      <c r="AY319" s="400" t="str">
        <f t="shared" si="24"/>
        <v>T+43</v>
      </c>
      <c r="AZ319" s="400" t="str">
        <f t="shared" si="24"/>
        <v>T+44</v>
      </c>
      <c r="BA319" s="400" t="str">
        <f t="shared" si="24"/>
        <v>T+45</v>
      </c>
      <c r="BB319" s="400" t="str">
        <f t="shared" si="24"/>
        <v>T+46</v>
      </c>
      <c r="BC319" s="400" t="str">
        <f t="shared" si="24"/>
        <v>T+47</v>
      </c>
      <c r="BD319" s="400" t="str">
        <f t="shared" si="24"/>
        <v>T+48</v>
      </c>
      <c r="BE319" s="400" t="str">
        <f t="shared" si="24"/>
        <v>T+49</v>
      </c>
      <c r="BF319" s="400" t="str">
        <f t="shared" si="24"/>
        <v>T+50</v>
      </c>
      <c r="BG319" s="400" t="str">
        <f t="shared" si="24"/>
        <v>T+51</v>
      </c>
      <c r="BH319" s="400" t="str">
        <f t="shared" si="24"/>
        <v>T+52</v>
      </c>
      <c r="BI319" s="400" t="str">
        <f t="shared" si="24"/>
        <v>T+53</v>
      </c>
      <c r="BJ319" s="400" t="str">
        <f t="shared" si="24"/>
        <v>T+54</v>
      </c>
      <c r="BK319" s="400" t="str">
        <f t="shared" si="24"/>
        <v>T+55</v>
      </c>
      <c r="BL319" s="400" t="str">
        <f t="shared" si="24"/>
        <v>T+56</v>
      </c>
      <c r="BM319" s="400" t="str">
        <f t="shared" si="24"/>
        <v>T+57</v>
      </c>
      <c r="BN319" s="400" t="str">
        <f t="shared" si="24"/>
        <v>T+58</v>
      </c>
      <c r="BO319" s="400" t="str">
        <f t="shared" si="24"/>
        <v>T+59</v>
      </c>
      <c r="BP319" s="400" t="str">
        <f t="shared" si="24"/>
        <v>T+60</v>
      </c>
      <c r="BQ319" s="400" t="str">
        <f t="shared" si="24"/>
        <v>T+61</v>
      </c>
      <c r="BR319" s="400" t="str">
        <f t="shared" si="24"/>
        <v>T+62</v>
      </c>
      <c r="BS319" s="400" t="str">
        <f t="shared" si="24"/>
        <v>T+63</v>
      </c>
      <c r="BT319" s="400" t="str">
        <f t="shared" si="24"/>
        <v>T+64</v>
      </c>
      <c r="BU319" s="400" t="str">
        <f t="shared" ref="BU319:EF319" si="25">"T+" &amp; (COLUMN(BU319)-COLUMN($H319))</f>
        <v>T+65</v>
      </c>
      <c r="BV319" s="400" t="str">
        <f t="shared" si="25"/>
        <v>T+66</v>
      </c>
      <c r="BW319" s="400" t="str">
        <f t="shared" si="25"/>
        <v>T+67</v>
      </c>
      <c r="BX319" s="400" t="str">
        <f t="shared" si="25"/>
        <v>T+68</v>
      </c>
      <c r="BY319" s="400" t="str">
        <f t="shared" si="25"/>
        <v>T+69</v>
      </c>
      <c r="BZ319" s="400" t="str">
        <f t="shared" si="25"/>
        <v>T+70</v>
      </c>
      <c r="CA319" s="400" t="str">
        <f t="shared" si="25"/>
        <v>T+71</v>
      </c>
      <c r="CB319" s="400" t="str">
        <f t="shared" si="25"/>
        <v>T+72</v>
      </c>
      <c r="CC319" s="400" t="str">
        <f t="shared" si="25"/>
        <v>T+73</v>
      </c>
      <c r="CD319" s="400" t="str">
        <f t="shared" si="25"/>
        <v>T+74</v>
      </c>
      <c r="CE319" s="400" t="str">
        <f t="shared" si="25"/>
        <v>T+75</v>
      </c>
      <c r="CF319" s="400" t="str">
        <f t="shared" si="25"/>
        <v>T+76</v>
      </c>
      <c r="CG319" s="400" t="str">
        <f t="shared" si="25"/>
        <v>T+77</v>
      </c>
      <c r="CH319" s="400" t="str">
        <f t="shared" si="25"/>
        <v>T+78</v>
      </c>
      <c r="CI319" s="400" t="str">
        <f t="shared" si="25"/>
        <v>T+79</v>
      </c>
      <c r="CJ319" s="400" t="str">
        <f t="shared" si="25"/>
        <v>T+80</v>
      </c>
      <c r="CK319" s="400" t="str">
        <f t="shared" si="25"/>
        <v>T+81</v>
      </c>
      <c r="CL319" s="400" t="str">
        <f t="shared" si="25"/>
        <v>T+82</v>
      </c>
      <c r="CM319" s="400" t="str">
        <f t="shared" si="25"/>
        <v>T+83</v>
      </c>
      <c r="CN319" s="400" t="str">
        <f t="shared" si="25"/>
        <v>T+84</v>
      </c>
      <c r="CO319" s="400" t="str">
        <f t="shared" si="25"/>
        <v>T+85</v>
      </c>
      <c r="CP319" s="400" t="str">
        <f t="shared" si="25"/>
        <v>T+86</v>
      </c>
      <c r="CQ319" s="400" t="str">
        <f t="shared" si="25"/>
        <v>T+87</v>
      </c>
      <c r="CR319" s="400" t="str">
        <f t="shared" si="25"/>
        <v>T+88</v>
      </c>
      <c r="CS319" s="400" t="str">
        <f t="shared" si="25"/>
        <v>T+89</v>
      </c>
      <c r="CT319" s="400" t="str">
        <f t="shared" si="25"/>
        <v>T+90</v>
      </c>
      <c r="CU319" s="400" t="str">
        <f t="shared" si="25"/>
        <v>T+91</v>
      </c>
      <c r="CV319" s="400" t="str">
        <f t="shared" si="25"/>
        <v>T+92</v>
      </c>
      <c r="CW319" s="400" t="str">
        <f t="shared" si="25"/>
        <v>T+93</v>
      </c>
      <c r="CX319" s="400" t="str">
        <f t="shared" si="25"/>
        <v>T+94</v>
      </c>
      <c r="CY319" s="400" t="str">
        <f t="shared" si="25"/>
        <v>T+95</v>
      </c>
      <c r="CZ319" s="400" t="str">
        <f t="shared" si="25"/>
        <v>T+96</v>
      </c>
      <c r="DA319" s="400" t="str">
        <f t="shared" si="25"/>
        <v>T+97</v>
      </c>
      <c r="DB319" s="400" t="str">
        <f t="shared" si="25"/>
        <v>T+98</v>
      </c>
      <c r="DC319" s="400" t="str">
        <f t="shared" si="25"/>
        <v>T+99</v>
      </c>
      <c r="DD319" s="400" t="str">
        <f t="shared" si="25"/>
        <v>T+100</v>
      </c>
      <c r="DE319" s="400" t="str">
        <f t="shared" si="25"/>
        <v>T+101</v>
      </c>
      <c r="DF319" s="400" t="str">
        <f t="shared" si="25"/>
        <v>T+102</v>
      </c>
      <c r="DG319" s="400" t="str">
        <f t="shared" si="25"/>
        <v>T+103</v>
      </c>
      <c r="DH319" s="400" t="str">
        <f t="shared" si="25"/>
        <v>T+104</v>
      </c>
      <c r="DI319" s="400" t="str">
        <f t="shared" si="25"/>
        <v>T+105</v>
      </c>
      <c r="DJ319" s="400" t="str">
        <f t="shared" si="25"/>
        <v>T+106</v>
      </c>
      <c r="DK319" s="400" t="str">
        <f t="shared" si="25"/>
        <v>T+107</v>
      </c>
      <c r="DL319" s="400" t="str">
        <f t="shared" si="25"/>
        <v>T+108</v>
      </c>
      <c r="DM319" s="400" t="str">
        <f t="shared" si="25"/>
        <v>T+109</v>
      </c>
      <c r="DN319" s="400" t="str">
        <f t="shared" si="25"/>
        <v>T+110</v>
      </c>
      <c r="DO319" s="400" t="str">
        <f t="shared" si="25"/>
        <v>T+111</v>
      </c>
      <c r="DP319" s="400" t="str">
        <f t="shared" si="25"/>
        <v>T+112</v>
      </c>
      <c r="DQ319" s="400" t="str">
        <f t="shared" si="25"/>
        <v>T+113</v>
      </c>
      <c r="DR319" s="400" t="str">
        <f t="shared" si="25"/>
        <v>T+114</v>
      </c>
      <c r="DS319" s="400" t="str">
        <f t="shared" si="25"/>
        <v>T+115</v>
      </c>
      <c r="DT319" s="400" t="str">
        <f t="shared" si="25"/>
        <v>T+116</v>
      </c>
      <c r="DU319" s="400" t="str">
        <f t="shared" si="25"/>
        <v>T+117</v>
      </c>
      <c r="DV319" s="400" t="str">
        <f t="shared" si="25"/>
        <v>T+118</v>
      </c>
      <c r="DW319" s="400" t="str">
        <f t="shared" si="25"/>
        <v>T+119</v>
      </c>
      <c r="DX319" s="400" t="str">
        <f t="shared" si="25"/>
        <v>T+120</v>
      </c>
      <c r="DY319" s="400" t="str">
        <f t="shared" si="25"/>
        <v>T+121</v>
      </c>
      <c r="DZ319" s="400" t="str">
        <f t="shared" si="25"/>
        <v>T+122</v>
      </c>
      <c r="EA319" s="400" t="str">
        <f t="shared" si="25"/>
        <v>T+123</v>
      </c>
      <c r="EB319" s="400" t="str">
        <f t="shared" si="25"/>
        <v>T+124</v>
      </c>
      <c r="EC319" s="400" t="str">
        <f t="shared" si="25"/>
        <v>T+125</v>
      </c>
      <c r="ED319" s="400" t="str">
        <f t="shared" si="25"/>
        <v>T+126</v>
      </c>
      <c r="EE319" s="400" t="str">
        <f t="shared" si="25"/>
        <v>T+127</v>
      </c>
      <c r="EF319" s="400" t="str">
        <f t="shared" si="25"/>
        <v>T+128</v>
      </c>
      <c r="EG319" s="400" t="str">
        <f t="shared" ref="EG319:GR319" si="26">"T+" &amp; (COLUMN(EG319)-COLUMN($H319))</f>
        <v>T+129</v>
      </c>
      <c r="EH319" s="400" t="str">
        <f t="shared" si="26"/>
        <v>T+130</v>
      </c>
      <c r="EI319" s="400" t="str">
        <f t="shared" si="26"/>
        <v>T+131</v>
      </c>
      <c r="EJ319" s="400" t="str">
        <f t="shared" si="26"/>
        <v>T+132</v>
      </c>
      <c r="EK319" s="400" t="str">
        <f t="shared" si="26"/>
        <v>T+133</v>
      </c>
      <c r="EL319" s="400" t="str">
        <f t="shared" si="26"/>
        <v>T+134</v>
      </c>
      <c r="EM319" s="400" t="str">
        <f t="shared" si="26"/>
        <v>T+135</v>
      </c>
      <c r="EN319" s="400" t="str">
        <f t="shared" si="26"/>
        <v>T+136</v>
      </c>
      <c r="EO319" s="400" t="str">
        <f t="shared" si="26"/>
        <v>T+137</v>
      </c>
      <c r="EP319" s="400" t="str">
        <f t="shared" si="26"/>
        <v>T+138</v>
      </c>
      <c r="EQ319" s="400" t="str">
        <f t="shared" si="26"/>
        <v>T+139</v>
      </c>
      <c r="ER319" s="400" t="str">
        <f t="shared" si="26"/>
        <v>T+140</v>
      </c>
      <c r="ES319" s="400" t="str">
        <f t="shared" si="26"/>
        <v>T+141</v>
      </c>
      <c r="ET319" s="400" t="str">
        <f t="shared" si="26"/>
        <v>T+142</v>
      </c>
      <c r="EU319" s="400" t="str">
        <f t="shared" si="26"/>
        <v>T+143</v>
      </c>
      <c r="EV319" s="400" t="str">
        <f t="shared" si="26"/>
        <v>T+144</v>
      </c>
      <c r="EW319" s="400" t="str">
        <f t="shared" si="26"/>
        <v>T+145</v>
      </c>
      <c r="EX319" s="400" t="str">
        <f t="shared" si="26"/>
        <v>T+146</v>
      </c>
      <c r="EY319" s="400" t="str">
        <f t="shared" si="26"/>
        <v>T+147</v>
      </c>
      <c r="EZ319" s="400" t="str">
        <f t="shared" si="26"/>
        <v>T+148</v>
      </c>
      <c r="FA319" s="400" t="str">
        <f t="shared" si="26"/>
        <v>T+149</v>
      </c>
      <c r="FB319" s="400" t="str">
        <f t="shared" si="26"/>
        <v>T+150</v>
      </c>
      <c r="FC319" s="400" t="str">
        <f t="shared" si="26"/>
        <v>T+151</v>
      </c>
      <c r="FD319" s="400" t="str">
        <f t="shared" si="26"/>
        <v>T+152</v>
      </c>
      <c r="FE319" s="400" t="str">
        <f t="shared" si="26"/>
        <v>T+153</v>
      </c>
      <c r="FF319" s="400" t="str">
        <f t="shared" si="26"/>
        <v>T+154</v>
      </c>
      <c r="FG319" s="400" t="str">
        <f t="shared" si="26"/>
        <v>T+155</v>
      </c>
      <c r="FH319" s="400" t="str">
        <f t="shared" si="26"/>
        <v>T+156</v>
      </c>
      <c r="FI319" s="400" t="str">
        <f t="shared" si="26"/>
        <v>T+157</v>
      </c>
      <c r="FJ319" s="400" t="str">
        <f t="shared" si="26"/>
        <v>T+158</v>
      </c>
      <c r="FK319" s="400" t="str">
        <f t="shared" si="26"/>
        <v>T+159</v>
      </c>
      <c r="FL319" s="400" t="str">
        <f t="shared" si="26"/>
        <v>T+160</v>
      </c>
      <c r="FM319" s="400" t="str">
        <f t="shared" si="26"/>
        <v>T+161</v>
      </c>
      <c r="FN319" s="400" t="str">
        <f t="shared" si="26"/>
        <v>T+162</v>
      </c>
      <c r="FO319" s="400" t="str">
        <f t="shared" si="26"/>
        <v>T+163</v>
      </c>
      <c r="FP319" s="400" t="str">
        <f t="shared" si="26"/>
        <v>T+164</v>
      </c>
      <c r="FQ319" s="400" t="str">
        <f t="shared" si="26"/>
        <v>T+165</v>
      </c>
      <c r="FR319" s="400" t="str">
        <f t="shared" si="26"/>
        <v>T+166</v>
      </c>
      <c r="FS319" s="400" t="str">
        <f t="shared" si="26"/>
        <v>T+167</v>
      </c>
      <c r="FT319" s="400" t="str">
        <f t="shared" si="26"/>
        <v>T+168</v>
      </c>
      <c r="FU319" s="400" t="str">
        <f t="shared" si="26"/>
        <v>T+169</v>
      </c>
      <c r="FV319" s="400" t="str">
        <f t="shared" si="26"/>
        <v>T+170</v>
      </c>
      <c r="FW319" s="400" t="str">
        <f t="shared" si="26"/>
        <v>T+171</v>
      </c>
      <c r="FX319" s="400" t="str">
        <f t="shared" si="26"/>
        <v>T+172</v>
      </c>
      <c r="FY319" s="400" t="str">
        <f t="shared" si="26"/>
        <v>T+173</v>
      </c>
      <c r="FZ319" s="400" t="str">
        <f t="shared" si="26"/>
        <v>T+174</v>
      </c>
      <c r="GA319" s="400" t="str">
        <f t="shared" si="26"/>
        <v>T+175</v>
      </c>
      <c r="GB319" s="400" t="str">
        <f t="shared" si="26"/>
        <v>T+176</v>
      </c>
      <c r="GC319" s="400" t="str">
        <f t="shared" si="26"/>
        <v>T+177</v>
      </c>
      <c r="GD319" s="400" t="str">
        <f t="shared" si="26"/>
        <v>T+178</v>
      </c>
      <c r="GE319" s="400" t="str">
        <f t="shared" si="26"/>
        <v>T+179</v>
      </c>
      <c r="GF319" s="400" t="str">
        <f t="shared" si="26"/>
        <v>T+180</v>
      </c>
      <c r="GG319" s="400" t="str">
        <f t="shared" si="26"/>
        <v>T+181</v>
      </c>
      <c r="GH319" s="400" t="str">
        <f t="shared" si="26"/>
        <v>T+182</v>
      </c>
      <c r="GI319" s="400" t="str">
        <f t="shared" si="26"/>
        <v>T+183</v>
      </c>
      <c r="GJ319" s="400" t="str">
        <f t="shared" si="26"/>
        <v>T+184</v>
      </c>
      <c r="GK319" s="400" t="str">
        <f t="shared" si="26"/>
        <v>T+185</v>
      </c>
      <c r="GL319" s="400" t="str">
        <f t="shared" si="26"/>
        <v>T+186</v>
      </c>
      <c r="GM319" s="400" t="str">
        <f t="shared" si="26"/>
        <v>T+187</v>
      </c>
      <c r="GN319" s="400" t="str">
        <f t="shared" si="26"/>
        <v>T+188</v>
      </c>
      <c r="GO319" s="400" t="str">
        <f t="shared" si="26"/>
        <v>T+189</v>
      </c>
      <c r="GP319" s="400" t="str">
        <f t="shared" si="26"/>
        <v>T+190</v>
      </c>
      <c r="GQ319" s="400" t="str">
        <f t="shared" si="26"/>
        <v>T+191</v>
      </c>
      <c r="GR319" s="400" t="str">
        <f t="shared" si="26"/>
        <v>T+192</v>
      </c>
      <c r="GS319" s="400" t="str">
        <f t="shared" ref="GS319:JD319" si="27">"T+" &amp; (COLUMN(GS319)-COLUMN($H319))</f>
        <v>T+193</v>
      </c>
      <c r="GT319" s="400" t="str">
        <f t="shared" si="27"/>
        <v>T+194</v>
      </c>
      <c r="GU319" s="400" t="str">
        <f t="shared" si="27"/>
        <v>T+195</v>
      </c>
      <c r="GV319" s="400" t="str">
        <f t="shared" si="27"/>
        <v>T+196</v>
      </c>
      <c r="GW319" s="400" t="str">
        <f t="shared" si="27"/>
        <v>T+197</v>
      </c>
      <c r="GX319" s="400" t="str">
        <f t="shared" si="27"/>
        <v>T+198</v>
      </c>
      <c r="GY319" s="400" t="str">
        <f t="shared" si="27"/>
        <v>T+199</v>
      </c>
      <c r="GZ319" s="400" t="str">
        <f t="shared" si="27"/>
        <v>T+200</v>
      </c>
      <c r="HA319" s="400" t="str">
        <f t="shared" si="27"/>
        <v>T+201</v>
      </c>
      <c r="HB319" s="400" t="str">
        <f t="shared" si="27"/>
        <v>T+202</v>
      </c>
      <c r="HC319" s="400" t="str">
        <f t="shared" si="27"/>
        <v>T+203</v>
      </c>
      <c r="HD319" s="400" t="str">
        <f t="shared" si="27"/>
        <v>T+204</v>
      </c>
      <c r="HE319" s="400" t="str">
        <f t="shared" si="27"/>
        <v>T+205</v>
      </c>
      <c r="HF319" s="400" t="str">
        <f t="shared" si="27"/>
        <v>T+206</v>
      </c>
      <c r="HG319" s="400" t="str">
        <f t="shared" si="27"/>
        <v>T+207</v>
      </c>
      <c r="HH319" s="400" t="str">
        <f t="shared" si="27"/>
        <v>T+208</v>
      </c>
      <c r="HI319" s="400" t="str">
        <f t="shared" si="27"/>
        <v>T+209</v>
      </c>
      <c r="HJ319" s="400" t="str">
        <f t="shared" si="27"/>
        <v>T+210</v>
      </c>
      <c r="HK319" s="400" t="str">
        <f t="shared" si="27"/>
        <v>T+211</v>
      </c>
      <c r="HL319" s="400" t="str">
        <f t="shared" si="27"/>
        <v>T+212</v>
      </c>
      <c r="HM319" s="400" t="str">
        <f t="shared" si="27"/>
        <v>T+213</v>
      </c>
      <c r="HN319" s="400" t="str">
        <f t="shared" si="27"/>
        <v>T+214</v>
      </c>
      <c r="HO319" s="400" t="str">
        <f t="shared" si="27"/>
        <v>T+215</v>
      </c>
      <c r="HP319" s="400" t="str">
        <f t="shared" si="27"/>
        <v>T+216</v>
      </c>
      <c r="HQ319" s="400" t="str">
        <f t="shared" si="27"/>
        <v>T+217</v>
      </c>
      <c r="HR319" s="400" t="str">
        <f t="shared" si="27"/>
        <v>T+218</v>
      </c>
      <c r="HS319" s="400" t="str">
        <f t="shared" si="27"/>
        <v>T+219</v>
      </c>
      <c r="HT319" s="400" t="str">
        <f t="shared" si="27"/>
        <v>T+220</v>
      </c>
      <c r="HU319" s="400" t="str">
        <f t="shared" si="27"/>
        <v>T+221</v>
      </c>
      <c r="HV319" s="400" t="str">
        <f t="shared" si="27"/>
        <v>T+222</v>
      </c>
      <c r="HW319" s="400" t="str">
        <f t="shared" si="27"/>
        <v>T+223</v>
      </c>
      <c r="HX319" s="400" t="str">
        <f t="shared" si="27"/>
        <v>T+224</v>
      </c>
      <c r="HY319" s="400" t="str">
        <f t="shared" si="27"/>
        <v>T+225</v>
      </c>
      <c r="HZ319" s="400" t="str">
        <f t="shared" si="27"/>
        <v>T+226</v>
      </c>
      <c r="IA319" s="400" t="str">
        <f t="shared" si="27"/>
        <v>T+227</v>
      </c>
      <c r="IB319" s="400" t="str">
        <f t="shared" si="27"/>
        <v>T+228</v>
      </c>
      <c r="IC319" s="400" t="str">
        <f t="shared" si="27"/>
        <v>T+229</v>
      </c>
      <c r="ID319" s="400" t="str">
        <f t="shared" si="27"/>
        <v>T+230</v>
      </c>
      <c r="IE319" s="400" t="str">
        <f t="shared" si="27"/>
        <v>T+231</v>
      </c>
      <c r="IF319" s="400" t="str">
        <f t="shared" si="27"/>
        <v>T+232</v>
      </c>
      <c r="IG319" s="400" t="str">
        <f t="shared" si="27"/>
        <v>T+233</v>
      </c>
      <c r="IH319" s="400" t="str">
        <f t="shared" si="27"/>
        <v>T+234</v>
      </c>
      <c r="II319" s="400" t="str">
        <f t="shared" si="27"/>
        <v>T+235</v>
      </c>
      <c r="IJ319" s="400" t="str">
        <f t="shared" si="27"/>
        <v>T+236</v>
      </c>
      <c r="IK319" s="400" t="str">
        <f t="shared" si="27"/>
        <v>T+237</v>
      </c>
      <c r="IL319" s="400" t="str">
        <f t="shared" si="27"/>
        <v>T+238</v>
      </c>
      <c r="IM319" s="400" t="str">
        <f t="shared" si="27"/>
        <v>T+239</v>
      </c>
      <c r="IN319" s="400" t="str">
        <f t="shared" si="27"/>
        <v>T+240</v>
      </c>
      <c r="IO319" s="400" t="str">
        <f t="shared" si="27"/>
        <v>T+241</v>
      </c>
      <c r="IP319" s="400" t="str">
        <f t="shared" si="27"/>
        <v>T+242</v>
      </c>
      <c r="IQ319" s="400" t="str">
        <f t="shared" si="27"/>
        <v>T+243</v>
      </c>
      <c r="IR319" s="400" t="str">
        <f t="shared" si="27"/>
        <v>T+244</v>
      </c>
      <c r="IS319" s="400" t="str">
        <f t="shared" si="27"/>
        <v>T+245</v>
      </c>
      <c r="IT319" s="400" t="str">
        <f t="shared" si="27"/>
        <v>T+246</v>
      </c>
      <c r="IU319" s="400" t="str">
        <f t="shared" si="27"/>
        <v>T+247</v>
      </c>
      <c r="IV319" s="400" t="str">
        <f t="shared" si="27"/>
        <v>T+248</v>
      </c>
      <c r="IW319" s="400" t="str">
        <f t="shared" si="27"/>
        <v>T+249</v>
      </c>
      <c r="IX319" s="400" t="str">
        <f t="shared" si="27"/>
        <v>T+250</v>
      </c>
      <c r="IY319" s="400" t="str">
        <f t="shared" si="27"/>
        <v>T+251</v>
      </c>
      <c r="IZ319" s="400" t="str">
        <f t="shared" si="27"/>
        <v>T+252</v>
      </c>
      <c r="JA319" s="400" t="str">
        <f t="shared" si="27"/>
        <v>T+253</v>
      </c>
      <c r="JB319" s="400" t="str">
        <f t="shared" si="27"/>
        <v>T+254</v>
      </c>
      <c r="JC319" s="400" t="str">
        <f t="shared" si="27"/>
        <v>T+255</v>
      </c>
      <c r="JD319" s="400" t="str">
        <f t="shared" si="27"/>
        <v>T+256</v>
      </c>
      <c r="JE319" s="400" t="str">
        <f t="shared" ref="JE319:KB319" si="28">"T+" &amp; (COLUMN(JE319)-COLUMN($H319))</f>
        <v>T+257</v>
      </c>
      <c r="JF319" s="400" t="str">
        <f t="shared" si="28"/>
        <v>T+258</v>
      </c>
      <c r="JG319" s="400" t="str">
        <f t="shared" si="28"/>
        <v>T+259</v>
      </c>
      <c r="JH319" s="400" t="str">
        <f t="shared" si="28"/>
        <v>T+260</v>
      </c>
      <c r="JI319" s="400" t="str">
        <f t="shared" si="28"/>
        <v>T+261</v>
      </c>
      <c r="JJ319" s="400" t="str">
        <f t="shared" si="28"/>
        <v>T+262</v>
      </c>
      <c r="JK319" s="400" t="str">
        <f t="shared" si="28"/>
        <v>T+263</v>
      </c>
      <c r="JL319" s="400" t="str">
        <f t="shared" si="28"/>
        <v>T+264</v>
      </c>
      <c r="JM319" s="400" t="str">
        <f t="shared" si="28"/>
        <v>T+265</v>
      </c>
      <c r="JN319" s="400" t="str">
        <f t="shared" si="28"/>
        <v>T+266</v>
      </c>
      <c r="JO319" s="400" t="str">
        <f t="shared" si="28"/>
        <v>T+267</v>
      </c>
      <c r="JP319" s="400" t="str">
        <f t="shared" si="28"/>
        <v>T+268</v>
      </c>
      <c r="JQ319" s="400" t="str">
        <f t="shared" si="28"/>
        <v>T+269</v>
      </c>
      <c r="JR319" s="400" t="str">
        <f t="shared" si="28"/>
        <v>T+270</v>
      </c>
      <c r="JS319" s="400" t="str">
        <f t="shared" si="28"/>
        <v>T+271</v>
      </c>
      <c r="JT319" s="400" t="str">
        <f t="shared" si="28"/>
        <v>T+272</v>
      </c>
      <c r="JU319" s="400" t="str">
        <f t="shared" si="28"/>
        <v>T+273</v>
      </c>
      <c r="JV319" s="400" t="str">
        <f t="shared" si="28"/>
        <v>T+274</v>
      </c>
      <c r="JW319" s="400" t="str">
        <f t="shared" si="28"/>
        <v>T+275</v>
      </c>
      <c r="JX319" s="400" t="str">
        <f t="shared" si="28"/>
        <v>T+276</v>
      </c>
      <c r="JY319" s="400" t="str">
        <f t="shared" si="28"/>
        <v>T+277</v>
      </c>
      <c r="JZ319" s="400" t="str">
        <f t="shared" si="28"/>
        <v>T+278</v>
      </c>
      <c r="KA319" s="400" t="str">
        <f t="shared" si="28"/>
        <v>T+279</v>
      </c>
      <c r="KB319" s="1585" t="str">
        <f t="shared" si="28"/>
        <v>T+280</v>
      </c>
    </row>
    <row r="320" spans="1:289" ht="15" customHeight="1" x14ac:dyDescent="0.25">
      <c r="B320" s="447" t="str">
        <f t="shared" ref="B320:B383" si="29">B11</f>
        <v>Desk 1</v>
      </c>
      <c r="C320" s="448" t="str">
        <f t="array" ref="C320:D419" xml:space="preserve"> IF(ISBLANK(TB!C$170:'TB'!D$269), "", TB!C$170:'TB'!D$269)</f>
        <v/>
      </c>
      <c r="D320" s="448" t="str">
        <v/>
      </c>
      <c r="E320" s="448" t="str">
        <f t="array" ref="E320:E419" xml:space="preserve"> IF(ISBLANK(TB!G$170:'TB'!G$269), "", TB!G$170:'TB'!G$269)</f>
        <v/>
      </c>
      <c r="F320" s="448" t="str">
        <f t="array" ref="F320:F419" xml:space="preserve"> IF(ISBLANK(TB!I$170:'TB'!I$269), "", TB!I$170:'TB'!I$269)</f>
        <v/>
      </c>
      <c r="G320" s="402" t="str">
        <f t="array" ref="G320:G419" xml:space="preserve"> IF(ISBLANK(TB!J$170:'TB'!J$269), "", TB!J$170:'TB'!J$269)</f>
        <v/>
      </c>
      <c r="H320" s="1593"/>
      <c r="I320" s="1593"/>
      <c r="J320" s="1593"/>
      <c r="K320" s="1593"/>
      <c r="L320" s="1593"/>
      <c r="M320" s="1593"/>
      <c r="N320" s="1593"/>
      <c r="O320" s="1593"/>
      <c r="P320" s="1593"/>
      <c r="Q320" s="1593"/>
      <c r="R320" s="1593"/>
      <c r="S320" s="1593"/>
      <c r="T320" s="1593"/>
      <c r="U320" s="1593"/>
      <c r="V320" s="1593"/>
      <c r="W320" s="1593"/>
      <c r="X320" s="1593"/>
      <c r="Y320" s="1593"/>
      <c r="Z320" s="1593"/>
      <c r="AA320" s="1593"/>
      <c r="AB320" s="1593"/>
      <c r="AC320" s="1593"/>
      <c r="AD320" s="1593"/>
      <c r="AE320" s="1593"/>
      <c r="AF320" s="1593"/>
      <c r="AG320" s="1593"/>
      <c r="AH320" s="1593"/>
      <c r="AI320" s="1593"/>
      <c r="AJ320" s="1593"/>
      <c r="AK320" s="1593"/>
      <c r="AL320" s="1593"/>
      <c r="AM320" s="1593"/>
      <c r="AN320" s="1593"/>
      <c r="AO320" s="1593"/>
      <c r="AP320" s="1593"/>
      <c r="AQ320" s="1593"/>
      <c r="AR320" s="1593"/>
      <c r="AS320" s="1593"/>
      <c r="AT320" s="1593"/>
      <c r="AU320" s="1593"/>
      <c r="AV320" s="1593"/>
      <c r="AW320" s="1593"/>
      <c r="AX320" s="1593"/>
      <c r="AY320" s="1593"/>
      <c r="AZ320" s="1593"/>
      <c r="BA320" s="1593"/>
      <c r="BB320" s="1593"/>
      <c r="BC320" s="1593"/>
      <c r="BD320" s="1593"/>
      <c r="BE320" s="1593"/>
      <c r="BF320" s="1593"/>
      <c r="BG320" s="1593"/>
      <c r="BH320" s="1593"/>
      <c r="BI320" s="1593"/>
      <c r="BJ320" s="1593"/>
      <c r="BK320" s="1593"/>
      <c r="BL320" s="1593"/>
      <c r="BM320" s="1593"/>
      <c r="BN320" s="1593"/>
      <c r="BO320" s="1593"/>
      <c r="BP320" s="1593"/>
      <c r="BQ320" s="1593"/>
      <c r="BR320" s="1593"/>
      <c r="BS320" s="1593"/>
      <c r="BT320" s="1593"/>
      <c r="BU320" s="1593"/>
      <c r="BV320" s="1593"/>
      <c r="BW320" s="1593"/>
      <c r="BX320" s="1593"/>
      <c r="BY320" s="1593"/>
      <c r="BZ320" s="1593"/>
      <c r="CA320" s="1593"/>
      <c r="CB320" s="1593"/>
      <c r="CC320" s="1593"/>
      <c r="CD320" s="1593"/>
      <c r="CE320" s="1593"/>
      <c r="CF320" s="1593"/>
      <c r="CG320" s="1593"/>
      <c r="CH320" s="1593"/>
      <c r="CI320" s="1593"/>
      <c r="CJ320" s="1593"/>
      <c r="CK320" s="1593"/>
      <c r="CL320" s="1593"/>
      <c r="CM320" s="1593"/>
      <c r="CN320" s="1593"/>
      <c r="CO320" s="1593"/>
      <c r="CP320" s="1593"/>
      <c r="CQ320" s="1593"/>
      <c r="CR320" s="1593"/>
      <c r="CS320" s="1593"/>
      <c r="CT320" s="1593"/>
      <c r="CU320" s="1593"/>
      <c r="CV320" s="1593"/>
      <c r="CW320" s="1593"/>
      <c r="CX320" s="1593"/>
      <c r="CY320" s="1593"/>
      <c r="CZ320" s="1593"/>
      <c r="DA320" s="1593"/>
      <c r="DB320" s="1593"/>
      <c r="DC320" s="1593"/>
      <c r="DD320" s="1593"/>
      <c r="DE320" s="1593"/>
      <c r="DF320" s="1593"/>
      <c r="DG320" s="1593"/>
      <c r="DH320" s="1593"/>
      <c r="DI320" s="1593"/>
      <c r="DJ320" s="1593"/>
      <c r="DK320" s="1593"/>
      <c r="DL320" s="1593"/>
      <c r="DM320" s="1593"/>
      <c r="DN320" s="1593"/>
      <c r="DO320" s="1593"/>
      <c r="DP320" s="1593"/>
      <c r="DQ320" s="1593"/>
      <c r="DR320" s="1593"/>
      <c r="DS320" s="1593"/>
      <c r="DT320" s="1593"/>
      <c r="DU320" s="1593"/>
      <c r="DV320" s="1593"/>
      <c r="DW320" s="1593"/>
      <c r="DX320" s="1593"/>
      <c r="DY320" s="1593"/>
      <c r="DZ320" s="1593"/>
      <c r="EA320" s="1593"/>
      <c r="EB320" s="1593"/>
      <c r="EC320" s="1593"/>
      <c r="ED320" s="1593"/>
      <c r="EE320" s="1593"/>
      <c r="EF320" s="1593"/>
      <c r="EG320" s="1593"/>
      <c r="EH320" s="1593"/>
      <c r="EI320" s="1593"/>
      <c r="EJ320" s="1593"/>
      <c r="EK320" s="1593"/>
      <c r="EL320" s="1593"/>
      <c r="EM320" s="1593"/>
      <c r="EN320" s="1593"/>
      <c r="EO320" s="1593"/>
      <c r="EP320" s="1593"/>
      <c r="EQ320" s="1593"/>
      <c r="ER320" s="1593"/>
      <c r="ES320" s="1593"/>
      <c r="ET320" s="1593"/>
      <c r="EU320" s="1593"/>
      <c r="EV320" s="1593"/>
      <c r="EW320" s="1593"/>
      <c r="EX320" s="1593"/>
      <c r="EY320" s="1593"/>
      <c r="EZ320" s="1593"/>
      <c r="FA320" s="1593"/>
      <c r="FB320" s="1593"/>
      <c r="FC320" s="1593"/>
      <c r="FD320" s="1593"/>
      <c r="FE320" s="1593"/>
      <c r="FF320" s="1593"/>
      <c r="FG320" s="1593"/>
      <c r="FH320" s="1593"/>
      <c r="FI320" s="1593"/>
      <c r="FJ320" s="1593"/>
      <c r="FK320" s="1593"/>
      <c r="FL320" s="1593"/>
      <c r="FM320" s="1593"/>
      <c r="FN320" s="1593"/>
      <c r="FO320" s="1593"/>
      <c r="FP320" s="1593"/>
      <c r="FQ320" s="1593"/>
      <c r="FR320" s="1593"/>
      <c r="FS320" s="1593"/>
      <c r="FT320" s="1593"/>
      <c r="FU320" s="1593"/>
      <c r="FV320" s="1593"/>
      <c r="FW320" s="1593"/>
      <c r="FX320" s="1593"/>
      <c r="FY320" s="1593"/>
      <c r="FZ320" s="1593"/>
      <c r="GA320" s="1593"/>
      <c r="GB320" s="1593"/>
      <c r="GC320" s="1593"/>
      <c r="GD320" s="1593"/>
      <c r="GE320" s="1593"/>
      <c r="GF320" s="1593"/>
      <c r="GG320" s="1593"/>
      <c r="GH320" s="1593"/>
      <c r="GI320" s="1593"/>
      <c r="GJ320" s="1593"/>
      <c r="GK320" s="1593"/>
      <c r="GL320" s="1593"/>
      <c r="GM320" s="1593"/>
      <c r="GN320" s="1593"/>
      <c r="GO320" s="1593"/>
      <c r="GP320" s="1593"/>
      <c r="GQ320" s="1593"/>
      <c r="GR320" s="1593"/>
      <c r="GS320" s="1593"/>
      <c r="GT320" s="1593"/>
      <c r="GU320" s="1593"/>
      <c r="GV320" s="1593"/>
      <c r="GW320" s="1593"/>
      <c r="GX320" s="1593"/>
      <c r="GY320" s="1593"/>
      <c r="GZ320" s="1593"/>
      <c r="HA320" s="1593"/>
      <c r="HB320" s="1593"/>
      <c r="HC320" s="1593"/>
      <c r="HD320" s="1593"/>
      <c r="HE320" s="1593"/>
      <c r="HF320" s="1593"/>
      <c r="HG320" s="1593"/>
      <c r="HH320" s="1593"/>
      <c r="HI320" s="1593"/>
      <c r="HJ320" s="1593"/>
      <c r="HK320" s="1593"/>
      <c r="HL320" s="1593"/>
      <c r="HM320" s="1593"/>
      <c r="HN320" s="1593"/>
      <c r="HO320" s="1593"/>
      <c r="HP320" s="1593"/>
      <c r="HQ320" s="1593"/>
      <c r="HR320" s="1593"/>
      <c r="HS320" s="1593"/>
      <c r="HT320" s="1593"/>
      <c r="HU320" s="1593"/>
      <c r="HV320" s="1593"/>
      <c r="HW320" s="1593"/>
      <c r="HX320" s="1593"/>
      <c r="HY320" s="1593"/>
      <c r="HZ320" s="1593"/>
      <c r="IA320" s="1593"/>
      <c r="IB320" s="1593"/>
      <c r="IC320" s="1593"/>
      <c r="ID320" s="1593"/>
      <c r="IE320" s="1593"/>
      <c r="IF320" s="1593"/>
      <c r="IG320" s="1593"/>
      <c r="IH320" s="1593"/>
      <c r="II320" s="1593"/>
      <c r="IJ320" s="1593"/>
      <c r="IK320" s="1593"/>
      <c r="IL320" s="1593"/>
      <c r="IM320" s="1593"/>
      <c r="IN320" s="1593"/>
      <c r="IO320" s="1593"/>
      <c r="IP320" s="1593"/>
      <c r="IQ320" s="1593"/>
      <c r="IR320" s="1593"/>
      <c r="IS320" s="1593"/>
      <c r="IT320" s="1593"/>
      <c r="IU320" s="1593"/>
      <c r="IV320" s="1593"/>
      <c r="IW320" s="1593"/>
      <c r="IX320" s="1593"/>
      <c r="IY320" s="1593"/>
      <c r="IZ320" s="1593"/>
      <c r="JA320" s="1593"/>
      <c r="JB320" s="1593"/>
      <c r="JC320" s="1593"/>
      <c r="JD320" s="1593"/>
      <c r="JE320" s="1593"/>
      <c r="JF320" s="1593"/>
      <c r="JG320" s="1593"/>
      <c r="JH320" s="1593"/>
      <c r="JI320" s="1593"/>
      <c r="JJ320" s="1593"/>
      <c r="JK320" s="1593"/>
      <c r="JL320" s="1593"/>
      <c r="JM320" s="1593"/>
      <c r="JN320" s="1593"/>
      <c r="JO320" s="1593"/>
      <c r="JP320" s="1593"/>
      <c r="JQ320" s="1593"/>
      <c r="JR320" s="1593"/>
      <c r="JS320" s="1593"/>
      <c r="JT320" s="1593"/>
      <c r="JU320" s="1593"/>
      <c r="JV320" s="1593"/>
      <c r="JW320" s="1593"/>
      <c r="JX320" s="1593"/>
      <c r="JY320" s="1593"/>
      <c r="JZ320" s="1593"/>
      <c r="KA320" s="1593"/>
      <c r="KB320" s="1598"/>
    </row>
    <row r="321" spans="2:288" ht="15" customHeight="1" x14ac:dyDescent="0.25">
      <c r="B321" s="216" t="str">
        <f t="shared" si="29"/>
        <v>Desk 2</v>
      </c>
      <c r="C321" s="218" t="str">
        <v/>
      </c>
      <c r="D321" s="218" t="str">
        <v/>
      </c>
      <c r="E321" s="218" t="str">
        <v/>
      </c>
      <c r="F321" s="218" t="str">
        <v/>
      </c>
      <c r="G321" s="402" t="str">
        <v/>
      </c>
      <c r="H321" s="1593"/>
      <c r="I321" s="1593"/>
      <c r="J321" s="1593"/>
      <c r="K321" s="1593"/>
      <c r="L321" s="1593"/>
      <c r="M321" s="1593"/>
      <c r="N321" s="1593"/>
      <c r="O321" s="1593"/>
      <c r="P321" s="1593"/>
      <c r="Q321" s="1593"/>
      <c r="R321" s="1593"/>
      <c r="S321" s="1593"/>
      <c r="T321" s="1593"/>
      <c r="U321" s="1593"/>
      <c r="V321" s="1593"/>
      <c r="W321" s="1593"/>
      <c r="X321" s="1593"/>
      <c r="Y321" s="1593"/>
      <c r="Z321" s="1593"/>
      <c r="AA321" s="1593"/>
      <c r="AB321" s="1593"/>
      <c r="AC321" s="1593"/>
      <c r="AD321" s="1593"/>
      <c r="AE321" s="1593"/>
      <c r="AF321" s="1593"/>
      <c r="AG321" s="1593"/>
      <c r="AH321" s="1593"/>
      <c r="AI321" s="1593"/>
      <c r="AJ321" s="1593"/>
      <c r="AK321" s="1593"/>
      <c r="AL321" s="1593"/>
      <c r="AM321" s="1593"/>
      <c r="AN321" s="1593"/>
      <c r="AO321" s="1593"/>
      <c r="AP321" s="1593"/>
      <c r="AQ321" s="1593"/>
      <c r="AR321" s="1593"/>
      <c r="AS321" s="1593"/>
      <c r="AT321" s="1593"/>
      <c r="AU321" s="1593"/>
      <c r="AV321" s="1593"/>
      <c r="AW321" s="1593"/>
      <c r="AX321" s="1593"/>
      <c r="AY321" s="1593"/>
      <c r="AZ321" s="1593"/>
      <c r="BA321" s="1593"/>
      <c r="BB321" s="1593"/>
      <c r="BC321" s="1593"/>
      <c r="BD321" s="1593"/>
      <c r="BE321" s="1593"/>
      <c r="BF321" s="1593"/>
      <c r="BG321" s="1593"/>
      <c r="BH321" s="1593"/>
      <c r="BI321" s="1593"/>
      <c r="BJ321" s="1593"/>
      <c r="BK321" s="1593"/>
      <c r="BL321" s="1593"/>
      <c r="BM321" s="1593"/>
      <c r="BN321" s="1593"/>
      <c r="BO321" s="1593"/>
      <c r="BP321" s="1593"/>
      <c r="BQ321" s="1593"/>
      <c r="BR321" s="1593"/>
      <c r="BS321" s="1593"/>
      <c r="BT321" s="1593"/>
      <c r="BU321" s="1593"/>
      <c r="BV321" s="1593"/>
      <c r="BW321" s="1593"/>
      <c r="BX321" s="1593"/>
      <c r="BY321" s="1593"/>
      <c r="BZ321" s="1593"/>
      <c r="CA321" s="1593"/>
      <c r="CB321" s="1593"/>
      <c r="CC321" s="1593"/>
      <c r="CD321" s="1593"/>
      <c r="CE321" s="1593"/>
      <c r="CF321" s="1593"/>
      <c r="CG321" s="1593"/>
      <c r="CH321" s="1593"/>
      <c r="CI321" s="1593"/>
      <c r="CJ321" s="1593"/>
      <c r="CK321" s="1593"/>
      <c r="CL321" s="1593"/>
      <c r="CM321" s="1593"/>
      <c r="CN321" s="1593"/>
      <c r="CO321" s="1593"/>
      <c r="CP321" s="1593"/>
      <c r="CQ321" s="1593"/>
      <c r="CR321" s="1593"/>
      <c r="CS321" s="1593"/>
      <c r="CT321" s="1593"/>
      <c r="CU321" s="1593"/>
      <c r="CV321" s="1593"/>
      <c r="CW321" s="1593"/>
      <c r="CX321" s="1593"/>
      <c r="CY321" s="1593"/>
      <c r="CZ321" s="1593"/>
      <c r="DA321" s="1593"/>
      <c r="DB321" s="1593"/>
      <c r="DC321" s="1593"/>
      <c r="DD321" s="1593"/>
      <c r="DE321" s="1593"/>
      <c r="DF321" s="1593"/>
      <c r="DG321" s="1593"/>
      <c r="DH321" s="1593"/>
      <c r="DI321" s="1593"/>
      <c r="DJ321" s="1593"/>
      <c r="DK321" s="1593"/>
      <c r="DL321" s="1593"/>
      <c r="DM321" s="1593"/>
      <c r="DN321" s="1593"/>
      <c r="DO321" s="1593"/>
      <c r="DP321" s="1593"/>
      <c r="DQ321" s="1593"/>
      <c r="DR321" s="1593"/>
      <c r="DS321" s="1593"/>
      <c r="DT321" s="1593"/>
      <c r="DU321" s="1593"/>
      <c r="DV321" s="1593"/>
      <c r="DW321" s="1593"/>
      <c r="DX321" s="1593"/>
      <c r="DY321" s="1593"/>
      <c r="DZ321" s="1593"/>
      <c r="EA321" s="1593"/>
      <c r="EB321" s="1593"/>
      <c r="EC321" s="1593"/>
      <c r="ED321" s="1593"/>
      <c r="EE321" s="1593"/>
      <c r="EF321" s="1593"/>
      <c r="EG321" s="1593"/>
      <c r="EH321" s="1593"/>
      <c r="EI321" s="1593"/>
      <c r="EJ321" s="1593"/>
      <c r="EK321" s="1593"/>
      <c r="EL321" s="1593"/>
      <c r="EM321" s="1593"/>
      <c r="EN321" s="1593"/>
      <c r="EO321" s="1593"/>
      <c r="EP321" s="1593"/>
      <c r="EQ321" s="1593"/>
      <c r="ER321" s="1593"/>
      <c r="ES321" s="1593"/>
      <c r="ET321" s="1593"/>
      <c r="EU321" s="1593"/>
      <c r="EV321" s="1593"/>
      <c r="EW321" s="1593"/>
      <c r="EX321" s="1593"/>
      <c r="EY321" s="1593"/>
      <c r="EZ321" s="1593"/>
      <c r="FA321" s="1593"/>
      <c r="FB321" s="1593"/>
      <c r="FC321" s="1593"/>
      <c r="FD321" s="1593"/>
      <c r="FE321" s="1593"/>
      <c r="FF321" s="1593"/>
      <c r="FG321" s="1593"/>
      <c r="FH321" s="1593"/>
      <c r="FI321" s="1593"/>
      <c r="FJ321" s="1593"/>
      <c r="FK321" s="1593"/>
      <c r="FL321" s="1593"/>
      <c r="FM321" s="1593"/>
      <c r="FN321" s="1593"/>
      <c r="FO321" s="1593"/>
      <c r="FP321" s="1593"/>
      <c r="FQ321" s="1593"/>
      <c r="FR321" s="1593"/>
      <c r="FS321" s="1593"/>
      <c r="FT321" s="1593"/>
      <c r="FU321" s="1593"/>
      <c r="FV321" s="1593"/>
      <c r="FW321" s="1593"/>
      <c r="FX321" s="1593"/>
      <c r="FY321" s="1593"/>
      <c r="FZ321" s="1593"/>
      <c r="GA321" s="1593"/>
      <c r="GB321" s="1593"/>
      <c r="GC321" s="1593"/>
      <c r="GD321" s="1593"/>
      <c r="GE321" s="1593"/>
      <c r="GF321" s="1593"/>
      <c r="GG321" s="1593"/>
      <c r="GH321" s="1593"/>
      <c r="GI321" s="1593"/>
      <c r="GJ321" s="1593"/>
      <c r="GK321" s="1593"/>
      <c r="GL321" s="1593"/>
      <c r="GM321" s="1593"/>
      <c r="GN321" s="1593"/>
      <c r="GO321" s="1593"/>
      <c r="GP321" s="1593"/>
      <c r="GQ321" s="1593"/>
      <c r="GR321" s="1593"/>
      <c r="GS321" s="1593"/>
      <c r="GT321" s="1593"/>
      <c r="GU321" s="1593"/>
      <c r="GV321" s="1593"/>
      <c r="GW321" s="1593"/>
      <c r="GX321" s="1593"/>
      <c r="GY321" s="1593"/>
      <c r="GZ321" s="1593"/>
      <c r="HA321" s="1593"/>
      <c r="HB321" s="1593"/>
      <c r="HC321" s="1593"/>
      <c r="HD321" s="1593"/>
      <c r="HE321" s="1593"/>
      <c r="HF321" s="1593"/>
      <c r="HG321" s="1593"/>
      <c r="HH321" s="1593"/>
      <c r="HI321" s="1593"/>
      <c r="HJ321" s="1593"/>
      <c r="HK321" s="1593"/>
      <c r="HL321" s="1593"/>
      <c r="HM321" s="1593"/>
      <c r="HN321" s="1593"/>
      <c r="HO321" s="1593"/>
      <c r="HP321" s="1593"/>
      <c r="HQ321" s="1593"/>
      <c r="HR321" s="1593"/>
      <c r="HS321" s="1593"/>
      <c r="HT321" s="1593"/>
      <c r="HU321" s="1593"/>
      <c r="HV321" s="1593"/>
      <c r="HW321" s="1593"/>
      <c r="HX321" s="1593"/>
      <c r="HY321" s="1593"/>
      <c r="HZ321" s="1593"/>
      <c r="IA321" s="1593"/>
      <c r="IB321" s="1593"/>
      <c r="IC321" s="1593"/>
      <c r="ID321" s="1593"/>
      <c r="IE321" s="1593"/>
      <c r="IF321" s="1593"/>
      <c r="IG321" s="1593"/>
      <c r="IH321" s="1593"/>
      <c r="II321" s="1593"/>
      <c r="IJ321" s="1593"/>
      <c r="IK321" s="1593"/>
      <c r="IL321" s="1593"/>
      <c r="IM321" s="1593"/>
      <c r="IN321" s="1593"/>
      <c r="IO321" s="1593"/>
      <c r="IP321" s="1593"/>
      <c r="IQ321" s="1593"/>
      <c r="IR321" s="1593"/>
      <c r="IS321" s="1593"/>
      <c r="IT321" s="1593"/>
      <c r="IU321" s="1593"/>
      <c r="IV321" s="1593"/>
      <c r="IW321" s="1593"/>
      <c r="IX321" s="1593"/>
      <c r="IY321" s="1593"/>
      <c r="IZ321" s="1593"/>
      <c r="JA321" s="1593"/>
      <c r="JB321" s="1593"/>
      <c r="JC321" s="1593"/>
      <c r="JD321" s="1593"/>
      <c r="JE321" s="1593"/>
      <c r="JF321" s="1593"/>
      <c r="JG321" s="1593"/>
      <c r="JH321" s="1593"/>
      <c r="JI321" s="1593"/>
      <c r="JJ321" s="1593"/>
      <c r="JK321" s="1593"/>
      <c r="JL321" s="1593"/>
      <c r="JM321" s="1593"/>
      <c r="JN321" s="1593"/>
      <c r="JO321" s="1593"/>
      <c r="JP321" s="1593"/>
      <c r="JQ321" s="1593"/>
      <c r="JR321" s="1593"/>
      <c r="JS321" s="1593"/>
      <c r="JT321" s="1593"/>
      <c r="JU321" s="1593"/>
      <c r="JV321" s="1593"/>
      <c r="JW321" s="1593"/>
      <c r="JX321" s="1593"/>
      <c r="JY321" s="1593"/>
      <c r="JZ321" s="1593"/>
      <c r="KA321" s="1593"/>
      <c r="KB321" s="1598"/>
    </row>
    <row r="322" spans="2:288" ht="15" customHeight="1" x14ac:dyDescent="0.25">
      <c r="B322" s="216" t="str">
        <f t="shared" si="29"/>
        <v>Desk 3</v>
      </c>
      <c r="C322" s="218" t="str">
        <v/>
      </c>
      <c r="D322" s="218" t="str">
        <v/>
      </c>
      <c r="E322" s="218" t="str">
        <v/>
      </c>
      <c r="F322" s="218" t="str">
        <v/>
      </c>
      <c r="G322" s="402" t="str">
        <v/>
      </c>
      <c r="H322" s="1593"/>
      <c r="I322" s="1593"/>
      <c r="J322" s="1593"/>
      <c r="K322" s="1593"/>
      <c r="L322" s="1593"/>
      <c r="M322" s="1593"/>
      <c r="N322" s="1593"/>
      <c r="O322" s="1593"/>
      <c r="P322" s="1593"/>
      <c r="Q322" s="1593"/>
      <c r="R322" s="1593"/>
      <c r="S322" s="1593"/>
      <c r="T322" s="1593"/>
      <c r="U322" s="1593"/>
      <c r="V322" s="1593"/>
      <c r="W322" s="1593"/>
      <c r="X322" s="1593"/>
      <c r="Y322" s="1593"/>
      <c r="Z322" s="1593"/>
      <c r="AA322" s="1593"/>
      <c r="AB322" s="1593"/>
      <c r="AC322" s="1593"/>
      <c r="AD322" s="1593"/>
      <c r="AE322" s="1593"/>
      <c r="AF322" s="1593"/>
      <c r="AG322" s="1593"/>
      <c r="AH322" s="1593"/>
      <c r="AI322" s="1593"/>
      <c r="AJ322" s="1593"/>
      <c r="AK322" s="1593"/>
      <c r="AL322" s="1593"/>
      <c r="AM322" s="1593"/>
      <c r="AN322" s="1593"/>
      <c r="AO322" s="1593"/>
      <c r="AP322" s="1593"/>
      <c r="AQ322" s="1593"/>
      <c r="AR322" s="1593"/>
      <c r="AS322" s="1593"/>
      <c r="AT322" s="1593"/>
      <c r="AU322" s="1593"/>
      <c r="AV322" s="1593"/>
      <c r="AW322" s="1593"/>
      <c r="AX322" s="1593"/>
      <c r="AY322" s="1593"/>
      <c r="AZ322" s="1593"/>
      <c r="BA322" s="1593"/>
      <c r="BB322" s="1593"/>
      <c r="BC322" s="1593"/>
      <c r="BD322" s="1593"/>
      <c r="BE322" s="1593"/>
      <c r="BF322" s="1593"/>
      <c r="BG322" s="1593"/>
      <c r="BH322" s="1593"/>
      <c r="BI322" s="1593"/>
      <c r="BJ322" s="1593"/>
      <c r="BK322" s="1593"/>
      <c r="BL322" s="1593"/>
      <c r="BM322" s="1593"/>
      <c r="BN322" s="1593"/>
      <c r="BO322" s="1593"/>
      <c r="BP322" s="1593"/>
      <c r="BQ322" s="1593"/>
      <c r="BR322" s="1593"/>
      <c r="BS322" s="1593"/>
      <c r="BT322" s="1593"/>
      <c r="BU322" s="1593"/>
      <c r="BV322" s="1593"/>
      <c r="BW322" s="1593"/>
      <c r="BX322" s="1593"/>
      <c r="BY322" s="1593"/>
      <c r="BZ322" s="1593"/>
      <c r="CA322" s="1593"/>
      <c r="CB322" s="1593"/>
      <c r="CC322" s="1593"/>
      <c r="CD322" s="1593"/>
      <c r="CE322" s="1593"/>
      <c r="CF322" s="1593"/>
      <c r="CG322" s="1593"/>
      <c r="CH322" s="1593"/>
      <c r="CI322" s="1593"/>
      <c r="CJ322" s="1593"/>
      <c r="CK322" s="1593"/>
      <c r="CL322" s="1593"/>
      <c r="CM322" s="1593"/>
      <c r="CN322" s="1593"/>
      <c r="CO322" s="1593"/>
      <c r="CP322" s="1593"/>
      <c r="CQ322" s="1593"/>
      <c r="CR322" s="1593"/>
      <c r="CS322" s="1593"/>
      <c r="CT322" s="1593"/>
      <c r="CU322" s="1593"/>
      <c r="CV322" s="1593"/>
      <c r="CW322" s="1593"/>
      <c r="CX322" s="1593"/>
      <c r="CY322" s="1593"/>
      <c r="CZ322" s="1593"/>
      <c r="DA322" s="1593"/>
      <c r="DB322" s="1593"/>
      <c r="DC322" s="1593"/>
      <c r="DD322" s="1593"/>
      <c r="DE322" s="1593"/>
      <c r="DF322" s="1593"/>
      <c r="DG322" s="1593"/>
      <c r="DH322" s="1593"/>
      <c r="DI322" s="1593"/>
      <c r="DJ322" s="1593"/>
      <c r="DK322" s="1593"/>
      <c r="DL322" s="1593"/>
      <c r="DM322" s="1593"/>
      <c r="DN322" s="1593"/>
      <c r="DO322" s="1593"/>
      <c r="DP322" s="1593"/>
      <c r="DQ322" s="1593"/>
      <c r="DR322" s="1593"/>
      <c r="DS322" s="1593"/>
      <c r="DT322" s="1593"/>
      <c r="DU322" s="1593"/>
      <c r="DV322" s="1593"/>
      <c r="DW322" s="1593"/>
      <c r="DX322" s="1593"/>
      <c r="DY322" s="1593"/>
      <c r="DZ322" s="1593"/>
      <c r="EA322" s="1593"/>
      <c r="EB322" s="1593"/>
      <c r="EC322" s="1593"/>
      <c r="ED322" s="1593"/>
      <c r="EE322" s="1593"/>
      <c r="EF322" s="1593"/>
      <c r="EG322" s="1593"/>
      <c r="EH322" s="1593"/>
      <c r="EI322" s="1593"/>
      <c r="EJ322" s="1593"/>
      <c r="EK322" s="1593"/>
      <c r="EL322" s="1593"/>
      <c r="EM322" s="1593"/>
      <c r="EN322" s="1593"/>
      <c r="EO322" s="1593"/>
      <c r="EP322" s="1593"/>
      <c r="EQ322" s="1593"/>
      <c r="ER322" s="1593"/>
      <c r="ES322" s="1593"/>
      <c r="ET322" s="1593"/>
      <c r="EU322" s="1593"/>
      <c r="EV322" s="1593"/>
      <c r="EW322" s="1593"/>
      <c r="EX322" s="1593"/>
      <c r="EY322" s="1593"/>
      <c r="EZ322" s="1593"/>
      <c r="FA322" s="1593"/>
      <c r="FB322" s="1593"/>
      <c r="FC322" s="1593"/>
      <c r="FD322" s="1593"/>
      <c r="FE322" s="1593"/>
      <c r="FF322" s="1593"/>
      <c r="FG322" s="1593"/>
      <c r="FH322" s="1593"/>
      <c r="FI322" s="1593"/>
      <c r="FJ322" s="1593"/>
      <c r="FK322" s="1593"/>
      <c r="FL322" s="1593"/>
      <c r="FM322" s="1593"/>
      <c r="FN322" s="1593"/>
      <c r="FO322" s="1593"/>
      <c r="FP322" s="1593"/>
      <c r="FQ322" s="1593"/>
      <c r="FR322" s="1593"/>
      <c r="FS322" s="1593"/>
      <c r="FT322" s="1593"/>
      <c r="FU322" s="1593"/>
      <c r="FV322" s="1593"/>
      <c r="FW322" s="1593"/>
      <c r="FX322" s="1593"/>
      <c r="FY322" s="1593"/>
      <c r="FZ322" s="1593"/>
      <c r="GA322" s="1593"/>
      <c r="GB322" s="1593"/>
      <c r="GC322" s="1593"/>
      <c r="GD322" s="1593"/>
      <c r="GE322" s="1593"/>
      <c r="GF322" s="1593"/>
      <c r="GG322" s="1593"/>
      <c r="GH322" s="1593"/>
      <c r="GI322" s="1593"/>
      <c r="GJ322" s="1593"/>
      <c r="GK322" s="1593"/>
      <c r="GL322" s="1593"/>
      <c r="GM322" s="1593"/>
      <c r="GN322" s="1593"/>
      <c r="GO322" s="1593"/>
      <c r="GP322" s="1593"/>
      <c r="GQ322" s="1593"/>
      <c r="GR322" s="1593"/>
      <c r="GS322" s="1593"/>
      <c r="GT322" s="1593"/>
      <c r="GU322" s="1593"/>
      <c r="GV322" s="1593"/>
      <c r="GW322" s="1593"/>
      <c r="GX322" s="1593"/>
      <c r="GY322" s="1593"/>
      <c r="GZ322" s="1593"/>
      <c r="HA322" s="1593"/>
      <c r="HB322" s="1593"/>
      <c r="HC322" s="1593"/>
      <c r="HD322" s="1593"/>
      <c r="HE322" s="1593"/>
      <c r="HF322" s="1593"/>
      <c r="HG322" s="1593"/>
      <c r="HH322" s="1593"/>
      <c r="HI322" s="1593"/>
      <c r="HJ322" s="1593"/>
      <c r="HK322" s="1593"/>
      <c r="HL322" s="1593"/>
      <c r="HM322" s="1593"/>
      <c r="HN322" s="1593"/>
      <c r="HO322" s="1593"/>
      <c r="HP322" s="1593"/>
      <c r="HQ322" s="1593"/>
      <c r="HR322" s="1593"/>
      <c r="HS322" s="1593"/>
      <c r="HT322" s="1593"/>
      <c r="HU322" s="1593"/>
      <c r="HV322" s="1593"/>
      <c r="HW322" s="1593"/>
      <c r="HX322" s="1593"/>
      <c r="HY322" s="1593"/>
      <c r="HZ322" s="1593"/>
      <c r="IA322" s="1593"/>
      <c r="IB322" s="1593"/>
      <c r="IC322" s="1593"/>
      <c r="ID322" s="1593"/>
      <c r="IE322" s="1593"/>
      <c r="IF322" s="1593"/>
      <c r="IG322" s="1593"/>
      <c r="IH322" s="1593"/>
      <c r="II322" s="1593"/>
      <c r="IJ322" s="1593"/>
      <c r="IK322" s="1593"/>
      <c r="IL322" s="1593"/>
      <c r="IM322" s="1593"/>
      <c r="IN322" s="1593"/>
      <c r="IO322" s="1593"/>
      <c r="IP322" s="1593"/>
      <c r="IQ322" s="1593"/>
      <c r="IR322" s="1593"/>
      <c r="IS322" s="1593"/>
      <c r="IT322" s="1593"/>
      <c r="IU322" s="1593"/>
      <c r="IV322" s="1593"/>
      <c r="IW322" s="1593"/>
      <c r="IX322" s="1593"/>
      <c r="IY322" s="1593"/>
      <c r="IZ322" s="1593"/>
      <c r="JA322" s="1593"/>
      <c r="JB322" s="1593"/>
      <c r="JC322" s="1593"/>
      <c r="JD322" s="1593"/>
      <c r="JE322" s="1593"/>
      <c r="JF322" s="1593"/>
      <c r="JG322" s="1593"/>
      <c r="JH322" s="1593"/>
      <c r="JI322" s="1593"/>
      <c r="JJ322" s="1593"/>
      <c r="JK322" s="1593"/>
      <c r="JL322" s="1593"/>
      <c r="JM322" s="1593"/>
      <c r="JN322" s="1593"/>
      <c r="JO322" s="1593"/>
      <c r="JP322" s="1593"/>
      <c r="JQ322" s="1593"/>
      <c r="JR322" s="1593"/>
      <c r="JS322" s="1593"/>
      <c r="JT322" s="1593"/>
      <c r="JU322" s="1593"/>
      <c r="JV322" s="1593"/>
      <c r="JW322" s="1593"/>
      <c r="JX322" s="1593"/>
      <c r="JY322" s="1593"/>
      <c r="JZ322" s="1593"/>
      <c r="KA322" s="1593"/>
      <c r="KB322" s="1598"/>
    </row>
    <row r="323" spans="2:288" ht="15" customHeight="1" x14ac:dyDescent="0.25">
      <c r="B323" s="216" t="str">
        <f t="shared" si="29"/>
        <v>Desk 4</v>
      </c>
      <c r="C323" s="218" t="str">
        <v/>
      </c>
      <c r="D323" s="218" t="str">
        <v/>
      </c>
      <c r="E323" s="218" t="str">
        <v/>
      </c>
      <c r="F323" s="218" t="str">
        <v/>
      </c>
      <c r="G323" s="402" t="str">
        <v/>
      </c>
      <c r="H323" s="1593"/>
      <c r="I323" s="1593"/>
      <c r="J323" s="1593"/>
      <c r="K323" s="1593"/>
      <c r="L323" s="1593"/>
      <c r="M323" s="1593"/>
      <c r="N323" s="1593"/>
      <c r="O323" s="1593"/>
      <c r="P323" s="1593"/>
      <c r="Q323" s="1593"/>
      <c r="R323" s="1593"/>
      <c r="S323" s="1593"/>
      <c r="T323" s="1593"/>
      <c r="U323" s="1593"/>
      <c r="V323" s="1593"/>
      <c r="W323" s="1593"/>
      <c r="X323" s="1593"/>
      <c r="Y323" s="1593"/>
      <c r="Z323" s="1593"/>
      <c r="AA323" s="1593"/>
      <c r="AB323" s="1593"/>
      <c r="AC323" s="1593"/>
      <c r="AD323" s="1593"/>
      <c r="AE323" s="1593"/>
      <c r="AF323" s="1593"/>
      <c r="AG323" s="1593"/>
      <c r="AH323" s="1593"/>
      <c r="AI323" s="1593"/>
      <c r="AJ323" s="1593"/>
      <c r="AK323" s="1593"/>
      <c r="AL323" s="1593"/>
      <c r="AM323" s="1593"/>
      <c r="AN323" s="1593"/>
      <c r="AO323" s="1593"/>
      <c r="AP323" s="1593"/>
      <c r="AQ323" s="1593"/>
      <c r="AR323" s="1593"/>
      <c r="AS323" s="1593"/>
      <c r="AT323" s="1593"/>
      <c r="AU323" s="1593"/>
      <c r="AV323" s="1593"/>
      <c r="AW323" s="1593"/>
      <c r="AX323" s="1593"/>
      <c r="AY323" s="1593"/>
      <c r="AZ323" s="1593"/>
      <c r="BA323" s="1593"/>
      <c r="BB323" s="1593"/>
      <c r="BC323" s="1593"/>
      <c r="BD323" s="1593"/>
      <c r="BE323" s="1593"/>
      <c r="BF323" s="1593"/>
      <c r="BG323" s="1593"/>
      <c r="BH323" s="1593"/>
      <c r="BI323" s="1593"/>
      <c r="BJ323" s="1593"/>
      <c r="BK323" s="1593"/>
      <c r="BL323" s="1593"/>
      <c r="BM323" s="1593"/>
      <c r="BN323" s="1593"/>
      <c r="BO323" s="1593"/>
      <c r="BP323" s="1593"/>
      <c r="BQ323" s="1593"/>
      <c r="BR323" s="1593"/>
      <c r="BS323" s="1593"/>
      <c r="BT323" s="1593"/>
      <c r="BU323" s="1593"/>
      <c r="BV323" s="1593"/>
      <c r="BW323" s="1593"/>
      <c r="BX323" s="1593"/>
      <c r="BY323" s="1593"/>
      <c r="BZ323" s="1593"/>
      <c r="CA323" s="1593"/>
      <c r="CB323" s="1593"/>
      <c r="CC323" s="1593"/>
      <c r="CD323" s="1593"/>
      <c r="CE323" s="1593"/>
      <c r="CF323" s="1593"/>
      <c r="CG323" s="1593"/>
      <c r="CH323" s="1593"/>
      <c r="CI323" s="1593"/>
      <c r="CJ323" s="1593"/>
      <c r="CK323" s="1593"/>
      <c r="CL323" s="1593"/>
      <c r="CM323" s="1593"/>
      <c r="CN323" s="1593"/>
      <c r="CO323" s="1593"/>
      <c r="CP323" s="1593"/>
      <c r="CQ323" s="1593"/>
      <c r="CR323" s="1593"/>
      <c r="CS323" s="1593"/>
      <c r="CT323" s="1593"/>
      <c r="CU323" s="1593"/>
      <c r="CV323" s="1593"/>
      <c r="CW323" s="1593"/>
      <c r="CX323" s="1593"/>
      <c r="CY323" s="1593"/>
      <c r="CZ323" s="1593"/>
      <c r="DA323" s="1593"/>
      <c r="DB323" s="1593"/>
      <c r="DC323" s="1593"/>
      <c r="DD323" s="1593"/>
      <c r="DE323" s="1593"/>
      <c r="DF323" s="1593"/>
      <c r="DG323" s="1593"/>
      <c r="DH323" s="1593"/>
      <c r="DI323" s="1593"/>
      <c r="DJ323" s="1593"/>
      <c r="DK323" s="1593"/>
      <c r="DL323" s="1593"/>
      <c r="DM323" s="1593"/>
      <c r="DN323" s="1593"/>
      <c r="DO323" s="1593"/>
      <c r="DP323" s="1593"/>
      <c r="DQ323" s="1593"/>
      <c r="DR323" s="1593"/>
      <c r="DS323" s="1593"/>
      <c r="DT323" s="1593"/>
      <c r="DU323" s="1593"/>
      <c r="DV323" s="1593"/>
      <c r="DW323" s="1593"/>
      <c r="DX323" s="1593"/>
      <c r="DY323" s="1593"/>
      <c r="DZ323" s="1593"/>
      <c r="EA323" s="1593"/>
      <c r="EB323" s="1593"/>
      <c r="EC323" s="1593"/>
      <c r="ED323" s="1593"/>
      <c r="EE323" s="1593"/>
      <c r="EF323" s="1593"/>
      <c r="EG323" s="1593"/>
      <c r="EH323" s="1593"/>
      <c r="EI323" s="1593"/>
      <c r="EJ323" s="1593"/>
      <c r="EK323" s="1593"/>
      <c r="EL323" s="1593"/>
      <c r="EM323" s="1593"/>
      <c r="EN323" s="1593"/>
      <c r="EO323" s="1593"/>
      <c r="EP323" s="1593"/>
      <c r="EQ323" s="1593"/>
      <c r="ER323" s="1593"/>
      <c r="ES323" s="1593"/>
      <c r="ET323" s="1593"/>
      <c r="EU323" s="1593"/>
      <c r="EV323" s="1593"/>
      <c r="EW323" s="1593"/>
      <c r="EX323" s="1593"/>
      <c r="EY323" s="1593"/>
      <c r="EZ323" s="1593"/>
      <c r="FA323" s="1593"/>
      <c r="FB323" s="1593"/>
      <c r="FC323" s="1593"/>
      <c r="FD323" s="1593"/>
      <c r="FE323" s="1593"/>
      <c r="FF323" s="1593"/>
      <c r="FG323" s="1593"/>
      <c r="FH323" s="1593"/>
      <c r="FI323" s="1593"/>
      <c r="FJ323" s="1593"/>
      <c r="FK323" s="1593"/>
      <c r="FL323" s="1593"/>
      <c r="FM323" s="1593"/>
      <c r="FN323" s="1593"/>
      <c r="FO323" s="1593"/>
      <c r="FP323" s="1593"/>
      <c r="FQ323" s="1593"/>
      <c r="FR323" s="1593"/>
      <c r="FS323" s="1593"/>
      <c r="FT323" s="1593"/>
      <c r="FU323" s="1593"/>
      <c r="FV323" s="1593"/>
      <c r="FW323" s="1593"/>
      <c r="FX323" s="1593"/>
      <c r="FY323" s="1593"/>
      <c r="FZ323" s="1593"/>
      <c r="GA323" s="1593"/>
      <c r="GB323" s="1593"/>
      <c r="GC323" s="1593"/>
      <c r="GD323" s="1593"/>
      <c r="GE323" s="1593"/>
      <c r="GF323" s="1593"/>
      <c r="GG323" s="1593"/>
      <c r="GH323" s="1593"/>
      <c r="GI323" s="1593"/>
      <c r="GJ323" s="1593"/>
      <c r="GK323" s="1593"/>
      <c r="GL323" s="1593"/>
      <c r="GM323" s="1593"/>
      <c r="GN323" s="1593"/>
      <c r="GO323" s="1593"/>
      <c r="GP323" s="1593"/>
      <c r="GQ323" s="1593"/>
      <c r="GR323" s="1593"/>
      <c r="GS323" s="1593"/>
      <c r="GT323" s="1593"/>
      <c r="GU323" s="1593"/>
      <c r="GV323" s="1593"/>
      <c r="GW323" s="1593"/>
      <c r="GX323" s="1593"/>
      <c r="GY323" s="1593"/>
      <c r="GZ323" s="1593"/>
      <c r="HA323" s="1593"/>
      <c r="HB323" s="1593"/>
      <c r="HC323" s="1593"/>
      <c r="HD323" s="1593"/>
      <c r="HE323" s="1593"/>
      <c r="HF323" s="1593"/>
      <c r="HG323" s="1593"/>
      <c r="HH323" s="1593"/>
      <c r="HI323" s="1593"/>
      <c r="HJ323" s="1593"/>
      <c r="HK323" s="1593"/>
      <c r="HL323" s="1593"/>
      <c r="HM323" s="1593"/>
      <c r="HN323" s="1593"/>
      <c r="HO323" s="1593"/>
      <c r="HP323" s="1593"/>
      <c r="HQ323" s="1593"/>
      <c r="HR323" s="1593"/>
      <c r="HS323" s="1593"/>
      <c r="HT323" s="1593"/>
      <c r="HU323" s="1593"/>
      <c r="HV323" s="1593"/>
      <c r="HW323" s="1593"/>
      <c r="HX323" s="1593"/>
      <c r="HY323" s="1593"/>
      <c r="HZ323" s="1593"/>
      <c r="IA323" s="1593"/>
      <c r="IB323" s="1593"/>
      <c r="IC323" s="1593"/>
      <c r="ID323" s="1593"/>
      <c r="IE323" s="1593"/>
      <c r="IF323" s="1593"/>
      <c r="IG323" s="1593"/>
      <c r="IH323" s="1593"/>
      <c r="II323" s="1593"/>
      <c r="IJ323" s="1593"/>
      <c r="IK323" s="1593"/>
      <c r="IL323" s="1593"/>
      <c r="IM323" s="1593"/>
      <c r="IN323" s="1593"/>
      <c r="IO323" s="1593"/>
      <c r="IP323" s="1593"/>
      <c r="IQ323" s="1593"/>
      <c r="IR323" s="1593"/>
      <c r="IS323" s="1593"/>
      <c r="IT323" s="1593"/>
      <c r="IU323" s="1593"/>
      <c r="IV323" s="1593"/>
      <c r="IW323" s="1593"/>
      <c r="IX323" s="1593"/>
      <c r="IY323" s="1593"/>
      <c r="IZ323" s="1593"/>
      <c r="JA323" s="1593"/>
      <c r="JB323" s="1593"/>
      <c r="JC323" s="1593"/>
      <c r="JD323" s="1593"/>
      <c r="JE323" s="1593"/>
      <c r="JF323" s="1593"/>
      <c r="JG323" s="1593"/>
      <c r="JH323" s="1593"/>
      <c r="JI323" s="1593"/>
      <c r="JJ323" s="1593"/>
      <c r="JK323" s="1593"/>
      <c r="JL323" s="1593"/>
      <c r="JM323" s="1593"/>
      <c r="JN323" s="1593"/>
      <c r="JO323" s="1593"/>
      <c r="JP323" s="1593"/>
      <c r="JQ323" s="1593"/>
      <c r="JR323" s="1593"/>
      <c r="JS323" s="1593"/>
      <c r="JT323" s="1593"/>
      <c r="JU323" s="1593"/>
      <c r="JV323" s="1593"/>
      <c r="JW323" s="1593"/>
      <c r="JX323" s="1593"/>
      <c r="JY323" s="1593"/>
      <c r="JZ323" s="1593"/>
      <c r="KA323" s="1593"/>
      <c r="KB323" s="1598"/>
    </row>
    <row r="324" spans="2:288" ht="15" customHeight="1" x14ac:dyDescent="0.25">
      <c r="B324" s="216" t="str">
        <f t="shared" si="29"/>
        <v>Desk 5</v>
      </c>
      <c r="C324" s="218" t="str">
        <v/>
      </c>
      <c r="D324" s="218" t="str">
        <v/>
      </c>
      <c r="E324" s="218" t="str">
        <v/>
      </c>
      <c r="F324" s="218" t="str">
        <v/>
      </c>
      <c r="G324" s="402" t="str">
        <v/>
      </c>
      <c r="H324" s="1593"/>
      <c r="I324" s="1593"/>
      <c r="J324" s="1593"/>
      <c r="K324" s="1593"/>
      <c r="L324" s="1593"/>
      <c r="M324" s="1593"/>
      <c r="N324" s="1593"/>
      <c r="O324" s="1593"/>
      <c r="P324" s="1593"/>
      <c r="Q324" s="1593"/>
      <c r="R324" s="1593"/>
      <c r="S324" s="1593"/>
      <c r="T324" s="1593"/>
      <c r="U324" s="1593"/>
      <c r="V324" s="1593"/>
      <c r="W324" s="1593"/>
      <c r="X324" s="1593"/>
      <c r="Y324" s="1593"/>
      <c r="Z324" s="1593"/>
      <c r="AA324" s="1593"/>
      <c r="AB324" s="1593"/>
      <c r="AC324" s="1593"/>
      <c r="AD324" s="1593"/>
      <c r="AE324" s="1593"/>
      <c r="AF324" s="1593"/>
      <c r="AG324" s="1593"/>
      <c r="AH324" s="1593"/>
      <c r="AI324" s="1593"/>
      <c r="AJ324" s="1593"/>
      <c r="AK324" s="1593"/>
      <c r="AL324" s="1593"/>
      <c r="AM324" s="1593"/>
      <c r="AN324" s="1593"/>
      <c r="AO324" s="1593"/>
      <c r="AP324" s="1593"/>
      <c r="AQ324" s="1593"/>
      <c r="AR324" s="1593"/>
      <c r="AS324" s="1593"/>
      <c r="AT324" s="1593"/>
      <c r="AU324" s="1593"/>
      <c r="AV324" s="1593"/>
      <c r="AW324" s="1593"/>
      <c r="AX324" s="1593"/>
      <c r="AY324" s="1593"/>
      <c r="AZ324" s="1593"/>
      <c r="BA324" s="1593"/>
      <c r="BB324" s="1593"/>
      <c r="BC324" s="1593"/>
      <c r="BD324" s="1593"/>
      <c r="BE324" s="1593"/>
      <c r="BF324" s="1593"/>
      <c r="BG324" s="1593"/>
      <c r="BH324" s="1593"/>
      <c r="BI324" s="1593"/>
      <c r="BJ324" s="1593"/>
      <c r="BK324" s="1593"/>
      <c r="BL324" s="1593"/>
      <c r="BM324" s="1593"/>
      <c r="BN324" s="1593"/>
      <c r="BO324" s="1593"/>
      <c r="BP324" s="1593"/>
      <c r="BQ324" s="1593"/>
      <c r="BR324" s="1593"/>
      <c r="BS324" s="1593"/>
      <c r="BT324" s="1593"/>
      <c r="BU324" s="1593"/>
      <c r="BV324" s="1593"/>
      <c r="BW324" s="1593"/>
      <c r="BX324" s="1593"/>
      <c r="BY324" s="1593"/>
      <c r="BZ324" s="1593"/>
      <c r="CA324" s="1593"/>
      <c r="CB324" s="1593"/>
      <c r="CC324" s="1593"/>
      <c r="CD324" s="1593"/>
      <c r="CE324" s="1593"/>
      <c r="CF324" s="1593"/>
      <c r="CG324" s="1593"/>
      <c r="CH324" s="1593"/>
      <c r="CI324" s="1593"/>
      <c r="CJ324" s="1593"/>
      <c r="CK324" s="1593"/>
      <c r="CL324" s="1593"/>
      <c r="CM324" s="1593"/>
      <c r="CN324" s="1593"/>
      <c r="CO324" s="1593"/>
      <c r="CP324" s="1593"/>
      <c r="CQ324" s="1593"/>
      <c r="CR324" s="1593"/>
      <c r="CS324" s="1593"/>
      <c r="CT324" s="1593"/>
      <c r="CU324" s="1593"/>
      <c r="CV324" s="1593"/>
      <c r="CW324" s="1593"/>
      <c r="CX324" s="1593"/>
      <c r="CY324" s="1593"/>
      <c r="CZ324" s="1593"/>
      <c r="DA324" s="1593"/>
      <c r="DB324" s="1593"/>
      <c r="DC324" s="1593"/>
      <c r="DD324" s="1593"/>
      <c r="DE324" s="1593"/>
      <c r="DF324" s="1593"/>
      <c r="DG324" s="1593"/>
      <c r="DH324" s="1593"/>
      <c r="DI324" s="1593"/>
      <c r="DJ324" s="1593"/>
      <c r="DK324" s="1593"/>
      <c r="DL324" s="1593"/>
      <c r="DM324" s="1593"/>
      <c r="DN324" s="1593"/>
      <c r="DO324" s="1593"/>
      <c r="DP324" s="1593"/>
      <c r="DQ324" s="1593"/>
      <c r="DR324" s="1593"/>
      <c r="DS324" s="1593"/>
      <c r="DT324" s="1593"/>
      <c r="DU324" s="1593"/>
      <c r="DV324" s="1593"/>
      <c r="DW324" s="1593"/>
      <c r="DX324" s="1593"/>
      <c r="DY324" s="1593"/>
      <c r="DZ324" s="1593"/>
      <c r="EA324" s="1593"/>
      <c r="EB324" s="1593"/>
      <c r="EC324" s="1593"/>
      <c r="ED324" s="1593"/>
      <c r="EE324" s="1593"/>
      <c r="EF324" s="1593"/>
      <c r="EG324" s="1593"/>
      <c r="EH324" s="1593"/>
      <c r="EI324" s="1593"/>
      <c r="EJ324" s="1593"/>
      <c r="EK324" s="1593"/>
      <c r="EL324" s="1593"/>
      <c r="EM324" s="1593"/>
      <c r="EN324" s="1593"/>
      <c r="EO324" s="1593"/>
      <c r="EP324" s="1593"/>
      <c r="EQ324" s="1593"/>
      <c r="ER324" s="1593"/>
      <c r="ES324" s="1593"/>
      <c r="ET324" s="1593"/>
      <c r="EU324" s="1593"/>
      <c r="EV324" s="1593"/>
      <c r="EW324" s="1593"/>
      <c r="EX324" s="1593"/>
      <c r="EY324" s="1593"/>
      <c r="EZ324" s="1593"/>
      <c r="FA324" s="1593"/>
      <c r="FB324" s="1593"/>
      <c r="FC324" s="1593"/>
      <c r="FD324" s="1593"/>
      <c r="FE324" s="1593"/>
      <c r="FF324" s="1593"/>
      <c r="FG324" s="1593"/>
      <c r="FH324" s="1593"/>
      <c r="FI324" s="1593"/>
      <c r="FJ324" s="1593"/>
      <c r="FK324" s="1593"/>
      <c r="FL324" s="1593"/>
      <c r="FM324" s="1593"/>
      <c r="FN324" s="1593"/>
      <c r="FO324" s="1593"/>
      <c r="FP324" s="1593"/>
      <c r="FQ324" s="1593"/>
      <c r="FR324" s="1593"/>
      <c r="FS324" s="1593"/>
      <c r="FT324" s="1593"/>
      <c r="FU324" s="1593"/>
      <c r="FV324" s="1593"/>
      <c r="FW324" s="1593"/>
      <c r="FX324" s="1593"/>
      <c r="FY324" s="1593"/>
      <c r="FZ324" s="1593"/>
      <c r="GA324" s="1593"/>
      <c r="GB324" s="1593"/>
      <c r="GC324" s="1593"/>
      <c r="GD324" s="1593"/>
      <c r="GE324" s="1593"/>
      <c r="GF324" s="1593"/>
      <c r="GG324" s="1593"/>
      <c r="GH324" s="1593"/>
      <c r="GI324" s="1593"/>
      <c r="GJ324" s="1593"/>
      <c r="GK324" s="1593"/>
      <c r="GL324" s="1593"/>
      <c r="GM324" s="1593"/>
      <c r="GN324" s="1593"/>
      <c r="GO324" s="1593"/>
      <c r="GP324" s="1593"/>
      <c r="GQ324" s="1593"/>
      <c r="GR324" s="1593"/>
      <c r="GS324" s="1593"/>
      <c r="GT324" s="1593"/>
      <c r="GU324" s="1593"/>
      <c r="GV324" s="1593"/>
      <c r="GW324" s="1593"/>
      <c r="GX324" s="1593"/>
      <c r="GY324" s="1593"/>
      <c r="GZ324" s="1593"/>
      <c r="HA324" s="1593"/>
      <c r="HB324" s="1593"/>
      <c r="HC324" s="1593"/>
      <c r="HD324" s="1593"/>
      <c r="HE324" s="1593"/>
      <c r="HF324" s="1593"/>
      <c r="HG324" s="1593"/>
      <c r="HH324" s="1593"/>
      <c r="HI324" s="1593"/>
      <c r="HJ324" s="1593"/>
      <c r="HK324" s="1593"/>
      <c r="HL324" s="1593"/>
      <c r="HM324" s="1593"/>
      <c r="HN324" s="1593"/>
      <c r="HO324" s="1593"/>
      <c r="HP324" s="1593"/>
      <c r="HQ324" s="1593"/>
      <c r="HR324" s="1593"/>
      <c r="HS324" s="1593"/>
      <c r="HT324" s="1593"/>
      <c r="HU324" s="1593"/>
      <c r="HV324" s="1593"/>
      <c r="HW324" s="1593"/>
      <c r="HX324" s="1593"/>
      <c r="HY324" s="1593"/>
      <c r="HZ324" s="1593"/>
      <c r="IA324" s="1593"/>
      <c r="IB324" s="1593"/>
      <c r="IC324" s="1593"/>
      <c r="ID324" s="1593"/>
      <c r="IE324" s="1593"/>
      <c r="IF324" s="1593"/>
      <c r="IG324" s="1593"/>
      <c r="IH324" s="1593"/>
      <c r="II324" s="1593"/>
      <c r="IJ324" s="1593"/>
      <c r="IK324" s="1593"/>
      <c r="IL324" s="1593"/>
      <c r="IM324" s="1593"/>
      <c r="IN324" s="1593"/>
      <c r="IO324" s="1593"/>
      <c r="IP324" s="1593"/>
      <c r="IQ324" s="1593"/>
      <c r="IR324" s="1593"/>
      <c r="IS324" s="1593"/>
      <c r="IT324" s="1593"/>
      <c r="IU324" s="1593"/>
      <c r="IV324" s="1593"/>
      <c r="IW324" s="1593"/>
      <c r="IX324" s="1593"/>
      <c r="IY324" s="1593"/>
      <c r="IZ324" s="1593"/>
      <c r="JA324" s="1593"/>
      <c r="JB324" s="1593"/>
      <c r="JC324" s="1593"/>
      <c r="JD324" s="1593"/>
      <c r="JE324" s="1593"/>
      <c r="JF324" s="1593"/>
      <c r="JG324" s="1593"/>
      <c r="JH324" s="1593"/>
      <c r="JI324" s="1593"/>
      <c r="JJ324" s="1593"/>
      <c r="JK324" s="1593"/>
      <c r="JL324" s="1593"/>
      <c r="JM324" s="1593"/>
      <c r="JN324" s="1593"/>
      <c r="JO324" s="1593"/>
      <c r="JP324" s="1593"/>
      <c r="JQ324" s="1593"/>
      <c r="JR324" s="1593"/>
      <c r="JS324" s="1593"/>
      <c r="JT324" s="1593"/>
      <c r="JU324" s="1593"/>
      <c r="JV324" s="1593"/>
      <c r="JW324" s="1593"/>
      <c r="JX324" s="1593"/>
      <c r="JY324" s="1593"/>
      <c r="JZ324" s="1593"/>
      <c r="KA324" s="1593"/>
      <c r="KB324" s="1598"/>
    </row>
    <row r="325" spans="2:288" ht="15" customHeight="1" x14ac:dyDescent="0.25">
      <c r="B325" s="216" t="str">
        <f t="shared" si="29"/>
        <v>Desk 6</v>
      </c>
      <c r="C325" s="218" t="str">
        <v/>
      </c>
      <c r="D325" s="218" t="str">
        <v/>
      </c>
      <c r="E325" s="218" t="str">
        <v/>
      </c>
      <c r="F325" s="218" t="str">
        <v/>
      </c>
      <c r="G325" s="402" t="str">
        <v/>
      </c>
      <c r="H325" s="1593"/>
      <c r="I325" s="1593"/>
      <c r="J325" s="1593"/>
      <c r="K325" s="1593"/>
      <c r="L325" s="1593"/>
      <c r="M325" s="1593"/>
      <c r="N325" s="1593"/>
      <c r="O325" s="1593"/>
      <c r="P325" s="1593"/>
      <c r="Q325" s="1593"/>
      <c r="R325" s="1593"/>
      <c r="S325" s="1593"/>
      <c r="T325" s="1593"/>
      <c r="U325" s="1593"/>
      <c r="V325" s="1593"/>
      <c r="W325" s="1593"/>
      <c r="X325" s="1593"/>
      <c r="Y325" s="1593"/>
      <c r="Z325" s="1593"/>
      <c r="AA325" s="1593"/>
      <c r="AB325" s="1593"/>
      <c r="AC325" s="1593"/>
      <c r="AD325" s="1593"/>
      <c r="AE325" s="1593"/>
      <c r="AF325" s="1593"/>
      <c r="AG325" s="1593"/>
      <c r="AH325" s="1593"/>
      <c r="AI325" s="1593"/>
      <c r="AJ325" s="1593"/>
      <c r="AK325" s="1593"/>
      <c r="AL325" s="1593"/>
      <c r="AM325" s="1593"/>
      <c r="AN325" s="1593"/>
      <c r="AO325" s="1593"/>
      <c r="AP325" s="1593"/>
      <c r="AQ325" s="1593"/>
      <c r="AR325" s="1593"/>
      <c r="AS325" s="1593"/>
      <c r="AT325" s="1593"/>
      <c r="AU325" s="1593"/>
      <c r="AV325" s="1593"/>
      <c r="AW325" s="1593"/>
      <c r="AX325" s="1593"/>
      <c r="AY325" s="1593"/>
      <c r="AZ325" s="1593"/>
      <c r="BA325" s="1593"/>
      <c r="BB325" s="1593"/>
      <c r="BC325" s="1593"/>
      <c r="BD325" s="1593"/>
      <c r="BE325" s="1593"/>
      <c r="BF325" s="1593"/>
      <c r="BG325" s="1593"/>
      <c r="BH325" s="1593"/>
      <c r="BI325" s="1593"/>
      <c r="BJ325" s="1593"/>
      <c r="BK325" s="1593"/>
      <c r="BL325" s="1593"/>
      <c r="BM325" s="1593"/>
      <c r="BN325" s="1593"/>
      <c r="BO325" s="1593"/>
      <c r="BP325" s="1593"/>
      <c r="BQ325" s="1593"/>
      <c r="BR325" s="1593"/>
      <c r="BS325" s="1593"/>
      <c r="BT325" s="1593"/>
      <c r="BU325" s="1593"/>
      <c r="BV325" s="1593"/>
      <c r="BW325" s="1593"/>
      <c r="BX325" s="1593"/>
      <c r="BY325" s="1593"/>
      <c r="BZ325" s="1593"/>
      <c r="CA325" s="1593"/>
      <c r="CB325" s="1593"/>
      <c r="CC325" s="1593"/>
      <c r="CD325" s="1593"/>
      <c r="CE325" s="1593"/>
      <c r="CF325" s="1593"/>
      <c r="CG325" s="1593"/>
      <c r="CH325" s="1593"/>
      <c r="CI325" s="1593"/>
      <c r="CJ325" s="1593"/>
      <c r="CK325" s="1593"/>
      <c r="CL325" s="1593"/>
      <c r="CM325" s="1593"/>
      <c r="CN325" s="1593"/>
      <c r="CO325" s="1593"/>
      <c r="CP325" s="1593"/>
      <c r="CQ325" s="1593"/>
      <c r="CR325" s="1593"/>
      <c r="CS325" s="1593"/>
      <c r="CT325" s="1593"/>
      <c r="CU325" s="1593"/>
      <c r="CV325" s="1593"/>
      <c r="CW325" s="1593"/>
      <c r="CX325" s="1593"/>
      <c r="CY325" s="1593"/>
      <c r="CZ325" s="1593"/>
      <c r="DA325" s="1593"/>
      <c r="DB325" s="1593"/>
      <c r="DC325" s="1593"/>
      <c r="DD325" s="1593"/>
      <c r="DE325" s="1593"/>
      <c r="DF325" s="1593"/>
      <c r="DG325" s="1593"/>
      <c r="DH325" s="1593"/>
      <c r="DI325" s="1593"/>
      <c r="DJ325" s="1593"/>
      <c r="DK325" s="1593"/>
      <c r="DL325" s="1593"/>
      <c r="DM325" s="1593"/>
      <c r="DN325" s="1593"/>
      <c r="DO325" s="1593"/>
      <c r="DP325" s="1593"/>
      <c r="DQ325" s="1593"/>
      <c r="DR325" s="1593"/>
      <c r="DS325" s="1593"/>
      <c r="DT325" s="1593"/>
      <c r="DU325" s="1593"/>
      <c r="DV325" s="1593"/>
      <c r="DW325" s="1593"/>
      <c r="DX325" s="1593"/>
      <c r="DY325" s="1593"/>
      <c r="DZ325" s="1593"/>
      <c r="EA325" s="1593"/>
      <c r="EB325" s="1593"/>
      <c r="EC325" s="1593"/>
      <c r="ED325" s="1593"/>
      <c r="EE325" s="1593"/>
      <c r="EF325" s="1593"/>
      <c r="EG325" s="1593"/>
      <c r="EH325" s="1593"/>
      <c r="EI325" s="1593"/>
      <c r="EJ325" s="1593"/>
      <c r="EK325" s="1593"/>
      <c r="EL325" s="1593"/>
      <c r="EM325" s="1593"/>
      <c r="EN325" s="1593"/>
      <c r="EO325" s="1593"/>
      <c r="EP325" s="1593"/>
      <c r="EQ325" s="1593"/>
      <c r="ER325" s="1593"/>
      <c r="ES325" s="1593"/>
      <c r="ET325" s="1593"/>
      <c r="EU325" s="1593"/>
      <c r="EV325" s="1593"/>
      <c r="EW325" s="1593"/>
      <c r="EX325" s="1593"/>
      <c r="EY325" s="1593"/>
      <c r="EZ325" s="1593"/>
      <c r="FA325" s="1593"/>
      <c r="FB325" s="1593"/>
      <c r="FC325" s="1593"/>
      <c r="FD325" s="1593"/>
      <c r="FE325" s="1593"/>
      <c r="FF325" s="1593"/>
      <c r="FG325" s="1593"/>
      <c r="FH325" s="1593"/>
      <c r="FI325" s="1593"/>
      <c r="FJ325" s="1593"/>
      <c r="FK325" s="1593"/>
      <c r="FL325" s="1593"/>
      <c r="FM325" s="1593"/>
      <c r="FN325" s="1593"/>
      <c r="FO325" s="1593"/>
      <c r="FP325" s="1593"/>
      <c r="FQ325" s="1593"/>
      <c r="FR325" s="1593"/>
      <c r="FS325" s="1593"/>
      <c r="FT325" s="1593"/>
      <c r="FU325" s="1593"/>
      <c r="FV325" s="1593"/>
      <c r="FW325" s="1593"/>
      <c r="FX325" s="1593"/>
      <c r="FY325" s="1593"/>
      <c r="FZ325" s="1593"/>
      <c r="GA325" s="1593"/>
      <c r="GB325" s="1593"/>
      <c r="GC325" s="1593"/>
      <c r="GD325" s="1593"/>
      <c r="GE325" s="1593"/>
      <c r="GF325" s="1593"/>
      <c r="GG325" s="1593"/>
      <c r="GH325" s="1593"/>
      <c r="GI325" s="1593"/>
      <c r="GJ325" s="1593"/>
      <c r="GK325" s="1593"/>
      <c r="GL325" s="1593"/>
      <c r="GM325" s="1593"/>
      <c r="GN325" s="1593"/>
      <c r="GO325" s="1593"/>
      <c r="GP325" s="1593"/>
      <c r="GQ325" s="1593"/>
      <c r="GR325" s="1593"/>
      <c r="GS325" s="1593"/>
      <c r="GT325" s="1593"/>
      <c r="GU325" s="1593"/>
      <c r="GV325" s="1593"/>
      <c r="GW325" s="1593"/>
      <c r="GX325" s="1593"/>
      <c r="GY325" s="1593"/>
      <c r="GZ325" s="1593"/>
      <c r="HA325" s="1593"/>
      <c r="HB325" s="1593"/>
      <c r="HC325" s="1593"/>
      <c r="HD325" s="1593"/>
      <c r="HE325" s="1593"/>
      <c r="HF325" s="1593"/>
      <c r="HG325" s="1593"/>
      <c r="HH325" s="1593"/>
      <c r="HI325" s="1593"/>
      <c r="HJ325" s="1593"/>
      <c r="HK325" s="1593"/>
      <c r="HL325" s="1593"/>
      <c r="HM325" s="1593"/>
      <c r="HN325" s="1593"/>
      <c r="HO325" s="1593"/>
      <c r="HP325" s="1593"/>
      <c r="HQ325" s="1593"/>
      <c r="HR325" s="1593"/>
      <c r="HS325" s="1593"/>
      <c r="HT325" s="1593"/>
      <c r="HU325" s="1593"/>
      <c r="HV325" s="1593"/>
      <c r="HW325" s="1593"/>
      <c r="HX325" s="1593"/>
      <c r="HY325" s="1593"/>
      <c r="HZ325" s="1593"/>
      <c r="IA325" s="1593"/>
      <c r="IB325" s="1593"/>
      <c r="IC325" s="1593"/>
      <c r="ID325" s="1593"/>
      <c r="IE325" s="1593"/>
      <c r="IF325" s="1593"/>
      <c r="IG325" s="1593"/>
      <c r="IH325" s="1593"/>
      <c r="II325" s="1593"/>
      <c r="IJ325" s="1593"/>
      <c r="IK325" s="1593"/>
      <c r="IL325" s="1593"/>
      <c r="IM325" s="1593"/>
      <c r="IN325" s="1593"/>
      <c r="IO325" s="1593"/>
      <c r="IP325" s="1593"/>
      <c r="IQ325" s="1593"/>
      <c r="IR325" s="1593"/>
      <c r="IS325" s="1593"/>
      <c r="IT325" s="1593"/>
      <c r="IU325" s="1593"/>
      <c r="IV325" s="1593"/>
      <c r="IW325" s="1593"/>
      <c r="IX325" s="1593"/>
      <c r="IY325" s="1593"/>
      <c r="IZ325" s="1593"/>
      <c r="JA325" s="1593"/>
      <c r="JB325" s="1593"/>
      <c r="JC325" s="1593"/>
      <c r="JD325" s="1593"/>
      <c r="JE325" s="1593"/>
      <c r="JF325" s="1593"/>
      <c r="JG325" s="1593"/>
      <c r="JH325" s="1593"/>
      <c r="JI325" s="1593"/>
      <c r="JJ325" s="1593"/>
      <c r="JK325" s="1593"/>
      <c r="JL325" s="1593"/>
      <c r="JM325" s="1593"/>
      <c r="JN325" s="1593"/>
      <c r="JO325" s="1593"/>
      <c r="JP325" s="1593"/>
      <c r="JQ325" s="1593"/>
      <c r="JR325" s="1593"/>
      <c r="JS325" s="1593"/>
      <c r="JT325" s="1593"/>
      <c r="JU325" s="1593"/>
      <c r="JV325" s="1593"/>
      <c r="JW325" s="1593"/>
      <c r="JX325" s="1593"/>
      <c r="JY325" s="1593"/>
      <c r="JZ325" s="1593"/>
      <c r="KA325" s="1593"/>
      <c r="KB325" s="1598"/>
    </row>
    <row r="326" spans="2:288" ht="15" customHeight="1" x14ac:dyDescent="0.25">
      <c r="B326" s="216" t="str">
        <f t="shared" si="29"/>
        <v>Desk 7</v>
      </c>
      <c r="C326" s="218" t="str">
        <v/>
      </c>
      <c r="D326" s="218" t="str">
        <v/>
      </c>
      <c r="E326" s="218" t="str">
        <v/>
      </c>
      <c r="F326" s="218" t="str">
        <v/>
      </c>
      <c r="G326" s="402" t="str">
        <v/>
      </c>
      <c r="H326" s="1593"/>
      <c r="I326" s="1593"/>
      <c r="J326" s="1593"/>
      <c r="K326" s="1593"/>
      <c r="L326" s="1593"/>
      <c r="M326" s="1593"/>
      <c r="N326" s="1593"/>
      <c r="O326" s="1593"/>
      <c r="P326" s="1593"/>
      <c r="Q326" s="1593"/>
      <c r="R326" s="1593"/>
      <c r="S326" s="1593"/>
      <c r="T326" s="1593"/>
      <c r="U326" s="1593"/>
      <c r="V326" s="1593"/>
      <c r="W326" s="1593"/>
      <c r="X326" s="1593"/>
      <c r="Y326" s="1593"/>
      <c r="Z326" s="1593"/>
      <c r="AA326" s="1593"/>
      <c r="AB326" s="1593"/>
      <c r="AC326" s="1593"/>
      <c r="AD326" s="1593"/>
      <c r="AE326" s="1593"/>
      <c r="AF326" s="1593"/>
      <c r="AG326" s="1593"/>
      <c r="AH326" s="1593"/>
      <c r="AI326" s="1593"/>
      <c r="AJ326" s="1593"/>
      <c r="AK326" s="1593"/>
      <c r="AL326" s="1593"/>
      <c r="AM326" s="1593"/>
      <c r="AN326" s="1593"/>
      <c r="AO326" s="1593"/>
      <c r="AP326" s="1593"/>
      <c r="AQ326" s="1593"/>
      <c r="AR326" s="1593"/>
      <c r="AS326" s="1593"/>
      <c r="AT326" s="1593"/>
      <c r="AU326" s="1593"/>
      <c r="AV326" s="1593"/>
      <c r="AW326" s="1593"/>
      <c r="AX326" s="1593"/>
      <c r="AY326" s="1593"/>
      <c r="AZ326" s="1593"/>
      <c r="BA326" s="1593"/>
      <c r="BB326" s="1593"/>
      <c r="BC326" s="1593"/>
      <c r="BD326" s="1593"/>
      <c r="BE326" s="1593"/>
      <c r="BF326" s="1593"/>
      <c r="BG326" s="1593"/>
      <c r="BH326" s="1593"/>
      <c r="BI326" s="1593"/>
      <c r="BJ326" s="1593"/>
      <c r="BK326" s="1593"/>
      <c r="BL326" s="1593"/>
      <c r="BM326" s="1593"/>
      <c r="BN326" s="1593"/>
      <c r="BO326" s="1593"/>
      <c r="BP326" s="1593"/>
      <c r="BQ326" s="1593"/>
      <c r="BR326" s="1593"/>
      <c r="BS326" s="1593"/>
      <c r="BT326" s="1593"/>
      <c r="BU326" s="1593"/>
      <c r="BV326" s="1593"/>
      <c r="BW326" s="1593"/>
      <c r="BX326" s="1593"/>
      <c r="BY326" s="1593"/>
      <c r="BZ326" s="1593"/>
      <c r="CA326" s="1593"/>
      <c r="CB326" s="1593"/>
      <c r="CC326" s="1593"/>
      <c r="CD326" s="1593"/>
      <c r="CE326" s="1593"/>
      <c r="CF326" s="1593"/>
      <c r="CG326" s="1593"/>
      <c r="CH326" s="1593"/>
      <c r="CI326" s="1593"/>
      <c r="CJ326" s="1593"/>
      <c r="CK326" s="1593"/>
      <c r="CL326" s="1593"/>
      <c r="CM326" s="1593"/>
      <c r="CN326" s="1593"/>
      <c r="CO326" s="1593"/>
      <c r="CP326" s="1593"/>
      <c r="CQ326" s="1593"/>
      <c r="CR326" s="1593"/>
      <c r="CS326" s="1593"/>
      <c r="CT326" s="1593"/>
      <c r="CU326" s="1593"/>
      <c r="CV326" s="1593"/>
      <c r="CW326" s="1593"/>
      <c r="CX326" s="1593"/>
      <c r="CY326" s="1593"/>
      <c r="CZ326" s="1593"/>
      <c r="DA326" s="1593"/>
      <c r="DB326" s="1593"/>
      <c r="DC326" s="1593"/>
      <c r="DD326" s="1593"/>
      <c r="DE326" s="1593"/>
      <c r="DF326" s="1593"/>
      <c r="DG326" s="1593"/>
      <c r="DH326" s="1593"/>
      <c r="DI326" s="1593"/>
      <c r="DJ326" s="1593"/>
      <c r="DK326" s="1593"/>
      <c r="DL326" s="1593"/>
      <c r="DM326" s="1593"/>
      <c r="DN326" s="1593"/>
      <c r="DO326" s="1593"/>
      <c r="DP326" s="1593"/>
      <c r="DQ326" s="1593"/>
      <c r="DR326" s="1593"/>
      <c r="DS326" s="1593"/>
      <c r="DT326" s="1593"/>
      <c r="DU326" s="1593"/>
      <c r="DV326" s="1593"/>
      <c r="DW326" s="1593"/>
      <c r="DX326" s="1593"/>
      <c r="DY326" s="1593"/>
      <c r="DZ326" s="1593"/>
      <c r="EA326" s="1593"/>
      <c r="EB326" s="1593"/>
      <c r="EC326" s="1593"/>
      <c r="ED326" s="1593"/>
      <c r="EE326" s="1593"/>
      <c r="EF326" s="1593"/>
      <c r="EG326" s="1593"/>
      <c r="EH326" s="1593"/>
      <c r="EI326" s="1593"/>
      <c r="EJ326" s="1593"/>
      <c r="EK326" s="1593"/>
      <c r="EL326" s="1593"/>
      <c r="EM326" s="1593"/>
      <c r="EN326" s="1593"/>
      <c r="EO326" s="1593"/>
      <c r="EP326" s="1593"/>
      <c r="EQ326" s="1593"/>
      <c r="ER326" s="1593"/>
      <c r="ES326" s="1593"/>
      <c r="ET326" s="1593"/>
      <c r="EU326" s="1593"/>
      <c r="EV326" s="1593"/>
      <c r="EW326" s="1593"/>
      <c r="EX326" s="1593"/>
      <c r="EY326" s="1593"/>
      <c r="EZ326" s="1593"/>
      <c r="FA326" s="1593"/>
      <c r="FB326" s="1593"/>
      <c r="FC326" s="1593"/>
      <c r="FD326" s="1593"/>
      <c r="FE326" s="1593"/>
      <c r="FF326" s="1593"/>
      <c r="FG326" s="1593"/>
      <c r="FH326" s="1593"/>
      <c r="FI326" s="1593"/>
      <c r="FJ326" s="1593"/>
      <c r="FK326" s="1593"/>
      <c r="FL326" s="1593"/>
      <c r="FM326" s="1593"/>
      <c r="FN326" s="1593"/>
      <c r="FO326" s="1593"/>
      <c r="FP326" s="1593"/>
      <c r="FQ326" s="1593"/>
      <c r="FR326" s="1593"/>
      <c r="FS326" s="1593"/>
      <c r="FT326" s="1593"/>
      <c r="FU326" s="1593"/>
      <c r="FV326" s="1593"/>
      <c r="FW326" s="1593"/>
      <c r="FX326" s="1593"/>
      <c r="FY326" s="1593"/>
      <c r="FZ326" s="1593"/>
      <c r="GA326" s="1593"/>
      <c r="GB326" s="1593"/>
      <c r="GC326" s="1593"/>
      <c r="GD326" s="1593"/>
      <c r="GE326" s="1593"/>
      <c r="GF326" s="1593"/>
      <c r="GG326" s="1593"/>
      <c r="GH326" s="1593"/>
      <c r="GI326" s="1593"/>
      <c r="GJ326" s="1593"/>
      <c r="GK326" s="1593"/>
      <c r="GL326" s="1593"/>
      <c r="GM326" s="1593"/>
      <c r="GN326" s="1593"/>
      <c r="GO326" s="1593"/>
      <c r="GP326" s="1593"/>
      <c r="GQ326" s="1593"/>
      <c r="GR326" s="1593"/>
      <c r="GS326" s="1593"/>
      <c r="GT326" s="1593"/>
      <c r="GU326" s="1593"/>
      <c r="GV326" s="1593"/>
      <c r="GW326" s="1593"/>
      <c r="GX326" s="1593"/>
      <c r="GY326" s="1593"/>
      <c r="GZ326" s="1593"/>
      <c r="HA326" s="1593"/>
      <c r="HB326" s="1593"/>
      <c r="HC326" s="1593"/>
      <c r="HD326" s="1593"/>
      <c r="HE326" s="1593"/>
      <c r="HF326" s="1593"/>
      <c r="HG326" s="1593"/>
      <c r="HH326" s="1593"/>
      <c r="HI326" s="1593"/>
      <c r="HJ326" s="1593"/>
      <c r="HK326" s="1593"/>
      <c r="HL326" s="1593"/>
      <c r="HM326" s="1593"/>
      <c r="HN326" s="1593"/>
      <c r="HO326" s="1593"/>
      <c r="HP326" s="1593"/>
      <c r="HQ326" s="1593"/>
      <c r="HR326" s="1593"/>
      <c r="HS326" s="1593"/>
      <c r="HT326" s="1593"/>
      <c r="HU326" s="1593"/>
      <c r="HV326" s="1593"/>
      <c r="HW326" s="1593"/>
      <c r="HX326" s="1593"/>
      <c r="HY326" s="1593"/>
      <c r="HZ326" s="1593"/>
      <c r="IA326" s="1593"/>
      <c r="IB326" s="1593"/>
      <c r="IC326" s="1593"/>
      <c r="ID326" s="1593"/>
      <c r="IE326" s="1593"/>
      <c r="IF326" s="1593"/>
      <c r="IG326" s="1593"/>
      <c r="IH326" s="1593"/>
      <c r="II326" s="1593"/>
      <c r="IJ326" s="1593"/>
      <c r="IK326" s="1593"/>
      <c r="IL326" s="1593"/>
      <c r="IM326" s="1593"/>
      <c r="IN326" s="1593"/>
      <c r="IO326" s="1593"/>
      <c r="IP326" s="1593"/>
      <c r="IQ326" s="1593"/>
      <c r="IR326" s="1593"/>
      <c r="IS326" s="1593"/>
      <c r="IT326" s="1593"/>
      <c r="IU326" s="1593"/>
      <c r="IV326" s="1593"/>
      <c r="IW326" s="1593"/>
      <c r="IX326" s="1593"/>
      <c r="IY326" s="1593"/>
      <c r="IZ326" s="1593"/>
      <c r="JA326" s="1593"/>
      <c r="JB326" s="1593"/>
      <c r="JC326" s="1593"/>
      <c r="JD326" s="1593"/>
      <c r="JE326" s="1593"/>
      <c r="JF326" s="1593"/>
      <c r="JG326" s="1593"/>
      <c r="JH326" s="1593"/>
      <c r="JI326" s="1593"/>
      <c r="JJ326" s="1593"/>
      <c r="JK326" s="1593"/>
      <c r="JL326" s="1593"/>
      <c r="JM326" s="1593"/>
      <c r="JN326" s="1593"/>
      <c r="JO326" s="1593"/>
      <c r="JP326" s="1593"/>
      <c r="JQ326" s="1593"/>
      <c r="JR326" s="1593"/>
      <c r="JS326" s="1593"/>
      <c r="JT326" s="1593"/>
      <c r="JU326" s="1593"/>
      <c r="JV326" s="1593"/>
      <c r="JW326" s="1593"/>
      <c r="JX326" s="1593"/>
      <c r="JY326" s="1593"/>
      <c r="JZ326" s="1593"/>
      <c r="KA326" s="1593"/>
      <c r="KB326" s="1598"/>
    </row>
    <row r="327" spans="2:288" ht="15" customHeight="1" x14ac:dyDescent="0.25">
      <c r="B327" s="216" t="str">
        <f t="shared" si="29"/>
        <v>Desk 8</v>
      </c>
      <c r="C327" s="218" t="str">
        <v/>
      </c>
      <c r="D327" s="218" t="str">
        <v/>
      </c>
      <c r="E327" s="218" t="str">
        <v/>
      </c>
      <c r="F327" s="218" t="str">
        <v/>
      </c>
      <c r="G327" s="402" t="str">
        <v/>
      </c>
      <c r="H327" s="1593"/>
      <c r="I327" s="1593"/>
      <c r="J327" s="1593"/>
      <c r="K327" s="1593"/>
      <c r="L327" s="1593"/>
      <c r="M327" s="1593"/>
      <c r="N327" s="1593"/>
      <c r="O327" s="1593"/>
      <c r="P327" s="1593"/>
      <c r="Q327" s="1593"/>
      <c r="R327" s="1593"/>
      <c r="S327" s="1593"/>
      <c r="T327" s="1593"/>
      <c r="U327" s="1593"/>
      <c r="V327" s="1593"/>
      <c r="W327" s="1593"/>
      <c r="X327" s="1593"/>
      <c r="Y327" s="1593"/>
      <c r="Z327" s="1593"/>
      <c r="AA327" s="1593"/>
      <c r="AB327" s="1593"/>
      <c r="AC327" s="1593"/>
      <c r="AD327" s="1593"/>
      <c r="AE327" s="1593"/>
      <c r="AF327" s="1593"/>
      <c r="AG327" s="1593"/>
      <c r="AH327" s="1593"/>
      <c r="AI327" s="1593"/>
      <c r="AJ327" s="1593"/>
      <c r="AK327" s="1593"/>
      <c r="AL327" s="1593"/>
      <c r="AM327" s="1593"/>
      <c r="AN327" s="1593"/>
      <c r="AO327" s="1593"/>
      <c r="AP327" s="1593"/>
      <c r="AQ327" s="1593"/>
      <c r="AR327" s="1593"/>
      <c r="AS327" s="1593"/>
      <c r="AT327" s="1593"/>
      <c r="AU327" s="1593"/>
      <c r="AV327" s="1593"/>
      <c r="AW327" s="1593"/>
      <c r="AX327" s="1593"/>
      <c r="AY327" s="1593"/>
      <c r="AZ327" s="1593"/>
      <c r="BA327" s="1593"/>
      <c r="BB327" s="1593"/>
      <c r="BC327" s="1593"/>
      <c r="BD327" s="1593"/>
      <c r="BE327" s="1593"/>
      <c r="BF327" s="1593"/>
      <c r="BG327" s="1593"/>
      <c r="BH327" s="1593"/>
      <c r="BI327" s="1593"/>
      <c r="BJ327" s="1593"/>
      <c r="BK327" s="1593"/>
      <c r="BL327" s="1593"/>
      <c r="BM327" s="1593"/>
      <c r="BN327" s="1593"/>
      <c r="BO327" s="1593"/>
      <c r="BP327" s="1593"/>
      <c r="BQ327" s="1593"/>
      <c r="BR327" s="1593"/>
      <c r="BS327" s="1593"/>
      <c r="BT327" s="1593"/>
      <c r="BU327" s="1593"/>
      <c r="BV327" s="1593"/>
      <c r="BW327" s="1593"/>
      <c r="BX327" s="1593"/>
      <c r="BY327" s="1593"/>
      <c r="BZ327" s="1593"/>
      <c r="CA327" s="1593"/>
      <c r="CB327" s="1593"/>
      <c r="CC327" s="1593"/>
      <c r="CD327" s="1593"/>
      <c r="CE327" s="1593"/>
      <c r="CF327" s="1593"/>
      <c r="CG327" s="1593"/>
      <c r="CH327" s="1593"/>
      <c r="CI327" s="1593"/>
      <c r="CJ327" s="1593"/>
      <c r="CK327" s="1593"/>
      <c r="CL327" s="1593"/>
      <c r="CM327" s="1593"/>
      <c r="CN327" s="1593"/>
      <c r="CO327" s="1593"/>
      <c r="CP327" s="1593"/>
      <c r="CQ327" s="1593"/>
      <c r="CR327" s="1593"/>
      <c r="CS327" s="1593"/>
      <c r="CT327" s="1593"/>
      <c r="CU327" s="1593"/>
      <c r="CV327" s="1593"/>
      <c r="CW327" s="1593"/>
      <c r="CX327" s="1593"/>
      <c r="CY327" s="1593"/>
      <c r="CZ327" s="1593"/>
      <c r="DA327" s="1593"/>
      <c r="DB327" s="1593"/>
      <c r="DC327" s="1593"/>
      <c r="DD327" s="1593"/>
      <c r="DE327" s="1593"/>
      <c r="DF327" s="1593"/>
      <c r="DG327" s="1593"/>
      <c r="DH327" s="1593"/>
      <c r="DI327" s="1593"/>
      <c r="DJ327" s="1593"/>
      <c r="DK327" s="1593"/>
      <c r="DL327" s="1593"/>
      <c r="DM327" s="1593"/>
      <c r="DN327" s="1593"/>
      <c r="DO327" s="1593"/>
      <c r="DP327" s="1593"/>
      <c r="DQ327" s="1593"/>
      <c r="DR327" s="1593"/>
      <c r="DS327" s="1593"/>
      <c r="DT327" s="1593"/>
      <c r="DU327" s="1593"/>
      <c r="DV327" s="1593"/>
      <c r="DW327" s="1593"/>
      <c r="DX327" s="1593"/>
      <c r="DY327" s="1593"/>
      <c r="DZ327" s="1593"/>
      <c r="EA327" s="1593"/>
      <c r="EB327" s="1593"/>
      <c r="EC327" s="1593"/>
      <c r="ED327" s="1593"/>
      <c r="EE327" s="1593"/>
      <c r="EF327" s="1593"/>
      <c r="EG327" s="1593"/>
      <c r="EH327" s="1593"/>
      <c r="EI327" s="1593"/>
      <c r="EJ327" s="1593"/>
      <c r="EK327" s="1593"/>
      <c r="EL327" s="1593"/>
      <c r="EM327" s="1593"/>
      <c r="EN327" s="1593"/>
      <c r="EO327" s="1593"/>
      <c r="EP327" s="1593"/>
      <c r="EQ327" s="1593"/>
      <c r="ER327" s="1593"/>
      <c r="ES327" s="1593"/>
      <c r="ET327" s="1593"/>
      <c r="EU327" s="1593"/>
      <c r="EV327" s="1593"/>
      <c r="EW327" s="1593"/>
      <c r="EX327" s="1593"/>
      <c r="EY327" s="1593"/>
      <c r="EZ327" s="1593"/>
      <c r="FA327" s="1593"/>
      <c r="FB327" s="1593"/>
      <c r="FC327" s="1593"/>
      <c r="FD327" s="1593"/>
      <c r="FE327" s="1593"/>
      <c r="FF327" s="1593"/>
      <c r="FG327" s="1593"/>
      <c r="FH327" s="1593"/>
      <c r="FI327" s="1593"/>
      <c r="FJ327" s="1593"/>
      <c r="FK327" s="1593"/>
      <c r="FL327" s="1593"/>
      <c r="FM327" s="1593"/>
      <c r="FN327" s="1593"/>
      <c r="FO327" s="1593"/>
      <c r="FP327" s="1593"/>
      <c r="FQ327" s="1593"/>
      <c r="FR327" s="1593"/>
      <c r="FS327" s="1593"/>
      <c r="FT327" s="1593"/>
      <c r="FU327" s="1593"/>
      <c r="FV327" s="1593"/>
      <c r="FW327" s="1593"/>
      <c r="FX327" s="1593"/>
      <c r="FY327" s="1593"/>
      <c r="FZ327" s="1593"/>
      <c r="GA327" s="1593"/>
      <c r="GB327" s="1593"/>
      <c r="GC327" s="1593"/>
      <c r="GD327" s="1593"/>
      <c r="GE327" s="1593"/>
      <c r="GF327" s="1593"/>
      <c r="GG327" s="1593"/>
      <c r="GH327" s="1593"/>
      <c r="GI327" s="1593"/>
      <c r="GJ327" s="1593"/>
      <c r="GK327" s="1593"/>
      <c r="GL327" s="1593"/>
      <c r="GM327" s="1593"/>
      <c r="GN327" s="1593"/>
      <c r="GO327" s="1593"/>
      <c r="GP327" s="1593"/>
      <c r="GQ327" s="1593"/>
      <c r="GR327" s="1593"/>
      <c r="GS327" s="1593"/>
      <c r="GT327" s="1593"/>
      <c r="GU327" s="1593"/>
      <c r="GV327" s="1593"/>
      <c r="GW327" s="1593"/>
      <c r="GX327" s="1593"/>
      <c r="GY327" s="1593"/>
      <c r="GZ327" s="1593"/>
      <c r="HA327" s="1593"/>
      <c r="HB327" s="1593"/>
      <c r="HC327" s="1593"/>
      <c r="HD327" s="1593"/>
      <c r="HE327" s="1593"/>
      <c r="HF327" s="1593"/>
      <c r="HG327" s="1593"/>
      <c r="HH327" s="1593"/>
      <c r="HI327" s="1593"/>
      <c r="HJ327" s="1593"/>
      <c r="HK327" s="1593"/>
      <c r="HL327" s="1593"/>
      <c r="HM327" s="1593"/>
      <c r="HN327" s="1593"/>
      <c r="HO327" s="1593"/>
      <c r="HP327" s="1593"/>
      <c r="HQ327" s="1593"/>
      <c r="HR327" s="1593"/>
      <c r="HS327" s="1593"/>
      <c r="HT327" s="1593"/>
      <c r="HU327" s="1593"/>
      <c r="HV327" s="1593"/>
      <c r="HW327" s="1593"/>
      <c r="HX327" s="1593"/>
      <c r="HY327" s="1593"/>
      <c r="HZ327" s="1593"/>
      <c r="IA327" s="1593"/>
      <c r="IB327" s="1593"/>
      <c r="IC327" s="1593"/>
      <c r="ID327" s="1593"/>
      <c r="IE327" s="1593"/>
      <c r="IF327" s="1593"/>
      <c r="IG327" s="1593"/>
      <c r="IH327" s="1593"/>
      <c r="II327" s="1593"/>
      <c r="IJ327" s="1593"/>
      <c r="IK327" s="1593"/>
      <c r="IL327" s="1593"/>
      <c r="IM327" s="1593"/>
      <c r="IN327" s="1593"/>
      <c r="IO327" s="1593"/>
      <c r="IP327" s="1593"/>
      <c r="IQ327" s="1593"/>
      <c r="IR327" s="1593"/>
      <c r="IS327" s="1593"/>
      <c r="IT327" s="1593"/>
      <c r="IU327" s="1593"/>
      <c r="IV327" s="1593"/>
      <c r="IW327" s="1593"/>
      <c r="IX327" s="1593"/>
      <c r="IY327" s="1593"/>
      <c r="IZ327" s="1593"/>
      <c r="JA327" s="1593"/>
      <c r="JB327" s="1593"/>
      <c r="JC327" s="1593"/>
      <c r="JD327" s="1593"/>
      <c r="JE327" s="1593"/>
      <c r="JF327" s="1593"/>
      <c r="JG327" s="1593"/>
      <c r="JH327" s="1593"/>
      <c r="JI327" s="1593"/>
      <c r="JJ327" s="1593"/>
      <c r="JK327" s="1593"/>
      <c r="JL327" s="1593"/>
      <c r="JM327" s="1593"/>
      <c r="JN327" s="1593"/>
      <c r="JO327" s="1593"/>
      <c r="JP327" s="1593"/>
      <c r="JQ327" s="1593"/>
      <c r="JR327" s="1593"/>
      <c r="JS327" s="1593"/>
      <c r="JT327" s="1593"/>
      <c r="JU327" s="1593"/>
      <c r="JV327" s="1593"/>
      <c r="JW327" s="1593"/>
      <c r="JX327" s="1593"/>
      <c r="JY327" s="1593"/>
      <c r="JZ327" s="1593"/>
      <c r="KA327" s="1593"/>
      <c r="KB327" s="1598"/>
    </row>
    <row r="328" spans="2:288" ht="15" customHeight="1" x14ac:dyDescent="0.25">
      <c r="B328" s="216" t="str">
        <f t="shared" si="29"/>
        <v>Desk 9</v>
      </c>
      <c r="C328" s="218" t="str">
        <v/>
      </c>
      <c r="D328" s="218" t="str">
        <v/>
      </c>
      <c r="E328" s="218" t="str">
        <v/>
      </c>
      <c r="F328" s="218" t="str">
        <v/>
      </c>
      <c r="G328" s="402" t="str">
        <v/>
      </c>
      <c r="H328" s="1593"/>
      <c r="I328" s="1593"/>
      <c r="J328" s="1593"/>
      <c r="K328" s="1593"/>
      <c r="L328" s="1593"/>
      <c r="M328" s="1593"/>
      <c r="N328" s="1593"/>
      <c r="O328" s="1593"/>
      <c r="P328" s="1593"/>
      <c r="Q328" s="1593"/>
      <c r="R328" s="1593"/>
      <c r="S328" s="1593"/>
      <c r="T328" s="1593"/>
      <c r="U328" s="1593"/>
      <c r="V328" s="1593"/>
      <c r="W328" s="1593"/>
      <c r="X328" s="1593"/>
      <c r="Y328" s="1593"/>
      <c r="Z328" s="1593"/>
      <c r="AA328" s="1593"/>
      <c r="AB328" s="1593"/>
      <c r="AC328" s="1593"/>
      <c r="AD328" s="1593"/>
      <c r="AE328" s="1593"/>
      <c r="AF328" s="1593"/>
      <c r="AG328" s="1593"/>
      <c r="AH328" s="1593"/>
      <c r="AI328" s="1593"/>
      <c r="AJ328" s="1593"/>
      <c r="AK328" s="1593"/>
      <c r="AL328" s="1593"/>
      <c r="AM328" s="1593"/>
      <c r="AN328" s="1593"/>
      <c r="AO328" s="1593"/>
      <c r="AP328" s="1593"/>
      <c r="AQ328" s="1593"/>
      <c r="AR328" s="1593"/>
      <c r="AS328" s="1593"/>
      <c r="AT328" s="1593"/>
      <c r="AU328" s="1593"/>
      <c r="AV328" s="1593"/>
      <c r="AW328" s="1593"/>
      <c r="AX328" s="1593"/>
      <c r="AY328" s="1593"/>
      <c r="AZ328" s="1593"/>
      <c r="BA328" s="1593"/>
      <c r="BB328" s="1593"/>
      <c r="BC328" s="1593"/>
      <c r="BD328" s="1593"/>
      <c r="BE328" s="1593"/>
      <c r="BF328" s="1593"/>
      <c r="BG328" s="1593"/>
      <c r="BH328" s="1593"/>
      <c r="BI328" s="1593"/>
      <c r="BJ328" s="1593"/>
      <c r="BK328" s="1593"/>
      <c r="BL328" s="1593"/>
      <c r="BM328" s="1593"/>
      <c r="BN328" s="1593"/>
      <c r="BO328" s="1593"/>
      <c r="BP328" s="1593"/>
      <c r="BQ328" s="1593"/>
      <c r="BR328" s="1593"/>
      <c r="BS328" s="1593"/>
      <c r="BT328" s="1593"/>
      <c r="BU328" s="1593"/>
      <c r="BV328" s="1593"/>
      <c r="BW328" s="1593"/>
      <c r="BX328" s="1593"/>
      <c r="BY328" s="1593"/>
      <c r="BZ328" s="1593"/>
      <c r="CA328" s="1593"/>
      <c r="CB328" s="1593"/>
      <c r="CC328" s="1593"/>
      <c r="CD328" s="1593"/>
      <c r="CE328" s="1593"/>
      <c r="CF328" s="1593"/>
      <c r="CG328" s="1593"/>
      <c r="CH328" s="1593"/>
      <c r="CI328" s="1593"/>
      <c r="CJ328" s="1593"/>
      <c r="CK328" s="1593"/>
      <c r="CL328" s="1593"/>
      <c r="CM328" s="1593"/>
      <c r="CN328" s="1593"/>
      <c r="CO328" s="1593"/>
      <c r="CP328" s="1593"/>
      <c r="CQ328" s="1593"/>
      <c r="CR328" s="1593"/>
      <c r="CS328" s="1593"/>
      <c r="CT328" s="1593"/>
      <c r="CU328" s="1593"/>
      <c r="CV328" s="1593"/>
      <c r="CW328" s="1593"/>
      <c r="CX328" s="1593"/>
      <c r="CY328" s="1593"/>
      <c r="CZ328" s="1593"/>
      <c r="DA328" s="1593"/>
      <c r="DB328" s="1593"/>
      <c r="DC328" s="1593"/>
      <c r="DD328" s="1593"/>
      <c r="DE328" s="1593"/>
      <c r="DF328" s="1593"/>
      <c r="DG328" s="1593"/>
      <c r="DH328" s="1593"/>
      <c r="DI328" s="1593"/>
      <c r="DJ328" s="1593"/>
      <c r="DK328" s="1593"/>
      <c r="DL328" s="1593"/>
      <c r="DM328" s="1593"/>
      <c r="DN328" s="1593"/>
      <c r="DO328" s="1593"/>
      <c r="DP328" s="1593"/>
      <c r="DQ328" s="1593"/>
      <c r="DR328" s="1593"/>
      <c r="DS328" s="1593"/>
      <c r="DT328" s="1593"/>
      <c r="DU328" s="1593"/>
      <c r="DV328" s="1593"/>
      <c r="DW328" s="1593"/>
      <c r="DX328" s="1593"/>
      <c r="DY328" s="1593"/>
      <c r="DZ328" s="1593"/>
      <c r="EA328" s="1593"/>
      <c r="EB328" s="1593"/>
      <c r="EC328" s="1593"/>
      <c r="ED328" s="1593"/>
      <c r="EE328" s="1593"/>
      <c r="EF328" s="1593"/>
      <c r="EG328" s="1593"/>
      <c r="EH328" s="1593"/>
      <c r="EI328" s="1593"/>
      <c r="EJ328" s="1593"/>
      <c r="EK328" s="1593"/>
      <c r="EL328" s="1593"/>
      <c r="EM328" s="1593"/>
      <c r="EN328" s="1593"/>
      <c r="EO328" s="1593"/>
      <c r="EP328" s="1593"/>
      <c r="EQ328" s="1593"/>
      <c r="ER328" s="1593"/>
      <c r="ES328" s="1593"/>
      <c r="ET328" s="1593"/>
      <c r="EU328" s="1593"/>
      <c r="EV328" s="1593"/>
      <c r="EW328" s="1593"/>
      <c r="EX328" s="1593"/>
      <c r="EY328" s="1593"/>
      <c r="EZ328" s="1593"/>
      <c r="FA328" s="1593"/>
      <c r="FB328" s="1593"/>
      <c r="FC328" s="1593"/>
      <c r="FD328" s="1593"/>
      <c r="FE328" s="1593"/>
      <c r="FF328" s="1593"/>
      <c r="FG328" s="1593"/>
      <c r="FH328" s="1593"/>
      <c r="FI328" s="1593"/>
      <c r="FJ328" s="1593"/>
      <c r="FK328" s="1593"/>
      <c r="FL328" s="1593"/>
      <c r="FM328" s="1593"/>
      <c r="FN328" s="1593"/>
      <c r="FO328" s="1593"/>
      <c r="FP328" s="1593"/>
      <c r="FQ328" s="1593"/>
      <c r="FR328" s="1593"/>
      <c r="FS328" s="1593"/>
      <c r="FT328" s="1593"/>
      <c r="FU328" s="1593"/>
      <c r="FV328" s="1593"/>
      <c r="FW328" s="1593"/>
      <c r="FX328" s="1593"/>
      <c r="FY328" s="1593"/>
      <c r="FZ328" s="1593"/>
      <c r="GA328" s="1593"/>
      <c r="GB328" s="1593"/>
      <c r="GC328" s="1593"/>
      <c r="GD328" s="1593"/>
      <c r="GE328" s="1593"/>
      <c r="GF328" s="1593"/>
      <c r="GG328" s="1593"/>
      <c r="GH328" s="1593"/>
      <c r="GI328" s="1593"/>
      <c r="GJ328" s="1593"/>
      <c r="GK328" s="1593"/>
      <c r="GL328" s="1593"/>
      <c r="GM328" s="1593"/>
      <c r="GN328" s="1593"/>
      <c r="GO328" s="1593"/>
      <c r="GP328" s="1593"/>
      <c r="GQ328" s="1593"/>
      <c r="GR328" s="1593"/>
      <c r="GS328" s="1593"/>
      <c r="GT328" s="1593"/>
      <c r="GU328" s="1593"/>
      <c r="GV328" s="1593"/>
      <c r="GW328" s="1593"/>
      <c r="GX328" s="1593"/>
      <c r="GY328" s="1593"/>
      <c r="GZ328" s="1593"/>
      <c r="HA328" s="1593"/>
      <c r="HB328" s="1593"/>
      <c r="HC328" s="1593"/>
      <c r="HD328" s="1593"/>
      <c r="HE328" s="1593"/>
      <c r="HF328" s="1593"/>
      <c r="HG328" s="1593"/>
      <c r="HH328" s="1593"/>
      <c r="HI328" s="1593"/>
      <c r="HJ328" s="1593"/>
      <c r="HK328" s="1593"/>
      <c r="HL328" s="1593"/>
      <c r="HM328" s="1593"/>
      <c r="HN328" s="1593"/>
      <c r="HO328" s="1593"/>
      <c r="HP328" s="1593"/>
      <c r="HQ328" s="1593"/>
      <c r="HR328" s="1593"/>
      <c r="HS328" s="1593"/>
      <c r="HT328" s="1593"/>
      <c r="HU328" s="1593"/>
      <c r="HV328" s="1593"/>
      <c r="HW328" s="1593"/>
      <c r="HX328" s="1593"/>
      <c r="HY328" s="1593"/>
      <c r="HZ328" s="1593"/>
      <c r="IA328" s="1593"/>
      <c r="IB328" s="1593"/>
      <c r="IC328" s="1593"/>
      <c r="ID328" s="1593"/>
      <c r="IE328" s="1593"/>
      <c r="IF328" s="1593"/>
      <c r="IG328" s="1593"/>
      <c r="IH328" s="1593"/>
      <c r="II328" s="1593"/>
      <c r="IJ328" s="1593"/>
      <c r="IK328" s="1593"/>
      <c r="IL328" s="1593"/>
      <c r="IM328" s="1593"/>
      <c r="IN328" s="1593"/>
      <c r="IO328" s="1593"/>
      <c r="IP328" s="1593"/>
      <c r="IQ328" s="1593"/>
      <c r="IR328" s="1593"/>
      <c r="IS328" s="1593"/>
      <c r="IT328" s="1593"/>
      <c r="IU328" s="1593"/>
      <c r="IV328" s="1593"/>
      <c r="IW328" s="1593"/>
      <c r="IX328" s="1593"/>
      <c r="IY328" s="1593"/>
      <c r="IZ328" s="1593"/>
      <c r="JA328" s="1593"/>
      <c r="JB328" s="1593"/>
      <c r="JC328" s="1593"/>
      <c r="JD328" s="1593"/>
      <c r="JE328" s="1593"/>
      <c r="JF328" s="1593"/>
      <c r="JG328" s="1593"/>
      <c r="JH328" s="1593"/>
      <c r="JI328" s="1593"/>
      <c r="JJ328" s="1593"/>
      <c r="JK328" s="1593"/>
      <c r="JL328" s="1593"/>
      <c r="JM328" s="1593"/>
      <c r="JN328" s="1593"/>
      <c r="JO328" s="1593"/>
      <c r="JP328" s="1593"/>
      <c r="JQ328" s="1593"/>
      <c r="JR328" s="1593"/>
      <c r="JS328" s="1593"/>
      <c r="JT328" s="1593"/>
      <c r="JU328" s="1593"/>
      <c r="JV328" s="1593"/>
      <c r="JW328" s="1593"/>
      <c r="JX328" s="1593"/>
      <c r="JY328" s="1593"/>
      <c r="JZ328" s="1593"/>
      <c r="KA328" s="1593"/>
      <c r="KB328" s="1598"/>
    </row>
    <row r="329" spans="2:288" ht="15" customHeight="1" x14ac:dyDescent="0.25">
      <c r="B329" s="216" t="str">
        <f t="shared" si="29"/>
        <v>Desk 10</v>
      </c>
      <c r="C329" s="218" t="str">
        <v/>
      </c>
      <c r="D329" s="218" t="str">
        <v/>
      </c>
      <c r="E329" s="218" t="str">
        <v/>
      </c>
      <c r="F329" s="218" t="str">
        <v/>
      </c>
      <c r="G329" s="402" t="str">
        <v/>
      </c>
      <c r="H329" s="1593"/>
      <c r="I329" s="1593"/>
      <c r="J329" s="1593"/>
      <c r="K329" s="1593"/>
      <c r="L329" s="1593"/>
      <c r="M329" s="1593"/>
      <c r="N329" s="1593"/>
      <c r="O329" s="1593"/>
      <c r="P329" s="1593"/>
      <c r="Q329" s="1593"/>
      <c r="R329" s="1593"/>
      <c r="S329" s="1593"/>
      <c r="T329" s="1593"/>
      <c r="U329" s="1593"/>
      <c r="V329" s="1593"/>
      <c r="W329" s="1593"/>
      <c r="X329" s="1593"/>
      <c r="Y329" s="1593"/>
      <c r="Z329" s="1593"/>
      <c r="AA329" s="1593"/>
      <c r="AB329" s="1593"/>
      <c r="AC329" s="1593"/>
      <c r="AD329" s="1593"/>
      <c r="AE329" s="1593"/>
      <c r="AF329" s="1593"/>
      <c r="AG329" s="1593"/>
      <c r="AH329" s="1593"/>
      <c r="AI329" s="1593"/>
      <c r="AJ329" s="1593"/>
      <c r="AK329" s="1593"/>
      <c r="AL329" s="1593"/>
      <c r="AM329" s="1593"/>
      <c r="AN329" s="1593"/>
      <c r="AO329" s="1593"/>
      <c r="AP329" s="1593"/>
      <c r="AQ329" s="1593"/>
      <c r="AR329" s="1593"/>
      <c r="AS329" s="1593"/>
      <c r="AT329" s="1593"/>
      <c r="AU329" s="1593"/>
      <c r="AV329" s="1593"/>
      <c r="AW329" s="1593"/>
      <c r="AX329" s="1593"/>
      <c r="AY329" s="1593"/>
      <c r="AZ329" s="1593"/>
      <c r="BA329" s="1593"/>
      <c r="BB329" s="1593"/>
      <c r="BC329" s="1593"/>
      <c r="BD329" s="1593"/>
      <c r="BE329" s="1593"/>
      <c r="BF329" s="1593"/>
      <c r="BG329" s="1593"/>
      <c r="BH329" s="1593"/>
      <c r="BI329" s="1593"/>
      <c r="BJ329" s="1593"/>
      <c r="BK329" s="1593"/>
      <c r="BL329" s="1593"/>
      <c r="BM329" s="1593"/>
      <c r="BN329" s="1593"/>
      <c r="BO329" s="1593"/>
      <c r="BP329" s="1593"/>
      <c r="BQ329" s="1593"/>
      <c r="BR329" s="1593"/>
      <c r="BS329" s="1593"/>
      <c r="BT329" s="1593"/>
      <c r="BU329" s="1593"/>
      <c r="BV329" s="1593"/>
      <c r="BW329" s="1593"/>
      <c r="BX329" s="1593"/>
      <c r="BY329" s="1593"/>
      <c r="BZ329" s="1593"/>
      <c r="CA329" s="1593"/>
      <c r="CB329" s="1593"/>
      <c r="CC329" s="1593"/>
      <c r="CD329" s="1593"/>
      <c r="CE329" s="1593"/>
      <c r="CF329" s="1593"/>
      <c r="CG329" s="1593"/>
      <c r="CH329" s="1593"/>
      <c r="CI329" s="1593"/>
      <c r="CJ329" s="1593"/>
      <c r="CK329" s="1593"/>
      <c r="CL329" s="1593"/>
      <c r="CM329" s="1593"/>
      <c r="CN329" s="1593"/>
      <c r="CO329" s="1593"/>
      <c r="CP329" s="1593"/>
      <c r="CQ329" s="1593"/>
      <c r="CR329" s="1593"/>
      <c r="CS329" s="1593"/>
      <c r="CT329" s="1593"/>
      <c r="CU329" s="1593"/>
      <c r="CV329" s="1593"/>
      <c r="CW329" s="1593"/>
      <c r="CX329" s="1593"/>
      <c r="CY329" s="1593"/>
      <c r="CZ329" s="1593"/>
      <c r="DA329" s="1593"/>
      <c r="DB329" s="1593"/>
      <c r="DC329" s="1593"/>
      <c r="DD329" s="1593"/>
      <c r="DE329" s="1593"/>
      <c r="DF329" s="1593"/>
      <c r="DG329" s="1593"/>
      <c r="DH329" s="1593"/>
      <c r="DI329" s="1593"/>
      <c r="DJ329" s="1593"/>
      <c r="DK329" s="1593"/>
      <c r="DL329" s="1593"/>
      <c r="DM329" s="1593"/>
      <c r="DN329" s="1593"/>
      <c r="DO329" s="1593"/>
      <c r="DP329" s="1593"/>
      <c r="DQ329" s="1593"/>
      <c r="DR329" s="1593"/>
      <c r="DS329" s="1593"/>
      <c r="DT329" s="1593"/>
      <c r="DU329" s="1593"/>
      <c r="DV329" s="1593"/>
      <c r="DW329" s="1593"/>
      <c r="DX329" s="1593"/>
      <c r="DY329" s="1593"/>
      <c r="DZ329" s="1593"/>
      <c r="EA329" s="1593"/>
      <c r="EB329" s="1593"/>
      <c r="EC329" s="1593"/>
      <c r="ED329" s="1593"/>
      <c r="EE329" s="1593"/>
      <c r="EF329" s="1593"/>
      <c r="EG329" s="1593"/>
      <c r="EH329" s="1593"/>
      <c r="EI329" s="1593"/>
      <c r="EJ329" s="1593"/>
      <c r="EK329" s="1593"/>
      <c r="EL329" s="1593"/>
      <c r="EM329" s="1593"/>
      <c r="EN329" s="1593"/>
      <c r="EO329" s="1593"/>
      <c r="EP329" s="1593"/>
      <c r="EQ329" s="1593"/>
      <c r="ER329" s="1593"/>
      <c r="ES329" s="1593"/>
      <c r="ET329" s="1593"/>
      <c r="EU329" s="1593"/>
      <c r="EV329" s="1593"/>
      <c r="EW329" s="1593"/>
      <c r="EX329" s="1593"/>
      <c r="EY329" s="1593"/>
      <c r="EZ329" s="1593"/>
      <c r="FA329" s="1593"/>
      <c r="FB329" s="1593"/>
      <c r="FC329" s="1593"/>
      <c r="FD329" s="1593"/>
      <c r="FE329" s="1593"/>
      <c r="FF329" s="1593"/>
      <c r="FG329" s="1593"/>
      <c r="FH329" s="1593"/>
      <c r="FI329" s="1593"/>
      <c r="FJ329" s="1593"/>
      <c r="FK329" s="1593"/>
      <c r="FL329" s="1593"/>
      <c r="FM329" s="1593"/>
      <c r="FN329" s="1593"/>
      <c r="FO329" s="1593"/>
      <c r="FP329" s="1593"/>
      <c r="FQ329" s="1593"/>
      <c r="FR329" s="1593"/>
      <c r="FS329" s="1593"/>
      <c r="FT329" s="1593"/>
      <c r="FU329" s="1593"/>
      <c r="FV329" s="1593"/>
      <c r="FW329" s="1593"/>
      <c r="FX329" s="1593"/>
      <c r="FY329" s="1593"/>
      <c r="FZ329" s="1593"/>
      <c r="GA329" s="1593"/>
      <c r="GB329" s="1593"/>
      <c r="GC329" s="1593"/>
      <c r="GD329" s="1593"/>
      <c r="GE329" s="1593"/>
      <c r="GF329" s="1593"/>
      <c r="GG329" s="1593"/>
      <c r="GH329" s="1593"/>
      <c r="GI329" s="1593"/>
      <c r="GJ329" s="1593"/>
      <c r="GK329" s="1593"/>
      <c r="GL329" s="1593"/>
      <c r="GM329" s="1593"/>
      <c r="GN329" s="1593"/>
      <c r="GO329" s="1593"/>
      <c r="GP329" s="1593"/>
      <c r="GQ329" s="1593"/>
      <c r="GR329" s="1593"/>
      <c r="GS329" s="1593"/>
      <c r="GT329" s="1593"/>
      <c r="GU329" s="1593"/>
      <c r="GV329" s="1593"/>
      <c r="GW329" s="1593"/>
      <c r="GX329" s="1593"/>
      <c r="GY329" s="1593"/>
      <c r="GZ329" s="1593"/>
      <c r="HA329" s="1593"/>
      <c r="HB329" s="1593"/>
      <c r="HC329" s="1593"/>
      <c r="HD329" s="1593"/>
      <c r="HE329" s="1593"/>
      <c r="HF329" s="1593"/>
      <c r="HG329" s="1593"/>
      <c r="HH329" s="1593"/>
      <c r="HI329" s="1593"/>
      <c r="HJ329" s="1593"/>
      <c r="HK329" s="1593"/>
      <c r="HL329" s="1593"/>
      <c r="HM329" s="1593"/>
      <c r="HN329" s="1593"/>
      <c r="HO329" s="1593"/>
      <c r="HP329" s="1593"/>
      <c r="HQ329" s="1593"/>
      <c r="HR329" s="1593"/>
      <c r="HS329" s="1593"/>
      <c r="HT329" s="1593"/>
      <c r="HU329" s="1593"/>
      <c r="HV329" s="1593"/>
      <c r="HW329" s="1593"/>
      <c r="HX329" s="1593"/>
      <c r="HY329" s="1593"/>
      <c r="HZ329" s="1593"/>
      <c r="IA329" s="1593"/>
      <c r="IB329" s="1593"/>
      <c r="IC329" s="1593"/>
      <c r="ID329" s="1593"/>
      <c r="IE329" s="1593"/>
      <c r="IF329" s="1593"/>
      <c r="IG329" s="1593"/>
      <c r="IH329" s="1593"/>
      <c r="II329" s="1593"/>
      <c r="IJ329" s="1593"/>
      <c r="IK329" s="1593"/>
      <c r="IL329" s="1593"/>
      <c r="IM329" s="1593"/>
      <c r="IN329" s="1593"/>
      <c r="IO329" s="1593"/>
      <c r="IP329" s="1593"/>
      <c r="IQ329" s="1593"/>
      <c r="IR329" s="1593"/>
      <c r="IS329" s="1593"/>
      <c r="IT329" s="1593"/>
      <c r="IU329" s="1593"/>
      <c r="IV329" s="1593"/>
      <c r="IW329" s="1593"/>
      <c r="IX329" s="1593"/>
      <c r="IY329" s="1593"/>
      <c r="IZ329" s="1593"/>
      <c r="JA329" s="1593"/>
      <c r="JB329" s="1593"/>
      <c r="JC329" s="1593"/>
      <c r="JD329" s="1593"/>
      <c r="JE329" s="1593"/>
      <c r="JF329" s="1593"/>
      <c r="JG329" s="1593"/>
      <c r="JH329" s="1593"/>
      <c r="JI329" s="1593"/>
      <c r="JJ329" s="1593"/>
      <c r="JK329" s="1593"/>
      <c r="JL329" s="1593"/>
      <c r="JM329" s="1593"/>
      <c r="JN329" s="1593"/>
      <c r="JO329" s="1593"/>
      <c r="JP329" s="1593"/>
      <c r="JQ329" s="1593"/>
      <c r="JR329" s="1593"/>
      <c r="JS329" s="1593"/>
      <c r="JT329" s="1593"/>
      <c r="JU329" s="1593"/>
      <c r="JV329" s="1593"/>
      <c r="JW329" s="1593"/>
      <c r="JX329" s="1593"/>
      <c r="JY329" s="1593"/>
      <c r="JZ329" s="1593"/>
      <c r="KA329" s="1593"/>
      <c r="KB329" s="1598"/>
    </row>
    <row r="330" spans="2:288" ht="15" customHeight="1" x14ac:dyDescent="0.25">
      <c r="B330" s="216" t="str">
        <f t="shared" si="29"/>
        <v>Desk 11</v>
      </c>
      <c r="C330" s="218" t="str">
        <v/>
      </c>
      <c r="D330" s="218" t="str">
        <v/>
      </c>
      <c r="E330" s="218" t="str">
        <v/>
      </c>
      <c r="F330" s="218" t="str">
        <v/>
      </c>
      <c r="G330" s="402" t="str">
        <v/>
      </c>
      <c r="H330" s="1593"/>
      <c r="I330" s="1593"/>
      <c r="J330" s="1593"/>
      <c r="K330" s="1593"/>
      <c r="L330" s="1593"/>
      <c r="M330" s="1593"/>
      <c r="N330" s="1593"/>
      <c r="O330" s="1593"/>
      <c r="P330" s="1593"/>
      <c r="Q330" s="1593"/>
      <c r="R330" s="1593"/>
      <c r="S330" s="1593"/>
      <c r="T330" s="1593"/>
      <c r="U330" s="1593"/>
      <c r="V330" s="1593"/>
      <c r="W330" s="1593"/>
      <c r="X330" s="1593"/>
      <c r="Y330" s="1593"/>
      <c r="Z330" s="1593"/>
      <c r="AA330" s="1593"/>
      <c r="AB330" s="1593"/>
      <c r="AC330" s="1593"/>
      <c r="AD330" s="1593"/>
      <c r="AE330" s="1593"/>
      <c r="AF330" s="1593"/>
      <c r="AG330" s="1593"/>
      <c r="AH330" s="1593"/>
      <c r="AI330" s="1593"/>
      <c r="AJ330" s="1593"/>
      <c r="AK330" s="1593"/>
      <c r="AL330" s="1593"/>
      <c r="AM330" s="1593"/>
      <c r="AN330" s="1593"/>
      <c r="AO330" s="1593"/>
      <c r="AP330" s="1593"/>
      <c r="AQ330" s="1593"/>
      <c r="AR330" s="1593"/>
      <c r="AS330" s="1593"/>
      <c r="AT330" s="1593"/>
      <c r="AU330" s="1593"/>
      <c r="AV330" s="1593"/>
      <c r="AW330" s="1593"/>
      <c r="AX330" s="1593"/>
      <c r="AY330" s="1593"/>
      <c r="AZ330" s="1593"/>
      <c r="BA330" s="1593"/>
      <c r="BB330" s="1593"/>
      <c r="BC330" s="1593"/>
      <c r="BD330" s="1593"/>
      <c r="BE330" s="1593"/>
      <c r="BF330" s="1593"/>
      <c r="BG330" s="1593"/>
      <c r="BH330" s="1593"/>
      <c r="BI330" s="1593"/>
      <c r="BJ330" s="1593"/>
      <c r="BK330" s="1593"/>
      <c r="BL330" s="1593"/>
      <c r="BM330" s="1593"/>
      <c r="BN330" s="1593"/>
      <c r="BO330" s="1593"/>
      <c r="BP330" s="1593"/>
      <c r="BQ330" s="1593"/>
      <c r="BR330" s="1593"/>
      <c r="BS330" s="1593"/>
      <c r="BT330" s="1593"/>
      <c r="BU330" s="1593"/>
      <c r="BV330" s="1593"/>
      <c r="BW330" s="1593"/>
      <c r="BX330" s="1593"/>
      <c r="BY330" s="1593"/>
      <c r="BZ330" s="1593"/>
      <c r="CA330" s="1593"/>
      <c r="CB330" s="1593"/>
      <c r="CC330" s="1593"/>
      <c r="CD330" s="1593"/>
      <c r="CE330" s="1593"/>
      <c r="CF330" s="1593"/>
      <c r="CG330" s="1593"/>
      <c r="CH330" s="1593"/>
      <c r="CI330" s="1593"/>
      <c r="CJ330" s="1593"/>
      <c r="CK330" s="1593"/>
      <c r="CL330" s="1593"/>
      <c r="CM330" s="1593"/>
      <c r="CN330" s="1593"/>
      <c r="CO330" s="1593"/>
      <c r="CP330" s="1593"/>
      <c r="CQ330" s="1593"/>
      <c r="CR330" s="1593"/>
      <c r="CS330" s="1593"/>
      <c r="CT330" s="1593"/>
      <c r="CU330" s="1593"/>
      <c r="CV330" s="1593"/>
      <c r="CW330" s="1593"/>
      <c r="CX330" s="1593"/>
      <c r="CY330" s="1593"/>
      <c r="CZ330" s="1593"/>
      <c r="DA330" s="1593"/>
      <c r="DB330" s="1593"/>
      <c r="DC330" s="1593"/>
      <c r="DD330" s="1593"/>
      <c r="DE330" s="1593"/>
      <c r="DF330" s="1593"/>
      <c r="DG330" s="1593"/>
      <c r="DH330" s="1593"/>
      <c r="DI330" s="1593"/>
      <c r="DJ330" s="1593"/>
      <c r="DK330" s="1593"/>
      <c r="DL330" s="1593"/>
      <c r="DM330" s="1593"/>
      <c r="DN330" s="1593"/>
      <c r="DO330" s="1593"/>
      <c r="DP330" s="1593"/>
      <c r="DQ330" s="1593"/>
      <c r="DR330" s="1593"/>
      <c r="DS330" s="1593"/>
      <c r="DT330" s="1593"/>
      <c r="DU330" s="1593"/>
      <c r="DV330" s="1593"/>
      <c r="DW330" s="1593"/>
      <c r="DX330" s="1593"/>
      <c r="DY330" s="1593"/>
      <c r="DZ330" s="1593"/>
      <c r="EA330" s="1593"/>
      <c r="EB330" s="1593"/>
      <c r="EC330" s="1593"/>
      <c r="ED330" s="1593"/>
      <c r="EE330" s="1593"/>
      <c r="EF330" s="1593"/>
      <c r="EG330" s="1593"/>
      <c r="EH330" s="1593"/>
      <c r="EI330" s="1593"/>
      <c r="EJ330" s="1593"/>
      <c r="EK330" s="1593"/>
      <c r="EL330" s="1593"/>
      <c r="EM330" s="1593"/>
      <c r="EN330" s="1593"/>
      <c r="EO330" s="1593"/>
      <c r="EP330" s="1593"/>
      <c r="EQ330" s="1593"/>
      <c r="ER330" s="1593"/>
      <c r="ES330" s="1593"/>
      <c r="ET330" s="1593"/>
      <c r="EU330" s="1593"/>
      <c r="EV330" s="1593"/>
      <c r="EW330" s="1593"/>
      <c r="EX330" s="1593"/>
      <c r="EY330" s="1593"/>
      <c r="EZ330" s="1593"/>
      <c r="FA330" s="1593"/>
      <c r="FB330" s="1593"/>
      <c r="FC330" s="1593"/>
      <c r="FD330" s="1593"/>
      <c r="FE330" s="1593"/>
      <c r="FF330" s="1593"/>
      <c r="FG330" s="1593"/>
      <c r="FH330" s="1593"/>
      <c r="FI330" s="1593"/>
      <c r="FJ330" s="1593"/>
      <c r="FK330" s="1593"/>
      <c r="FL330" s="1593"/>
      <c r="FM330" s="1593"/>
      <c r="FN330" s="1593"/>
      <c r="FO330" s="1593"/>
      <c r="FP330" s="1593"/>
      <c r="FQ330" s="1593"/>
      <c r="FR330" s="1593"/>
      <c r="FS330" s="1593"/>
      <c r="FT330" s="1593"/>
      <c r="FU330" s="1593"/>
      <c r="FV330" s="1593"/>
      <c r="FW330" s="1593"/>
      <c r="FX330" s="1593"/>
      <c r="FY330" s="1593"/>
      <c r="FZ330" s="1593"/>
      <c r="GA330" s="1593"/>
      <c r="GB330" s="1593"/>
      <c r="GC330" s="1593"/>
      <c r="GD330" s="1593"/>
      <c r="GE330" s="1593"/>
      <c r="GF330" s="1593"/>
      <c r="GG330" s="1593"/>
      <c r="GH330" s="1593"/>
      <c r="GI330" s="1593"/>
      <c r="GJ330" s="1593"/>
      <c r="GK330" s="1593"/>
      <c r="GL330" s="1593"/>
      <c r="GM330" s="1593"/>
      <c r="GN330" s="1593"/>
      <c r="GO330" s="1593"/>
      <c r="GP330" s="1593"/>
      <c r="GQ330" s="1593"/>
      <c r="GR330" s="1593"/>
      <c r="GS330" s="1593"/>
      <c r="GT330" s="1593"/>
      <c r="GU330" s="1593"/>
      <c r="GV330" s="1593"/>
      <c r="GW330" s="1593"/>
      <c r="GX330" s="1593"/>
      <c r="GY330" s="1593"/>
      <c r="GZ330" s="1593"/>
      <c r="HA330" s="1593"/>
      <c r="HB330" s="1593"/>
      <c r="HC330" s="1593"/>
      <c r="HD330" s="1593"/>
      <c r="HE330" s="1593"/>
      <c r="HF330" s="1593"/>
      <c r="HG330" s="1593"/>
      <c r="HH330" s="1593"/>
      <c r="HI330" s="1593"/>
      <c r="HJ330" s="1593"/>
      <c r="HK330" s="1593"/>
      <c r="HL330" s="1593"/>
      <c r="HM330" s="1593"/>
      <c r="HN330" s="1593"/>
      <c r="HO330" s="1593"/>
      <c r="HP330" s="1593"/>
      <c r="HQ330" s="1593"/>
      <c r="HR330" s="1593"/>
      <c r="HS330" s="1593"/>
      <c r="HT330" s="1593"/>
      <c r="HU330" s="1593"/>
      <c r="HV330" s="1593"/>
      <c r="HW330" s="1593"/>
      <c r="HX330" s="1593"/>
      <c r="HY330" s="1593"/>
      <c r="HZ330" s="1593"/>
      <c r="IA330" s="1593"/>
      <c r="IB330" s="1593"/>
      <c r="IC330" s="1593"/>
      <c r="ID330" s="1593"/>
      <c r="IE330" s="1593"/>
      <c r="IF330" s="1593"/>
      <c r="IG330" s="1593"/>
      <c r="IH330" s="1593"/>
      <c r="II330" s="1593"/>
      <c r="IJ330" s="1593"/>
      <c r="IK330" s="1593"/>
      <c r="IL330" s="1593"/>
      <c r="IM330" s="1593"/>
      <c r="IN330" s="1593"/>
      <c r="IO330" s="1593"/>
      <c r="IP330" s="1593"/>
      <c r="IQ330" s="1593"/>
      <c r="IR330" s="1593"/>
      <c r="IS330" s="1593"/>
      <c r="IT330" s="1593"/>
      <c r="IU330" s="1593"/>
      <c r="IV330" s="1593"/>
      <c r="IW330" s="1593"/>
      <c r="IX330" s="1593"/>
      <c r="IY330" s="1593"/>
      <c r="IZ330" s="1593"/>
      <c r="JA330" s="1593"/>
      <c r="JB330" s="1593"/>
      <c r="JC330" s="1593"/>
      <c r="JD330" s="1593"/>
      <c r="JE330" s="1593"/>
      <c r="JF330" s="1593"/>
      <c r="JG330" s="1593"/>
      <c r="JH330" s="1593"/>
      <c r="JI330" s="1593"/>
      <c r="JJ330" s="1593"/>
      <c r="JK330" s="1593"/>
      <c r="JL330" s="1593"/>
      <c r="JM330" s="1593"/>
      <c r="JN330" s="1593"/>
      <c r="JO330" s="1593"/>
      <c r="JP330" s="1593"/>
      <c r="JQ330" s="1593"/>
      <c r="JR330" s="1593"/>
      <c r="JS330" s="1593"/>
      <c r="JT330" s="1593"/>
      <c r="JU330" s="1593"/>
      <c r="JV330" s="1593"/>
      <c r="JW330" s="1593"/>
      <c r="JX330" s="1593"/>
      <c r="JY330" s="1593"/>
      <c r="JZ330" s="1593"/>
      <c r="KA330" s="1593"/>
      <c r="KB330" s="1598"/>
    </row>
    <row r="331" spans="2:288" ht="15" customHeight="1" x14ac:dyDescent="0.25">
      <c r="B331" s="216" t="str">
        <f t="shared" si="29"/>
        <v>Desk 12</v>
      </c>
      <c r="C331" s="218" t="str">
        <v/>
      </c>
      <c r="D331" s="218" t="str">
        <v/>
      </c>
      <c r="E331" s="218" t="str">
        <v/>
      </c>
      <c r="F331" s="218" t="str">
        <v/>
      </c>
      <c r="G331" s="402" t="str">
        <v/>
      </c>
      <c r="H331" s="1593"/>
      <c r="I331" s="1593"/>
      <c r="J331" s="1593"/>
      <c r="K331" s="1593"/>
      <c r="L331" s="1593"/>
      <c r="M331" s="1593"/>
      <c r="N331" s="1593"/>
      <c r="O331" s="1593"/>
      <c r="P331" s="1593"/>
      <c r="Q331" s="1593"/>
      <c r="R331" s="1593"/>
      <c r="S331" s="1593"/>
      <c r="T331" s="1593"/>
      <c r="U331" s="1593"/>
      <c r="V331" s="1593"/>
      <c r="W331" s="1593"/>
      <c r="X331" s="1593"/>
      <c r="Y331" s="1593"/>
      <c r="Z331" s="1593"/>
      <c r="AA331" s="1593"/>
      <c r="AB331" s="1593"/>
      <c r="AC331" s="1593"/>
      <c r="AD331" s="1593"/>
      <c r="AE331" s="1593"/>
      <c r="AF331" s="1593"/>
      <c r="AG331" s="1593"/>
      <c r="AH331" s="1593"/>
      <c r="AI331" s="1593"/>
      <c r="AJ331" s="1593"/>
      <c r="AK331" s="1593"/>
      <c r="AL331" s="1593"/>
      <c r="AM331" s="1593"/>
      <c r="AN331" s="1593"/>
      <c r="AO331" s="1593"/>
      <c r="AP331" s="1593"/>
      <c r="AQ331" s="1593"/>
      <c r="AR331" s="1593"/>
      <c r="AS331" s="1593"/>
      <c r="AT331" s="1593"/>
      <c r="AU331" s="1593"/>
      <c r="AV331" s="1593"/>
      <c r="AW331" s="1593"/>
      <c r="AX331" s="1593"/>
      <c r="AY331" s="1593"/>
      <c r="AZ331" s="1593"/>
      <c r="BA331" s="1593"/>
      <c r="BB331" s="1593"/>
      <c r="BC331" s="1593"/>
      <c r="BD331" s="1593"/>
      <c r="BE331" s="1593"/>
      <c r="BF331" s="1593"/>
      <c r="BG331" s="1593"/>
      <c r="BH331" s="1593"/>
      <c r="BI331" s="1593"/>
      <c r="BJ331" s="1593"/>
      <c r="BK331" s="1593"/>
      <c r="BL331" s="1593"/>
      <c r="BM331" s="1593"/>
      <c r="BN331" s="1593"/>
      <c r="BO331" s="1593"/>
      <c r="BP331" s="1593"/>
      <c r="BQ331" s="1593"/>
      <c r="BR331" s="1593"/>
      <c r="BS331" s="1593"/>
      <c r="BT331" s="1593"/>
      <c r="BU331" s="1593"/>
      <c r="BV331" s="1593"/>
      <c r="BW331" s="1593"/>
      <c r="BX331" s="1593"/>
      <c r="BY331" s="1593"/>
      <c r="BZ331" s="1593"/>
      <c r="CA331" s="1593"/>
      <c r="CB331" s="1593"/>
      <c r="CC331" s="1593"/>
      <c r="CD331" s="1593"/>
      <c r="CE331" s="1593"/>
      <c r="CF331" s="1593"/>
      <c r="CG331" s="1593"/>
      <c r="CH331" s="1593"/>
      <c r="CI331" s="1593"/>
      <c r="CJ331" s="1593"/>
      <c r="CK331" s="1593"/>
      <c r="CL331" s="1593"/>
      <c r="CM331" s="1593"/>
      <c r="CN331" s="1593"/>
      <c r="CO331" s="1593"/>
      <c r="CP331" s="1593"/>
      <c r="CQ331" s="1593"/>
      <c r="CR331" s="1593"/>
      <c r="CS331" s="1593"/>
      <c r="CT331" s="1593"/>
      <c r="CU331" s="1593"/>
      <c r="CV331" s="1593"/>
      <c r="CW331" s="1593"/>
      <c r="CX331" s="1593"/>
      <c r="CY331" s="1593"/>
      <c r="CZ331" s="1593"/>
      <c r="DA331" s="1593"/>
      <c r="DB331" s="1593"/>
      <c r="DC331" s="1593"/>
      <c r="DD331" s="1593"/>
      <c r="DE331" s="1593"/>
      <c r="DF331" s="1593"/>
      <c r="DG331" s="1593"/>
      <c r="DH331" s="1593"/>
      <c r="DI331" s="1593"/>
      <c r="DJ331" s="1593"/>
      <c r="DK331" s="1593"/>
      <c r="DL331" s="1593"/>
      <c r="DM331" s="1593"/>
      <c r="DN331" s="1593"/>
      <c r="DO331" s="1593"/>
      <c r="DP331" s="1593"/>
      <c r="DQ331" s="1593"/>
      <c r="DR331" s="1593"/>
      <c r="DS331" s="1593"/>
      <c r="DT331" s="1593"/>
      <c r="DU331" s="1593"/>
      <c r="DV331" s="1593"/>
      <c r="DW331" s="1593"/>
      <c r="DX331" s="1593"/>
      <c r="DY331" s="1593"/>
      <c r="DZ331" s="1593"/>
      <c r="EA331" s="1593"/>
      <c r="EB331" s="1593"/>
      <c r="EC331" s="1593"/>
      <c r="ED331" s="1593"/>
      <c r="EE331" s="1593"/>
      <c r="EF331" s="1593"/>
      <c r="EG331" s="1593"/>
      <c r="EH331" s="1593"/>
      <c r="EI331" s="1593"/>
      <c r="EJ331" s="1593"/>
      <c r="EK331" s="1593"/>
      <c r="EL331" s="1593"/>
      <c r="EM331" s="1593"/>
      <c r="EN331" s="1593"/>
      <c r="EO331" s="1593"/>
      <c r="EP331" s="1593"/>
      <c r="EQ331" s="1593"/>
      <c r="ER331" s="1593"/>
      <c r="ES331" s="1593"/>
      <c r="ET331" s="1593"/>
      <c r="EU331" s="1593"/>
      <c r="EV331" s="1593"/>
      <c r="EW331" s="1593"/>
      <c r="EX331" s="1593"/>
      <c r="EY331" s="1593"/>
      <c r="EZ331" s="1593"/>
      <c r="FA331" s="1593"/>
      <c r="FB331" s="1593"/>
      <c r="FC331" s="1593"/>
      <c r="FD331" s="1593"/>
      <c r="FE331" s="1593"/>
      <c r="FF331" s="1593"/>
      <c r="FG331" s="1593"/>
      <c r="FH331" s="1593"/>
      <c r="FI331" s="1593"/>
      <c r="FJ331" s="1593"/>
      <c r="FK331" s="1593"/>
      <c r="FL331" s="1593"/>
      <c r="FM331" s="1593"/>
      <c r="FN331" s="1593"/>
      <c r="FO331" s="1593"/>
      <c r="FP331" s="1593"/>
      <c r="FQ331" s="1593"/>
      <c r="FR331" s="1593"/>
      <c r="FS331" s="1593"/>
      <c r="FT331" s="1593"/>
      <c r="FU331" s="1593"/>
      <c r="FV331" s="1593"/>
      <c r="FW331" s="1593"/>
      <c r="FX331" s="1593"/>
      <c r="FY331" s="1593"/>
      <c r="FZ331" s="1593"/>
      <c r="GA331" s="1593"/>
      <c r="GB331" s="1593"/>
      <c r="GC331" s="1593"/>
      <c r="GD331" s="1593"/>
      <c r="GE331" s="1593"/>
      <c r="GF331" s="1593"/>
      <c r="GG331" s="1593"/>
      <c r="GH331" s="1593"/>
      <c r="GI331" s="1593"/>
      <c r="GJ331" s="1593"/>
      <c r="GK331" s="1593"/>
      <c r="GL331" s="1593"/>
      <c r="GM331" s="1593"/>
      <c r="GN331" s="1593"/>
      <c r="GO331" s="1593"/>
      <c r="GP331" s="1593"/>
      <c r="GQ331" s="1593"/>
      <c r="GR331" s="1593"/>
      <c r="GS331" s="1593"/>
      <c r="GT331" s="1593"/>
      <c r="GU331" s="1593"/>
      <c r="GV331" s="1593"/>
      <c r="GW331" s="1593"/>
      <c r="GX331" s="1593"/>
      <c r="GY331" s="1593"/>
      <c r="GZ331" s="1593"/>
      <c r="HA331" s="1593"/>
      <c r="HB331" s="1593"/>
      <c r="HC331" s="1593"/>
      <c r="HD331" s="1593"/>
      <c r="HE331" s="1593"/>
      <c r="HF331" s="1593"/>
      <c r="HG331" s="1593"/>
      <c r="HH331" s="1593"/>
      <c r="HI331" s="1593"/>
      <c r="HJ331" s="1593"/>
      <c r="HK331" s="1593"/>
      <c r="HL331" s="1593"/>
      <c r="HM331" s="1593"/>
      <c r="HN331" s="1593"/>
      <c r="HO331" s="1593"/>
      <c r="HP331" s="1593"/>
      <c r="HQ331" s="1593"/>
      <c r="HR331" s="1593"/>
      <c r="HS331" s="1593"/>
      <c r="HT331" s="1593"/>
      <c r="HU331" s="1593"/>
      <c r="HV331" s="1593"/>
      <c r="HW331" s="1593"/>
      <c r="HX331" s="1593"/>
      <c r="HY331" s="1593"/>
      <c r="HZ331" s="1593"/>
      <c r="IA331" s="1593"/>
      <c r="IB331" s="1593"/>
      <c r="IC331" s="1593"/>
      <c r="ID331" s="1593"/>
      <c r="IE331" s="1593"/>
      <c r="IF331" s="1593"/>
      <c r="IG331" s="1593"/>
      <c r="IH331" s="1593"/>
      <c r="II331" s="1593"/>
      <c r="IJ331" s="1593"/>
      <c r="IK331" s="1593"/>
      <c r="IL331" s="1593"/>
      <c r="IM331" s="1593"/>
      <c r="IN331" s="1593"/>
      <c r="IO331" s="1593"/>
      <c r="IP331" s="1593"/>
      <c r="IQ331" s="1593"/>
      <c r="IR331" s="1593"/>
      <c r="IS331" s="1593"/>
      <c r="IT331" s="1593"/>
      <c r="IU331" s="1593"/>
      <c r="IV331" s="1593"/>
      <c r="IW331" s="1593"/>
      <c r="IX331" s="1593"/>
      <c r="IY331" s="1593"/>
      <c r="IZ331" s="1593"/>
      <c r="JA331" s="1593"/>
      <c r="JB331" s="1593"/>
      <c r="JC331" s="1593"/>
      <c r="JD331" s="1593"/>
      <c r="JE331" s="1593"/>
      <c r="JF331" s="1593"/>
      <c r="JG331" s="1593"/>
      <c r="JH331" s="1593"/>
      <c r="JI331" s="1593"/>
      <c r="JJ331" s="1593"/>
      <c r="JK331" s="1593"/>
      <c r="JL331" s="1593"/>
      <c r="JM331" s="1593"/>
      <c r="JN331" s="1593"/>
      <c r="JO331" s="1593"/>
      <c r="JP331" s="1593"/>
      <c r="JQ331" s="1593"/>
      <c r="JR331" s="1593"/>
      <c r="JS331" s="1593"/>
      <c r="JT331" s="1593"/>
      <c r="JU331" s="1593"/>
      <c r="JV331" s="1593"/>
      <c r="JW331" s="1593"/>
      <c r="JX331" s="1593"/>
      <c r="JY331" s="1593"/>
      <c r="JZ331" s="1593"/>
      <c r="KA331" s="1593"/>
      <c r="KB331" s="1598"/>
    </row>
    <row r="332" spans="2:288" ht="15" customHeight="1" x14ac:dyDescent="0.25">
      <c r="B332" s="216" t="str">
        <f t="shared" si="29"/>
        <v>Desk 13</v>
      </c>
      <c r="C332" s="218" t="str">
        <v/>
      </c>
      <c r="D332" s="218" t="str">
        <v/>
      </c>
      <c r="E332" s="218" t="str">
        <v/>
      </c>
      <c r="F332" s="218" t="str">
        <v/>
      </c>
      <c r="G332" s="402" t="str">
        <v/>
      </c>
      <c r="H332" s="1593"/>
      <c r="I332" s="1593"/>
      <c r="J332" s="1593"/>
      <c r="K332" s="1593"/>
      <c r="L332" s="1593"/>
      <c r="M332" s="1593"/>
      <c r="N332" s="1593"/>
      <c r="O332" s="1593"/>
      <c r="P332" s="1593"/>
      <c r="Q332" s="1593"/>
      <c r="R332" s="1593"/>
      <c r="S332" s="1593"/>
      <c r="T332" s="1593"/>
      <c r="U332" s="1593"/>
      <c r="V332" s="1593"/>
      <c r="W332" s="1593"/>
      <c r="X332" s="1593"/>
      <c r="Y332" s="1593"/>
      <c r="Z332" s="1593"/>
      <c r="AA332" s="1593"/>
      <c r="AB332" s="1593"/>
      <c r="AC332" s="1593"/>
      <c r="AD332" s="1593"/>
      <c r="AE332" s="1593"/>
      <c r="AF332" s="1593"/>
      <c r="AG332" s="1593"/>
      <c r="AH332" s="1593"/>
      <c r="AI332" s="1593"/>
      <c r="AJ332" s="1593"/>
      <c r="AK332" s="1593"/>
      <c r="AL332" s="1593"/>
      <c r="AM332" s="1593"/>
      <c r="AN332" s="1593"/>
      <c r="AO332" s="1593"/>
      <c r="AP332" s="1593"/>
      <c r="AQ332" s="1593"/>
      <c r="AR332" s="1593"/>
      <c r="AS332" s="1593"/>
      <c r="AT332" s="1593"/>
      <c r="AU332" s="1593"/>
      <c r="AV332" s="1593"/>
      <c r="AW332" s="1593"/>
      <c r="AX332" s="1593"/>
      <c r="AY332" s="1593"/>
      <c r="AZ332" s="1593"/>
      <c r="BA332" s="1593"/>
      <c r="BB332" s="1593"/>
      <c r="BC332" s="1593"/>
      <c r="BD332" s="1593"/>
      <c r="BE332" s="1593"/>
      <c r="BF332" s="1593"/>
      <c r="BG332" s="1593"/>
      <c r="BH332" s="1593"/>
      <c r="BI332" s="1593"/>
      <c r="BJ332" s="1593"/>
      <c r="BK332" s="1593"/>
      <c r="BL332" s="1593"/>
      <c r="BM332" s="1593"/>
      <c r="BN332" s="1593"/>
      <c r="BO332" s="1593"/>
      <c r="BP332" s="1593"/>
      <c r="BQ332" s="1593"/>
      <c r="BR332" s="1593"/>
      <c r="BS332" s="1593"/>
      <c r="BT332" s="1593"/>
      <c r="BU332" s="1593"/>
      <c r="BV332" s="1593"/>
      <c r="BW332" s="1593"/>
      <c r="BX332" s="1593"/>
      <c r="BY332" s="1593"/>
      <c r="BZ332" s="1593"/>
      <c r="CA332" s="1593"/>
      <c r="CB332" s="1593"/>
      <c r="CC332" s="1593"/>
      <c r="CD332" s="1593"/>
      <c r="CE332" s="1593"/>
      <c r="CF332" s="1593"/>
      <c r="CG332" s="1593"/>
      <c r="CH332" s="1593"/>
      <c r="CI332" s="1593"/>
      <c r="CJ332" s="1593"/>
      <c r="CK332" s="1593"/>
      <c r="CL332" s="1593"/>
      <c r="CM332" s="1593"/>
      <c r="CN332" s="1593"/>
      <c r="CO332" s="1593"/>
      <c r="CP332" s="1593"/>
      <c r="CQ332" s="1593"/>
      <c r="CR332" s="1593"/>
      <c r="CS332" s="1593"/>
      <c r="CT332" s="1593"/>
      <c r="CU332" s="1593"/>
      <c r="CV332" s="1593"/>
      <c r="CW332" s="1593"/>
      <c r="CX332" s="1593"/>
      <c r="CY332" s="1593"/>
      <c r="CZ332" s="1593"/>
      <c r="DA332" s="1593"/>
      <c r="DB332" s="1593"/>
      <c r="DC332" s="1593"/>
      <c r="DD332" s="1593"/>
      <c r="DE332" s="1593"/>
      <c r="DF332" s="1593"/>
      <c r="DG332" s="1593"/>
      <c r="DH332" s="1593"/>
      <c r="DI332" s="1593"/>
      <c r="DJ332" s="1593"/>
      <c r="DK332" s="1593"/>
      <c r="DL332" s="1593"/>
      <c r="DM332" s="1593"/>
      <c r="DN332" s="1593"/>
      <c r="DO332" s="1593"/>
      <c r="DP332" s="1593"/>
      <c r="DQ332" s="1593"/>
      <c r="DR332" s="1593"/>
      <c r="DS332" s="1593"/>
      <c r="DT332" s="1593"/>
      <c r="DU332" s="1593"/>
      <c r="DV332" s="1593"/>
      <c r="DW332" s="1593"/>
      <c r="DX332" s="1593"/>
      <c r="DY332" s="1593"/>
      <c r="DZ332" s="1593"/>
      <c r="EA332" s="1593"/>
      <c r="EB332" s="1593"/>
      <c r="EC332" s="1593"/>
      <c r="ED332" s="1593"/>
      <c r="EE332" s="1593"/>
      <c r="EF332" s="1593"/>
      <c r="EG332" s="1593"/>
      <c r="EH332" s="1593"/>
      <c r="EI332" s="1593"/>
      <c r="EJ332" s="1593"/>
      <c r="EK332" s="1593"/>
      <c r="EL332" s="1593"/>
      <c r="EM332" s="1593"/>
      <c r="EN332" s="1593"/>
      <c r="EO332" s="1593"/>
      <c r="EP332" s="1593"/>
      <c r="EQ332" s="1593"/>
      <c r="ER332" s="1593"/>
      <c r="ES332" s="1593"/>
      <c r="ET332" s="1593"/>
      <c r="EU332" s="1593"/>
      <c r="EV332" s="1593"/>
      <c r="EW332" s="1593"/>
      <c r="EX332" s="1593"/>
      <c r="EY332" s="1593"/>
      <c r="EZ332" s="1593"/>
      <c r="FA332" s="1593"/>
      <c r="FB332" s="1593"/>
      <c r="FC332" s="1593"/>
      <c r="FD332" s="1593"/>
      <c r="FE332" s="1593"/>
      <c r="FF332" s="1593"/>
      <c r="FG332" s="1593"/>
      <c r="FH332" s="1593"/>
      <c r="FI332" s="1593"/>
      <c r="FJ332" s="1593"/>
      <c r="FK332" s="1593"/>
      <c r="FL332" s="1593"/>
      <c r="FM332" s="1593"/>
      <c r="FN332" s="1593"/>
      <c r="FO332" s="1593"/>
      <c r="FP332" s="1593"/>
      <c r="FQ332" s="1593"/>
      <c r="FR332" s="1593"/>
      <c r="FS332" s="1593"/>
      <c r="FT332" s="1593"/>
      <c r="FU332" s="1593"/>
      <c r="FV332" s="1593"/>
      <c r="FW332" s="1593"/>
      <c r="FX332" s="1593"/>
      <c r="FY332" s="1593"/>
      <c r="FZ332" s="1593"/>
      <c r="GA332" s="1593"/>
      <c r="GB332" s="1593"/>
      <c r="GC332" s="1593"/>
      <c r="GD332" s="1593"/>
      <c r="GE332" s="1593"/>
      <c r="GF332" s="1593"/>
      <c r="GG332" s="1593"/>
      <c r="GH332" s="1593"/>
      <c r="GI332" s="1593"/>
      <c r="GJ332" s="1593"/>
      <c r="GK332" s="1593"/>
      <c r="GL332" s="1593"/>
      <c r="GM332" s="1593"/>
      <c r="GN332" s="1593"/>
      <c r="GO332" s="1593"/>
      <c r="GP332" s="1593"/>
      <c r="GQ332" s="1593"/>
      <c r="GR332" s="1593"/>
      <c r="GS332" s="1593"/>
      <c r="GT332" s="1593"/>
      <c r="GU332" s="1593"/>
      <c r="GV332" s="1593"/>
      <c r="GW332" s="1593"/>
      <c r="GX332" s="1593"/>
      <c r="GY332" s="1593"/>
      <c r="GZ332" s="1593"/>
      <c r="HA332" s="1593"/>
      <c r="HB332" s="1593"/>
      <c r="HC332" s="1593"/>
      <c r="HD332" s="1593"/>
      <c r="HE332" s="1593"/>
      <c r="HF332" s="1593"/>
      <c r="HG332" s="1593"/>
      <c r="HH332" s="1593"/>
      <c r="HI332" s="1593"/>
      <c r="HJ332" s="1593"/>
      <c r="HK332" s="1593"/>
      <c r="HL332" s="1593"/>
      <c r="HM332" s="1593"/>
      <c r="HN332" s="1593"/>
      <c r="HO332" s="1593"/>
      <c r="HP332" s="1593"/>
      <c r="HQ332" s="1593"/>
      <c r="HR332" s="1593"/>
      <c r="HS332" s="1593"/>
      <c r="HT332" s="1593"/>
      <c r="HU332" s="1593"/>
      <c r="HV332" s="1593"/>
      <c r="HW332" s="1593"/>
      <c r="HX332" s="1593"/>
      <c r="HY332" s="1593"/>
      <c r="HZ332" s="1593"/>
      <c r="IA332" s="1593"/>
      <c r="IB332" s="1593"/>
      <c r="IC332" s="1593"/>
      <c r="ID332" s="1593"/>
      <c r="IE332" s="1593"/>
      <c r="IF332" s="1593"/>
      <c r="IG332" s="1593"/>
      <c r="IH332" s="1593"/>
      <c r="II332" s="1593"/>
      <c r="IJ332" s="1593"/>
      <c r="IK332" s="1593"/>
      <c r="IL332" s="1593"/>
      <c r="IM332" s="1593"/>
      <c r="IN332" s="1593"/>
      <c r="IO332" s="1593"/>
      <c r="IP332" s="1593"/>
      <c r="IQ332" s="1593"/>
      <c r="IR332" s="1593"/>
      <c r="IS332" s="1593"/>
      <c r="IT332" s="1593"/>
      <c r="IU332" s="1593"/>
      <c r="IV332" s="1593"/>
      <c r="IW332" s="1593"/>
      <c r="IX332" s="1593"/>
      <c r="IY332" s="1593"/>
      <c r="IZ332" s="1593"/>
      <c r="JA332" s="1593"/>
      <c r="JB332" s="1593"/>
      <c r="JC332" s="1593"/>
      <c r="JD332" s="1593"/>
      <c r="JE332" s="1593"/>
      <c r="JF332" s="1593"/>
      <c r="JG332" s="1593"/>
      <c r="JH332" s="1593"/>
      <c r="JI332" s="1593"/>
      <c r="JJ332" s="1593"/>
      <c r="JK332" s="1593"/>
      <c r="JL332" s="1593"/>
      <c r="JM332" s="1593"/>
      <c r="JN332" s="1593"/>
      <c r="JO332" s="1593"/>
      <c r="JP332" s="1593"/>
      <c r="JQ332" s="1593"/>
      <c r="JR332" s="1593"/>
      <c r="JS332" s="1593"/>
      <c r="JT332" s="1593"/>
      <c r="JU332" s="1593"/>
      <c r="JV332" s="1593"/>
      <c r="JW332" s="1593"/>
      <c r="JX332" s="1593"/>
      <c r="JY332" s="1593"/>
      <c r="JZ332" s="1593"/>
      <c r="KA332" s="1593"/>
      <c r="KB332" s="1598"/>
    </row>
    <row r="333" spans="2:288" ht="15" customHeight="1" x14ac:dyDescent="0.25">
      <c r="B333" s="216" t="str">
        <f t="shared" si="29"/>
        <v>Desk 14</v>
      </c>
      <c r="C333" s="218" t="str">
        <v/>
      </c>
      <c r="D333" s="218" t="str">
        <v/>
      </c>
      <c r="E333" s="218" t="str">
        <v/>
      </c>
      <c r="F333" s="218" t="str">
        <v/>
      </c>
      <c r="G333" s="402" t="str">
        <v/>
      </c>
      <c r="H333" s="1593"/>
      <c r="I333" s="1593"/>
      <c r="J333" s="1593"/>
      <c r="K333" s="1593"/>
      <c r="L333" s="1593"/>
      <c r="M333" s="1593"/>
      <c r="N333" s="1593"/>
      <c r="O333" s="1593"/>
      <c r="P333" s="1593"/>
      <c r="Q333" s="1593"/>
      <c r="R333" s="1593"/>
      <c r="S333" s="1593"/>
      <c r="T333" s="1593"/>
      <c r="U333" s="1593"/>
      <c r="V333" s="1593"/>
      <c r="W333" s="1593"/>
      <c r="X333" s="1593"/>
      <c r="Y333" s="1593"/>
      <c r="Z333" s="1593"/>
      <c r="AA333" s="1593"/>
      <c r="AB333" s="1593"/>
      <c r="AC333" s="1593"/>
      <c r="AD333" s="1593"/>
      <c r="AE333" s="1593"/>
      <c r="AF333" s="1593"/>
      <c r="AG333" s="1593"/>
      <c r="AH333" s="1593"/>
      <c r="AI333" s="1593"/>
      <c r="AJ333" s="1593"/>
      <c r="AK333" s="1593"/>
      <c r="AL333" s="1593"/>
      <c r="AM333" s="1593"/>
      <c r="AN333" s="1593"/>
      <c r="AO333" s="1593"/>
      <c r="AP333" s="1593"/>
      <c r="AQ333" s="1593"/>
      <c r="AR333" s="1593"/>
      <c r="AS333" s="1593"/>
      <c r="AT333" s="1593"/>
      <c r="AU333" s="1593"/>
      <c r="AV333" s="1593"/>
      <c r="AW333" s="1593"/>
      <c r="AX333" s="1593"/>
      <c r="AY333" s="1593"/>
      <c r="AZ333" s="1593"/>
      <c r="BA333" s="1593"/>
      <c r="BB333" s="1593"/>
      <c r="BC333" s="1593"/>
      <c r="BD333" s="1593"/>
      <c r="BE333" s="1593"/>
      <c r="BF333" s="1593"/>
      <c r="BG333" s="1593"/>
      <c r="BH333" s="1593"/>
      <c r="BI333" s="1593"/>
      <c r="BJ333" s="1593"/>
      <c r="BK333" s="1593"/>
      <c r="BL333" s="1593"/>
      <c r="BM333" s="1593"/>
      <c r="BN333" s="1593"/>
      <c r="BO333" s="1593"/>
      <c r="BP333" s="1593"/>
      <c r="BQ333" s="1593"/>
      <c r="BR333" s="1593"/>
      <c r="BS333" s="1593"/>
      <c r="BT333" s="1593"/>
      <c r="BU333" s="1593"/>
      <c r="BV333" s="1593"/>
      <c r="BW333" s="1593"/>
      <c r="BX333" s="1593"/>
      <c r="BY333" s="1593"/>
      <c r="BZ333" s="1593"/>
      <c r="CA333" s="1593"/>
      <c r="CB333" s="1593"/>
      <c r="CC333" s="1593"/>
      <c r="CD333" s="1593"/>
      <c r="CE333" s="1593"/>
      <c r="CF333" s="1593"/>
      <c r="CG333" s="1593"/>
      <c r="CH333" s="1593"/>
      <c r="CI333" s="1593"/>
      <c r="CJ333" s="1593"/>
      <c r="CK333" s="1593"/>
      <c r="CL333" s="1593"/>
      <c r="CM333" s="1593"/>
      <c r="CN333" s="1593"/>
      <c r="CO333" s="1593"/>
      <c r="CP333" s="1593"/>
      <c r="CQ333" s="1593"/>
      <c r="CR333" s="1593"/>
      <c r="CS333" s="1593"/>
      <c r="CT333" s="1593"/>
      <c r="CU333" s="1593"/>
      <c r="CV333" s="1593"/>
      <c r="CW333" s="1593"/>
      <c r="CX333" s="1593"/>
      <c r="CY333" s="1593"/>
      <c r="CZ333" s="1593"/>
      <c r="DA333" s="1593"/>
      <c r="DB333" s="1593"/>
      <c r="DC333" s="1593"/>
      <c r="DD333" s="1593"/>
      <c r="DE333" s="1593"/>
      <c r="DF333" s="1593"/>
      <c r="DG333" s="1593"/>
      <c r="DH333" s="1593"/>
      <c r="DI333" s="1593"/>
      <c r="DJ333" s="1593"/>
      <c r="DK333" s="1593"/>
      <c r="DL333" s="1593"/>
      <c r="DM333" s="1593"/>
      <c r="DN333" s="1593"/>
      <c r="DO333" s="1593"/>
      <c r="DP333" s="1593"/>
      <c r="DQ333" s="1593"/>
      <c r="DR333" s="1593"/>
      <c r="DS333" s="1593"/>
      <c r="DT333" s="1593"/>
      <c r="DU333" s="1593"/>
      <c r="DV333" s="1593"/>
      <c r="DW333" s="1593"/>
      <c r="DX333" s="1593"/>
      <c r="DY333" s="1593"/>
      <c r="DZ333" s="1593"/>
      <c r="EA333" s="1593"/>
      <c r="EB333" s="1593"/>
      <c r="EC333" s="1593"/>
      <c r="ED333" s="1593"/>
      <c r="EE333" s="1593"/>
      <c r="EF333" s="1593"/>
      <c r="EG333" s="1593"/>
      <c r="EH333" s="1593"/>
      <c r="EI333" s="1593"/>
      <c r="EJ333" s="1593"/>
      <c r="EK333" s="1593"/>
      <c r="EL333" s="1593"/>
      <c r="EM333" s="1593"/>
      <c r="EN333" s="1593"/>
      <c r="EO333" s="1593"/>
      <c r="EP333" s="1593"/>
      <c r="EQ333" s="1593"/>
      <c r="ER333" s="1593"/>
      <c r="ES333" s="1593"/>
      <c r="ET333" s="1593"/>
      <c r="EU333" s="1593"/>
      <c r="EV333" s="1593"/>
      <c r="EW333" s="1593"/>
      <c r="EX333" s="1593"/>
      <c r="EY333" s="1593"/>
      <c r="EZ333" s="1593"/>
      <c r="FA333" s="1593"/>
      <c r="FB333" s="1593"/>
      <c r="FC333" s="1593"/>
      <c r="FD333" s="1593"/>
      <c r="FE333" s="1593"/>
      <c r="FF333" s="1593"/>
      <c r="FG333" s="1593"/>
      <c r="FH333" s="1593"/>
      <c r="FI333" s="1593"/>
      <c r="FJ333" s="1593"/>
      <c r="FK333" s="1593"/>
      <c r="FL333" s="1593"/>
      <c r="FM333" s="1593"/>
      <c r="FN333" s="1593"/>
      <c r="FO333" s="1593"/>
      <c r="FP333" s="1593"/>
      <c r="FQ333" s="1593"/>
      <c r="FR333" s="1593"/>
      <c r="FS333" s="1593"/>
      <c r="FT333" s="1593"/>
      <c r="FU333" s="1593"/>
      <c r="FV333" s="1593"/>
      <c r="FW333" s="1593"/>
      <c r="FX333" s="1593"/>
      <c r="FY333" s="1593"/>
      <c r="FZ333" s="1593"/>
      <c r="GA333" s="1593"/>
      <c r="GB333" s="1593"/>
      <c r="GC333" s="1593"/>
      <c r="GD333" s="1593"/>
      <c r="GE333" s="1593"/>
      <c r="GF333" s="1593"/>
      <c r="GG333" s="1593"/>
      <c r="GH333" s="1593"/>
      <c r="GI333" s="1593"/>
      <c r="GJ333" s="1593"/>
      <c r="GK333" s="1593"/>
      <c r="GL333" s="1593"/>
      <c r="GM333" s="1593"/>
      <c r="GN333" s="1593"/>
      <c r="GO333" s="1593"/>
      <c r="GP333" s="1593"/>
      <c r="GQ333" s="1593"/>
      <c r="GR333" s="1593"/>
      <c r="GS333" s="1593"/>
      <c r="GT333" s="1593"/>
      <c r="GU333" s="1593"/>
      <c r="GV333" s="1593"/>
      <c r="GW333" s="1593"/>
      <c r="GX333" s="1593"/>
      <c r="GY333" s="1593"/>
      <c r="GZ333" s="1593"/>
      <c r="HA333" s="1593"/>
      <c r="HB333" s="1593"/>
      <c r="HC333" s="1593"/>
      <c r="HD333" s="1593"/>
      <c r="HE333" s="1593"/>
      <c r="HF333" s="1593"/>
      <c r="HG333" s="1593"/>
      <c r="HH333" s="1593"/>
      <c r="HI333" s="1593"/>
      <c r="HJ333" s="1593"/>
      <c r="HK333" s="1593"/>
      <c r="HL333" s="1593"/>
      <c r="HM333" s="1593"/>
      <c r="HN333" s="1593"/>
      <c r="HO333" s="1593"/>
      <c r="HP333" s="1593"/>
      <c r="HQ333" s="1593"/>
      <c r="HR333" s="1593"/>
      <c r="HS333" s="1593"/>
      <c r="HT333" s="1593"/>
      <c r="HU333" s="1593"/>
      <c r="HV333" s="1593"/>
      <c r="HW333" s="1593"/>
      <c r="HX333" s="1593"/>
      <c r="HY333" s="1593"/>
      <c r="HZ333" s="1593"/>
      <c r="IA333" s="1593"/>
      <c r="IB333" s="1593"/>
      <c r="IC333" s="1593"/>
      <c r="ID333" s="1593"/>
      <c r="IE333" s="1593"/>
      <c r="IF333" s="1593"/>
      <c r="IG333" s="1593"/>
      <c r="IH333" s="1593"/>
      <c r="II333" s="1593"/>
      <c r="IJ333" s="1593"/>
      <c r="IK333" s="1593"/>
      <c r="IL333" s="1593"/>
      <c r="IM333" s="1593"/>
      <c r="IN333" s="1593"/>
      <c r="IO333" s="1593"/>
      <c r="IP333" s="1593"/>
      <c r="IQ333" s="1593"/>
      <c r="IR333" s="1593"/>
      <c r="IS333" s="1593"/>
      <c r="IT333" s="1593"/>
      <c r="IU333" s="1593"/>
      <c r="IV333" s="1593"/>
      <c r="IW333" s="1593"/>
      <c r="IX333" s="1593"/>
      <c r="IY333" s="1593"/>
      <c r="IZ333" s="1593"/>
      <c r="JA333" s="1593"/>
      <c r="JB333" s="1593"/>
      <c r="JC333" s="1593"/>
      <c r="JD333" s="1593"/>
      <c r="JE333" s="1593"/>
      <c r="JF333" s="1593"/>
      <c r="JG333" s="1593"/>
      <c r="JH333" s="1593"/>
      <c r="JI333" s="1593"/>
      <c r="JJ333" s="1593"/>
      <c r="JK333" s="1593"/>
      <c r="JL333" s="1593"/>
      <c r="JM333" s="1593"/>
      <c r="JN333" s="1593"/>
      <c r="JO333" s="1593"/>
      <c r="JP333" s="1593"/>
      <c r="JQ333" s="1593"/>
      <c r="JR333" s="1593"/>
      <c r="JS333" s="1593"/>
      <c r="JT333" s="1593"/>
      <c r="JU333" s="1593"/>
      <c r="JV333" s="1593"/>
      <c r="JW333" s="1593"/>
      <c r="JX333" s="1593"/>
      <c r="JY333" s="1593"/>
      <c r="JZ333" s="1593"/>
      <c r="KA333" s="1593"/>
      <c r="KB333" s="1598"/>
    </row>
    <row r="334" spans="2:288" ht="15" customHeight="1" x14ac:dyDescent="0.25">
      <c r="B334" s="216" t="str">
        <f t="shared" si="29"/>
        <v>Desk 15</v>
      </c>
      <c r="C334" s="218" t="str">
        <v/>
      </c>
      <c r="D334" s="218" t="str">
        <v/>
      </c>
      <c r="E334" s="218" t="str">
        <v/>
      </c>
      <c r="F334" s="218" t="str">
        <v/>
      </c>
      <c r="G334" s="402" t="str">
        <v/>
      </c>
      <c r="H334" s="1593"/>
      <c r="I334" s="1593"/>
      <c r="J334" s="1593"/>
      <c r="K334" s="1593"/>
      <c r="L334" s="1593"/>
      <c r="M334" s="1593"/>
      <c r="N334" s="1593"/>
      <c r="O334" s="1593"/>
      <c r="P334" s="1593"/>
      <c r="Q334" s="1593"/>
      <c r="R334" s="1593"/>
      <c r="S334" s="1593"/>
      <c r="T334" s="1593"/>
      <c r="U334" s="1593"/>
      <c r="V334" s="1593"/>
      <c r="W334" s="1593"/>
      <c r="X334" s="1593"/>
      <c r="Y334" s="1593"/>
      <c r="Z334" s="1593"/>
      <c r="AA334" s="1593"/>
      <c r="AB334" s="1593"/>
      <c r="AC334" s="1593"/>
      <c r="AD334" s="1593"/>
      <c r="AE334" s="1593"/>
      <c r="AF334" s="1593"/>
      <c r="AG334" s="1593"/>
      <c r="AH334" s="1593"/>
      <c r="AI334" s="1593"/>
      <c r="AJ334" s="1593"/>
      <c r="AK334" s="1593"/>
      <c r="AL334" s="1593"/>
      <c r="AM334" s="1593"/>
      <c r="AN334" s="1593"/>
      <c r="AO334" s="1593"/>
      <c r="AP334" s="1593"/>
      <c r="AQ334" s="1593"/>
      <c r="AR334" s="1593"/>
      <c r="AS334" s="1593"/>
      <c r="AT334" s="1593"/>
      <c r="AU334" s="1593"/>
      <c r="AV334" s="1593"/>
      <c r="AW334" s="1593"/>
      <c r="AX334" s="1593"/>
      <c r="AY334" s="1593"/>
      <c r="AZ334" s="1593"/>
      <c r="BA334" s="1593"/>
      <c r="BB334" s="1593"/>
      <c r="BC334" s="1593"/>
      <c r="BD334" s="1593"/>
      <c r="BE334" s="1593"/>
      <c r="BF334" s="1593"/>
      <c r="BG334" s="1593"/>
      <c r="BH334" s="1593"/>
      <c r="BI334" s="1593"/>
      <c r="BJ334" s="1593"/>
      <c r="BK334" s="1593"/>
      <c r="BL334" s="1593"/>
      <c r="BM334" s="1593"/>
      <c r="BN334" s="1593"/>
      <c r="BO334" s="1593"/>
      <c r="BP334" s="1593"/>
      <c r="BQ334" s="1593"/>
      <c r="BR334" s="1593"/>
      <c r="BS334" s="1593"/>
      <c r="BT334" s="1593"/>
      <c r="BU334" s="1593"/>
      <c r="BV334" s="1593"/>
      <c r="BW334" s="1593"/>
      <c r="BX334" s="1593"/>
      <c r="BY334" s="1593"/>
      <c r="BZ334" s="1593"/>
      <c r="CA334" s="1593"/>
      <c r="CB334" s="1593"/>
      <c r="CC334" s="1593"/>
      <c r="CD334" s="1593"/>
      <c r="CE334" s="1593"/>
      <c r="CF334" s="1593"/>
      <c r="CG334" s="1593"/>
      <c r="CH334" s="1593"/>
      <c r="CI334" s="1593"/>
      <c r="CJ334" s="1593"/>
      <c r="CK334" s="1593"/>
      <c r="CL334" s="1593"/>
      <c r="CM334" s="1593"/>
      <c r="CN334" s="1593"/>
      <c r="CO334" s="1593"/>
      <c r="CP334" s="1593"/>
      <c r="CQ334" s="1593"/>
      <c r="CR334" s="1593"/>
      <c r="CS334" s="1593"/>
      <c r="CT334" s="1593"/>
      <c r="CU334" s="1593"/>
      <c r="CV334" s="1593"/>
      <c r="CW334" s="1593"/>
      <c r="CX334" s="1593"/>
      <c r="CY334" s="1593"/>
      <c r="CZ334" s="1593"/>
      <c r="DA334" s="1593"/>
      <c r="DB334" s="1593"/>
      <c r="DC334" s="1593"/>
      <c r="DD334" s="1593"/>
      <c r="DE334" s="1593"/>
      <c r="DF334" s="1593"/>
      <c r="DG334" s="1593"/>
      <c r="DH334" s="1593"/>
      <c r="DI334" s="1593"/>
      <c r="DJ334" s="1593"/>
      <c r="DK334" s="1593"/>
      <c r="DL334" s="1593"/>
      <c r="DM334" s="1593"/>
      <c r="DN334" s="1593"/>
      <c r="DO334" s="1593"/>
      <c r="DP334" s="1593"/>
      <c r="DQ334" s="1593"/>
      <c r="DR334" s="1593"/>
      <c r="DS334" s="1593"/>
      <c r="DT334" s="1593"/>
      <c r="DU334" s="1593"/>
      <c r="DV334" s="1593"/>
      <c r="DW334" s="1593"/>
      <c r="DX334" s="1593"/>
      <c r="DY334" s="1593"/>
      <c r="DZ334" s="1593"/>
      <c r="EA334" s="1593"/>
      <c r="EB334" s="1593"/>
      <c r="EC334" s="1593"/>
      <c r="ED334" s="1593"/>
      <c r="EE334" s="1593"/>
      <c r="EF334" s="1593"/>
      <c r="EG334" s="1593"/>
      <c r="EH334" s="1593"/>
      <c r="EI334" s="1593"/>
      <c r="EJ334" s="1593"/>
      <c r="EK334" s="1593"/>
      <c r="EL334" s="1593"/>
      <c r="EM334" s="1593"/>
      <c r="EN334" s="1593"/>
      <c r="EO334" s="1593"/>
      <c r="EP334" s="1593"/>
      <c r="EQ334" s="1593"/>
      <c r="ER334" s="1593"/>
      <c r="ES334" s="1593"/>
      <c r="ET334" s="1593"/>
      <c r="EU334" s="1593"/>
      <c r="EV334" s="1593"/>
      <c r="EW334" s="1593"/>
      <c r="EX334" s="1593"/>
      <c r="EY334" s="1593"/>
      <c r="EZ334" s="1593"/>
      <c r="FA334" s="1593"/>
      <c r="FB334" s="1593"/>
      <c r="FC334" s="1593"/>
      <c r="FD334" s="1593"/>
      <c r="FE334" s="1593"/>
      <c r="FF334" s="1593"/>
      <c r="FG334" s="1593"/>
      <c r="FH334" s="1593"/>
      <c r="FI334" s="1593"/>
      <c r="FJ334" s="1593"/>
      <c r="FK334" s="1593"/>
      <c r="FL334" s="1593"/>
      <c r="FM334" s="1593"/>
      <c r="FN334" s="1593"/>
      <c r="FO334" s="1593"/>
      <c r="FP334" s="1593"/>
      <c r="FQ334" s="1593"/>
      <c r="FR334" s="1593"/>
      <c r="FS334" s="1593"/>
      <c r="FT334" s="1593"/>
      <c r="FU334" s="1593"/>
      <c r="FV334" s="1593"/>
      <c r="FW334" s="1593"/>
      <c r="FX334" s="1593"/>
      <c r="FY334" s="1593"/>
      <c r="FZ334" s="1593"/>
      <c r="GA334" s="1593"/>
      <c r="GB334" s="1593"/>
      <c r="GC334" s="1593"/>
      <c r="GD334" s="1593"/>
      <c r="GE334" s="1593"/>
      <c r="GF334" s="1593"/>
      <c r="GG334" s="1593"/>
      <c r="GH334" s="1593"/>
      <c r="GI334" s="1593"/>
      <c r="GJ334" s="1593"/>
      <c r="GK334" s="1593"/>
      <c r="GL334" s="1593"/>
      <c r="GM334" s="1593"/>
      <c r="GN334" s="1593"/>
      <c r="GO334" s="1593"/>
      <c r="GP334" s="1593"/>
      <c r="GQ334" s="1593"/>
      <c r="GR334" s="1593"/>
      <c r="GS334" s="1593"/>
      <c r="GT334" s="1593"/>
      <c r="GU334" s="1593"/>
      <c r="GV334" s="1593"/>
      <c r="GW334" s="1593"/>
      <c r="GX334" s="1593"/>
      <c r="GY334" s="1593"/>
      <c r="GZ334" s="1593"/>
      <c r="HA334" s="1593"/>
      <c r="HB334" s="1593"/>
      <c r="HC334" s="1593"/>
      <c r="HD334" s="1593"/>
      <c r="HE334" s="1593"/>
      <c r="HF334" s="1593"/>
      <c r="HG334" s="1593"/>
      <c r="HH334" s="1593"/>
      <c r="HI334" s="1593"/>
      <c r="HJ334" s="1593"/>
      <c r="HK334" s="1593"/>
      <c r="HL334" s="1593"/>
      <c r="HM334" s="1593"/>
      <c r="HN334" s="1593"/>
      <c r="HO334" s="1593"/>
      <c r="HP334" s="1593"/>
      <c r="HQ334" s="1593"/>
      <c r="HR334" s="1593"/>
      <c r="HS334" s="1593"/>
      <c r="HT334" s="1593"/>
      <c r="HU334" s="1593"/>
      <c r="HV334" s="1593"/>
      <c r="HW334" s="1593"/>
      <c r="HX334" s="1593"/>
      <c r="HY334" s="1593"/>
      <c r="HZ334" s="1593"/>
      <c r="IA334" s="1593"/>
      <c r="IB334" s="1593"/>
      <c r="IC334" s="1593"/>
      <c r="ID334" s="1593"/>
      <c r="IE334" s="1593"/>
      <c r="IF334" s="1593"/>
      <c r="IG334" s="1593"/>
      <c r="IH334" s="1593"/>
      <c r="II334" s="1593"/>
      <c r="IJ334" s="1593"/>
      <c r="IK334" s="1593"/>
      <c r="IL334" s="1593"/>
      <c r="IM334" s="1593"/>
      <c r="IN334" s="1593"/>
      <c r="IO334" s="1593"/>
      <c r="IP334" s="1593"/>
      <c r="IQ334" s="1593"/>
      <c r="IR334" s="1593"/>
      <c r="IS334" s="1593"/>
      <c r="IT334" s="1593"/>
      <c r="IU334" s="1593"/>
      <c r="IV334" s="1593"/>
      <c r="IW334" s="1593"/>
      <c r="IX334" s="1593"/>
      <c r="IY334" s="1593"/>
      <c r="IZ334" s="1593"/>
      <c r="JA334" s="1593"/>
      <c r="JB334" s="1593"/>
      <c r="JC334" s="1593"/>
      <c r="JD334" s="1593"/>
      <c r="JE334" s="1593"/>
      <c r="JF334" s="1593"/>
      <c r="JG334" s="1593"/>
      <c r="JH334" s="1593"/>
      <c r="JI334" s="1593"/>
      <c r="JJ334" s="1593"/>
      <c r="JK334" s="1593"/>
      <c r="JL334" s="1593"/>
      <c r="JM334" s="1593"/>
      <c r="JN334" s="1593"/>
      <c r="JO334" s="1593"/>
      <c r="JP334" s="1593"/>
      <c r="JQ334" s="1593"/>
      <c r="JR334" s="1593"/>
      <c r="JS334" s="1593"/>
      <c r="JT334" s="1593"/>
      <c r="JU334" s="1593"/>
      <c r="JV334" s="1593"/>
      <c r="JW334" s="1593"/>
      <c r="JX334" s="1593"/>
      <c r="JY334" s="1593"/>
      <c r="JZ334" s="1593"/>
      <c r="KA334" s="1593"/>
      <c r="KB334" s="1598"/>
    </row>
    <row r="335" spans="2:288" ht="15" customHeight="1" x14ac:dyDescent="0.25">
      <c r="B335" s="216" t="str">
        <f t="shared" si="29"/>
        <v>Desk 16</v>
      </c>
      <c r="C335" s="218" t="str">
        <v/>
      </c>
      <c r="D335" s="218" t="str">
        <v/>
      </c>
      <c r="E335" s="218" t="str">
        <v/>
      </c>
      <c r="F335" s="218" t="str">
        <v/>
      </c>
      <c r="G335" s="402" t="str">
        <v/>
      </c>
      <c r="H335" s="1593"/>
      <c r="I335" s="1593"/>
      <c r="J335" s="1593"/>
      <c r="K335" s="1593"/>
      <c r="L335" s="1593"/>
      <c r="M335" s="1593"/>
      <c r="N335" s="1593"/>
      <c r="O335" s="1593"/>
      <c r="P335" s="1593"/>
      <c r="Q335" s="1593"/>
      <c r="R335" s="1593"/>
      <c r="S335" s="1593"/>
      <c r="T335" s="1593"/>
      <c r="U335" s="1593"/>
      <c r="V335" s="1593"/>
      <c r="W335" s="1593"/>
      <c r="X335" s="1593"/>
      <c r="Y335" s="1593"/>
      <c r="Z335" s="1593"/>
      <c r="AA335" s="1593"/>
      <c r="AB335" s="1593"/>
      <c r="AC335" s="1593"/>
      <c r="AD335" s="1593"/>
      <c r="AE335" s="1593"/>
      <c r="AF335" s="1593"/>
      <c r="AG335" s="1593"/>
      <c r="AH335" s="1593"/>
      <c r="AI335" s="1593"/>
      <c r="AJ335" s="1593"/>
      <c r="AK335" s="1593"/>
      <c r="AL335" s="1593"/>
      <c r="AM335" s="1593"/>
      <c r="AN335" s="1593"/>
      <c r="AO335" s="1593"/>
      <c r="AP335" s="1593"/>
      <c r="AQ335" s="1593"/>
      <c r="AR335" s="1593"/>
      <c r="AS335" s="1593"/>
      <c r="AT335" s="1593"/>
      <c r="AU335" s="1593"/>
      <c r="AV335" s="1593"/>
      <c r="AW335" s="1593"/>
      <c r="AX335" s="1593"/>
      <c r="AY335" s="1593"/>
      <c r="AZ335" s="1593"/>
      <c r="BA335" s="1593"/>
      <c r="BB335" s="1593"/>
      <c r="BC335" s="1593"/>
      <c r="BD335" s="1593"/>
      <c r="BE335" s="1593"/>
      <c r="BF335" s="1593"/>
      <c r="BG335" s="1593"/>
      <c r="BH335" s="1593"/>
      <c r="BI335" s="1593"/>
      <c r="BJ335" s="1593"/>
      <c r="BK335" s="1593"/>
      <c r="BL335" s="1593"/>
      <c r="BM335" s="1593"/>
      <c r="BN335" s="1593"/>
      <c r="BO335" s="1593"/>
      <c r="BP335" s="1593"/>
      <c r="BQ335" s="1593"/>
      <c r="BR335" s="1593"/>
      <c r="BS335" s="1593"/>
      <c r="BT335" s="1593"/>
      <c r="BU335" s="1593"/>
      <c r="BV335" s="1593"/>
      <c r="BW335" s="1593"/>
      <c r="BX335" s="1593"/>
      <c r="BY335" s="1593"/>
      <c r="BZ335" s="1593"/>
      <c r="CA335" s="1593"/>
      <c r="CB335" s="1593"/>
      <c r="CC335" s="1593"/>
      <c r="CD335" s="1593"/>
      <c r="CE335" s="1593"/>
      <c r="CF335" s="1593"/>
      <c r="CG335" s="1593"/>
      <c r="CH335" s="1593"/>
      <c r="CI335" s="1593"/>
      <c r="CJ335" s="1593"/>
      <c r="CK335" s="1593"/>
      <c r="CL335" s="1593"/>
      <c r="CM335" s="1593"/>
      <c r="CN335" s="1593"/>
      <c r="CO335" s="1593"/>
      <c r="CP335" s="1593"/>
      <c r="CQ335" s="1593"/>
      <c r="CR335" s="1593"/>
      <c r="CS335" s="1593"/>
      <c r="CT335" s="1593"/>
      <c r="CU335" s="1593"/>
      <c r="CV335" s="1593"/>
      <c r="CW335" s="1593"/>
      <c r="CX335" s="1593"/>
      <c r="CY335" s="1593"/>
      <c r="CZ335" s="1593"/>
      <c r="DA335" s="1593"/>
      <c r="DB335" s="1593"/>
      <c r="DC335" s="1593"/>
      <c r="DD335" s="1593"/>
      <c r="DE335" s="1593"/>
      <c r="DF335" s="1593"/>
      <c r="DG335" s="1593"/>
      <c r="DH335" s="1593"/>
      <c r="DI335" s="1593"/>
      <c r="DJ335" s="1593"/>
      <c r="DK335" s="1593"/>
      <c r="DL335" s="1593"/>
      <c r="DM335" s="1593"/>
      <c r="DN335" s="1593"/>
      <c r="DO335" s="1593"/>
      <c r="DP335" s="1593"/>
      <c r="DQ335" s="1593"/>
      <c r="DR335" s="1593"/>
      <c r="DS335" s="1593"/>
      <c r="DT335" s="1593"/>
      <c r="DU335" s="1593"/>
      <c r="DV335" s="1593"/>
      <c r="DW335" s="1593"/>
      <c r="DX335" s="1593"/>
      <c r="DY335" s="1593"/>
      <c r="DZ335" s="1593"/>
      <c r="EA335" s="1593"/>
      <c r="EB335" s="1593"/>
      <c r="EC335" s="1593"/>
      <c r="ED335" s="1593"/>
      <c r="EE335" s="1593"/>
      <c r="EF335" s="1593"/>
      <c r="EG335" s="1593"/>
      <c r="EH335" s="1593"/>
      <c r="EI335" s="1593"/>
      <c r="EJ335" s="1593"/>
      <c r="EK335" s="1593"/>
      <c r="EL335" s="1593"/>
      <c r="EM335" s="1593"/>
      <c r="EN335" s="1593"/>
      <c r="EO335" s="1593"/>
      <c r="EP335" s="1593"/>
      <c r="EQ335" s="1593"/>
      <c r="ER335" s="1593"/>
      <c r="ES335" s="1593"/>
      <c r="ET335" s="1593"/>
      <c r="EU335" s="1593"/>
      <c r="EV335" s="1593"/>
      <c r="EW335" s="1593"/>
      <c r="EX335" s="1593"/>
      <c r="EY335" s="1593"/>
      <c r="EZ335" s="1593"/>
      <c r="FA335" s="1593"/>
      <c r="FB335" s="1593"/>
      <c r="FC335" s="1593"/>
      <c r="FD335" s="1593"/>
      <c r="FE335" s="1593"/>
      <c r="FF335" s="1593"/>
      <c r="FG335" s="1593"/>
      <c r="FH335" s="1593"/>
      <c r="FI335" s="1593"/>
      <c r="FJ335" s="1593"/>
      <c r="FK335" s="1593"/>
      <c r="FL335" s="1593"/>
      <c r="FM335" s="1593"/>
      <c r="FN335" s="1593"/>
      <c r="FO335" s="1593"/>
      <c r="FP335" s="1593"/>
      <c r="FQ335" s="1593"/>
      <c r="FR335" s="1593"/>
      <c r="FS335" s="1593"/>
      <c r="FT335" s="1593"/>
      <c r="FU335" s="1593"/>
      <c r="FV335" s="1593"/>
      <c r="FW335" s="1593"/>
      <c r="FX335" s="1593"/>
      <c r="FY335" s="1593"/>
      <c r="FZ335" s="1593"/>
      <c r="GA335" s="1593"/>
      <c r="GB335" s="1593"/>
      <c r="GC335" s="1593"/>
      <c r="GD335" s="1593"/>
      <c r="GE335" s="1593"/>
      <c r="GF335" s="1593"/>
      <c r="GG335" s="1593"/>
      <c r="GH335" s="1593"/>
      <c r="GI335" s="1593"/>
      <c r="GJ335" s="1593"/>
      <c r="GK335" s="1593"/>
      <c r="GL335" s="1593"/>
      <c r="GM335" s="1593"/>
      <c r="GN335" s="1593"/>
      <c r="GO335" s="1593"/>
      <c r="GP335" s="1593"/>
      <c r="GQ335" s="1593"/>
      <c r="GR335" s="1593"/>
      <c r="GS335" s="1593"/>
      <c r="GT335" s="1593"/>
      <c r="GU335" s="1593"/>
      <c r="GV335" s="1593"/>
      <c r="GW335" s="1593"/>
      <c r="GX335" s="1593"/>
      <c r="GY335" s="1593"/>
      <c r="GZ335" s="1593"/>
      <c r="HA335" s="1593"/>
      <c r="HB335" s="1593"/>
      <c r="HC335" s="1593"/>
      <c r="HD335" s="1593"/>
      <c r="HE335" s="1593"/>
      <c r="HF335" s="1593"/>
      <c r="HG335" s="1593"/>
      <c r="HH335" s="1593"/>
      <c r="HI335" s="1593"/>
      <c r="HJ335" s="1593"/>
      <c r="HK335" s="1593"/>
      <c r="HL335" s="1593"/>
      <c r="HM335" s="1593"/>
      <c r="HN335" s="1593"/>
      <c r="HO335" s="1593"/>
      <c r="HP335" s="1593"/>
      <c r="HQ335" s="1593"/>
      <c r="HR335" s="1593"/>
      <c r="HS335" s="1593"/>
      <c r="HT335" s="1593"/>
      <c r="HU335" s="1593"/>
      <c r="HV335" s="1593"/>
      <c r="HW335" s="1593"/>
      <c r="HX335" s="1593"/>
      <c r="HY335" s="1593"/>
      <c r="HZ335" s="1593"/>
      <c r="IA335" s="1593"/>
      <c r="IB335" s="1593"/>
      <c r="IC335" s="1593"/>
      <c r="ID335" s="1593"/>
      <c r="IE335" s="1593"/>
      <c r="IF335" s="1593"/>
      <c r="IG335" s="1593"/>
      <c r="IH335" s="1593"/>
      <c r="II335" s="1593"/>
      <c r="IJ335" s="1593"/>
      <c r="IK335" s="1593"/>
      <c r="IL335" s="1593"/>
      <c r="IM335" s="1593"/>
      <c r="IN335" s="1593"/>
      <c r="IO335" s="1593"/>
      <c r="IP335" s="1593"/>
      <c r="IQ335" s="1593"/>
      <c r="IR335" s="1593"/>
      <c r="IS335" s="1593"/>
      <c r="IT335" s="1593"/>
      <c r="IU335" s="1593"/>
      <c r="IV335" s="1593"/>
      <c r="IW335" s="1593"/>
      <c r="IX335" s="1593"/>
      <c r="IY335" s="1593"/>
      <c r="IZ335" s="1593"/>
      <c r="JA335" s="1593"/>
      <c r="JB335" s="1593"/>
      <c r="JC335" s="1593"/>
      <c r="JD335" s="1593"/>
      <c r="JE335" s="1593"/>
      <c r="JF335" s="1593"/>
      <c r="JG335" s="1593"/>
      <c r="JH335" s="1593"/>
      <c r="JI335" s="1593"/>
      <c r="JJ335" s="1593"/>
      <c r="JK335" s="1593"/>
      <c r="JL335" s="1593"/>
      <c r="JM335" s="1593"/>
      <c r="JN335" s="1593"/>
      <c r="JO335" s="1593"/>
      <c r="JP335" s="1593"/>
      <c r="JQ335" s="1593"/>
      <c r="JR335" s="1593"/>
      <c r="JS335" s="1593"/>
      <c r="JT335" s="1593"/>
      <c r="JU335" s="1593"/>
      <c r="JV335" s="1593"/>
      <c r="JW335" s="1593"/>
      <c r="JX335" s="1593"/>
      <c r="JY335" s="1593"/>
      <c r="JZ335" s="1593"/>
      <c r="KA335" s="1593"/>
      <c r="KB335" s="1598"/>
    </row>
    <row r="336" spans="2:288" ht="15" customHeight="1" x14ac:dyDescent="0.25">
      <c r="B336" s="216" t="str">
        <f t="shared" si="29"/>
        <v>Desk 17</v>
      </c>
      <c r="C336" s="218" t="str">
        <v/>
      </c>
      <c r="D336" s="218" t="str">
        <v/>
      </c>
      <c r="E336" s="218" t="str">
        <v/>
      </c>
      <c r="F336" s="218" t="str">
        <v/>
      </c>
      <c r="G336" s="402" t="str">
        <v/>
      </c>
      <c r="H336" s="1593"/>
      <c r="I336" s="1593"/>
      <c r="J336" s="1593"/>
      <c r="K336" s="1593"/>
      <c r="L336" s="1593"/>
      <c r="M336" s="1593"/>
      <c r="N336" s="1593"/>
      <c r="O336" s="1593"/>
      <c r="P336" s="1593"/>
      <c r="Q336" s="1593"/>
      <c r="R336" s="1593"/>
      <c r="S336" s="1593"/>
      <c r="T336" s="1593"/>
      <c r="U336" s="1593"/>
      <c r="V336" s="1593"/>
      <c r="W336" s="1593"/>
      <c r="X336" s="1593"/>
      <c r="Y336" s="1593"/>
      <c r="Z336" s="1593"/>
      <c r="AA336" s="1593"/>
      <c r="AB336" s="1593"/>
      <c r="AC336" s="1593"/>
      <c r="AD336" s="1593"/>
      <c r="AE336" s="1593"/>
      <c r="AF336" s="1593"/>
      <c r="AG336" s="1593"/>
      <c r="AH336" s="1593"/>
      <c r="AI336" s="1593"/>
      <c r="AJ336" s="1593"/>
      <c r="AK336" s="1593"/>
      <c r="AL336" s="1593"/>
      <c r="AM336" s="1593"/>
      <c r="AN336" s="1593"/>
      <c r="AO336" s="1593"/>
      <c r="AP336" s="1593"/>
      <c r="AQ336" s="1593"/>
      <c r="AR336" s="1593"/>
      <c r="AS336" s="1593"/>
      <c r="AT336" s="1593"/>
      <c r="AU336" s="1593"/>
      <c r="AV336" s="1593"/>
      <c r="AW336" s="1593"/>
      <c r="AX336" s="1593"/>
      <c r="AY336" s="1593"/>
      <c r="AZ336" s="1593"/>
      <c r="BA336" s="1593"/>
      <c r="BB336" s="1593"/>
      <c r="BC336" s="1593"/>
      <c r="BD336" s="1593"/>
      <c r="BE336" s="1593"/>
      <c r="BF336" s="1593"/>
      <c r="BG336" s="1593"/>
      <c r="BH336" s="1593"/>
      <c r="BI336" s="1593"/>
      <c r="BJ336" s="1593"/>
      <c r="BK336" s="1593"/>
      <c r="BL336" s="1593"/>
      <c r="BM336" s="1593"/>
      <c r="BN336" s="1593"/>
      <c r="BO336" s="1593"/>
      <c r="BP336" s="1593"/>
      <c r="BQ336" s="1593"/>
      <c r="BR336" s="1593"/>
      <c r="BS336" s="1593"/>
      <c r="BT336" s="1593"/>
      <c r="BU336" s="1593"/>
      <c r="BV336" s="1593"/>
      <c r="BW336" s="1593"/>
      <c r="BX336" s="1593"/>
      <c r="BY336" s="1593"/>
      <c r="BZ336" s="1593"/>
      <c r="CA336" s="1593"/>
      <c r="CB336" s="1593"/>
      <c r="CC336" s="1593"/>
      <c r="CD336" s="1593"/>
      <c r="CE336" s="1593"/>
      <c r="CF336" s="1593"/>
      <c r="CG336" s="1593"/>
      <c r="CH336" s="1593"/>
      <c r="CI336" s="1593"/>
      <c r="CJ336" s="1593"/>
      <c r="CK336" s="1593"/>
      <c r="CL336" s="1593"/>
      <c r="CM336" s="1593"/>
      <c r="CN336" s="1593"/>
      <c r="CO336" s="1593"/>
      <c r="CP336" s="1593"/>
      <c r="CQ336" s="1593"/>
      <c r="CR336" s="1593"/>
      <c r="CS336" s="1593"/>
      <c r="CT336" s="1593"/>
      <c r="CU336" s="1593"/>
      <c r="CV336" s="1593"/>
      <c r="CW336" s="1593"/>
      <c r="CX336" s="1593"/>
      <c r="CY336" s="1593"/>
      <c r="CZ336" s="1593"/>
      <c r="DA336" s="1593"/>
      <c r="DB336" s="1593"/>
      <c r="DC336" s="1593"/>
      <c r="DD336" s="1593"/>
      <c r="DE336" s="1593"/>
      <c r="DF336" s="1593"/>
      <c r="DG336" s="1593"/>
      <c r="DH336" s="1593"/>
      <c r="DI336" s="1593"/>
      <c r="DJ336" s="1593"/>
      <c r="DK336" s="1593"/>
      <c r="DL336" s="1593"/>
      <c r="DM336" s="1593"/>
      <c r="DN336" s="1593"/>
      <c r="DO336" s="1593"/>
      <c r="DP336" s="1593"/>
      <c r="DQ336" s="1593"/>
      <c r="DR336" s="1593"/>
      <c r="DS336" s="1593"/>
      <c r="DT336" s="1593"/>
      <c r="DU336" s="1593"/>
      <c r="DV336" s="1593"/>
      <c r="DW336" s="1593"/>
      <c r="DX336" s="1593"/>
      <c r="DY336" s="1593"/>
      <c r="DZ336" s="1593"/>
      <c r="EA336" s="1593"/>
      <c r="EB336" s="1593"/>
      <c r="EC336" s="1593"/>
      <c r="ED336" s="1593"/>
      <c r="EE336" s="1593"/>
      <c r="EF336" s="1593"/>
      <c r="EG336" s="1593"/>
      <c r="EH336" s="1593"/>
      <c r="EI336" s="1593"/>
      <c r="EJ336" s="1593"/>
      <c r="EK336" s="1593"/>
      <c r="EL336" s="1593"/>
      <c r="EM336" s="1593"/>
      <c r="EN336" s="1593"/>
      <c r="EO336" s="1593"/>
      <c r="EP336" s="1593"/>
      <c r="EQ336" s="1593"/>
      <c r="ER336" s="1593"/>
      <c r="ES336" s="1593"/>
      <c r="ET336" s="1593"/>
      <c r="EU336" s="1593"/>
      <c r="EV336" s="1593"/>
      <c r="EW336" s="1593"/>
      <c r="EX336" s="1593"/>
      <c r="EY336" s="1593"/>
      <c r="EZ336" s="1593"/>
      <c r="FA336" s="1593"/>
      <c r="FB336" s="1593"/>
      <c r="FC336" s="1593"/>
      <c r="FD336" s="1593"/>
      <c r="FE336" s="1593"/>
      <c r="FF336" s="1593"/>
      <c r="FG336" s="1593"/>
      <c r="FH336" s="1593"/>
      <c r="FI336" s="1593"/>
      <c r="FJ336" s="1593"/>
      <c r="FK336" s="1593"/>
      <c r="FL336" s="1593"/>
      <c r="FM336" s="1593"/>
      <c r="FN336" s="1593"/>
      <c r="FO336" s="1593"/>
      <c r="FP336" s="1593"/>
      <c r="FQ336" s="1593"/>
      <c r="FR336" s="1593"/>
      <c r="FS336" s="1593"/>
      <c r="FT336" s="1593"/>
      <c r="FU336" s="1593"/>
      <c r="FV336" s="1593"/>
      <c r="FW336" s="1593"/>
      <c r="FX336" s="1593"/>
      <c r="FY336" s="1593"/>
      <c r="FZ336" s="1593"/>
      <c r="GA336" s="1593"/>
      <c r="GB336" s="1593"/>
      <c r="GC336" s="1593"/>
      <c r="GD336" s="1593"/>
      <c r="GE336" s="1593"/>
      <c r="GF336" s="1593"/>
      <c r="GG336" s="1593"/>
      <c r="GH336" s="1593"/>
      <c r="GI336" s="1593"/>
      <c r="GJ336" s="1593"/>
      <c r="GK336" s="1593"/>
      <c r="GL336" s="1593"/>
      <c r="GM336" s="1593"/>
      <c r="GN336" s="1593"/>
      <c r="GO336" s="1593"/>
      <c r="GP336" s="1593"/>
      <c r="GQ336" s="1593"/>
      <c r="GR336" s="1593"/>
      <c r="GS336" s="1593"/>
      <c r="GT336" s="1593"/>
      <c r="GU336" s="1593"/>
      <c r="GV336" s="1593"/>
      <c r="GW336" s="1593"/>
      <c r="GX336" s="1593"/>
      <c r="GY336" s="1593"/>
      <c r="GZ336" s="1593"/>
      <c r="HA336" s="1593"/>
      <c r="HB336" s="1593"/>
      <c r="HC336" s="1593"/>
      <c r="HD336" s="1593"/>
      <c r="HE336" s="1593"/>
      <c r="HF336" s="1593"/>
      <c r="HG336" s="1593"/>
      <c r="HH336" s="1593"/>
      <c r="HI336" s="1593"/>
      <c r="HJ336" s="1593"/>
      <c r="HK336" s="1593"/>
      <c r="HL336" s="1593"/>
      <c r="HM336" s="1593"/>
      <c r="HN336" s="1593"/>
      <c r="HO336" s="1593"/>
      <c r="HP336" s="1593"/>
      <c r="HQ336" s="1593"/>
      <c r="HR336" s="1593"/>
      <c r="HS336" s="1593"/>
      <c r="HT336" s="1593"/>
      <c r="HU336" s="1593"/>
      <c r="HV336" s="1593"/>
      <c r="HW336" s="1593"/>
      <c r="HX336" s="1593"/>
      <c r="HY336" s="1593"/>
      <c r="HZ336" s="1593"/>
      <c r="IA336" s="1593"/>
      <c r="IB336" s="1593"/>
      <c r="IC336" s="1593"/>
      <c r="ID336" s="1593"/>
      <c r="IE336" s="1593"/>
      <c r="IF336" s="1593"/>
      <c r="IG336" s="1593"/>
      <c r="IH336" s="1593"/>
      <c r="II336" s="1593"/>
      <c r="IJ336" s="1593"/>
      <c r="IK336" s="1593"/>
      <c r="IL336" s="1593"/>
      <c r="IM336" s="1593"/>
      <c r="IN336" s="1593"/>
      <c r="IO336" s="1593"/>
      <c r="IP336" s="1593"/>
      <c r="IQ336" s="1593"/>
      <c r="IR336" s="1593"/>
      <c r="IS336" s="1593"/>
      <c r="IT336" s="1593"/>
      <c r="IU336" s="1593"/>
      <c r="IV336" s="1593"/>
      <c r="IW336" s="1593"/>
      <c r="IX336" s="1593"/>
      <c r="IY336" s="1593"/>
      <c r="IZ336" s="1593"/>
      <c r="JA336" s="1593"/>
      <c r="JB336" s="1593"/>
      <c r="JC336" s="1593"/>
      <c r="JD336" s="1593"/>
      <c r="JE336" s="1593"/>
      <c r="JF336" s="1593"/>
      <c r="JG336" s="1593"/>
      <c r="JH336" s="1593"/>
      <c r="JI336" s="1593"/>
      <c r="JJ336" s="1593"/>
      <c r="JK336" s="1593"/>
      <c r="JL336" s="1593"/>
      <c r="JM336" s="1593"/>
      <c r="JN336" s="1593"/>
      <c r="JO336" s="1593"/>
      <c r="JP336" s="1593"/>
      <c r="JQ336" s="1593"/>
      <c r="JR336" s="1593"/>
      <c r="JS336" s="1593"/>
      <c r="JT336" s="1593"/>
      <c r="JU336" s="1593"/>
      <c r="JV336" s="1593"/>
      <c r="JW336" s="1593"/>
      <c r="JX336" s="1593"/>
      <c r="JY336" s="1593"/>
      <c r="JZ336" s="1593"/>
      <c r="KA336" s="1593"/>
      <c r="KB336" s="1598"/>
    </row>
    <row r="337" spans="2:288" ht="15" customHeight="1" x14ac:dyDescent="0.25">
      <c r="B337" s="216" t="str">
        <f t="shared" si="29"/>
        <v>Desk 18</v>
      </c>
      <c r="C337" s="218" t="str">
        <v/>
      </c>
      <c r="D337" s="218" t="str">
        <v/>
      </c>
      <c r="E337" s="218" t="str">
        <v/>
      </c>
      <c r="F337" s="218" t="str">
        <v/>
      </c>
      <c r="G337" s="402" t="str">
        <v/>
      </c>
      <c r="H337" s="1593"/>
      <c r="I337" s="1593"/>
      <c r="J337" s="1593"/>
      <c r="K337" s="1593"/>
      <c r="L337" s="1593"/>
      <c r="M337" s="1593"/>
      <c r="N337" s="1593"/>
      <c r="O337" s="1593"/>
      <c r="P337" s="1593"/>
      <c r="Q337" s="1593"/>
      <c r="R337" s="1593"/>
      <c r="S337" s="1593"/>
      <c r="T337" s="1593"/>
      <c r="U337" s="1593"/>
      <c r="V337" s="1593"/>
      <c r="W337" s="1593"/>
      <c r="X337" s="1593"/>
      <c r="Y337" s="1593"/>
      <c r="Z337" s="1593"/>
      <c r="AA337" s="1593"/>
      <c r="AB337" s="1593"/>
      <c r="AC337" s="1593"/>
      <c r="AD337" s="1593"/>
      <c r="AE337" s="1593"/>
      <c r="AF337" s="1593"/>
      <c r="AG337" s="1593"/>
      <c r="AH337" s="1593"/>
      <c r="AI337" s="1593"/>
      <c r="AJ337" s="1593"/>
      <c r="AK337" s="1593"/>
      <c r="AL337" s="1593"/>
      <c r="AM337" s="1593"/>
      <c r="AN337" s="1593"/>
      <c r="AO337" s="1593"/>
      <c r="AP337" s="1593"/>
      <c r="AQ337" s="1593"/>
      <c r="AR337" s="1593"/>
      <c r="AS337" s="1593"/>
      <c r="AT337" s="1593"/>
      <c r="AU337" s="1593"/>
      <c r="AV337" s="1593"/>
      <c r="AW337" s="1593"/>
      <c r="AX337" s="1593"/>
      <c r="AY337" s="1593"/>
      <c r="AZ337" s="1593"/>
      <c r="BA337" s="1593"/>
      <c r="BB337" s="1593"/>
      <c r="BC337" s="1593"/>
      <c r="BD337" s="1593"/>
      <c r="BE337" s="1593"/>
      <c r="BF337" s="1593"/>
      <c r="BG337" s="1593"/>
      <c r="BH337" s="1593"/>
      <c r="BI337" s="1593"/>
      <c r="BJ337" s="1593"/>
      <c r="BK337" s="1593"/>
      <c r="BL337" s="1593"/>
      <c r="BM337" s="1593"/>
      <c r="BN337" s="1593"/>
      <c r="BO337" s="1593"/>
      <c r="BP337" s="1593"/>
      <c r="BQ337" s="1593"/>
      <c r="BR337" s="1593"/>
      <c r="BS337" s="1593"/>
      <c r="BT337" s="1593"/>
      <c r="BU337" s="1593"/>
      <c r="BV337" s="1593"/>
      <c r="BW337" s="1593"/>
      <c r="BX337" s="1593"/>
      <c r="BY337" s="1593"/>
      <c r="BZ337" s="1593"/>
      <c r="CA337" s="1593"/>
      <c r="CB337" s="1593"/>
      <c r="CC337" s="1593"/>
      <c r="CD337" s="1593"/>
      <c r="CE337" s="1593"/>
      <c r="CF337" s="1593"/>
      <c r="CG337" s="1593"/>
      <c r="CH337" s="1593"/>
      <c r="CI337" s="1593"/>
      <c r="CJ337" s="1593"/>
      <c r="CK337" s="1593"/>
      <c r="CL337" s="1593"/>
      <c r="CM337" s="1593"/>
      <c r="CN337" s="1593"/>
      <c r="CO337" s="1593"/>
      <c r="CP337" s="1593"/>
      <c r="CQ337" s="1593"/>
      <c r="CR337" s="1593"/>
      <c r="CS337" s="1593"/>
      <c r="CT337" s="1593"/>
      <c r="CU337" s="1593"/>
      <c r="CV337" s="1593"/>
      <c r="CW337" s="1593"/>
      <c r="CX337" s="1593"/>
      <c r="CY337" s="1593"/>
      <c r="CZ337" s="1593"/>
      <c r="DA337" s="1593"/>
      <c r="DB337" s="1593"/>
      <c r="DC337" s="1593"/>
      <c r="DD337" s="1593"/>
      <c r="DE337" s="1593"/>
      <c r="DF337" s="1593"/>
      <c r="DG337" s="1593"/>
      <c r="DH337" s="1593"/>
      <c r="DI337" s="1593"/>
      <c r="DJ337" s="1593"/>
      <c r="DK337" s="1593"/>
      <c r="DL337" s="1593"/>
      <c r="DM337" s="1593"/>
      <c r="DN337" s="1593"/>
      <c r="DO337" s="1593"/>
      <c r="DP337" s="1593"/>
      <c r="DQ337" s="1593"/>
      <c r="DR337" s="1593"/>
      <c r="DS337" s="1593"/>
      <c r="DT337" s="1593"/>
      <c r="DU337" s="1593"/>
      <c r="DV337" s="1593"/>
      <c r="DW337" s="1593"/>
      <c r="DX337" s="1593"/>
      <c r="DY337" s="1593"/>
      <c r="DZ337" s="1593"/>
      <c r="EA337" s="1593"/>
      <c r="EB337" s="1593"/>
      <c r="EC337" s="1593"/>
      <c r="ED337" s="1593"/>
      <c r="EE337" s="1593"/>
      <c r="EF337" s="1593"/>
      <c r="EG337" s="1593"/>
      <c r="EH337" s="1593"/>
      <c r="EI337" s="1593"/>
      <c r="EJ337" s="1593"/>
      <c r="EK337" s="1593"/>
      <c r="EL337" s="1593"/>
      <c r="EM337" s="1593"/>
      <c r="EN337" s="1593"/>
      <c r="EO337" s="1593"/>
      <c r="EP337" s="1593"/>
      <c r="EQ337" s="1593"/>
      <c r="ER337" s="1593"/>
      <c r="ES337" s="1593"/>
      <c r="ET337" s="1593"/>
      <c r="EU337" s="1593"/>
      <c r="EV337" s="1593"/>
      <c r="EW337" s="1593"/>
      <c r="EX337" s="1593"/>
      <c r="EY337" s="1593"/>
      <c r="EZ337" s="1593"/>
      <c r="FA337" s="1593"/>
      <c r="FB337" s="1593"/>
      <c r="FC337" s="1593"/>
      <c r="FD337" s="1593"/>
      <c r="FE337" s="1593"/>
      <c r="FF337" s="1593"/>
      <c r="FG337" s="1593"/>
      <c r="FH337" s="1593"/>
      <c r="FI337" s="1593"/>
      <c r="FJ337" s="1593"/>
      <c r="FK337" s="1593"/>
      <c r="FL337" s="1593"/>
      <c r="FM337" s="1593"/>
      <c r="FN337" s="1593"/>
      <c r="FO337" s="1593"/>
      <c r="FP337" s="1593"/>
      <c r="FQ337" s="1593"/>
      <c r="FR337" s="1593"/>
      <c r="FS337" s="1593"/>
      <c r="FT337" s="1593"/>
      <c r="FU337" s="1593"/>
      <c r="FV337" s="1593"/>
      <c r="FW337" s="1593"/>
      <c r="FX337" s="1593"/>
      <c r="FY337" s="1593"/>
      <c r="FZ337" s="1593"/>
      <c r="GA337" s="1593"/>
      <c r="GB337" s="1593"/>
      <c r="GC337" s="1593"/>
      <c r="GD337" s="1593"/>
      <c r="GE337" s="1593"/>
      <c r="GF337" s="1593"/>
      <c r="GG337" s="1593"/>
      <c r="GH337" s="1593"/>
      <c r="GI337" s="1593"/>
      <c r="GJ337" s="1593"/>
      <c r="GK337" s="1593"/>
      <c r="GL337" s="1593"/>
      <c r="GM337" s="1593"/>
      <c r="GN337" s="1593"/>
      <c r="GO337" s="1593"/>
      <c r="GP337" s="1593"/>
      <c r="GQ337" s="1593"/>
      <c r="GR337" s="1593"/>
      <c r="GS337" s="1593"/>
      <c r="GT337" s="1593"/>
      <c r="GU337" s="1593"/>
      <c r="GV337" s="1593"/>
      <c r="GW337" s="1593"/>
      <c r="GX337" s="1593"/>
      <c r="GY337" s="1593"/>
      <c r="GZ337" s="1593"/>
      <c r="HA337" s="1593"/>
      <c r="HB337" s="1593"/>
      <c r="HC337" s="1593"/>
      <c r="HD337" s="1593"/>
      <c r="HE337" s="1593"/>
      <c r="HF337" s="1593"/>
      <c r="HG337" s="1593"/>
      <c r="HH337" s="1593"/>
      <c r="HI337" s="1593"/>
      <c r="HJ337" s="1593"/>
      <c r="HK337" s="1593"/>
      <c r="HL337" s="1593"/>
      <c r="HM337" s="1593"/>
      <c r="HN337" s="1593"/>
      <c r="HO337" s="1593"/>
      <c r="HP337" s="1593"/>
      <c r="HQ337" s="1593"/>
      <c r="HR337" s="1593"/>
      <c r="HS337" s="1593"/>
      <c r="HT337" s="1593"/>
      <c r="HU337" s="1593"/>
      <c r="HV337" s="1593"/>
      <c r="HW337" s="1593"/>
      <c r="HX337" s="1593"/>
      <c r="HY337" s="1593"/>
      <c r="HZ337" s="1593"/>
      <c r="IA337" s="1593"/>
      <c r="IB337" s="1593"/>
      <c r="IC337" s="1593"/>
      <c r="ID337" s="1593"/>
      <c r="IE337" s="1593"/>
      <c r="IF337" s="1593"/>
      <c r="IG337" s="1593"/>
      <c r="IH337" s="1593"/>
      <c r="II337" s="1593"/>
      <c r="IJ337" s="1593"/>
      <c r="IK337" s="1593"/>
      <c r="IL337" s="1593"/>
      <c r="IM337" s="1593"/>
      <c r="IN337" s="1593"/>
      <c r="IO337" s="1593"/>
      <c r="IP337" s="1593"/>
      <c r="IQ337" s="1593"/>
      <c r="IR337" s="1593"/>
      <c r="IS337" s="1593"/>
      <c r="IT337" s="1593"/>
      <c r="IU337" s="1593"/>
      <c r="IV337" s="1593"/>
      <c r="IW337" s="1593"/>
      <c r="IX337" s="1593"/>
      <c r="IY337" s="1593"/>
      <c r="IZ337" s="1593"/>
      <c r="JA337" s="1593"/>
      <c r="JB337" s="1593"/>
      <c r="JC337" s="1593"/>
      <c r="JD337" s="1593"/>
      <c r="JE337" s="1593"/>
      <c r="JF337" s="1593"/>
      <c r="JG337" s="1593"/>
      <c r="JH337" s="1593"/>
      <c r="JI337" s="1593"/>
      <c r="JJ337" s="1593"/>
      <c r="JK337" s="1593"/>
      <c r="JL337" s="1593"/>
      <c r="JM337" s="1593"/>
      <c r="JN337" s="1593"/>
      <c r="JO337" s="1593"/>
      <c r="JP337" s="1593"/>
      <c r="JQ337" s="1593"/>
      <c r="JR337" s="1593"/>
      <c r="JS337" s="1593"/>
      <c r="JT337" s="1593"/>
      <c r="JU337" s="1593"/>
      <c r="JV337" s="1593"/>
      <c r="JW337" s="1593"/>
      <c r="JX337" s="1593"/>
      <c r="JY337" s="1593"/>
      <c r="JZ337" s="1593"/>
      <c r="KA337" s="1593"/>
      <c r="KB337" s="1598"/>
    </row>
    <row r="338" spans="2:288" ht="15" customHeight="1" x14ac:dyDescent="0.25">
      <c r="B338" s="216" t="str">
        <f t="shared" si="29"/>
        <v>Desk 19</v>
      </c>
      <c r="C338" s="218" t="str">
        <v/>
      </c>
      <c r="D338" s="218" t="str">
        <v/>
      </c>
      <c r="E338" s="218" t="str">
        <v/>
      </c>
      <c r="F338" s="218" t="str">
        <v/>
      </c>
      <c r="G338" s="402" t="str">
        <v/>
      </c>
      <c r="H338" s="1593"/>
      <c r="I338" s="1593"/>
      <c r="J338" s="1593"/>
      <c r="K338" s="1593"/>
      <c r="L338" s="1593"/>
      <c r="M338" s="1593"/>
      <c r="N338" s="1593"/>
      <c r="O338" s="1593"/>
      <c r="P338" s="1593"/>
      <c r="Q338" s="1593"/>
      <c r="R338" s="1593"/>
      <c r="S338" s="1593"/>
      <c r="T338" s="1593"/>
      <c r="U338" s="1593"/>
      <c r="V338" s="1593"/>
      <c r="W338" s="1593"/>
      <c r="X338" s="1593"/>
      <c r="Y338" s="1593"/>
      <c r="Z338" s="1593"/>
      <c r="AA338" s="1593"/>
      <c r="AB338" s="1593"/>
      <c r="AC338" s="1593"/>
      <c r="AD338" s="1593"/>
      <c r="AE338" s="1593"/>
      <c r="AF338" s="1593"/>
      <c r="AG338" s="1593"/>
      <c r="AH338" s="1593"/>
      <c r="AI338" s="1593"/>
      <c r="AJ338" s="1593"/>
      <c r="AK338" s="1593"/>
      <c r="AL338" s="1593"/>
      <c r="AM338" s="1593"/>
      <c r="AN338" s="1593"/>
      <c r="AO338" s="1593"/>
      <c r="AP338" s="1593"/>
      <c r="AQ338" s="1593"/>
      <c r="AR338" s="1593"/>
      <c r="AS338" s="1593"/>
      <c r="AT338" s="1593"/>
      <c r="AU338" s="1593"/>
      <c r="AV338" s="1593"/>
      <c r="AW338" s="1593"/>
      <c r="AX338" s="1593"/>
      <c r="AY338" s="1593"/>
      <c r="AZ338" s="1593"/>
      <c r="BA338" s="1593"/>
      <c r="BB338" s="1593"/>
      <c r="BC338" s="1593"/>
      <c r="BD338" s="1593"/>
      <c r="BE338" s="1593"/>
      <c r="BF338" s="1593"/>
      <c r="BG338" s="1593"/>
      <c r="BH338" s="1593"/>
      <c r="BI338" s="1593"/>
      <c r="BJ338" s="1593"/>
      <c r="BK338" s="1593"/>
      <c r="BL338" s="1593"/>
      <c r="BM338" s="1593"/>
      <c r="BN338" s="1593"/>
      <c r="BO338" s="1593"/>
      <c r="BP338" s="1593"/>
      <c r="BQ338" s="1593"/>
      <c r="BR338" s="1593"/>
      <c r="BS338" s="1593"/>
      <c r="BT338" s="1593"/>
      <c r="BU338" s="1593"/>
      <c r="BV338" s="1593"/>
      <c r="BW338" s="1593"/>
      <c r="BX338" s="1593"/>
      <c r="BY338" s="1593"/>
      <c r="BZ338" s="1593"/>
      <c r="CA338" s="1593"/>
      <c r="CB338" s="1593"/>
      <c r="CC338" s="1593"/>
      <c r="CD338" s="1593"/>
      <c r="CE338" s="1593"/>
      <c r="CF338" s="1593"/>
      <c r="CG338" s="1593"/>
      <c r="CH338" s="1593"/>
      <c r="CI338" s="1593"/>
      <c r="CJ338" s="1593"/>
      <c r="CK338" s="1593"/>
      <c r="CL338" s="1593"/>
      <c r="CM338" s="1593"/>
      <c r="CN338" s="1593"/>
      <c r="CO338" s="1593"/>
      <c r="CP338" s="1593"/>
      <c r="CQ338" s="1593"/>
      <c r="CR338" s="1593"/>
      <c r="CS338" s="1593"/>
      <c r="CT338" s="1593"/>
      <c r="CU338" s="1593"/>
      <c r="CV338" s="1593"/>
      <c r="CW338" s="1593"/>
      <c r="CX338" s="1593"/>
      <c r="CY338" s="1593"/>
      <c r="CZ338" s="1593"/>
      <c r="DA338" s="1593"/>
      <c r="DB338" s="1593"/>
      <c r="DC338" s="1593"/>
      <c r="DD338" s="1593"/>
      <c r="DE338" s="1593"/>
      <c r="DF338" s="1593"/>
      <c r="DG338" s="1593"/>
      <c r="DH338" s="1593"/>
      <c r="DI338" s="1593"/>
      <c r="DJ338" s="1593"/>
      <c r="DK338" s="1593"/>
      <c r="DL338" s="1593"/>
      <c r="DM338" s="1593"/>
      <c r="DN338" s="1593"/>
      <c r="DO338" s="1593"/>
      <c r="DP338" s="1593"/>
      <c r="DQ338" s="1593"/>
      <c r="DR338" s="1593"/>
      <c r="DS338" s="1593"/>
      <c r="DT338" s="1593"/>
      <c r="DU338" s="1593"/>
      <c r="DV338" s="1593"/>
      <c r="DW338" s="1593"/>
      <c r="DX338" s="1593"/>
      <c r="DY338" s="1593"/>
      <c r="DZ338" s="1593"/>
      <c r="EA338" s="1593"/>
      <c r="EB338" s="1593"/>
      <c r="EC338" s="1593"/>
      <c r="ED338" s="1593"/>
      <c r="EE338" s="1593"/>
      <c r="EF338" s="1593"/>
      <c r="EG338" s="1593"/>
      <c r="EH338" s="1593"/>
      <c r="EI338" s="1593"/>
      <c r="EJ338" s="1593"/>
      <c r="EK338" s="1593"/>
      <c r="EL338" s="1593"/>
      <c r="EM338" s="1593"/>
      <c r="EN338" s="1593"/>
      <c r="EO338" s="1593"/>
      <c r="EP338" s="1593"/>
      <c r="EQ338" s="1593"/>
      <c r="ER338" s="1593"/>
      <c r="ES338" s="1593"/>
      <c r="ET338" s="1593"/>
      <c r="EU338" s="1593"/>
      <c r="EV338" s="1593"/>
      <c r="EW338" s="1593"/>
      <c r="EX338" s="1593"/>
      <c r="EY338" s="1593"/>
      <c r="EZ338" s="1593"/>
      <c r="FA338" s="1593"/>
      <c r="FB338" s="1593"/>
      <c r="FC338" s="1593"/>
      <c r="FD338" s="1593"/>
      <c r="FE338" s="1593"/>
      <c r="FF338" s="1593"/>
      <c r="FG338" s="1593"/>
      <c r="FH338" s="1593"/>
      <c r="FI338" s="1593"/>
      <c r="FJ338" s="1593"/>
      <c r="FK338" s="1593"/>
      <c r="FL338" s="1593"/>
      <c r="FM338" s="1593"/>
      <c r="FN338" s="1593"/>
      <c r="FO338" s="1593"/>
      <c r="FP338" s="1593"/>
      <c r="FQ338" s="1593"/>
      <c r="FR338" s="1593"/>
      <c r="FS338" s="1593"/>
      <c r="FT338" s="1593"/>
      <c r="FU338" s="1593"/>
      <c r="FV338" s="1593"/>
      <c r="FW338" s="1593"/>
      <c r="FX338" s="1593"/>
      <c r="FY338" s="1593"/>
      <c r="FZ338" s="1593"/>
      <c r="GA338" s="1593"/>
      <c r="GB338" s="1593"/>
      <c r="GC338" s="1593"/>
      <c r="GD338" s="1593"/>
      <c r="GE338" s="1593"/>
      <c r="GF338" s="1593"/>
      <c r="GG338" s="1593"/>
      <c r="GH338" s="1593"/>
      <c r="GI338" s="1593"/>
      <c r="GJ338" s="1593"/>
      <c r="GK338" s="1593"/>
      <c r="GL338" s="1593"/>
      <c r="GM338" s="1593"/>
      <c r="GN338" s="1593"/>
      <c r="GO338" s="1593"/>
      <c r="GP338" s="1593"/>
      <c r="GQ338" s="1593"/>
      <c r="GR338" s="1593"/>
      <c r="GS338" s="1593"/>
      <c r="GT338" s="1593"/>
      <c r="GU338" s="1593"/>
      <c r="GV338" s="1593"/>
      <c r="GW338" s="1593"/>
      <c r="GX338" s="1593"/>
      <c r="GY338" s="1593"/>
      <c r="GZ338" s="1593"/>
      <c r="HA338" s="1593"/>
      <c r="HB338" s="1593"/>
      <c r="HC338" s="1593"/>
      <c r="HD338" s="1593"/>
      <c r="HE338" s="1593"/>
      <c r="HF338" s="1593"/>
      <c r="HG338" s="1593"/>
      <c r="HH338" s="1593"/>
      <c r="HI338" s="1593"/>
      <c r="HJ338" s="1593"/>
      <c r="HK338" s="1593"/>
      <c r="HL338" s="1593"/>
      <c r="HM338" s="1593"/>
      <c r="HN338" s="1593"/>
      <c r="HO338" s="1593"/>
      <c r="HP338" s="1593"/>
      <c r="HQ338" s="1593"/>
      <c r="HR338" s="1593"/>
      <c r="HS338" s="1593"/>
      <c r="HT338" s="1593"/>
      <c r="HU338" s="1593"/>
      <c r="HV338" s="1593"/>
      <c r="HW338" s="1593"/>
      <c r="HX338" s="1593"/>
      <c r="HY338" s="1593"/>
      <c r="HZ338" s="1593"/>
      <c r="IA338" s="1593"/>
      <c r="IB338" s="1593"/>
      <c r="IC338" s="1593"/>
      <c r="ID338" s="1593"/>
      <c r="IE338" s="1593"/>
      <c r="IF338" s="1593"/>
      <c r="IG338" s="1593"/>
      <c r="IH338" s="1593"/>
      <c r="II338" s="1593"/>
      <c r="IJ338" s="1593"/>
      <c r="IK338" s="1593"/>
      <c r="IL338" s="1593"/>
      <c r="IM338" s="1593"/>
      <c r="IN338" s="1593"/>
      <c r="IO338" s="1593"/>
      <c r="IP338" s="1593"/>
      <c r="IQ338" s="1593"/>
      <c r="IR338" s="1593"/>
      <c r="IS338" s="1593"/>
      <c r="IT338" s="1593"/>
      <c r="IU338" s="1593"/>
      <c r="IV338" s="1593"/>
      <c r="IW338" s="1593"/>
      <c r="IX338" s="1593"/>
      <c r="IY338" s="1593"/>
      <c r="IZ338" s="1593"/>
      <c r="JA338" s="1593"/>
      <c r="JB338" s="1593"/>
      <c r="JC338" s="1593"/>
      <c r="JD338" s="1593"/>
      <c r="JE338" s="1593"/>
      <c r="JF338" s="1593"/>
      <c r="JG338" s="1593"/>
      <c r="JH338" s="1593"/>
      <c r="JI338" s="1593"/>
      <c r="JJ338" s="1593"/>
      <c r="JK338" s="1593"/>
      <c r="JL338" s="1593"/>
      <c r="JM338" s="1593"/>
      <c r="JN338" s="1593"/>
      <c r="JO338" s="1593"/>
      <c r="JP338" s="1593"/>
      <c r="JQ338" s="1593"/>
      <c r="JR338" s="1593"/>
      <c r="JS338" s="1593"/>
      <c r="JT338" s="1593"/>
      <c r="JU338" s="1593"/>
      <c r="JV338" s="1593"/>
      <c r="JW338" s="1593"/>
      <c r="JX338" s="1593"/>
      <c r="JY338" s="1593"/>
      <c r="JZ338" s="1593"/>
      <c r="KA338" s="1593"/>
      <c r="KB338" s="1598"/>
    </row>
    <row r="339" spans="2:288" ht="15" customHeight="1" x14ac:dyDescent="0.25">
      <c r="B339" s="216" t="str">
        <f t="shared" si="29"/>
        <v>Desk 20</v>
      </c>
      <c r="C339" s="218" t="str">
        <v/>
      </c>
      <c r="D339" s="218" t="str">
        <v/>
      </c>
      <c r="E339" s="218" t="str">
        <v/>
      </c>
      <c r="F339" s="218" t="str">
        <v/>
      </c>
      <c r="G339" s="402" t="str">
        <v/>
      </c>
      <c r="H339" s="1593"/>
      <c r="I339" s="1593"/>
      <c r="J339" s="1593"/>
      <c r="K339" s="1593"/>
      <c r="L339" s="1593"/>
      <c r="M339" s="1593"/>
      <c r="N339" s="1593"/>
      <c r="O339" s="1593"/>
      <c r="P339" s="1593"/>
      <c r="Q339" s="1593"/>
      <c r="R339" s="1593"/>
      <c r="S339" s="1593"/>
      <c r="T339" s="1593"/>
      <c r="U339" s="1593"/>
      <c r="V339" s="1593"/>
      <c r="W339" s="1593"/>
      <c r="X339" s="1593"/>
      <c r="Y339" s="1593"/>
      <c r="Z339" s="1593"/>
      <c r="AA339" s="1593"/>
      <c r="AB339" s="1593"/>
      <c r="AC339" s="1593"/>
      <c r="AD339" s="1593"/>
      <c r="AE339" s="1593"/>
      <c r="AF339" s="1593"/>
      <c r="AG339" s="1593"/>
      <c r="AH339" s="1593"/>
      <c r="AI339" s="1593"/>
      <c r="AJ339" s="1593"/>
      <c r="AK339" s="1593"/>
      <c r="AL339" s="1593"/>
      <c r="AM339" s="1593"/>
      <c r="AN339" s="1593"/>
      <c r="AO339" s="1593"/>
      <c r="AP339" s="1593"/>
      <c r="AQ339" s="1593"/>
      <c r="AR339" s="1593"/>
      <c r="AS339" s="1593"/>
      <c r="AT339" s="1593"/>
      <c r="AU339" s="1593"/>
      <c r="AV339" s="1593"/>
      <c r="AW339" s="1593"/>
      <c r="AX339" s="1593"/>
      <c r="AY339" s="1593"/>
      <c r="AZ339" s="1593"/>
      <c r="BA339" s="1593"/>
      <c r="BB339" s="1593"/>
      <c r="BC339" s="1593"/>
      <c r="BD339" s="1593"/>
      <c r="BE339" s="1593"/>
      <c r="BF339" s="1593"/>
      <c r="BG339" s="1593"/>
      <c r="BH339" s="1593"/>
      <c r="BI339" s="1593"/>
      <c r="BJ339" s="1593"/>
      <c r="BK339" s="1593"/>
      <c r="BL339" s="1593"/>
      <c r="BM339" s="1593"/>
      <c r="BN339" s="1593"/>
      <c r="BO339" s="1593"/>
      <c r="BP339" s="1593"/>
      <c r="BQ339" s="1593"/>
      <c r="BR339" s="1593"/>
      <c r="BS339" s="1593"/>
      <c r="BT339" s="1593"/>
      <c r="BU339" s="1593"/>
      <c r="BV339" s="1593"/>
      <c r="BW339" s="1593"/>
      <c r="BX339" s="1593"/>
      <c r="BY339" s="1593"/>
      <c r="BZ339" s="1593"/>
      <c r="CA339" s="1593"/>
      <c r="CB339" s="1593"/>
      <c r="CC339" s="1593"/>
      <c r="CD339" s="1593"/>
      <c r="CE339" s="1593"/>
      <c r="CF339" s="1593"/>
      <c r="CG339" s="1593"/>
      <c r="CH339" s="1593"/>
      <c r="CI339" s="1593"/>
      <c r="CJ339" s="1593"/>
      <c r="CK339" s="1593"/>
      <c r="CL339" s="1593"/>
      <c r="CM339" s="1593"/>
      <c r="CN339" s="1593"/>
      <c r="CO339" s="1593"/>
      <c r="CP339" s="1593"/>
      <c r="CQ339" s="1593"/>
      <c r="CR339" s="1593"/>
      <c r="CS339" s="1593"/>
      <c r="CT339" s="1593"/>
      <c r="CU339" s="1593"/>
      <c r="CV339" s="1593"/>
      <c r="CW339" s="1593"/>
      <c r="CX339" s="1593"/>
      <c r="CY339" s="1593"/>
      <c r="CZ339" s="1593"/>
      <c r="DA339" s="1593"/>
      <c r="DB339" s="1593"/>
      <c r="DC339" s="1593"/>
      <c r="DD339" s="1593"/>
      <c r="DE339" s="1593"/>
      <c r="DF339" s="1593"/>
      <c r="DG339" s="1593"/>
      <c r="DH339" s="1593"/>
      <c r="DI339" s="1593"/>
      <c r="DJ339" s="1593"/>
      <c r="DK339" s="1593"/>
      <c r="DL339" s="1593"/>
      <c r="DM339" s="1593"/>
      <c r="DN339" s="1593"/>
      <c r="DO339" s="1593"/>
      <c r="DP339" s="1593"/>
      <c r="DQ339" s="1593"/>
      <c r="DR339" s="1593"/>
      <c r="DS339" s="1593"/>
      <c r="DT339" s="1593"/>
      <c r="DU339" s="1593"/>
      <c r="DV339" s="1593"/>
      <c r="DW339" s="1593"/>
      <c r="DX339" s="1593"/>
      <c r="DY339" s="1593"/>
      <c r="DZ339" s="1593"/>
      <c r="EA339" s="1593"/>
      <c r="EB339" s="1593"/>
      <c r="EC339" s="1593"/>
      <c r="ED339" s="1593"/>
      <c r="EE339" s="1593"/>
      <c r="EF339" s="1593"/>
      <c r="EG339" s="1593"/>
      <c r="EH339" s="1593"/>
      <c r="EI339" s="1593"/>
      <c r="EJ339" s="1593"/>
      <c r="EK339" s="1593"/>
      <c r="EL339" s="1593"/>
      <c r="EM339" s="1593"/>
      <c r="EN339" s="1593"/>
      <c r="EO339" s="1593"/>
      <c r="EP339" s="1593"/>
      <c r="EQ339" s="1593"/>
      <c r="ER339" s="1593"/>
      <c r="ES339" s="1593"/>
      <c r="ET339" s="1593"/>
      <c r="EU339" s="1593"/>
      <c r="EV339" s="1593"/>
      <c r="EW339" s="1593"/>
      <c r="EX339" s="1593"/>
      <c r="EY339" s="1593"/>
      <c r="EZ339" s="1593"/>
      <c r="FA339" s="1593"/>
      <c r="FB339" s="1593"/>
      <c r="FC339" s="1593"/>
      <c r="FD339" s="1593"/>
      <c r="FE339" s="1593"/>
      <c r="FF339" s="1593"/>
      <c r="FG339" s="1593"/>
      <c r="FH339" s="1593"/>
      <c r="FI339" s="1593"/>
      <c r="FJ339" s="1593"/>
      <c r="FK339" s="1593"/>
      <c r="FL339" s="1593"/>
      <c r="FM339" s="1593"/>
      <c r="FN339" s="1593"/>
      <c r="FO339" s="1593"/>
      <c r="FP339" s="1593"/>
      <c r="FQ339" s="1593"/>
      <c r="FR339" s="1593"/>
      <c r="FS339" s="1593"/>
      <c r="FT339" s="1593"/>
      <c r="FU339" s="1593"/>
      <c r="FV339" s="1593"/>
      <c r="FW339" s="1593"/>
      <c r="FX339" s="1593"/>
      <c r="FY339" s="1593"/>
      <c r="FZ339" s="1593"/>
      <c r="GA339" s="1593"/>
      <c r="GB339" s="1593"/>
      <c r="GC339" s="1593"/>
      <c r="GD339" s="1593"/>
      <c r="GE339" s="1593"/>
      <c r="GF339" s="1593"/>
      <c r="GG339" s="1593"/>
      <c r="GH339" s="1593"/>
      <c r="GI339" s="1593"/>
      <c r="GJ339" s="1593"/>
      <c r="GK339" s="1593"/>
      <c r="GL339" s="1593"/>
      <c r="GM339" s="1593"/>
      <c r="GN339" s="1593"/>
      <c r="GO339" s="1593"/>
      <c r="GP339" s="1593"/>
      <c r="GQ339" s="1593"/>
      <c r="GR339" s="1593"/>
      <c r="GS339" s="1593"/>
      <c r="GT339" s="1593"/>
      <c r="GU339" s="1593"/>
      <c r="GV339" s="1593"/>
      <c r="GW339" s="1593"/>
      <c r="GX339" s="1593"/>
      <c r="GY339" s="1593"/>
      <c r="GZ339" s="1593"/>
      <c r="HA339" s="1593"/>
      <c r="HB339" s="1593"/>
      <c r="HC339" s="1593"/>
      <c r="HD339" s="1593"/>
      <c r="HE339" s="1593"/>
      <c r="HF339" s="1593"/>
      <c r="HG339" s="1593"/>
      <c r="HH339" s="1593"/>
      <c r="HI339" s="1593"/>
      <c r="HJ339" s="1593"/>
      <c r="HK339" s="1593"/>
      <c r="HL339" s="1593"/>
      <c r="HM339" s="1593"/>
      <c r="HN339" s="1593"/>
      <c r="HO339" s="1593"/>
      <c r="HP339" s="1593"/>
      <c r="HQ339" s="1593"/>
      <c r="HR339" s="1593"/>
      <c r="HS339" s="1593"/>
      <c r="HT339" s="1593"/>
      <c r="HU339" s="1593"/>
      <c r="HV339" s="1593"/>
      <c r="HW339" s="1593"/>
      <c r="HX339" s="1593"/>
      <c r="HY339" s="1593"/>
      <c r="HZ339" s="1593"/>
      <c r="IA339" s="1593"/>
      <c r="IB339" s="1593"/>
      <c r="IC339" s="1593"/>
      <c r="ID339" s="1593"/>
      <c r="IE339" s="1593"/>
      <c r="IF339" s="1593"/>
      <c r="IG339" s="1593"/>
      <c r="IH339" s="1593"/>
      <c r="II339" s="1593"/>
      <c r="IJ339" s="1593"/>
      <c r="IK339" s="1593"/>
      <c r="IL339" s="1593"/>
      <c r="IM339" s="1593"/>
      <c r="IN339" s="1593"/>
      <c r="IO339" s="1593"/>
      <c r="IP339" s="1593"/>
      <c r="IQ339" s="1593"/>
      <c r="IR339" s="1593"/>
      <c r="IS339" s="1593"/>
      <c r="IT339" s="1593"/>
      <c r="IU339" s="1593"/>
      <c r="IV339" s="1593"/>
      <c r="IW339" s="1593"/>
      <c r="IX339" s="1593"/>
      <c r="IY339" s="1593"/>
      <c r="IZ339" s="1593"/>
      <c r="JA339" s="1593"/>
      <c r="JB339" s="1593"/>
      <c r="JC339" s="1593"/>
      <c r="JD339" s="1593"/>
      <c r="JE339" s="1593"/>
      <c r="JF339" s="1593"/>
      <c r="JG339" s="1593"/>
      <c r="JH339" s="1593"/>
      <c r="JI339" s="1593"/>
      <c r="JJ339" s="1593"/>
      <c r="JK339" s="1593"/>
      <c r="JL339" s="1593"/>
      <c r="JM339" s="1593"/>
      <c r="JN339" s="1593"/>
      <c r="JO339" s="1593"/>
      <c r="JP339" s="1593"/>
      <c r="JQ339" s="1593"/>
      <c r="JR339" s="1593"/>
      <c r="JS339" s="1593"/>
      <c r="JT339" s="1593"/>
      <c r="JU339" s="1593"/>
      <c r="JV339" s="1593"/>
      <c r="JW339" s="1593"/>
      <c r="JX339" s="1593"/>
      <c r="JY339" s="1593"/>
      <c r="JZ339" s="1593"/>
      <c r="KA339" s="1593"/>
      <c r="KB339" s="1598"/>
    </row>
    <row r="340" spans="2:288" ht="15" customHeight="1" x14ac:dyDescent="0.25">
      <c r="B340" s="216" t="str">
        <f t="shared" si="29"/>
        <v>Desk 21</v>
      </c>
      <c r="C340" s="218" t="str">
        <v/>
      </c>
      <c r="D340" s="218" t="str">
        <v/>
      </c>
      <c r="E340" s="218" t="str">
        <v/>
      </c>
      <c r="F340" s="218" t="str">
        <v/>
      </c>
      <c r="G340" s="402" t="str">
        <v/>
      </c>
      <c r="H340" s="1593"/>
      <c r="I340" s="1593"/>
      <c r="J340" s="1593"/>
      <c r="K340" s="1593"/>
      <c r="L340" s="1593"/>
      <c r="M340" s="1593"/>
      <c r="N340" s="1593"/>
      <c r="O340" s="1593"/>
      <c r="P340" s="1593"/>
      <c r="Q340" s="1593"/>
      <c r="R340" s="1593"/>
      <c r="S340" s="1593"/>
      <c r="T340" s="1593"/>
      <c r="U340" s="1593"/>
      <c r="V340" s="1593"/>
      <c r="W340" s="1593"/>
      <c r="X340" s="1593"/>
      <c r="Y340" s="1593"/>
      <c r="Z340" s="1593"/>
      <c r="AA340" s="1593"/>
      <c r="AB340" s="1593"/>
      <c r="AC340" s="1593"/>
      <c r="AD340" s="1593"/>
      <c r="AE340" s="1593"/>
      <c r="AF340" s="1593"/>
      <c r="AG340" s="1593"/>
      <c r="AH340" s="1593"/>
      <c r="AI340" s="1593"/>
      <c r="AJ340" s="1593"/>
      <c r="AK340" s="1593"/>
      <c r="AL340" s="1593"/>
      <c r="AM340" s="1593"/>
      <c r="AN340" s="1593"/>
      <c r="AO340" s="1593"/>
      <c r="AP340" s="1593"/>
      <c r="AQ340" s="1593"/>
      <c r="AR340" s="1593"/>
      <c r="AS340" s="1593"/>
      <c r="AT340" s="1593"/>
      <c r="AU340" s="1593"/>
      <c r="AV340" s="1593"/>
      <c r="AW340" s="1593"/>
      <c r="AX340" s="1593"/>
      <c r="AY340" s="1593"/>
      <c r="AZ340" s="1593"/>
      <c r="BA340" s="1593"/>
      <c r="BB340" s="1593"/>
      <c r="BC340" s="1593"/>
      <c r="BD340" s="1593"/>
      <c r="BE340" s="1593"/>
      <c r="BF340" s="1593"/>
      <c r="BG340" s="1593"/>
      <c r="BH340" s="1593"/>
      <c r="BI340" s="1593"/>
      <c r="BJ340" s="1593"/>
      <c r="BK340" s="1593"/>
      <c r="BL340" s="1593"/>
      <c r="BM340" s="1593"/>
      <c r="BN340" s="1593"/>
      <c r="BO340" s="1593"/>
      <c r="BP340" s="1593"/>
      <c r="BQ340" s="1593"/>
      <c r="BR340" s="1593"/>
      <c r="BS340" s="1593"/>
      <c r="BT340" s="1593"/>
      <c r="BU340" s="1593"/>
      <c r="BV340" s="1593"/>
      <c r="BW340" s="1593"/>
      <c r="BX340" s="1593"/>
      <c r="BY340" s="1593"/>
      <c r="BZ340" s="1593"/>
      <c r="CA340" s="1593"/>
      <c r="CB340" s="1593"/>
      <c r="CC340" s="1593"/>
      <c r="CD340" s="1593"/>
      <c r="CE340" s="1593"/>
      <c r="CF340" s="1593"/>
      <c r="CG340" s="1593"/>
      <c r="CH340" s="1593"/>
      <c r="CI340" s="1593"/>
      <c r="CJ340" s="1593"/>
      <c r="CK340" s="1593"/>
      <c r="CL340" s="1593"/>
      <c r="CM340" s="1593"/>
      <c r="CN340" s="1593"/>
      <c r="CO340" s="1593"/>
      <c r="CP340" s="1593"/>
      <c r="CQ340" s="1593"/>
      <c r="CR340" s="1593"/>
      <c r="CS340" s="1593"/>
      <c r="CT340" s="1593"/>
      <c r="CU340" s="1593"/>
      <c r="CV340" s="1593"/>
      <c r="CW340" s="1593"/>
      <c r="CX340" s="1593"/>
      <c r="CY340" s="1593"/>
      <c r="CZ340" s="1593"/>
      <c r="DA340" s="1593"/>
      <c r="DB340" s="1593"/>
      <c r="DC340" s="1593"/>
      <c r="DD340" s="1593"/>
      <c r="DE340" s="1593"/>
      <c r="DF340" s="1593"/>
      <c r="DG340" s="1593"/>
      <c r="DH340" s="1593"/>
      <c r="DI340" s="1593"/>
      <c r="DJ340" s="1593"/>
      <c r="DK340" s="1593"/>
      <c r="DL340" s="1593"/>
      <c r="DM340" s="1593"/>
      <c r="DN340" s="1593"/>
      <c r="DO340" s="1593"/>
      <c r="DP340" s="1593"/>
      <c r="DQ340" s="1593"/>
      <c r="DR340" s="1593"/>
      <c r="DS340" s="1593"/>
      <c r="DT340" s="1593"/>
      <c r="DU340" s="1593"/>
      <c r="DV340" s="1593"/>
      <c r="DW340" s="1593"/>
      <c r="DX340" s="1593"/>
      <c r="DY340" s="1593"/>
      <c r="DZ340" s="1593"/>
      <c r="EA340" s="1593"/>
      <c r="EB340" s="1593"/>
      <c r="EC340" s="1593"/>
      <c r="ED340" s="1593"/>
      <c r="EE340" s="1593"/>
      <c r="EF340" s="1593"/>
      <c r="EG340" s="1593"/>
      <c r="EH340" s="1593"/>
      <c r="EI340" s="1593"/>
      <c r="EJ340" s="1593"/>
      <c r="EK340" s="1593"/>
      <c r="EL340" s="1593"/>
      <c r="EM340" s="1593"/>
      <c r="EN340" s="1593"/>
      <c r="EO340" s="1593"/>
      <c r="EP340" s="1593"/>
      <c r="EQ340" s="1593"/>
      <c r="ER340" s="1593"/>
      <c r="ES340" s="1593"/>
      <c r="ET340" s="1593"/>
      <c r="EU340" s="1593"/>
      <c r="EV340" s="1593"/>
      <c r="EW340" s="1593"/>
      <c r="EX340" s="1593"/>
      <c r="EY340" s="1593"/>
      <c r="EZ340" s="1593"/>
      <c r="FA340" s="1593"/>
      <c r="FB340" s="1593"/>
      <c r="FC340" s="1593"/>
      <c r="FD340" s="1593"/>
      <c r="FE340" s="1593"/>
      <c r="FF340" s="1593"/>
      <c r="FG340" s="1593"/>
      <c r="FH340" s="1593"/>
      <c r="FI340" s="1593"/>
      <c r="FJ340" s="1593"/>
      <c r="FK340" s="1593"/>
      <c r="FL340" s="1593"/>
      <c r="FM340" s="1593"/>
      <c r="FN340" s="1593"/>
      <c r="FO340" s="1593"/>
      <c r="FP340" s="1593"/>
      <c r="FQ340" s="1593"/>
      <c r="FR340" s="1593"/>
      <c r="FS340" s="1593"/>
      <c r="FT340" s="1593"/>
      <c r="FU340" s="1593"/>
      <c r="FV340" s="1593"/>
      <c r="FW340" s="1593"/>
      <c r="FX340" s="1593"/>
      <c r="FY340" s="1593"/>
      <c r="FZ340" s="1593"/>
      <c r="GA340" s="1593"/>
      <c r="GB340" s="1593"/>
      <c r="GC340" s="1593"/>
      <c r="GD340" s="1593"/>
      <c r="GE340" s="1593"/>
      <c r="GF340" s="1593"/>
      <c r="GG340" s="1593"/>
      <c r="GH340" s="1593"/>
      <c r="GI340" s="1593"/>
      <c r="GJ340" s="1593"/>
      <c r="GK340" s="1593"/>
      <c r="GL340" s="1593"/>
      <c r="GM340" s="1593"/>
      <c r="GN340" s="1593"/>
      <c r="GO340" s="1593"/>
      <c r="GP340" s="1593"/>
      <c r="GQ340" s="1593"/>
      <c r="GR340" s="1593"/>
      <c r="GS340" s="1593"/>
      <c r="GT340" s="1593"/>
      <c r="GU340" s="1593"/>
      <c r="GV340" s="1593"/>
      <c r="GW340" s="1593"/>
      <c r="GX340" s="1593"/>
      <c r="GY340" s="1593"/>
      <c r="GZ340" s="1593"/>
      <c r="HA340" s="1593"/>
      <c r="HB340" s="1593"/>
      <c r="HC340" s="1593"/>
      <c r="HD340" s="1593"/>
      <c r="HE340" s="1593"/>
      <c r="HF340" s="1593"/>
      <c r="HG340" s="1593"/>
      <c r="HH340" s="1593"/>
      <c r="HI340" s="1593"/>
      <c r="HJ340" s="1593"/>
      <c r="HK340" s="1593"/>
      <c r="HL340" s="1593"/>
      <c r="HM340" s="1593"/>
      <c r="HN340" s="1593"/>
      <c r="HO340" s="1593"/>
      <c r="HP340" s="1593"/>
      <c r="HQ340" s="1593"/>
      <c r="HR340" s="1593"/>
      <c r="HS340" s="1593"/>
      <c r="HT340" s="1593"/>
      <c r="HU340" s="1593"/>
      <c r="HV340" s="1593"/>
      <c r="HW340" s="1593"/>
      <c r="HX340" s="1593"/>
      <c r="HY340" s="1593"/>
      <c r="HZ340" s="1593"/>
      <c r="IA340" s="1593"/>
      <c r="IB340" s="1593"/>
      <c r="IC340" s="1593"/>
      <c r="ID340" s="1593"/>
      <c r="IE340" s="1593"/>
      <c r="IF340" s="1593"/>
      <c r="IG340" s="1593"/>
      <c r="IH340" s="1593"/>
      <c r="II340" s="1593"/>
      <c r="IJ340" s="1593"/>
      <c r="IK340" s="1593"/>
      <c r="IL340" s="1593"/>
      <c r="IM340" s="1593"/>
      <c r="IN340" s="1593"/>
      <c r="IO340" s="1593"/>
      <c r="IP340" s="1593"/>
      <c r="IQ340" s="1593"/>
      <c r="IR340" s="1593"/>
      <c r="IS340" s="1593"/>
      <c r="IT340" s="1593"/>
      <c r="IU340" s="1593"/>
      <c r="IV340" s="1593"/>
      <c r="IW340" s="1593"/>
      <c r="IX340" s="1593"/>
      <c r="IY340" s="1593"/>
      <c r="IZ340" s="1593"/>
      <c r="JA340" s="1593"/>
      <c r="JB340" s="1593"/>
      <c r="JC340" s="1593"/>
      <c r="JD340" s="1593"/>
      <c r="JE340" s="1593"/>
      <c r="JF340" s="1593"/>
      <c r="JG340" s="1593"/>
      <c r="JH340" s="1593"/>
      <c r="JI340" s="1593"/>
      <c r="JJ340" s="1593"/>
      <c r="JK340" s="1593"/>
      <c r="JL340" s="1593"/>
      <c r="JM340" s="1593"/>
      <c r="JN340" s="1593"/>
      <c r="JO340" s="1593"/>
      <c r="JP340" s="1593"/>
      <c r="JQ340" s="1593"/>
      <c r="JR340" s="1593"/>
      <c r="JS340" s="1593"/>
      <c r="JT340" s="1593"/>
      <c r="JU340" s="1593"/>
      <c r="JV340" s="1593"/>
      <c r="JW340" s="1593"/>
      <c r="JX340" s="1593"/>
      <c r="JY340" s="1593"/>
      <c r="JZ340" s="1593"/>
      <c r="KA340" s="1593"/>
      <c r="KB340" s="1598"/>
    </row>
    <row r="341" spans="2:288" ht="15" customHeight="1" x14ac:dyDescent="0.25">
      <c r="B341" s="216" t="str">
        <f t="shared" si="29"/>
        <v>Desk 22</v>
      </c>
      <c r="C341" s="218" t="str">
        <v/>
      </c>
      <c r="D341" s="218" t="str">
        <v/>
      </c>
      <c r="E341" s="218" t="str">
        <v/>
      </c>
      <c r="F341" s="218" t="str">
        <v/>
      </c>
      <c r="G341" s="402" t="str">
        <v/>
      </c>
      <c r="H341" s="1593"/>
      <c r="I341" s="1593"/>
      <c r="J341" s="1593"/>
      <c r="K341" s="1593"/>
      <c r="L341" s="1593"/>
      <c r="M341" s="1593"/>
      <c r="N341" s="1593"/>
      <c r="O341" s="1593"/>
      <c r="P341" s="1593"/>
      <c r="Q341" s="1593"/>
      <c r="R341" s="1593"/>
      <c r="S341" s="1593"/>
      <c r="T341" s="1593"/>
      <c r="U341" s="1593"/>
      <c r="V341" s="1593"/>
      <c r="W341" s="1593"/>
      <c r="X341" s="1593"/>
      <c r="Y341" s="1593"/>
      <c r="Z341" s="1593"/>
      <c r="AA341" s="1593"/>
      <c r="AB341" s="1593"/>
      <c r="AC341" s="1593"/>
      <c r="AD341" s="1593"/>
      <c r="AE341" s="1593"/>
      <c r="AF341" s="1593"/>
      <c r="AG341" s="1593"/>
      <c r="AH341" s="1593"/>
      <c r="AI341" s="1593"/>
      <c r="AJ341" s="1593"/>
      <c r="AK341" s="1593"/>
      <c r="AL341" s="1593"/>
      <c r="AM341" s="1593"/>
      <c r="AN341" s="1593"/>
      <c r="AO341" s="1593"/>
      <c r="AP341" s="1593"/>
      <c r="AQ341" s="1593"/>
      <c r="AR341" s="1593"/>
      <c r="AS341" s="1593"/>
      <c r="AT341" s="1593"/>
      <c r="AU341" s="1593"/>
      <c r="AV341" s="1593"/>
      <c r="AW341" s="1593"/>
      <c r="AX341" s="1593"/>
      <c r="AY341" s="1593"/>
      <c r="AZ341" s="1593"/>
      <c r="BA341" s="1593"/>
      <c r="BB341" s="1593"/>
      <c r="BC341" s="1593"/>
      <c r="BD341" s="1593"/>
      <c r="BE341" s="1593"/>
      <c r="BF341" s="1593"/>
      <c r="BG341" s="1593"/>
      <c r="BH341" s="1593"/>
      <c r="BI341" s="1593"/>
      <c r="BJ341" s="1593"/>
      <c r="BK341" s="1593"/>
      <c r="BL341" s="1593"/>
      <c r="BM341" s="1593"/>
      <c r="BN341" s="1593"/>
      <c r="BO341" s="1593"/>
      <c r="BP341" s="1593"/>
      <c r="BQ341" s="1593"/>
      <c r="BR341" s="1593"/>
      <c r="BS341" s="1593"/>
      <c r="BT341" s="1593"/>
      <c r="BU341" s="1593"/>
      <c r="BV341" s="1593"/>
      <c r="BW341" s="1593"/>
      <c r="BX341" s="1593"/>
      <c r="BY341" s="1593"/>
      <c r="BZ341" s="1593"/>
      <c r="CA341" s="1593"/>
      <c r="CB341" s="1593"/>
      <c r="CC341" s="1593"/>
      <c r="CD341" s="1593"/>
      <c r="CE341" s="1593"/>
      <c r="CF341" s="1593"/>
      <c r="CG341" s="1593"/>
      <c r="CH341" s="1593"/>
      <c r="CI341" s="1593"/>
      <c r="CJ341" s="1593"/>
      <c r="CK341" s="1593"/>
      <c r="CL341" s="1593"/>
      <c r="CM341" s="1593"/>
      <c r="CN341" s="1593"/>
      <c r="CO341" s="1593"/>
      <c r="CP341" s="1593"/>
      <c r="CQ341" s="1593"/>
      <c r="CR341" s="1593"/>
      <c r="CS341" s="1593"/>
      <c r="CT341" s="1593"/>
      <c r="CU341" s="1593"/>
      <c r="CV341" s="1593"/>
      <c r="CW341" s="1593"/>
      <c r="CX341" s="1593"/>
      <c r="CY341" s="1593"/>
      <c r="CZ341" s="1593"/>
      <c r="DA341" s="1593"/>
      <c r="DB341" s="1593"/>
      <c r="DC341" s="1593"/>
      <c r="DD341" s="1593"/>
      <c r="DE341" s="1593"/>
      <c r="DF341" s="1593"/>
      <c r="DG341" s="1593"/>
      <c r="DH341" s="1593"/>
      <c r="DI341" s="1593"/>
      <c r="DJ341" s="1593"/>
      <c r="DK341" s="1593"/>
      <c r="DL341" s="1593"/>
      <c r="DM341" s="1593"/>
      <c r="DN341" s="1593"/>
      <c r="DO341" s="1593"/>
      <c r="DP341" s="1593"/>
      <c r="DQ341" s="1593"/>
      <c r="DR341" s="1593"/>
      <c r="DS341" s="1593"/>
      <c r="DT341" s="1593"/>
      <c r="DU341" s="1593"/>
      <c r="DV341" s="1593"/>
      <c r="DW341" s="1593"/>
      <c r="DX341" s="1593"/>
      <c r="DY341" s="1593"/>
      <c r="DZ341" s="1593"/>
      <c r="EA341" s="1593"/>
      <c r="EB341" s="1593"/>
      <c r="EC341" s="1593"/>
      <c r="ED341" s="1593"/>
      <c r="EE341" s="1593"/>
      <c r="EF341" s="1593"/>
      <c r="EG341" s="1593"/>
      <c r="EH341" s="1593"/>
      <c r="EI341" s="1593"/>
      <c r="EJ341" s="1593"/>
      <c r="EK341" s="1593"/>
      <c r="EL341" s="1593"/>
      <c r="EM341" s="1593"/>
      <c r="EN341" s="1593"/>
      <c r="EO341" s="1593"/>
      <c r="EP341" s="1593"/>
      <c r="EQ341" s="1593"/>
      <c r="ER341" s="1593"/>
      <c r="ES341" s="1593"/>
      <c r="ET341" s="1593"/>
      <c r="EU341" s="1593"/>
      <c r="EV341" s="1593"/>
      <c r="EW341" s="1593"/>
      <c r="EX341" s="1593"/>
      <c r="EY341" s="1593"/>
      <c r="EZ341" s="1593"/>
      <c r="FA341" s="1593"/>
      <c r="FB341" s="1593"/>
      <c r="FC341" s="1593"/>
      <c r="FD341" s="1593"/>
      <c r="FE341" s="1593"/>
      <c r="FF341" s="1593"/>
      <c r="FG341" s="1593"/>
      <c r="FH341" s="1593"/>
      <c r="FI341" s="1593"/>
      <c r="FJ341" s="1593"/>
      <c r="FK341" s="1593"/>
      <c r="FL341" s="1593"/>
      <c r="FM341" s="1593"/>
      <c r="FN341" s="1593"/>
      <c r="FO341" s="1593"/>
      <c r="FP341" s="1593"/>
      <c r="FQ341" s="1593"/>
      <c r="FR341" s="1593"/>
      <c r="FS341" s="1593"/>
      <c r="FT341" s="1593"/>
      <c r="FU341" s="1593"/>
      <c r="FV341" s="1593"/>
      <c r="FW341" s="1593"/>
      <c r="FX341" s="1593"/>
      <c r="FY341" s="1593"/>
      <c r="FZ341" s="1593"/>
      <c r="GA341" s="1593"/>
      <c r="GB341" s="1593"/>
      <c r="GC341" s="1593"/>
      <c r="GD341" s="1593"/>
      <c r="GE341" s="1593"/>
      <c r="GF341" s="1593"/>
      <c r="GG341" s="1593"/>
      <c r="GH341" s="1593"/>
      <c r="GI341" s="1593"/>
      <c r="GJ341" s="1593"/>
      <c r="GK341" s="1593"/>
      <c r="GL341" s="1593"/>
      <c r="GM341" s="1593"/>
      <c r="GN341" s="1593"/>
      <c r="GO341" s="1593"/>
      <c r="GP341" s="1593"/>
      <c r="GQ341" s="1593"/>
      <c r="GR341" s="1593"/>
      <c r="GS341" s="1593"/>
      <c r="GT341" s="1593"/>
      <c r="GU341" s="1593"/>
      <c r="GV341" s="1593"/>
      <c r="GW341" s="1593"/>
      <c r="GX341" s="1593"/>
      <c r="GY341" s="1593"/>
      <c r="GZ341" s="1593"/>
      <c r="HA341" s="1593"/>
      <c r="HB341" s="1593"/>
      <c r="HC341" s="1593"/>
      <c r="HD341" s="1593"/>
      <c r="HE341" s="1593"/>
      <c r="HF341" s="1593"/>
      <c r="HG341" s="1593"/>
      <c r="HH341" s="1593"/>
      <c r="HI341" s="1593"/>
      <c r="HJ341" s="1593"/>
      <c r="HK341" s="1593"/>
      <c r="HL341" s="1593"/>
      <c r="HM341" s="1593"/>
      <c r="HN341" s="1593"/>
      <c r="HO341" s="1593"/>
      <c r="HP341" s="1593"/>
      <c r="HQ341" s="1593"/>
      <c r="HR341" s="1593"/>
      <c r="HS341" s="1593"/>
      <c r="HT341" s="1593"/>
      <c r="HU341" s="1593"/>
      <c r="HV341" s="1593"/>
      <c r="HW341" s="1593"/>
      <c r="HX341" s="1593"/>
      <c r="HY341" s="1593"/>
      <c r="HZ341" s="1593"/>
      <c r="IA341" s="1593"/>
      <c r="IB341" s="1593"/>
      <c r="IC341" s="1593"/>
      <c r="ID341" s="1593"/>
      <c r="IE341" s="1593"/>
      <c r="IF341" s="1593"/>
      <c r="IG341" s="1593"/>
      <c r="IH341" s="1593"/>
      <c r="II341" s="1593"/>
      <c r="IJ341" s="1593"/>
      <c r="IK341" s="1593"/>
      <c r="IL341" s="1593"/>
      <c r="IM341" s="1593"/>
      <c r="IN341" s="1593"/>
      <c r="IO341" s="1593"/>
      <c r="IP341" s="1593"/>
      <c r="IQ341" s="1593"/>
      <c r="IR341" s="1593"/>
      <c r="IS341" s="1593"/>
      <c r="IT341" s="1593"/>
      <c r="IU341" s="1593"/>
      <c r="IV341" s="1593"/>
      <c r="IW341" s="1593"/>
      <c r="IX341" s="1593"/>
      <c r="IY341" s="1593"/>
      <c r="IZ341" s="1593"/>
      <c r="JA341" s="1593"/>
      <c r="JB341" s="1593"/>
      <c r="JC341" s="1593"/>
      <c r="JD341" s="1593"/>
      <c r="JE341" s="1593"/>
      <c r="JF341" s="1593"/>
      <c r="JG341" s="1593"/>
      <c r="JH341" s="1593"/>
      <c r="JI341" s="1593"/>
      <c r="JJ341" s="1593"/>
      <c r="JK341" s="1593"/>
      <c r="JL341" s="1593"/>
      <c r="JM341" s="1593"/>
      <c r="JN341" s="1593"/>
      <c r="JO341" s="1593"/>
      <c r="JP341" s="1593"/>
      <c r="JQ341" s="1593"/>
      <c r="JR341" s="1593"/>
      <c r="JS341" s="1593"/>
      <c r="JT341" s="1593"/>
      <c r="JU341" s="1593"/>
      <c r="JV341" s="1593"/>
      <c r="JW341" s="1593"/>
      <c r="JX341" s="1593"/>
      <c r="JY341" s="1593"/>
      <c r="JZ341" s="1593"/>
      <c r="KA341" s="1593"/>
      <c r="KB341" s="1598"/>
    </row>
    <row r="342" spans="2:288" ht="15" customHeight="1" x14ac:dyDescent="0.25">
      <c r="B342" s="216" t="str">
        <f t="shared" si="29"/>
        <v>Desk 23</v>
      </c>
      <c r="C342" s="218" t="str">
        <v/>
      </c>
      <c r="D342" s="218" t="str">
        <v/>
      </c>
      <c r="E342" s="218" t="str">
        <v/>
      </c>
      <c r="F342" s="218" t="str">
        <v/>
      </c>
      <c r="G342" s="402" t="str">
        <v/>
      </c>
      <c r="H342" s="1593"/>
      <c r="I342" s="1593"/>
      <c r="J342" s="1593"/>
      <c r="K342" s="1593"/>
      <c r="L342" s="1593"/>
      <c r="M342" s="1593"/>
      <c r="N342" s="1593"/>
      <c r="O342" s="1593"/>
      <c r="P342" s="1593"/>
      <c r="Q342" s="1593"/>
      <c r="R342" s="1593"/>
      <c r="S342" s="1593"/>
      <c r="T342" s="1593"/>
      <c r="U342" s="1593"/>
      <c r="V342" s="1593"/>
      <c r="W342" s="1593"/>
      <c r="X342" s="1593"/>
      <c r="Y342" s="1593"/>
      <c r="Z342" s="1593"/>
      <c r="AA342" s="1593"/>
      <c r="AB342" s="1593"/>
      <c r="AC342" s="1593"/>
      <c r="AD342" s="1593"/>
      <c r="AE342" s="1593"/>
      <c r="AF342" s="1593"/>
      <c r="AG342" s="1593"/>
      <c r="AH342" s="1593"/>
      <c r="AI342" s="1593"/>
      <c r="AJ342" s="1593"/>
      <c r="AK342" s="1593"/>
      <c r="AL342" s="1593"/>
      <c r="AM342" s="1593"/>
      <c r="AN342" s="1593"/>
      <c r="AO342" s="1593"/>
      <c r="AP342" s="1593"/>
      <c r="AQ342" s="1593"/>
      <c r="AR342" s="1593"/>
      <c r="AS342" s="1593"/>
      <c r="AT342" s="1593"/>
      <c r="AU342" s="1593"/>
      <c r="AV342" s="1593"/>
      <c r="AW342" s="1593"/>
      <c r="AX342" s="1593"/>
      <c r="AY342" s="1593"/>
      <c r="AZ342" s="1593"/>
      <c r="BA342" s="1593"/>
      <c r="BB342" s="1593"/>
      <c r="BC342" s="1593"/>
      <c r="BD342" s="1593"/>
      <c r="BE342" s="1593"/>
      <c r="BF342" s="1593"/>
      <c r="BG342" s="1593"/>
      <c r="BH342" s="1593"/>
      <c r="BI342" s="1593"/>
      <c r="BJ342" s="1593"/>
      <c r="BK342" s="1593"/>
      <c r="BL342" s="1593"/>
      <c r="BM342" s="1593"/>
      <c r="BN342" s="1593"/>
      <c r="BO342" s="1593"/>
      <c r="BP342" s="1593"/>
      <c r="BQ342" s="1593"/>
      <c r="BR342" s="1593"/>
      <c r="BS342" s="1593"/>
      <c r="BT342" s="1593"/>
      <c r="BU342" s="1593"/>
      <c r="BV342" s="1593"/>
      <c r="BW342" s="1593"/>
      <c r="BX342" s="1593"/>
      <c r="BY342" s="1593"/>
      <c r="BZ342" s="1593"/>
      <c r="CA342" s="1593"/>
      <c r="CB342" s="1593"/>
      <c r="CC342" s="1593"/>
      <c r="CD342" s="1593"/>
      <c r="CE342" s="1593"/>
      <c r="CF342" s="1593"/>
      <c r="CG342" s="1593"/>
      <c r="CH342" s="1593"/>
      <c r="CI342" s="1593"/>
      <c r="CJ342" s="1593"/>
      <c r="CK342" s="1593"/>
      <c r="CL342" s="1593"/>
      <c r="CM342" s="1593"/>
      <c r="CN342" s="1593"/>
      <c r="CO342" s="1593"/>
      <c r="CP342" s="1593"/>
      <c r="CQ342" s="1593"/>
      <c r="CR342" s="1593"/>
      <c r="CS342" s="1593"/>
      <c r="CT342" s="1593"/>
      <c r="CU342" s="1593"/>
      <c r="CV342" s="1593"/>
      <c r="CW342" s="1593"/>
      <c r="CX342" s="1593"/>
      <c r="CY342" s="1593"/>
      <c r="CZ342" s="1593"/>
      <c r="DA342" s="1593"/>
      <c r="DB342" s="1593"/>
      <c r="DC342" s="1593"/>
      <c r="DD342" s="1593"/>
      <c r="DE342" s="1593"/>
      <c r="DF342" s="1593"/>
      <c r="DG342" s="1593"/>
      <c r="DH342" s="1593"/>
      <c r="DI342" s="1593"/>
      <c r="DJ342" s="1593"/>
      <c r="DK342" s="1593"/>
      <c r="DL342" s="1593"/>
      <c r="DM342" s="1593"/>
      <c r="DN342" s="1593"/>
      <c r="DO342" s="1593"/>
      <c r="DP342" s="1593"/>
      <c r="DQ342" s="1593"/>
      <c r="DR342" s="1593"/>
      <c r="DS342" s="1593"/>
      <c r="DT342" s="1593"/>
      <c r="DU342" s="1593"/>
      <c r="DV342" s="1593"/>
      <c r="DW342" s="1593"/>
      <c r="DX342" s="1593"/>
      <c r="DY342" s="1593"/>
      <c r="DZ342" s="1593"/>
      <c r="EA342" s="1593"/>
      <c r="EB342" s="1593"/>
      <c r="EC342" s="1593"/>
      <c r="ED342" s="1593"/>
      <c r="EE342" s="1593"/>
      <c r="EF342" s="1593"/>
      <c r="EG342" s="1593"/>
      <c r="EH342" s="1593"/>
      <c r="EI342" s="1593"/>
      <c r="EJ342" s="1593"/>
      <c r="EK342" s="1593"/>
      <c r="EL342" s="1593"/>
      <c r="EM342" s="1593"/>
      <c r="EN342" s="1593"/>
      <c r="EO342" s="1593"/>
      <c r="EP342" s="1593"/>
      <c r="EQ342" s="1593"/>
      <c r="ER342" s="1593"/>
      <c r="ES342" s="1593"/>
      <c r="ET342" s="1593"/>
      <c r="EU342" s="1593"/>
      <c r="EV342" s="1593"/>
      <c r="EW342" s="1593"/>
      <c r="EX342" s="1593"/>
      <c r="EY342" s="1593"/>
      <c r="EZ342" s="1593"/>
      <c r="FA342" s="1593"/>
      <c r="FB342" s="1593"/>
      <c r="FC342" s="1593"/>
      <c r="FD342" s="1593"/>
      <c r="FE342" s="1593"/>
      <c r="FF342" s="1593"/>
      <c r="FG342" s="1593"/>
      <c r="FH342" s="1593"/>
      <c r="FI342" s="1593"/>
      <c r="FJ342" s="1593"/>
      <c r="FK342" s="1593"/>
      <c r="FL342" s="1593"/>
      <c r="FM342" s="1593"/>
      <c r="FN342" s="1593"/>
      <c r="FO342" s="1593"/>
      <c r="FP342" s="1593"/>
      <c r="FQ342" s="1593"/>
      <c r="FR342" s="1593"/>
      <c r="FS342" s="1593"/>
      <c r="FT342" s="1593"/>
      <c r="FU342" s="1593"/>
      <c r="FV342" s="1593"/>
      <c r="FW342" s="1593"/>
      <c r="FX342" s="1593"/>
      <c r="FY342" s="1593"/>
      <c r="FZ342" s="1593"/>
      <c r="GA342" s="1593"/>
      <c r="GB342" s="1593"/>
      <c r="GC342" s="1593"/>
      <c r="GD342" s="1593"/>
      <c r="GE342" s="1593"/>
      <c r="GF342" s="1593"/>
      <c r="GG342" s="1593"/>
      <c r="GH342" s="1593"/>
      <c r="GI342" s="1593"/>
      <c r="GJ342" s="1593"/>
      <c r="GK342" s="1593"/>
      <c r="GL342" s="1593"/>
      <c r="GM342" s="1593"/>
      <c r="GN342" s="1593"/>
      <c r="GO342" s="1593"/>
      <c r="GP342" s="1593"/>
      <c r="GQ342" s="1593"/>
      <c r="GR342" s="1593"/>
      <c r="GS342" s="1593"/>
      <c r="GT342" s="1593"/>
      <c r="GU342" s="1593"/>
      <c r="GV342" s="1593"/>
      <c r="GW342" s="1593"/>
      <c r="GX342" s="1593"/>
      <c r="GY342" s="1593"/>
      <c r="GZ342" s="1593"/>
      <c r="HA342" s="1593"/>
      <c r="HB342" s="1593"/>
      <c r="HC342" s="1593"/>
      <c r="HD342" s="1593"/>
      <c r="HE342" s="1593"/>
      <c r="HF342" s="1593"/>
      <c r="HG342" s="1593"/>
      <c r="HH342" s="1593"/>
      <c r="HI342" s="1593"/>
      <c r="HJ342" s="1593"/>
      <c r="HK342" s="1593"/>
      <c r="HL342" s="1593"/>
      <c r="HM342" s="1593"/>
      <c r="HN342" s="1593"/>
      <c r="HO342" s="1593"/>
      <c r="HP342" s="1593"/>
      <c r="HQ342" s="1593"/>
      <c r="HR342" s="1593"/>
      <c r="HS342" s="1593"/>
      <c r="HT342" s="1593"/>
      <c r="HU342" s="1593"/>
      <c r="HV342" s="1593"/>
      <c r="HW342" s="1593"/>
      <c r="HX342" s="1593"/>
      <c r="HY342" s="1593"/>
      <c r="HZ342" s="1593"/>
      <c r="IA342" s="1593"/>
      <c r="IB342" s="1593"/>
      <c r="IC342" s="1593"/>
      <c r="ID342" s="1593"/>
      <c r="IE342" s="1593"/>
      <c r="IF342" s="1593"/>
      <c r="IG342" s="1593"/>
      <c r="IH342" s="1593"/>
      <c r="II342" s="1593"/>
      <c r="IJ342" s="1593"/>
      <c r="IK342" s="1593"/>
      <c r="IL342" s="1593"/>
      <c r="IM342" s="1593"/>
      <c r="IN342" s="1593"/>
      <c r="IO342" s="1593"/>
      <c r="IP342" s="1593"/>
      <c r="IQ342" s="1593"/>
      <c r="IR342" s="1593"/>
      <c r="IS342" s="1593"/>
      <c r="IT342" s="1593"/>
      <c r="IU342" s="1593"/>
      <c r="IV342" s="1593"/>
      <c r="IW342" s="1593"/>
      <c r="IX342" s="1593"/>
      <c r="IY342" s="1593"/>
      <c r="IZ342" s="1593"/>
      <c r="JA342" s="1593"/>
      <c r="JB342" s="1593"/>
      <c r="JC342" s="1593"/>
      <c r="JD342" s="1593"/>
      <c r="JE342" s="1593"/>
      <c r="JF342" s="1593"/>
      <c r="JG342" s="1593"/>
      <c r="JH342" s="1593"/>
      <c r="JI342" s="1593"/>
      <c r="JJ342" s="1593"/>
      <c r="JK342" s="1593"/>
      <c r="JL342" s="1593"/>
      <c r="JM342" s="1593"/>
      <c r="JN342" s="1593"/>
      <c r="JO342" s="1593"/>
      <c r="JP342" s="1593"/>
      <c r="JQ342" s="1593"/>
      <c r="JR342" s="1593"/>
      <c r="JS342" s="1593"/>
      <c r="JT342" s="1593"/>
      <c r="JU342" s="1593"/>
      <c r="JV342" s="1593"/>
      <c r="JW342" s="1593"/>
      <c r="JX342" s="1593"/>
      <c r="JY342" s="1593"/>
      <c r="JZ342" s="1593"/>
      <c r="KA342" s="1593"/>
      <c r="KB342" s="1598"/>
    </row>
    <row r="343" spans="2:288" ht="15" customHeight="1" x14ac:dyDescent="0.25">
      <c r="B343" s="216" t="str">
        <f t="shared" si="29"/>
        <v>Desk 24</v>
      </c>
      <c r="C343" s="218" t="str">
        <v/>
      </c>
      <c r="D343" s="218" t="str">
        <v/>
      </c>
      <c r="E343" s="218" t="str">
        <v/>
      </c>
      <c r="F343" s="218" t="str">
        <v/>
      </c>
      <c r="G343" s="402" t="str">
        <v/>
      </c>
      <c r="H343" s="1593"/>
      <c r="I343" s="1593"/>
      <c r="J343" s="1593"/>
      <c r="K343" s="1593"/>
      <c r="L343" s="1593"/>
      <c r="M343" s="1593"/>
      <c r="N343" s="1593"/>
      <c r="O343" s="1593"/>
      <c r="P343" s="1593"/>
      <c r="Q343" s="1593"/>
      <c r="R343" s="1593"/>
      <c r="S343" s="1593"/>
      <c r="T343" s="1593"/>
      <c r="U343" s="1593"/>
      <c r="V343" s="1593"/>
      <c r="W343" s="1593"/>
      <c r="X343" s="1593"/>
      <c r="Y343" s="1593"/>
      <c r="Z343" s="1593"/>
      <c r="AA343" s="1593"/>
      <c r="AB343" s="1593"/>
      <c r="AC343" s="1593"/>
      <c r="AD343" s="1593"/>
      <c r="AE343" s="1593"/>
      <c r="AF343" s="1593"/>
      <c r="AG343" s="1593"/>
      <c r="AH343" s="1593"/>
      <c r="AI343" s="1593"/>
      <c r="AJ343" s="1593"/>
      <c r="AK343" s="1593"/>
      <c r="AL343" s="1593"/>
      <c r="AM343" s="1593"/>
      <c r="AN343" s="1593"/>
      <c r="AO343" s="1593"/>
      <c r="AP343" s="1593"/>
      <c r="AQ343" s="1593"/>
      <c r="AR343" s="1593"/>
      <c r="AS343" s="1593"/>
      <c r="AT343" s="1593"/>
      <c r="AU343" s="1593"/>
      <c r="AV343" s="1593"/>
      <c r="AW343" s="1593"/>
      <c r="AX343" s="1593"/>
      <c r="AY343" s="1593"/>
      <c r="AZ343" s="1593"/>
      <c r="BA343" s="1593"/>
      <c r="BB343" s="1593"/>
      <c r="BC343" s="1593"/>
      <c r="BD343" s="1593"/>
      <c r="BE343" s="1593"/>
      <c r="BF343" s="1593"/>
      <c r="BG343" s="1593"/>
      <c r="BH343" s="1593"/>
      <c r="BI343" s="1593"/>
      <c r="BJ343" s="1593"/>
      <c r="BK343" s="1593"/>
      <c r="BL343" s="1593"/>
      <c r="BM343" s="1593"/>
      <c r="BN343" s="1593"/>
      <c r="BO343" s="1593"/>
      <c r="BP343" s="1593"/>
      <c r="BQ343" s="1593"/>
      <c r="BR343" s="1593"/>
      <c r="BS343" s="1593"/>
      <c r="BT343" s="1593"/>
      <c r="BU343" s="1593"/>
      <c r="BV343" s="1593"/>
      <c r="BW343" s="1593"/>
      <c r="BX343" s="1593"/>
      <c r="BY343" s="1593"/>
      <c r="BZ343" s="1593"/>
      <c r="CA343" s="1593"/>
      <c r="CB343" s="1593"/>
      <c r="CC343" s="1593"/>
      <c r="CD343" s="1593"/>
      <c r="CE343" s="1593"/>
      <c r="CF343" s="1593"/>
      <c r="CG343" s="1593"/>
      <c r="CH343" s="1593"/>
      <c r="CI343" s="1593"/>
      <c r="CJ343" s="1593"/>
      <c r="CK343" s="1593"/>
      <c r="CL343" s="1593"/>
      <c r="CM343" s="1593"/>
      <c r="CN343" s="1593"/>
      <c r="CO343" s="1593"/>
      <c r="CP343" s="1593"/>
      <c r="CQ343" s="1593"/>
      <c r="CR343" s="1593"/>
      <c r="CS343" s="1593"/>
      <c r="CT343" s="1593"/>
      <c r="CU343" s="1593"/>
      <c r="CV343" s="1593"/>
      <c r="CW343" s="1593"/>
      <c r="CX343" s="1593"/>
      <c r="CY343" s="1593"/>
      <c r="CZ343" s="1593"/>
      <c r="DA343" s="1593"/>
      <c r="DB343" s="1593"/>
      <c r="DC343" s="1593"/>
      <c r="DD343" s="1593"/>
      <c r="DE343" s="1593"/>
      <c r="DF343" s="1593"/>
      <c r="DG343" s="1593"/>
      <c r="DH343" s="1593"/>
      <c r="DI343" s="1593"/>
      <c r="DJ343" s="1593"/>
      <c r="DK343" s="1593"/>
      <c r="DL343" s="1593"/>
      <c r="DM343" s="1593"/>
      <c r="DN343" s="1593"/>
      <c r="DO343" s="1593"/>
      <c r="DP343" s="1593"/>
      <c r="DQ343" s="1593"/>
      <c r="DR343" s="1593"/>
      <c r="DS343" s="1593"/>
      <c r="DT343" s="1593"/>
      <c r="DU343" s="1593"/>
      <c r="DV343" s="1593"/>
      <c r="DW343" s="1593"/>
      <c r="DX343" s="1593"/>
      <c r="DY343" s="1593"/>
      <c r="DZ343" s="1593"/>
      <c r="EA343" s="1593"/>
      <c r="EB343" s="1593"/>
      <c r="EC343" s="1593"/>
      <c r="ED343" s="1593"/>
      <c r="EE343" s="1593"/>
      <c r="EF343" s="1593"/>
      <c r="EG343" s="1593"/>
      <c r="EH343" s="1593"/>
      <c r="EI343" s="1593"/>
      <c r="EJ343" s="1593"/>
      <c r="EK343" s="1593"/>
      <c r="EL343" s="1593"/>
      <c r="EM343" s="1593"/>
      <c r="EN343" s="1593"/>
      <c r="EO343" s="1593"/>
      <c r="EP343" s="1593"/>
      <c r="EQ343" s="1593"/>
      <c r="ER343" s="1593"/>
      <c r="ES343" s="1593"/>
      <c r="ET343" s="1593"/>
      <c r="EU343" s="1593"/>
      <c r="EV343" s="1593"/>
      <c r="EW343" s="1593"/>
      <c r="EX343" s="1593"/>
      <c r="EY343" s="1593"/>
      <c r="EZ343" s="1593"/>
      <c r="FA343" s="1593"/>
      <c r="FB343" s="1593"/>
      <c r="FC343" s="1593"/>
      <c r="FD343" s="1593"/>
      <c r="FE343" s="1593"/>
      <c r="FF343" s="1593"/>
      <c r="FG343" s="1593"/>
      <c r="FH343" s="1593"/>
      <c r="FI343" s="1593"/>
      <c r="FJ343" s="1593"/>
      <c r="FK343" s="1593"/>
      <c r="FL343" s="1593"/>
      <c r="FM343" s="1593"/>
      <c r="FN343" s="1593"/>
      <c r="FO343" s="1593"/>
      <c r="FP343" s="1593"/>
      <c r="FQ343" s="1593"/>
      <c r="FR343" s="1593"/>
      <c r="FS343" s="1593"/>
      <c r="FT343" s="1593"/>
      <c r="FU343" s="1593"/>
      <c r="FV343" s="1593"/>
      <c r="FW343" s="1593"/>
      <c r="FX343" s="1593"/>
      <c r="FY343" s="1593"/>
      <c r="FZ343" s="1593"/>
      <c r="GA343" s="1593"/>
      <c r="GB343" s="1593"/>
      <c r="GC343" s="1593"/>
      <c r="GD343" s="1593"/>
      <c r="GE343" s="1593"/>
      <c r="GF343" s="1593"/>
      <c r="GG343" s="1593"/>
      <c r="GH343" s="1593"/>
      <c r="GI343" s="1593"/>
      <c r="GJ343" s="1593"/>
      <c r="GK343" s="1593"/>
      <c r="GL343" s="1593"/>
      <c r="GM343" s="1593"/>
      <c r="GN343" s="1593"/>
      <c r="GO343" s="1593"/>
      <c r="GP343" s="1593"/>
      <c r="GQ343" s="1593"/>
      <c r="GR343" s="1593"/>
      <c r="GS343" s="1593"/>
      <c r="GT343" s="1593"/>
      <c r="GU343" s="1593"/>
      <c r="GV343" s="1593"/>
      <c r="GW343" s="1593"/>
      <c r="GX343" s="1593"/>
      <c r="GY343" s="1593"/>
      <c r="GZ343" s="1593"/>
      <c r="HA343" s="1593"/>
      <c r="HB343" s="1593"/>
      <c r="HC343" s="1593"/>
      <c r="HD343" s="1593"/>
      <c r="HE343" s="1593"/>
      <c r="HF343" s="1593"/>
      <c r="HG343" s="1593"/>
      <c r="HH343" s="1593"/>
      <c r="HI343" s="1593"/>
      <c r="HJ343" s="1593"/>
      <c r="HK343" s="1593"/>
      <c r="HL343" s="1593"/>
      <c r="HM343" s="1593"/>
      <c r="HN343" s="1593"/>
      <c r="HO343" s="1593"/>
      <c r="HP343" s="1593"/>
      <c r="HQ343" s="1593"/>
      <c r="HR343" s="1593"/>
      <c r="HS343" s="1593"/>
      <c r="HT343" s="1593"/>
      <c r="HU343" s="1593"/>
      <c r="HV343" s="1593"/>
      <c r="HW343" s="1593"/>
      <c r="HX343" s="1593"/>
      <c r="HY343" s="1593"/>
      <c r="HZ343" s="1593"/>
      <c r="IA343" s="1593"/>
      <c r="IB343" s="1593"/>
      <c r="IC343" s="1593"/>
      <c r="ID343" s="1593"/>
      <c r="IE343" s="1593"/>
      <c r="IF343" s="1593"/>
      <c r="IG343" s="1593"/>
      <c r="IH343" s="1593"/>
      <c r="II343" s="1593"/>
      <c r="IJ343" s="1593"/>
      <c r="IK343" s="1593"/>
      <c r="IL343" s="1593"/>
      <c r="IM343" s="1593"/>
      <c r="IN343" s="1593"/>
      <c r="IO343" s="1593"/>
      <c r="IP343" s="1593"/>
      <c r="IQ343" s="1593"/>
      <c r="IR343" s="1593"/>
      <c r="IS343" s="1593"/>
      <c r="IT343" s="1593"/>
      <c r="IU343" s="1593"/>
      <c r="IV343" s="1593"/>
      <c r="IW343" s="1593"/>
      <c r="IX343" s="1593"/>
      <c r="IY343" s="1593"/>
      <c r="IZ343" s="1593"/>
      <c r="JA343" s="1593"/>
      <c r="JB343" s="1593"/>
      <c r="JC343" s="1593"/>
      <c r="JD343" s="1593"/>
      <c r="JE343" s="1593"/>
      <c r="JF343" s="1593"/>
      <c r="JG343" s="1593"/>
      <c r="JH343" s="1593"/>
      <c r="JI343" s="1593"/>
      <c r="JJ343" s="1593"/>
      <c r="JK343" s="1593"/>
      <c r="JL343" s="1593"/>
      <c r="JM343" s="1593"/>
      <c r="JN343" s="1593"/>
      <c r="JO343" s="1593"/>
      <c r="JP343" s="1593"/>
      <c r="JQ343" s="1593"/>
      <c r="JR343" s="1593"/>
      <c r="JS343" s="1593"/>
      <c r="JT343" s="1593"/>
      <c r="JU343" s="1593"/>
      <c r="JV343" s="1593"/>
      <c r="JW343" s="1593"/>
      <c r="JX343" s="1593"/>
      <c r="JY343" s="1593"/>
      <c r="JZ343" s="1593"/>
      <c r="KA343" s="1593"/>
      <c r="KB343" s="1598"/>
    </row>
    <row r="344" spans="2:288" ht="15" customHeight="1" x14ac:dyDescent="0.25">
      <c r="B344" s="216" t="str">
        <f t="shared" si="29"/>
        <v>Desk 25</v>
      </c>
      <c r="C344" s="218" t="str">
        <v/>
      </c>
      <c r="D344" s="218" t="str">
        <v/>
      </c>
      <c r="E344" s="218" t="str">
        <v/>
      </c>
      <c r="F344" s="218" t="str">
        <v/>
      </c>
      <c r="G344" s="402" t="str">
        <v/>
      </c>
      <c r="H344" s="1593"/>
      <c r="I344" s="1593"/>
      <c r="J344" s="1593"/>
      <c r="K344" s="1593"/>
      <c r="L344" s="1593"/>
      <c r="M344" s="1593"/>
      <c r="N344" s="1593"/>
      <c r="O344" s="1593"/>
      <c r="P344" s="1593"/>
      <c r="Q344" s="1593"/>
      <c r="R344" s="1593"/>
      <c r="S344" s="1593"/>
      <c r="T344" s="1593"/>
      <c r="U344" s="1593"/>
      <c r="V344" s="1593"/>
      <c r="W344" s="1593"/>
      <c r="X344" s="1593"/>
      <c r="Y344" s="1593"/>
      <c r="Z344" s="1593"/>
      <c r="AA344" s="1593"/>
      <c r="AB344" s="1593"/>
      <c r="AC344" s="1593"/>
      <c r="AD344" s="1593"/>
      <c r="AE344" s="1593"/>
      <c r="AF344" s="1593"/>
      <c r="AG344" s="1593"/>
      <c r="AH344" s="1593"/>
      <c r="AI344" s="1593"/>
      <c r="AJ344" s="1593"/>
      <c r="AK344" s="1593"/>
      <c r="AL344" s="1593"/>
      <c r="AM344" s="1593"/>
      <c r="AN344" s="1593"/>
      <c r="AO344" s="1593"/>
      <c r="AP344" s="1593"/>
      <c r="AQ344" s="1593"/>
      <c r="AR344" s="1593"/>
      <c r="AS344" s="1593"/>
      <c r="AT344" s="1593"/>
      <c r="AU344" s="1593"/>
      <c r="AV344" s="1593"/>
      <c r="AW344" s="1593"/>
      <c r="AX344" s="1593"/>
      <c r="AY344" s="1593"/>
      <c r="AZ344" s="1593"/>
      <c r="BA344" s="1593"/>
      <c r="BB344" s="1593"/>
      <c r="BC344" s="1593"/>
      <c r="BD344" s="1593"/>
      <c r="BE344" s="1593"/>
      <c r="BF344" s="1593"/>
      <c r="BG344" s="1593"/>
      <c r="BH344" s="1593"/>
      <c r="BI344" s="1593"/>
      <c r="BJ344" s="1593"/>
      <c r="BK344" s="1593"/>
      <c r="BL344" s="1593"/>
      <c r="BM344" s="1593"/>
      <c r="BN344" s="1593"/>
      <c r="BO344" s="1593"/>
      <c r="BP344" s="1593"/>
      <c r="BQ344" s="1593"/>
      <c r="BR344" s="1593"/>
      <c r="BS344" s="1593"/>
      <c r="BT344" s="1593"/>
      <c r="BU344" s="1593"/>
      <c r="BV344" s="1593"/>
      <c r="BW344" s="1593"/>
      <c r="BX344" s="1593"/>
      <c r="BY344" s="1593"/>
      <c r="BZ344" s="1593"/>
      <c r="CA344" s="1593"/>
      <c r="CB344" s="1593"/>
      <c r="CC344" s="1593"/>
      <c r="CD344" s="1593"/>
      <c r="CE344" s="1593"/>
      <c r="CF344" s="1593"/>
      <c r="CG344" s="1593"/>
      <c r="CH344" s="1593"/>
      <c r="CI344" s="1593"/>
      <c r="CJ344" s="1593"/>
      <c r="CK344" s="1593"/>
      <c r="CL344" s="1593"/>
      <c r="CM344" s="1593"/>
      <c r="CN344" s="1593"/>
      <c r="CO344" s="1593"/>
      <c r="CP344" s="1593"/>
      <c r="CQ344" s="1593"/>
      <c r="CR344" s="1593"/>
      <c r="CS344" s="1593"/>
      <c r="CT344" s="1593"/>
      <c r="CU344" s="1593"/>
      <c r="CV344" s="1593"/>
      <c r="CW344" s="1593"/>
      <c r="CX344" s="1593"/>
      <c r="CY344" s="1593"/>
      <c r="CZ344" s="1593"/>
      <c r="DA344" s="1593"/>
      <c r="DB344" s="1593"/>
      <c r="DC344" s="1593"/>
      <c r="DD344" s="1593"/>
      <c r="DE344" s="1593"/>
      <c r="DF344" s="1593"/>
      <c r="DG344" s="1593"/>
      <c r="DH344" s="1593"/>
      <c r="DI344" s="1593"/>
      <c r="DJ344" s="1593"/>
      <c r="DK344" s="1593"/>
      <c r="DL344" s="1593"/>
      <c r="DM344" s="1593"/>
      <c r="DN344" s="1593"/>
      <c r="DO344" s="1593"/>
      <c r="DP344" s="1593"/>
      <c r="DQ344" s="1593"/>
      <c r="DR344" s="1593"/>
      <c r="DS344" s="1593"/>
      <c r="DT344" s="1593"/>
      <c r="DU344" s="1593"/>
      <c r="DV344" s="1593"/>
      <c r="DW344" s="1593"/>
      <c r="DX344" s="1593"/>
      <c r="DY344" s="1593"/>
      <c r="DZ344" s="1593"/>
      <c r="EA344" s="1593"/>
      <c r="EB344" s="1593"/>
      <c r="EC344" s="1593"/>
      <c r="ED344" s="1593"/>
      <c r="EE344" s="1593"/>
      <c r="EF344" s="1593"/>
      <c r="EG344" s="1593"/>
      <c r="EH344" s="1593"/>
      <c r="EI344" s="1593"/>
      <c r="EJ344" s="1593"/>
      <c r="EK344" s="1593"/>
      <c r="EL344" s="1593"/>
      <c r="EM344" s="1593"/>
      <c r="EN344" s="1593"/>
      <c r="EO344" s="1593"/>
      <c r="EP344" s="1593"/>
      <c r="EQ344" s="1593"/>
      <c r="ER344" s="1593"/>
      <c r="ES344" s="1593"/>
      <c r="ET344" s="1593"/>
      <c r="EU344" s="1593"/>
      <c r="EV344" s="1593"/>
      <c r="EW344" s="1593"/>
      <c r="EX344" s="1593"/>
      <c r="EY344" s="1593"/>
      <c r="EZ344" s="1593"/>
      <c r="FA344" s="1593"/>
      <c r="FB344" s="1593"/>
      <c r="FC344" s="1593"/>
      <c r="FD344" s="1593"/>
      <c r="FE344" s="1593"/>
      <c r="FF344" s="1593"/>
      <c r="FG344" s="1593"/>
      <c r="FH344" s="1593"/>
      <c r="FI344" s="1593"/>
      <c r="FJ344" s="1593"/>
      <c r="FK344" s="1593"/>
      <c r="FL344" s="1593"/>
      <c r="FM344" s="1593"/>
      <c r="FN344" s="1593"/>
      <c r="FO344" s="1593"/>
      <c r="FP344" s="1593"/>
      <c r="FQ344" s="1593"/>
      <c r="FR344" s="1593"/>
      <c r="FS344" s="1593"/>
      <c r="FT344" s="1593"/>
      <c r="FU344" s="1593"/>
      <c r="FV344" s="1593"/>
      <c r="FW344" s="1593"/>
      <c r="FX344" s="1593"/>
      <c r="FY344" s="1593"/>
      <c r="FZ344" s="1593"/>
      <c r="GA344" s="1593"/>
      <c r="GB344" s="1593"/>
      <c r="GC344" s="1593"/>
      <c r="GD344" s="1593"/>
      <c r="GE344" s="1593"/>
      <c r="GF344" s="1593"/>
      <c r="GG344" s="1593"/>
      <c r="GH344" s="1593"/>
      <c r="GI344" s="1593"/>
      <c r="GJ344" s="1593"/>
      <c r="GK344" s="1593"/>
      <c r="GL344" s="1593"/>
      <c r="GM344" s="1593"/>
      <c r="GN344" s="1593"/>
      <c r="GO344" s="1593"/>
      <c r="GP344" s="1593"/>
      <c r="GQ344" s="1593"/>
      <c r="GR344" s="1593"/>
      <c r="GS344" s="1593"/>
      <c r="GT344" s="1593"/>
      <c r="GU344" s="1593"/>
      <c r="GV344" s="1593"/>
      <c r="GW344" s="1593"/>
      <c r="GX344" s="1593"/>
      <c r="GY344" s="1593"/>
      <c r="GZ344" s="1593"/>
      <c r="HA344" s="1593"/>
      <c r="HB344" s="1593"/>
      <c r="HC344" s="1593"/>
      <c r="HD344" s="1593"/>
      <c r="HE344" s="1593"/>
      <c r="HF344" s="1593"/>
      <c r="HG344" s="1593"/>
      <c r="HH344" s="1593"/>
      <c r="HI344" s="1593"/>
      <c r="HJ344" s="1593"/>
      <c r="HK344" s="1593"/>
      <c r="HL344" s="1593"/>
      <c r="HM344" s="1593"/>
      <c r="HN344" s="1593"/>
      <c r="HO344" s="1593"/>
      <c r="HP344" s="1593"/>
      <c r="HQ344" s="1593"/>
      <c r="HR344" s="1593"/>
      <c r="HS344" s="1593"/>
      <c r="HT344" s="1593"/>
      <c r="HU344" s="1593"/>
      <c r="HV344" s="1593"/>
      <c r="HW344" s="1593"/>
      <c r="HX344" s="1593"/>
      <c r="HY344" s="1593"/>
      <c r="HZ344" s="1593"/>
      <c r="IA344" s="1593"/>
      <c r="IB344" s="1593"/>
      <c r="IC344" s="1593"/>
      <c r="ID344" s="1593"/>
      <c r="IE344" s="1593"/>
      <c r="IF344" s="1593"/>
      <c r="IG344" s="1593"/>
      <c r="IH344" s="1593"/>
      <c r="II344" s="1593"/>
      <c r="IJ344" s="1593"/>
      <c r="IK344" s="1593"/>
      <c r="IL344" s="1593"/>
      <c r="IM344" s="1593"/>
      <c r="IN344" s="1593"/>
      <c r="IO344" s="1593"/>
      <c r="IP344" s="1593"/>
      <c r="IQ344" s="1593"/>
      <c r="IR344" s="1593"/>
      <c r="IS344" s="1593"/>
      <c r="IT344" s="1593"/>
      <c r="IU344" s="1593"/>
      <c r="IV344" s="1593"/>
      <c r="IW344" s="1593"/>
      <c r="IX344" s="1593"/>
      <c r="IY344" s="1593"/>
      <c r="IZ344" s="1593"/>
      <c r="JA344" s="1593"/>
      <c r="JB344" s="1593"/>
      <c r="JC344" s="1593"/>
      <c r="JD344" s="1593"/>
      <c r="JE344" s="1593"/>
      <c r="JF344" s="1593"/>
      <c r="JG344" s="1593"/>
      <c r="JH344" s="1593"/>
      <c r="JI344" s="1593"/>
      <c r="JJ344" s="1593"/>
      <c r="JK344" s="1593"/>
      <c r="JL344" s="1593"/>
      <c r="JM344" s="1593"/>
      <c r="JN344" s="1593"/>
      <c r="JO344" s="1593"/>
      <c r="JP344" s="1593"/>
      <c r="JQ344" s="1593"/>
      <c r="JR344" s="1593"/>
      <c r="JS344" s="1593"/>
      <c r="JT344" s="1593"/>
      <c r="JU344" s="1593"/>
      <c r="JV344" s="1593"/>
      <c r="JW344" s="1593"/>
      <c r="JX344" s="1593"/>
      <c r="JY344" s="1593"/>
      <c r="JZ344" s="1593"/>
      <c r="KA344" s="1593"/>
      <c r="KB344" s="1598"/>
    </row>
    <row r="345" spans="2:288" ht="15" customHeight="1" x14ac:dyDescent="0.25">
      <c r="B345" s="216" t="str">
        <f t="shared" si="29"/>
        <v>Desk 26</v>
      </c>
      <c r="C345" s="218" t="str">
        <v/>
      </c>
      <c r="D345" s="218" t="str">
        <v/>
      </c>
      <c r="E345" s="218" t="str">
        <v/>
      </c>
      <c r="F345" s="218" t="str">
        <v/>
      </c>
      <c r="G345" s="402" t="str">
        <v/>
      </c>
      <c r="H345" s="1593"/>
      <c r="I345" s="1593"/>
      <c r="J345" s="1593"/>
      <c r="K345" s="1593"/>
      <c r="L345" s="1593"/>
      <c r="M345" s="1593"/>
      <c r="N345" s="1593"/>
      <c r="O345" s="1593"/>
      <c r="P345" s="1593"/>
      <c r="Q345" s="1593"/>
      <c r="R345" s="1593"/>
      <c r="S345" s="1593"/>
      <c r="T345" s="1593"/>
      <c r="U345" s="1593"/>
      <c r="V345" s="1593"/>
      <c r="W345" s="1593"/>
      <c r="X345" s="1593"/>
      <c r="Y345" s="1593"/>
      <c r="Z345" s="1593"/>
      <c r="AA345" s="1593"/>
      <c r="AB345" s="1593"/>
      <c r="AC345" s="1593"/>
      <c r="AD345" s="1593"/>
      <c r="AE345" s="1593"/>
      <c r="AF345" s="1593"/>
      <c r="AG345" s="1593"/>
      <c r="AH345" s="1593"/>
      <c r="AI345" s="1593"/>
      <c r="AJ345" s="1593"/>
      <c r="AK345" s="1593"/>
      <c r="AL345" s="1593"/>
      <c r="AM345" s="1593"/>
      <c r="AN345" s="1593"/>
      <c r="AO345" s="1593"/>
      <c r="AP345" s="1593"/>
      <c r="AQ345" s="1593"/>
      <c r="AR345" s="1593"/>
      <c r="AS345" s="1593"/>
      <c r="AT345" s="1593"/>
      <c r="AU345" s="1593"/>
      <c r="AV345" s="1593"/>
      <c r="AW345" s="1593"/>
      <c r="AX345" s="1593"/>
      <c r="AY345" s="1593"/>
      <c r="AZ345" s="1593"/>
      <c r="BA345" s="1593"/>
      <c r="BB345" s="1593"/>
      <c r="BC345" s="1593"/>
      <c r="BD345" s="1593"/>
      <c r="BE345" s="1593"/>
      <c r="BF345" s="1593"/>
      <c r="BG345" s="1593"/>
      <c r="BH345" s="1593"/>
      <c r="BI345" s="1593"/>
      <c r="BJ345" s="1593"/>
      <c r="BK345" s="1593"/>
      <c r="BL345" s="1593"/>
      <c r="BM345" s="1593"/>
      <c r="BN345" s="1593"/>
      <c r="BO345" s="1593"/>
      <c r="BP345" s="1593"/>
      <c r="BQ345" s="1593"/>
      <c r="BR345" s="1593"/>
      <c r="BS345" s="1593"/>
      <c r="BT345" s="1593"/>
      <c r="BU345" s="1593"/>
      <c r="BV345" s="1593"/>
      <c r="BW345" s="1593"/>
      <c r="BX345" s="1593"/>
      <c r="BY345" s="1593"/>
      <c r="BZ345" s="1593"/>
      <c r="CA345" s="1593"/>
      <c r="CB345" s="1593"/>
      <c r="CC345" s="1593"/>
      <c r="CD345" s="1593"/>
      <c r="CE345" s="1593"/>
      <c r="CF345" s="1593"/>
      <c r="CG345" s="1593"/>
      <c r="CH345" s="1593"/>
      <c r="CI345" s="1593"/>
      <c r="CJ345" s="1593"/>
      <c r="CK345" s="1593"/>
      <c r="CL345" s="1593"/>
      <c r="CM345" s="1593"/>
      <c r="CN345" s="1593"/>
      <c r="CO345" s="1593"/>
      <c r="CP345" s="1593"/>
      <c r="CQ345" s="1593"/>
      <c r="CR345" s="1593"/>
      <c r="CS345" s="1593"/>
      <c r="CT345" s="1593"/>
      <c r="CU345" s="1593"/>
      <c r="CV345" s="1593"/>
      <c r="CW345" s="1593"/>
      <c r="CX345" s="1593"/>
      <c r="CY345" s="1593"/>
      <c r="CZ345" s="1593"/>
      <c r="DA345" s="1593"/>
      <c r="DB345" s="1593"/>
      <c r="DC345" s="1593"/>
      <c r="DD345" s="1593"/>
      <c r="DE345" s="1593"/>
      <c r="DF345" s="1593"/>
      <c r="DG345" s="1593"/>
      <c r="DH345" s="1593"/>
      <c r="DI345" s="1593"/>
      <c r="DJ345" s="1593"/>
      <c r="DK345" s="1593"/>
      <c r="DL345" s="1593"/>
      <c r="DM345" s="1593"/>
      <c r="DN345" s="1593"/>
      <c r="DO345" s="1593"/>
      <c r="DP345" s="1593"/>
      <c r="DQ345" s="1593"/>
      <c r="DR345" s="1593"/>
      <c r="DS345" s="1593"/>
      <c r="DT345" s="1593"/>
      <c r="DU345" s="1593"/>
      <c r="DV345" s="1593"/>
      <c r="DW345" s="1593"/>
      <c r="DX345" s="1593"/>
      <c r="DY345" s="1593"/>
      <c r="DZ345" s="1593"/>
      <c r="EA345" s="1593"/>
      <c r="EB345" s="1593"/>
      <c r="EC345" s="1593"/>
      <c r="ED345" s="1593"/>
      <c r="EE345" s="1593"/>
      <c r="EF345" s="1593"/>
      <c r="EG345" s="1593"/>
      <c r="EH345" s="1593"/>
      <c r="EI345" s="1593"/>
      <c r="EJ345" s="1593"/>
      <c r="EK345" s="1593"/>
      <c r="EL345" s="1593"/>
      <c r="EM345" s="1593"/>
      <c r="EN345" s="1593"/>
      <c r="EO345" s="1593"/>
      <c r="EP345" s="1593"/>
      <c r="EQ345" s="1593"/>
      <c r="ER345" s="1593"/>
      <c r="ES345" s="1593"/>
      <c r="ET345" s="1593"/>
      <c r="EU345" s="1593"/>
      <c r="EV345" s="1593"/>
      <c r="EW345" s="1593"/>
      <c r="EX345" s="1593"/>
      <c r="EY345" s="1593"/>
      <c r="EZ345" s="1593"/>
      <c r="FA345" s="1593"/>
      <c r="FB345" s="1593"/>
      <c r="FC345" s="1593"/>
      <c r="FD345" s="1593"/>
      <c r="FE345" s="1593"/>
      <c r="FF345" s="1593"/>
      <c r="FG345" s="1593"/>
      <c r="FH345" s="1593"/>
      <c r="FI345" s="1593"/>
      <c r="FJ345" s="1593"/>
      <c r="FK345" s="1593"/>
      <c r="FL345" s="1593"/>
      <c r="FM345" s="1593"/>
      <c r="FN345" s="1593"/>
      <c r="FO345" s="1593"/>
      <c r="FP345" s="1593"/>
      <c r="FQ345" s="1593"/>
      <c r="FR345" s="1593"/>
      <c r="FS345" s="1593"/>
      <c r="FT345" s="1593"/>
      <c r="FU345" s="1593"/>
      <c r="FV345" s="1593"/>
      <c r="FW345" s="1593"/>
      <c r="FX345" s="1593"/>
      <c r="FY345" s="1593"/>
      <c r="FZ345" s="1593"/>
      <c r="GA345" s="1593"/>
      <c r="GB345" s="1593"/>
      <c r="GC345" s="1593"/>
      <c r="GD345" s="1593"/>
      <c r="GE345" s="1593"/>
      <c r="GF345" s="1593"/>
      <c r="GG345" s="1593"/>
      <c r="GH345" s="1593"/>
      <c r="GI345" s="1593"/>
      <c r="GJ345" s="1593"/>
      <c r="GK345" s="1593"/>
      <c r="GL345" s="1593"/>
      <c r="GM345" s="1593"/>
      <c r="GN345" s="1593"/>
      <c r="GO345" s="1593"/>
      <c r="GP345" s="1593"/>
      <c r="GQ345" s="1593"/>
      <c r="GR345" s="1593"/>
      <c r="GS345" s="1593"/>
      <c r="GT345" s="1593"/>
      <c r="GU345" s="1593"/>
      <c r="GV345" s="1593"/>
      <c r="GW345" s="1593"/>
      <c r="GX345" s="1593"/>
      <c r="GY345" s="1593"/>
      <c r="GZ345" s="1593"/>
      <c r="HA345" s="1593"/>
      <c r="HB345" s="1593"/>
      <c r="HC345" s="1593"/>
      <c r="HD345" s="1593"/>
      <c r="HE345" s="1593"/>
      <c r="HF345" s="1593"/>
      <c r="HG345" s="1593"/>
      <c r="HH345" s="1593"/>
      <c r="HI345" s="1593"/>
      <c r="HJ345" s="1593"/>
      <c r="HK345" s="1593"/>
      <c r="HL345" s="1593"/>
      <c r="HM345" s="1593"/>
      <c r="HN345" s="1593"/>
      <c r="HO345" s="1593"/>
      <c r="HP345" s="1593"/>
      <c r="HQ345" s="1593"/>
      <c r="HR345" s="1593"/>
      <c r="HS345" s="1593"/>
      <c r="HT345" s="1593"/>
      <c r="HU345" s="1593"/>
      <c r="HV345" s="1593"/>
      <c r="HW345" s="1593"/>
      <c r="HX345" s="1593"/>
      <c r="HY345" s="1593"/>
      <c r="HZ345" s="1593"/>
      <c r="IA345" s="1593"/>
      <c r="IB345" s="1593"/>
      <c r="IC345" s="1593"/>
      <c r="ID345" s="1593"/>
      <c r="IE345" s="1593"/>
      <c r="IF345" s="1593"/>
      <c r="IG345" s="1593"/>
      <c r="IH345" s="1593"/>
      <c r="II345" s="1593"/>
      <c r="IJ345" s="1593"/>
      <c r="IK345" s="1593"/>
      <c r="IL345" s="1593"/>
      <c r="IM345" s="1593"/>
      <c r="IN345" s="1593"/>
      <c r="IO345" s="1593"/>
      <c r="IP345" s="1593"/>
      <c r="IQ345" s="1593"/>
      <c r="IR345" s="1593"/>
      <c r="IS345" s="1593"/>
      <c r="IT345" s="1593"/>
      <c r="IU345" s="1593"/>
      <c r="IV345" s="1593"/>
      <c r="IW345" s="1593"/>
      <c r="IX345" s="1593"/>
      <c r="IY345" s="1593"/>
      <c r="IZ345" s="1593"/>
      <c r="JA345" s="1593"/>
      <c r="JB345" s="1593"/>
      <c r="JC345" s="1593"/>
      <c r="JD345" s="1593"/>
      <c r="JE345" s="1593"/>
      <c r="JF345" s="1593"/>
      <c r="JG345" s="1593"/>
      <c r="JH345" s="1593"/>
      <c r="JI345" s="1593"/>
      <c r="JJ345" s="1593"/>
      <c r="JK345" s="1593"/>
      <c r="JL345" s="1593"/>
      <c r="JM345" s="1593"/>
      <c r="JN345" s="1593"/>
      <c r="JO345" s="1593"/>
      <c r="JP345" s="1593"/>
      <c r="JQ345" s="1593"/>
      <c r="JR345" s="1593"/>
      <c r="JS345" s="1593"/>
      <c r="JT345" s="1593"/>
      <c r="JU345" s="1593"/>
      <c r="JV345" s="1593"/>
      <c r="JW345" s="1593"/>
      <c r="JX345" s="1593"/>
      <c r="JY345" s="1593"/>
      <c r="JZ345" s="1593"/>
      <c r="KA345" s="1593"/>
      <c r="KB345" s="1598"/>
    </row>
    <row r="346" spans="2:288" ht="15" customHeight="1" x14ac:dyDescent="0.25">
      <c r="B346" s="216" t="str">
        <f t="shared" si="29"/>
        <v>Desk 27</v>
      </c>
      <c r="C346" s="218" t="str">
        <v/>
      </c>
      <c r="D346" s="218" t="str">
        <v/>
      </c>
      <c r="E346" s="218" t="str">
        <v/>
      </c>
      <c r="F346" s="218" t="str">
        <v/>
      </c>
      <c r="G346" s="402" t="str">
        <v/>
      </c>
      <c r="H346" s="1593"/>
      <c r="I346" s="1593"/>
      <c r="J346" s="1593"/>
      <c r="K346" s="1593"/>
      <c r="L346" s="1593"/>
      <c r="M346" s="1593"/>
      <c r="N346" s="1593"/>
      <c r="O346" s="1593"/>
      <c r="P346" s="1593"/>
      <c r="Q346" s="1593"/>
      <c r="R346" s="1593"/>
      <c r="S346" s="1593"/>
      <c r="T346" s="1593"/>
      <c r="U346" s="1593"/>
      <c r="V346" s="1593"/>
      <c r="W346" s="1593"/>
      <c r="X346" s="1593"/>
      <c r="Y346" s="1593"/>
      <c r="Z346" s="1593"/>
      <c r="AA346" s="1593"/>
      <c r="AB346" s="1593"/>
      <c r="AC346" s="1593"/>
      <c r="AD346" s="1593"/>
      <c r="AE346" s="1593"/>
      <c r="AF346" s="1593"/>
      <c r="AG346" s="1593"/>
      <c r="AH346" s="1593"/>
      <c r="AI346" s="1593"/>
      <c r="AJ346" s="1593"/>
      <c r="AK346" s="1593"/>
      <c r="AL346" s="1593"/>
      <c r="AM346" s="1593"/>
      <c r="AN346" s="1593"/>
      <c r="AO346" s="1593"/>
      <c r="AP346" s="1593"/>
      <c r="AQ346" s="1593"/>
      <c r="AR346" s="1593"/>
      <c r="AS346" s="1593"/>
      <c r="AT346" s="1593"/>
      <c r="AU346" s="1593"/>
      <c r="AV346" s="1593"/>
      <c r="AW346" s="1593"/>
      <c r="AX346" s="1593"/>
      <c r="AY346" s="1593"/>
      <c r="AZ346" s="1593"/>
      <c r="BA346" s="1593"/>
      <c r="BB346" s="1593"/>
      <c r="BC346" s="1593"/>
      <c r="BD346" s="1593"/>
      <c r="BE346" s="1593"/>
      <c r="BF346" s="1593"/>
      <c r="BG346" s="1593"/>
      <c r="BH346" s="1593"/>
      <c r="BI346" s="1593"/>
      <c r="BJ346" s="1593"/>
      <c r="BK346" s="1593"/>
      <c r="BL346" s="1593"/>
      <c r="BM346" s="1593"/>
      <c r="BN346" s="1593"/>
      <c r="BO346" s="1593"/>
      <c r="BP346" s="1593"/>
      <c r="BQ346" s="1593"/>
      <c r="BR346" s="1593"/>
      <c r="BS346" s="1593"/>
      <c r="BT346" s="1593"/>
      <c r="BU346" s="1593"/>
      <c r="BV346" s="1593"/>
      <c r="BW346" s="1593"/>
      <c r="BX346" s="1593"/>
      <c r="BY346" s="1593"/>
      <c r="BZ346" s="1593"/>
      <c r="CA346" s="1593"/>
      <c r="CB346" s="1593"/>
      <c r="CC346" s="1593"/>
      <c r="CD346" s="1593"/>
      <c r="CE346" s="1593"/>
      <c r="CF346" s="1593"/>
      <c r="CG346" s="1593"/>
      <c r="CH346" s="1593"/>
      <c r="CI346" s="1593"/>
      <c r="CJ346" s="1593"/>
      <c r="CK346" s="1593"/>
      <c r="CL346" s="1593"/>
      <c r="CM346" s="1593"/>
      <c r="CN346" s="1593"/>
      <c r="CO346" s="1593"/>
      <c r="CP346" s="1593"/>
      <c r="CQ346" s="1593"/>
      <c r="CR346" s="1593"/>
      <c r="CS346" s="1593"/>
      <c r="CT346" s="1593"/>
      <c r="CU346" s="1593"/>
      <c r="CV346" s="1593"/>
      <c r="CW346" s="1593"/>
      <c r="CX346" s="1593"/>
      <c r="CY346" s="1593"/>
      <c r="CZ346" s="1593"/>
      <c r="DA346" s="1593"/>
      <c r="DB346" s="1593"/>
      <c r="DC346" s="1593"/>
      <c r="DD346" s="1593"/>
      <c r="DE346" s="1593"/>
      <c r="DF346" s="1593"/>
      <c r="DG346" s="1593"/>
      <c r="DH346" s="1593"/>
      <c r="DI346" s="1593"/>
      <c r="DJ346" s="1593"/>
      <c r="DK346" s="1593"/>
      <c r="DL346" s="1593"/>
      <c r="DM346" s="1593"/>
      <c r="DN346" s="1593"/>
      <c r="DO346" s="1593"/>
      <c r="DP346" s="1593"/>
      <c r="DQ346" s="1593"/>
      <c r="DR346" s="1593"/>
      <c r="DS346" s="1593"/>
      <c r="DT346" s="1593"/>
      <c r="DU346" s="1593"/>
      <c r="DV346" s="1593"/>
      <c r="DW346" s="1593"/>
      <c r="DX346" s="1593"/>
      <c r="DY346" s="1593"/>
      <c r="DZ346" s="1593"/>
      <c r="EA346" s="1593"/>
      <c r="EB346" s="1593"/>
      <c r="EC346" s="1593"/>
      <c r="ED346" s="1593"/>
      <c r="EE346" s="1593"/>
      <c r="EF346" s="1593"/>
      <c r="EG346" s="1593"/>
      <c r="EH346" s="1593"/>
      <c r="EI346" s="1593"/>
      <c r="EJ346" s="1593"/>
      <c r="EK346" s="1593"/>
      <c r="EL346" s="1593"/>
      <c r="EM346" s="1593"/>
      <c r="EN346" s="1593"/>
      <c r="EO346" s="1593"/>
      <c r="EP346" s="1593"/>
      <c r="EQ346" s="1593"/>
      <c r="ER346" s="1593"/>
      <c r="ES346" s="1593"/>
      <c r="ET346" s="1593"/>
      <c r="EU346" s="1593"/>
      <c r="EV346" s="1593"/>
      <c r="EW346" s="1593"/>
      <c r="EX346" s="1593"/>
      <c r="EY346" s="1593"/>
      <c r="EZ346" s="1593"/>
      <c r="FA346" s="1593"/>
      <c r="FB346" s="1593"/>
      <c r="FC346" s="1593"/>
      <c r="FD346" s="1593"/>
      <c r="FE346" s="1593"/>
      <c r="FF346" s="1593"/>
      <c r="FG346" s="1593"/>
      <c r="FH346" s="1593"/>
      <c r="FI346" s="1593"/>
      <c r="FJ346" s="1593"/>
      <c r="FK346" s="1593"/>
      <c r="FL346" s="1593"/>
      <c r="FM346" s="1593"/>
      <c r="FN346" s="1593"/>
      <c r="FO346" s="1593"/>
      <c r="FP346" s="1593"/>
      <c r="FQ346" s="1593"/>
      <c r="FR346" s="1593"/>
      <c r="FS346" s="1593"/>
      <c r="FT346" s="1593"/>
      <c r="FU346" s="1593"/>
      <c r="FV346" s="1593"/>
      <c r="FW346" s="1593"/>
      <c r="FX346" s="1593"/>
      <c r="FY346" s="1593"/>
      <c r="FZ346" s="1593"/>
      <c r="GA346" s="1593"/>
      <c r="GB346" s="1593"/>
      <c r="GC346" s="1593"/>
      <c r="GD346" s="1593"/>
      <c r="GE346" s="1593"/>
      <c r="GF346" s="1593"/>
      <c r="GG346" s="1593"/>
      <c r="GH346" s="1593"/>
      <c r="GI346" s="1593"/>
      <c r="GJ346" s="1593"/>
      <c r="GK346" s="1593"/>
      <c r="GL346" s="1593"/>
      <c r="GM346" s="1593"/>
      <c r="GN346" s="1593"/>
      <c r="GO346" s="1593"/>
      <c r="GP346" s="1593"/>
      <c r="GQ346" s="1593"/>
      <c r="GR346" s="1593"/>
      <c r="GS346" s="1593"/>
      <c r="GT346" s="1593"/>
      <c r="GU346" s="1593"/>
      <c r="GV346" s="1593"/>
      <c r="GW346" s="1593"/>
      <c r="GX346" s="1593"/>
      <c r="GY346" s="1593"/>
      <c r="GZ346" s="1593"/>
      <c r="HA346" s="1593"/>
      <c r="HB346" s="1593"/>
      <c r="HC346" s="1593"/>
      <c r="HD346" s="1593"/>
      <c r="HE346" s="1593"/>
      <c r="HF346" s="1593"/>
      <c r="HG346" s="1593"/>
      <c r="HH346" s="1593"/>
      <c r="HI346" s="1593"/>
      <c r="HJ346" s="1593"/>
      <c r="HK346" s="1593"/>
      <c r="HL346" s="1593"/>
      <c r="HM346" s="1593"/>
      <c r="HN346" s="1593"/>
      <c r="HO346" s="1593"/>
      <c r="HP346" s="1593"/>
      <c r="HQ346" s="1593"/>
      <c r="HR346" s="1593"/>
      <c r="HS346" s="1593"/>
      <c r="HT346" s="1593"/>
      <c r="HU346" s="1593"/>
      <c r="HV346" s="1593"/>
      <c r="HW346" s="1593"/>
      <c r="HX346" s="1593"/>
      <c r="HY346" s="1593"/>
      <c r="HZ346" s="1593"/>
      <c r="IA346" s="1593"/>
      <c r="IB346" s="1593"/>
      <c r="IC346" s="1593"/>
      <c r="ID346" s="1593"/>
      <c r="IE346" s="1593"/>
      <c r="IF346" s="1593"/>
      <c r="IG346" s="1593"/>
      <c r="IH346" s="1593"/>
      <c r="II346" s="1593"/>
      <c r="IJ346" s="1593"/>
      <c r="IK346" s="1593"/>
      <c r="IL346" s="1593"/>
      <c r="IM346" s="1593"/>
      <c r="IN346" s="1593"/>
      <c r="IO346" s="1593"/>
      <c r="IP346" s="1593"/>
      <c r="IQ346" s="1593"/>
      <c r="IR346" s="1593"/>
      <c r="IS346" s="1593"/>
      <c r="IT346" s="1593"/>
      <c r="IU346" s="1593"/>
      <c r="IV346" s="1593"/>
      <c r="IW346" s="1593"/>
      <c r="IX346" s="1593"/>
      <c r="IY346" s="1593"/>
      <c r="IZ346" s="1593"/>
      <c r="JA346" s="1593"/>
      <c r="JB346" s="1593"/>
      <c r="JC346" s="1593"/>
      <c r="JD346" s="1593"/>
      <c r="JE346" s="1593"/>
      <c r="JF346" s="1593"/>
      <c r="JG346" s="1593"/>
      <c r="JH346" s="1593"/>
      <c r="JI346" s="1593"/>
      <c r="JJ346" s="1593"/>
      <c r="JK346" s="1593"/>
      <c r="JL346" s="1593"/>
      <c r="JM346" s="1593"/>
      <c r="JN346" s="1593"/>
      <c r="JO346" s="1593"/>
      <c r="JP346" s="1593"/>
      <c r="JQ346" s="1593"/>
      <c r="JR346" s="1593"/>
      <c r="JS346" s="1593"/>
      <c r="JT346" s="1593"/>
      <c r="JU346" s="1593"/>
      <c r="JV346" s="1593"/>
      <c r="JW346" s="1593"/>
      <c r="JX346" s="1593"/>
      <c r="JY346" s="1593"/>
      <c r="JZ346" s="1593"/>
      <c r="KA346" s="1593"/>
      <c r="KB346" s="1598"/>
    </row>
    <row r="347" spans="2:288" ht="15" customHeight="1" x14ac:dyDescent="0.25">
      <c r="B347" s="216" t="str">
        <f t="shared" si="29"/>
        <v>Desk 28</v>
      </c>
      <c r="C347" s="218" t="str">
        <v/>
      </c>
      <c r="D347" s="218" t="str">
        <v/>
      </c>
      <c r="E347" s="218" t="str">
        <v/>
      </c>
      <c r="F347" s="218" t="str">
        <v/>
      </c>
      <c r="G347" s="402" t="str">
        <v/>
      </c>
      <c r="H347" s="1593"/>
      <c r="I347" s="1593"/>
      <c r="J347" s="1593"/>
      <c r="K347" s="1593"/>
      <c r="L347" s="1593"/>
      <c r="M347" s="1593"/>
      <c r="N347" s="1593"/>
      <c r="O347" s="1593"/>
      <c r="P347" s="1593"/>
      <c r="Q347" s="1593"/>
      <c r="R347" s="1593"/>
      <c r="S347" s="1593"/>
      <c r="T347" s="1593"/>
      <c r="U347" s="1593"/>
      <c r="V347" s="1593"/>
      <c r="W347" s="1593"/>
      <c r="X347" s="1593"/>
      <c r="Y347" s="1593"/>
      <c r="Z347" s="1593"/>
      <c r="AA347" s="1593"/>
      <c r="AB347" s="1593"/>
      <c r="AC347" s="1593"/>
      <c r="AD347" s="1593"/>
      <c r="AE347" s="1593"/>
      <c r="AF347" s="1593"/>
      <c r="AG347" s="1593"/>
      <c r="AH347" s="1593"/>
      <c r="AI347" s="1593"/>
      <c r="AJ347" s="1593"/>
      <c r="AK347" s="1593"/>
      <c r="AL347" s="1593"/>
      <c r="AM347" s="1593"/>
      <c r="AN347" s="1593"/>
      <c r="AO347" s="1593"/>
      <c r="AP347" s="1593"/>
      <c r="AQ347" s="1593"/>
      <c r="AR347" s="1593"/>
      <c r="AS347" s="1593"/>
      <c r="AT347" s="1593"/>
      <c r="AU347" s="1593"/>
      <c r="AV347" s="1593"/>
      <c r="AW347" s="1593"/>
      <c r="AX347" s="1593"/>
      <c r="AY347" s="1593"/>
      <c r="AZ347" s="1593"/>
      <c r="BA347" s="1593"/>
      <c r="BB347" s="1593"/>
      <c r="BC347" s="1593"/>
      <c r="BD347" s="1593"/>
      <c r="BE347" s="1593"/>
      <c r="BF347" s="1593"/>
      <c r="BG347" s="1593"/>
      <c r="BH347" s="1593"/>
      <c r="BI347" s="1593"/>
      <c r="BJ347" s="1593"/>
      <c r="BK347" s="1593"/>
      <c r="BL347" s="1593"/>
      <c r="BM347" s="1593"/>
      <c r="BN347" s="1593"/>
      <c r="BO347" s="1593"/>
      <c r="BP347" s="1593"/>
      <c r="BQ347" s="1593"/>
      <c r="BR347" s="1593"/>
      <c r="BS347" s="1593"/>
      <c r="BT347" s="1593"/>
      <c r="BU347" s="1593"/>
      <c r="BV347" s="1593"/>
      <c r="BW347" s="1593"/>
      <c r="BX347" s="1593"/>
      <c r="BY347" s="1593"/>
      <c r="BZ347" s="1593"/>
      <c r="CA347" s="1593"/>
      <c r="CB347" s="1593"/>
      <c r="CC347" s="1593"/>
      <c r="CD347" s="1593"/>
      <c r="CE347" s="1593"/>
      <c r="CF347" s="1593"/>
      <c r="CG347" s="1593"/>
      <c r="CH347" s="1593"/>
      <c r="CI347" s="1593"/>
      <c r="CJ347" s="1593"/>
      <c r="CK347" s="1593"/>
      <c r="CL347" s="1593"/>
      <c r="CM347" s="1593"/>
      <c r="CN347" s="1593"/>
      <c r="CO347" s="1593"/>
      <c r="CP347" s="1593"/>
      <c r="CQ347" s="1593"/>
      <c r="CR347" s="1593"/>
      <c r="CS347" s="1593"/>
      <c r="CT347" s="1593"/>
      <c r="CU347" s="1593"/>
      <c r="CV347" s="1593"/>
      <c r="CW347" s="1593"/>
      <c r="CX347" s="1593"/>
      <c r="CY347" s="1593"/>
      <c r="CZ347" s="1593"/>
      <c r="DA347" s="1593"/>
      <c r="DB347" s="1593"/>
      <c r="DC347" s="1593"/>
      <c r="DD347" s="1593"/>
      <c r="DE347" s="1593"/>
      <c r="DF347" s="1593"/>
      <c r="DG347" s="1593"/>
      <c r="DH347" s="1593"/>
      <c r="DI347" s="1593"/>
      <c r="DJ347" s="1593"/>
      <c r="DK347" s="1593"/>
      <c r="DL347" s="1593"/>
      <c r="DM347" s="1593"/>
      <c r="DN347" s="1593"/>
      <c r="DO347" s="1593"/>
      <c r="DP347" s="1593"/>
      <c r="DQ347" s="1593"/>
      <c r="DR347" s="1593"/>
      <c r="DS347" s="1593"/>
      <c r="DT347" s="1593"/>
      <c r="DU347" s="1593"/>
      <c r="DV347" s="1593"/>
      <c r="DW347" s="1593"/>
      <c r="DX347" s="1593"/>
      <c r="DY347" s="1593"/>
      <c r="DZ347" s="1593"/>
      <c r="EA347" s="1593"/>
      <c r="EB347" s="1593"/>
      <c r="EC347" s="1593"/>
      <c r="ED347" s="1593"/>
      <c r="EE347" s="1593"/>
      <c r="EF347" s="1593"/>
      <c r="EG347" s="1593"/>
      <c r="EH347" s="1593"/>
      <c r="EI347" s="1593"/>
      <c r="EJ347" s="1593"/>
      <c r="EK347" s="1593"/>
      <c r="EL347" s="1593"/>
      <c r="EM347" s="1593"/>
      <c r="EN347" s="1593"/>
      <c r="EO347" s="1593"/>
      <c r="EP347" s="1593"/>
      <c r="EQ347" s="1593"/>
      <c r="ER347" s="1593"/>
      <c r="ES347" s="1593"/>
      <c r="ET347" s="1593"/>
      <c r="EU347" s="1593"/>
      <c r="EV347" s="1593"/>
      <c r="EW347" s="1593"/>
      <c r="EX347" s="1593"/>
      <c r="EY347" s="1593"/>
      <c r="EZ347" s="1593"/>
      <c r="FA347" s="1593"/>
      <c r="FB347" s="1593"/>
      <c r="FC347" s="1593"/>
      <c r="FD347" s="1593"/>
      <c r="FE347" s="1593"/>
      <c r="FF347" s="1593"/>
      <c r="FG347" s="1593"/>
      <c r="FH347" s="1593"/>
      <c r="FI347" s="1593"/>
      <c r="FJ347" s="1593"/>
      <c r="FK347" s="1593"/>
      <c r="FL347" s="1593"/>
      <c r="FM347" s="1593"/>
      <c r="FN347" s="1593"/>
      <c r="FO347" s="1593"/>
      <c r="FP347" s="1593"/>
      <c r="FQ347" s="1593"/>
      <c r="FR347" s="1593"/>
      <c r="FS347" s="1593"/>
      <c r="FT347" s="1593"/>
      <c r="FU347" s="1593"/>
      <c r="FV347" s="1593"/>
      <c r="FW347" s="1593"/>
      <c r="FX347" s="1593"/>
      <c r="FY347" s="1593"/>
      <c r="FZ347" s="1593"/>
      <c r="GA347" s="1593"/>
      <c r="GB347" s="1593"/>
      <c r="GC347" s="1593"/>
      <c r="GD347" s="1593"/>
      <c r="GE347" s="1593"/>
      <c r="GF347" s="1593"/>
      <c r="GG347" s="1593"/>
      <c r="GH347" s="1593"/>
      <c r="GI347" s="1593"/>
      <c r="GJ347" s="1593"/>
      <c r="GK347" s="1593"/>
      <c r="GL347" s="1593"/>
      <c r="GM347" s="1593"/>
      <c r="GN347" s="1593"/>
      <c r="GO347" s="1593"/>
      <c r="GP347" s="1593"/>
      <c r="GQ347" s="1593"/>
      <c r="GR347" s="1593"/>
      <c r="GS347" s="1593"/>
      <c r="GT347" s="1593"/>
      <c r="GU347" s="1593"/>
      <c r="GV347" s="1593"/>
      <c r="GW347" s="1593"/>
      <c r="GX347" s="1593"/>
      <c r="GY347" s="1593"/>
      <c r="GZ347" s="1593"/>
      <c r="HA347" s="1593"/>
      <c r="HB347" s="1593"/>
      <c r="HC347" s="1593"/>
      <c r="HD347" s="1593"/>
      <c r="HE347" s="1593"/>
      <c r="HF347" s="1593"/>
      <c r="HG347" s="1593"/>
      <c r="HH347" s="1593"/>
      <c r="HI347" s="1593"/>
      <c r="HJ347" s="1593"/>
      <c r="HK347" s="1593"/>
      <c r="HL347" s="1593"/>
      <c r="HM347" s="1593"/>
      <c r="HN347" s="1593"/>
      <c r="HO347" s="1593"/>
      <c r="HP347" s="1593"/>
      <c r="HQ347" s="1593"/>
      <c r="HR347" s="1593"/>
      <c r="HS347" s="1593"/>
      <c r="HT347" s="1593"/>
      <c r="HU347" s="1593"/>
      <c r="HV347" s="1593"/>
      <c r="HW347" s="1593"/>
      <c r="HX347" s="1593"/>
      <c r="HY347" s="1593"/>
      <c r="HZ347" s="1593"/>
      <c r="IA347" s="1593"/>
      <c r="IB347" s="1593"/>
      <c r="IC347" s="1593"/>
      <c r="ID347" s="1593"/>
      <c r="IE347" s="1593"/>
      <c r="IF347" s="1593"/>
      <c r="IG347" s="1593"/>
      <c r="IH347" s="1593"/>
      <c r="II347" s="1593"/>
      <c r="IJ347" s="1593"/>
      <c r="IK347" s="1593"/>
      <c r="IL347" s="1593"/>
      <c r="IM347" s="1593"/>
      <c r="IN347" s="1593"/>
      <c r="IO347" s="1593"/>
      <c r="IP347" s="1593"/>
      <c r="IQ347" s="1593"/>
      <c r="IR347" s="1593"/>
      <c r="IS347" s="1593"/>
      <c r="IT347" s="1593"/>
      <c r="IU347" s="1593"/>
      <c r="IV347" s="1593"/>
      <c r="IW347" s="1593"/>
      <c r="IX347" s="1593"/>
      <c r="IY347" s="1593"/>
      <c r="IZ347" s="1593"/>
      <c r="JA347" s="1593"/>
      <c r="JB347" s="1593"/>
      <c r="JC347" s="1593"/>
      <c r="JD347" s="1593"/>
      <c r="JE347" s="1593"/>
      <c r="JF347" s="1593"/>
      <c r="JG347" s="1593"/>
      <c r="JH347" s="1593"/>
      <c r="JI347" s="1593"/>
      <c r="JJ347" s="1593"/>
      <c r="JK347" s="1593"/>
      <c r="JL347" s="1593"/>
      <c r="JM347" s="1593"/>
      <c r="JN347" s="1593"/>
      <c r="JO347" s="1593"/>
      <c r="JP347" s="1593"/>
      <c r="JQ347" s="1593"/>
      <c r="JR347" s="1593"/>
      <c r="JS347" s="1593"/>
      <c r="JT347" s="1593"/>
      <c r="JU347" s="1593"/>
      <c r="JV347" s="1593"/>
      <c r="JW347" s="1593"/>
      <c r="JX347" s="1593"/>
      <c r="JY347" s="1593"/>
      <c r="JZ347" s="1593"/>
      <c r="KA347" s="1593"/>
      <c r="KB347" s="1598"/>
    </row>
    <row r="348" spans="2:288" ht="15" customHeight="1" x14ac:dyDescent="0.25">
      <c r="B348" s="216" t="str">
        <f t="shared" si="29"/>
        <v>Desk 29</v>
      </c>
      <c r="C348" s="218" t="str">
        <v/>
      </c>
      <c r="D348" s="218" t="str">
        <v/>
      </c>
      <c r="E348" s="218" t="str">
        <v/>
      </c>
      <c r="F348" s="218" t="str">
        <v/>
      </c>
      <c r="G348" s="402" t="str">
        <v/>
      </c>
      <c r="H348" s="1593"/>
      <c r="I348" s="1593"/>
      <c r="J348" s="1593"/>
      <c r="K348" s="1593"/>
      <c r="L348" s="1593"/>
      <c r="M348" s="1593"/>
      <c r="N348" s="1593"/>
      <c r="O348" s="1593"/>
      <c r="P348" s="1593"/>
      <c r="Q348" s="1593"/>
      <c r="R348" s="1593"/>
      <c r="S348" s="1593"/>
      <c r="T348" s="1593"/>
      <c r="U348" s="1593"/>
      <c r="V348" s="1593"/>
      <c r="W348" s="1593"/>
      <c r="X348" s="1593"/>
      <c r="Y348" s="1593"/>
      <c r="Z348" s="1593"/>
      <c r="AA348" s="1593"/>
      <c r="AB348" s="1593"/>
      <c r="AC348" s="1593"/>
      <c r="AD348" s="1593"/>
      <c r="AE348" s="1593"/>
      <c r="AF348" s="1593"/>
      <c r="AG348" s="1593"/>
      <c r="AH348" s="1593"/>
      <c r="AI348" s="1593"/>
      <c r="AJ348" s="1593"/>
      <c r="AK348" s="1593"/>
      <c r="AL348" s="1593"/>
      <c r="AM348" s="1593"/>
      <c r="AN348" s="1593"/>
      <c r="AO348" s="1593"/>
      <c r="AP348" s="1593"/>
      <c r="AQ348" s="1593"/>
      <c r="AR348" s="1593"/>
      <c r="AS348" s="1593"/>
      <c r="AT348" s="1593"/>
      <c r="AU348" s="1593"/>
      <c r="AV348" s="1593"/>
      <c r="AW348" s="1593"/>
      <c r="AX348" s="1593"/>
      <c r="AY348" s="1593"/>
      <c r="AZ348" s="1593"/>
      <c r="BA348" s="1593"/>
      <c r="BB348" s="1593"/>
      <c r="BC348" s="1593"/>
      <c r="BD348" s="1593"/>
      <c r="BE348" s="1593"/>
      <c r="BF348" s="1593"/>
      <c r="BG348" s="1593"/>
      <c r="BH348" s="1593"/>
      <c r="BI348" s="1593"/>
      <c r="BJ348" s="1593"/>
      <c r="BK348" s="1593"/>
      <c r="BL348" s="1593"/>
      <c r="BM348" s="1593"/>
      <c r="BN348" s="1593"/>
      <c r="BO348" s="1593"/>
      <c r="BP348" s="1593"/>
      <c r="BQ348" s="1593"/>
      <c r="BR348" s="1593"/>
      <c r="BS348" s="1593"/>
      <c r="BT348" s="1593"/>
      <c r="BU348" s="1593"/>
      <c r="BV348" s="1593"/>
      <c r="BW348" s="1593"/>
      <c r="BX348" s="1593"/>
      <c r="BY348" s="1593"/>
      <c r="BZ348" s="1593"/>
      <c r="CA348" s="1593"/>
      <c r="CB348" s="1593"/>
      <c r="CC348" s="1593"/>
      <c r="CD348" s="1593"/>
      <c r="CE348" s="1593"/>
      <c r="CF348" s="1593"/>
      <c r="CG348" s="1593"/>
      <c r="CH348" s="1593"/>
      <c r="CI348" s="1593"/>
      <c r="CJ348" s="1593"/>
      <c r="CK348" s="1593"/>
      <c r="CL348" s="1593"/>
      <c r="CM348" s="1593"/>
      <c r="CN348" s="1593"/>
      <c r="CO348" s="1593"/>
      <c r="CP348" s="1593"/>
      <c r="CQ348" s="1593"/>
      <c r="CR348" s="1593"/>
      <c r="CS348" s="1593"/>
      <c r="CT348" s="1593"/>
      <c r="CU348" s="1593"/>
      <c r="CV348" s="1593"/>
      <c r="CW348" s="1593"/>
      <c r="CX348" s="1593"/>
      <c r="CY348" s="1593"/>
      <c r="CZ348" s="1593"/>
      <c r="DA348" s="1593"/>
      <c r="DB348" s="1593"/>
      <c r="DC348" s="1593"/>
      <c r="DD348" s="1593"/>
      <c r="DE348" s="1593"/>
      <c r="DF348" s="1593"/>
      <c r="DG348" s="1593"/>
      <c r="DH348" s="1593"/>
      <c r="DI348" s="1593"/>
      <c r="DJ348" s="1593"/>
      <c r="DK348" s="1593"/>
      <c r="DL348" s="1593"/>
      <c r="DM348" s="1593"/>
      <c r="DN348" s="1593"/>
      <c r="DO348" s="1593"/>
      <c r="DP348" s="1593"/>
      <c r="DQ348" s="1593"/>
      <c r="DR348" s="1593"/>
      <c r="DS348" s="1593"/>
      <c r="DT348" s="1593"/>
      <c r="DU348" s="1593"/>
      <c r="DV348" s="1593"/>
      <c r="DW348" s="1593"/>
      <c r="DX348" s="1593"/>
      <c r="DY348" s="1593"/>
      <c r="DZ348" s="1593"/>
      <c r="EA348" s="1593"/>
      <c r="EB348" s="1593"/>
      <c r="EC348" s="1593"/>
      <c r="ED348" s="1593"/>
      <c r="EE348" s="1593"/>
      <c r="EF348" s="1593"/>
      <c r="EG348" s="1593"/>
      <c r="EH348" s="1593"/>
      <c r="EI348" s="1593"/>
      <c r="EJ348" s="1593"/>
      <c r="EK348" s="1593"/>
      <c r="EL348" s="1593"/>
      <c r="EM348" s="1593"/>
      <c r="EN348" s="1593"/>
      <c r="EO348" s="1593"/>
      <c r="EP348" s="1593"/>
      <c r="EQ348" s="1593"/>
      <c r="ER348" s="1593"/>
      <c r="ES348" s="1593"/>
      <c r="ET348" s="1593"/>
      <c r="EU348" s="1593"/>
      <c r="EV348" s="1593"/>
      <c r="EW348" s="1593"/>
      <c r="EX348" s="1593"/>
      <c r="EY348" s="1593"/>
      <c r="EZ348" s="1593"/>
      <c r="FA348" s="1593"/>
      <c r="FB348" s="1593"/>
      <c r="FC348" s="1593"/>
      <c r="FD348" s="1593"/>
      <c r="FE348" s="1593"/>
      <c r="FF348" s="1593"/>
      <c r="FG348" s="1593"/>
      <c r="FH348" s="1593"/>
      <c r="FI348" s="1593"/>
      <c r="FJ348" s="1593"/>
      <c r="FK348" s="1593"/>
      <c r="FL348" s="1593"/>
      <c r="FM348" s="1593"/>
      <c r="FN348" s="1593"/>
      <c r="FO348" s="1593"/>
      <c r="FP348" s="1593"/>
      <c r="FQ348" s="1593"/>
      <c r="FR348" s="1593"/>
      <c r="FS348" s="1593"/>
      <c r="FT348" s="1593"/>
      <c r="FU348" s="1593"/>
      <c r="FV348" s="1593"/>
      <c r="FW348" s="1593"/>
      <c r="FX348" s="1593"/>
      <c r="FY348" s="1593"/>
      <c r="FZ348" s="1593"/>
      <c r="GA348" s="1593"/>
      <c r="GB348" s="1593"/>
      <c r="GC348" s="1593"/>
      <c r="GD348" s="1593"/>
      <c r="GE348" s="1593"/>
      <c r="GF348" s="1593"/>
      <c r="GG348" s="1593"/>
      <c r="GH348" s="1593"/>
      <c r="GI348" s="1593"/>
      <c r="GJ348" s="1593"/>
      <c r="GK348" s="1593"/>
      <c r="GL348" s="1593"/>
      <c r="GM348" s="1593"/>
      <c r="GN348" s="1593"/>
      <c r="GO348" s="1593"/>
      <c r="GP348" s="1593"/>
      <c r="GQ348" s="1593"/>
      <c r="GR348" s="1593"/>
      <c r="GS348" s="1593"/>
      <c r="GT348" s="1593"/>
      <c r="GU348" s="1593"/>
      <c r="GV348" s="1593"/>
      <c r="GW348" s="1593"/>
      <c r="GX348" s="1593"/>
      <c r="GY348" s="1593"/>
      <c r="GZ348" s="1593"/>
      <c r="HA348" s="1593"/>
      <c r="HB348" s="1593"/>
      <c r="HC348" s="1593"/>
      <c r="HD348" s="1593"/>
      <c r="HE348" s="1593"/>
      <c r="HF348" s="1593"/>
      <c r="HG348" s="1593"/>
      <c r="HH348" s="1593"/>
      <c r="HI348" s="1593"/>
      <c r="HJ348" s="1593"/>
      <c r="HK348" s="1593"/>
      <c r="HL348" s="1593"/>
      <c r="HM348" s="1593"/>
      <c r="HN348" s="1593"/>
      <c r="HO348" s="1593"/>
      <c r="HP348" s="1593"/>
      <c r="HQ348" s="1593"/>
      <c r="HR348" s="1593"/>
      <c r="HS348" s="1593"/>
      <c r="HT348" s="1593"/>
      <c r="HU348" s="1593"/>
      <c r="HV348" s="1593"/>
      <c r="HW348" s="1593"/>
      <c r="HX348" s="1593"/>
      <c r="HY348" s="1593"/>
      <c r="HZ348" s="1593"/>
      <c r="IA348" s="1593"/>
      <c r="IB348" s="1593"/>
      <c r="IC348" s="1593"/>
      <c r="ID348" s="1593"/>
      <c r="IE348" s="1593"/>
      <c r="IF348" s="1593"/>
      <c r="IG348" s="1593"/>
      <c r="IH348" s="1593"/>
      <c r="II348" s="1593"/>
      <c r="IJ348" s="1593"/>
      <c r="IK348" s="1593"/>
      <c r="IL348" s="1593"/>
      <c r="IM348" s="1593"/>
      <c r="IN348" s="1593"/>
      <c r="IO348" s="1593"/>
      <c r="IP348" s="1593"/>
      <c r="IQ348" s="1593"/>
      <c r="IR348" s="1593"/>
      <c r="IS348" s="1593"/>
      <c r="IT348" s="1593"/>
      <c r="IU348" s="1593"/>
      <c r="IV348" s="1593"/>
      <c r="IW348" s="1593"/>
      <c r="IX348" s="1593"/>
      <c r="IY348" s="1593"/>
      <c r="IZ348" s="1593"/>
      <c r="JA348" s="1593"/>
      <c r="JB348" s="1593"/>
      <c r="JC348" s="1593"/>
      <c r="JD348" s="1593"/>
      <c r="JE348" s="1593"/>
      <c r="JF348" s="1593"/>
      <c r="JG348" s="1593"/>
      <c r="JH348" s="1593"/>
      <c r="JI348" s="1593"/>
      <c r="JJ348" s="1593"/>
      <c r="JK348" s="1593"/>
      <c r="JL348" s="1593"/>
      <c r="JM348" s="1593"/>
      <c r="JN348" s="1593"/>
      <c r="JO348" s="1593"/>
      <c r="JP348" s="1593"/>
      <c r="JQ348" s="1593"/>
      <c r="JR348" s="1593"/>
      <c r="JS348" s="1593"/>
      <c r="JT348" s="1593"/>
      <c r="JU348" s="1593"/>
      <c r="JV348" s="1593"/>
      <c r="JW348" s="1593"/>
      <c r="JX348" s="1593"/>
      <c r="JY348" s="1593"/>
      <c r="JZ348" s="1593"/>
      <c r="KA348" s="1593"/>
      <c r="KB348" s="1598"/>
    </row>
    <row r="349" spans="2:288" ht="15" customHeight="1" x14ac:dyDescent="0.25">
      <c r="B349" s="216" t="str">
        <f t="shared" si="29"/>
        <v>Desk 30</v>
      </c>
      <c r="C349" s="218" t="str">
        <v/>
      </c>
      <c r="D349" s="218" t="str">
        <v/>
      </c>
      <c r="E349" s="218" t="str">
        <v/>
      </c>
      <c r="F349" s="218" t="str">
        <v/>
      </c>
      <c r="G349" s="402" t="str">
        <v/>
      </c>
      <c r="H349" s="1593"/>
      <c r="I349" s="1593"/>
      <c r="J349" s="1593"/>
      <c r="K349" s="1593"/>
      <c r="L349" s="1593"/>
      <c r="M349" s="1593"/>
      <c r="N349" s="1593"/>
      <c r="O349" s="1593"/>
      <c r="P349" s="1593"/>
      <c r="Q349" s="1593"/>
      <c r="R349" s="1593"/>
      <c r="S349" s="1593"/>
      <c r="T349" s="1593"/>
      <c r="U349" s="1593"/>
      <c r="V349" s="1593"/>
      <c r="W349" s="1593"/>
      <c r="X349" s="1593"/>
      <c r="Y349" s="1593"/>
      <c r="Z349" s="1593"/>
      <c r="AA349" s="1593"/>
      <c r="AB349" s="1593"/>
      <c r="AC349" s="1593"/>
      <c r="AD349" s="1593"/>
      <c r="AE349" s="1593"/>
      <c r="AF349" s="1593"/>
      <c r="AG349" s="1593"/>
      <c r="AH349" s="1593"/>
      <c r="AI349" s="1593"/>
      <c r="AJ349" s="1593"/>
      <c r="AK349" s="1593"/>
      <c r="AL349" s="1593"/>
      <c r="AM349" s="1593"/>
      <c r="AN349" s="1593"/>
      <c r="AO349" s="1593"/>
      <c r="AP349" s="1593"/>
      <c r="AQ349" s="1593"/>
      <c r="AR349" s="1593"/>
      <c r="AS349" s="1593"/>
      <c r="AT349" s="1593"/>
      <c r="AU349" s="1593"/>
      <c r="AV349" s="1593"/>
      <c r="AW349" s="1593"/>
      <c r="AX349" s="1593"/>
      <c r="AY349" s="1593"/>
      <c r="AZ349" s="1593"/>
      <c r="BA349" s="1593"/>
      <c r="BB349" s="1593"/>
      <c r="BC349" s="1593"/>
      <c r="BD349" s="1593"/>
      <c r="BE349" s="1593"/>
      <c r="BF349" s="1593"/>
      <c r="BG349" s="1593"/>
      <c r="BH349" s="1593"/>
      <c r="BI349" s="1593"/>
      <c r="BJ349" s="1593"/>
      <c r="BK349" s="1593"/>
      <c r="BL349" s="1593"/>
      <c r="BM349" s="1593"/>
      <c r="BN349" s="1593"/>
      <c r="BO349" s="1593"/>
      <c r="BP349" s="1593"/>
      <c r="BQ349" s="1593"/>
      <c r="BR349" s="1593"/>
      <c r="BS349" s="1593"/>
      <c r="BT349" s="1593"/>
      <c r="BU349" s="1593"/>
      <c r="BV349" s="1593"/>
      <c r="BW349" s="1593"/>
      <c r="BX349" s="1593"/>
      <c r="BY349" s="1593"/>
      <c r="BZ349" s="1593"/>
      <c r="CA349" s="1593"/>
      <c r="CB349" s="1593"/>
      <c r="CC349" s="1593"/>
      <c r="CD349" s="1593"/>
      <c r="CE349" s="1593"/>
      <c r="CF349" s="1593"/>
      <c r="CG349" s="1593"/>
      <c r="CH349" s="1593"/>
      <c r="CI349" s="1593"/>
      <c r="CJ349" s="1593"/>
      <c r="CK349" s="1593"/>
      <c r="CL349" s="1593"/>
      <c r="CM349" s="1593"/>
      <c r="CN349" s="1593"/>
      <c r="CO349" s="1593"/>
      <c r="CP349" s="1593"/>
      <c r="CQ349" s="1593"/>
      <c r="CR349" s="1593"/>
      <c r="CS349" s="1593"/>
      <c r="CT349" s="1593"/>
      <c r="CU349" s="1593"/>
      <c r="CV349" s="1593"/>
      <c r="CW349" s="1593"/>
      <c r="CX349" s="1593"/>
      <c r="CY349" s="1593"/>
      <c r="CZ349" s="1593"/>
      <c r="DA349" s="1593"/>
      <c r="DB349" s="1593"/>
      <c r="DC349" s="1593"/>
      <c r="DD349" s="1593"/>
      <c r="DE349" s="1593"/>
      <c r="DF349" s="1593"/>
      <c r="DG349" s="1593"/>
      <c r="DH349" s="1593"/>
      <c r="DI349" s="1593"/>
      <c r="DJ349" s="1593"/>
      <c r="DK349" s="1593"/>
      <c r="DL349" s="1593"/>
      <c r="DM349" s="1593"/>
      <c r="DN349" s="1593"/>
      <c r="DO349" s="1593"/>
      <c r="DP349" s="1593"/>
      <c r="DQ349" s="1593"/>
      <c r="DR349" s="1593"/>
      <c r="DS349" s="1593"/>
      <c r="DT349" s="1593"/>
      <c r="DU349" s="1593"/>
      <c r="DV349" s="1593"/>
      <c r="DW349" s="1593"/>
      <c r="DX349" s="1593"/>
      <c r="DY349" s="1593"/>
      <c r="DZ349" s="1593"/>
      <c r="EA349" s="1593"/>
      <c r="EB349" s="1593"/>
      <c r="EC349" s="1593"/>
      <c r="ED349" s="1593"/>
      <c r="EE349" s="1593"/>
      <c r="EF349" s="1593"/>
      <c r="EG349" s="1593"/>
      <c r="EH349" s="1593"/>
      <c r="EI349" s="1593"/>
      <c r="EJ349" s="1593"/>
      <c r="EK349" s="1593"/>
      <c r="EL349" s="1593"/>
      <c r="EM349" s="1593"/>
      <c r="EN349" s="1593"/>
      <c r="EO349" s="1593"/>
      <c r="EP349" s="1593"/>
      <c r="EQ349" s="1593"/>
      <c r="ER349" s="1593"/>
      <c r="ES349" s="1593"/>
      <c r="ET349" s="1593"/>
      <c r="EU349" s="1593"/>
      <c r="EV349" s="1593"/>
      <c r="EW349" s="1593"/>
      <c r="EX349" s="1593"/>
      <c r="EY349" s="1593"/>
      <c r="EZ349" s="1593"/>
      <c r="FA349" s="1593"/>
      <c r="FB349" s="1593"/>
      <c r="FC349" s="1593"/>
      <c r="FD349" s="1593"/>
      <c r="FE349" s="1593"/>
      <c r="FF349" s="1593"/>
      <c r="FG349" s="1593"/>
      <c r="FH349" s="1593"/>
      <c r="FI349" s="1593"/>
      <c r="FJ349" s="1593"/>
      <c r="FK349" s="1593"/>
      <c r="FL349" s="1593"/>
      <c r="FM349" s="1593"/>
      <c r="FN349" s="1593"/>
      <c r="FO349" s="1593"/>
      <c r="FP349" s="1593"/>
      <c r="FQ349" s="1593"/>
      <c r="FR349" s="1593"/>
      <c r="FS349" s="1593"/>
      <c r="FT349" s="1593"/>
      <c r="FU349" s="1593"/>
      <c r="FV349" s="1593"/>
      <c r="FW349" s="1593"/>
      <c r="FX349" s="1593"/>
      <c r="FY349" s="1593"/>
      <c r="FZ349" s="1593"/>
      <c r="GA349" s="1593"/>
      <c r="GB349" s="1593"/>
      <c r="GC349" s="1593"/>
      <c r="GD349" s="1593"/>
      <c r="GE349" s="1593"/>
      <c r="GF349" s="1593"/>
      <c r="GG349" s="1593"/>
      <c r="GH349" s="1593"/>
      <c r="GI349" s="1593"/>
      <c r="GJ349" s="1593"/>
      <c r="GK349" s="1593"/>
      <c r="GL349" s="1593"/>
      <c r="GM349" s="1593"/>
      <c r="GN349" s="1593"/>
      <c r="GO349" s="1593"/>
      <c r="GP349" s="1593"/>
      <c r="GQ349" s="1593"/>
      <c r="GR349" s="1593"/>
      <c r="GS349" s="1593"/>
      <c r="GT349" s="1593"/>
      <c r="GU349" s="1593"/>
      <c r="GV349" s="1593"/>
      <c r="GW349" s="1593"/>
      <c r="GX349" s="1593"/>
      <c r="GY349" s="1593"/>
      <c r="GZ349" s="1593"/>
      <c r="HA349" s="1593"/>
      <c r="HB349" s="1593"/>
      <c r="HC349" s="1593"/>
      <c r="HD349" s="1593"/>
      <c r="HE349" s="1593"/>
      <c r="HF349" s="1593"/>
      <c r="HG349" s="1593"/>
      <c r="HH349" s="1593"/>
      <c r="HI349" s="1593"/>
      <c r="HJ349" s="1593"/>
      <c r="HK349" s="1593"/>
      <c r="HL349" s="1593"/>
      <c r="HM349" s="1593"/>
      <c r="HN349" s="1593"/>
      <c r="HO349" s="1593"/>
      <c r="HP349" s="1593"/>
      <c r="HQ349" s="1593"/>
      <c r="HR349" s="1593"/>
      <c r="HS349" s="1593"/>
      <c r="HT349" s="1593"/>
      <c r="HU349" s="1593"/>
      <c r="HV349" s="1593"/>
      <c r="HW349" s="1593"/>
      <c r="HX349" s="1593"/>
      <c r="HY349" s="1593"/>
      <c r="HZ349" s="1593"/>
      <c r="IA349" s="1593"/>
      <c r="IB349" s="1593"/>
      <c r="IC349" s="1593"/>
      <c r="ID349" s="1593"/>
      <c r="IE349" s="1593"/>
      <c r="IF349" s="1593"/>
      <c r="IG349" s="1593"/>
      <c r="IH349" s="1593"/>
      <c r="II349" s="1593"/>
      <c r="IJ349" s="1593"/>
      <c r="IK349" s="1593"/>
      <c r="IL349" s="1593"/>
      <c r="IM349" s="1593"/>
      <c r="IN349" s="1593"/>
      <c r="IO349" s="1593"/>
      <c r="IP349" s="1593"/>
      <c r="IQ349" s="1593"/>
      <c r="IR349" s="1593"/>
      <c r="IS349" s="1593"/>
      <c r="IT349" s="1593"/>
      <c r="IU349" s="1593"/>
      <c r="IV349" s="1593"/>
      <c r="IW349" s="1593"/>
      <c r="IX349" s="1593"/>
      <c r="IY349" s="1593"/>
      <c r="IZ349" s="1593"/>
      <c r="JA349" s="1593"/>
      <c r="JB349" s="1593"/>
      <c r="JC349" s="1593"/>
      <c r="JD349" s="1593"/>
      <c r="JE349" s="1593"/>
      <c r="JF349" s="1593"/>
      <c r="JG349" s="1593"/>
      <c r="JH349" s="1593"/>
      <c r="JI349" s="1593"/>
      <c r="JJ349" s="1593"/>
      <c r="JK349" s="1593"/>
      <c r="JL349" s="1593"/>
      <c r="JM349" s="1593"/>
      <c r="JN349" s="1593"/>
      <c r="JO349" s="1593"/>
      <c r="JP349" s="1593"/>
      <c r="JQ349" s="1593"/>
      <c r="JR349" s="1593"/>
      <c r="JS349" s="1593"/>
      <c r="JT349" s="1593"/>
      <c r="JU349" s="1593"/>
      <c r="JV349" s="1593"/>
      <c r="JW349" s="1593"/>
      <c r="JX349" s="1593"/>
      <c r="JY349" s="1593"/>
      <c r="JZ349" s="1593"/>
      <c r="KA349" s="1593"/>
      <c r="KB349" s="1598"/>
    </row>
    <row r="350" spans="2:288" ht="15" customHeight="1" x14ac:dyDescent="0.25">
      <c r="B350" s="216" t="str">
        <f t="shared" si="29"/>
        <v>Desk 31</v>
      </c>
      <c r="C350" s="218" t="str">
        <v/>
      </c>
      <c r="D350" s="218" t="str">
        <v/>
      </c>
      <c r="E350" s="218" t="str">
        <v/>
      </c>
      <c r="F350" s="218" t="str">
        <v/>
      </c>
      <c r="G350" s="402" t="str">
        <v/>
      </c>
      <c r="H350" s="1593"/>
      <c r="I350" s="1593"/>
      <c r="J350" s="1593"/>
      <c r="K350" s="1593"/>
      <c r="L350" s="1593"/>
      <c r="M350" s="1593"/>
      <c r="N350" s="1593"/>
      <c r="O350" s="1593"/>
      <c r="P350" s="1593"/>
      <c r="Q350" s="1593"/>
      <c r="R350" s="1593"/>
      <c r="S350" s="1593"/>
      <c r="T350" s="1593"/>
      <c r="U350" s="1593"/>
      <c r="V350" s="1593"/>
      <c r="W350" s="1593"/>
      <c r="X350" s="1593"/>
      <c r="Y350" s="1593"/>
      <c r="Z350" s="1593"/>
      <c r="AA350" s="1593"/>
      <c r="AB350" s="1593"/>
      <c r="AC350" s="1593"/>
      <c r="AD350" s="1593"/>
      <c r="AE350" s="1593"/>
      <c r="AF350" s="1593"/>
      <c r="AG350" s="1593"/>
      <c r="AH350" s="1593"/>
      <c r="AI350" s="1593"/>
      <c r="AJ350" s="1593"/>
      <c r="AK350" s="1593"/>
      <c r="AL350" s="1593"/>
      <c r="AM350" s="1593"/>
      <c r="AN350" s="1593"/>
      <c r="AO350" s="1593"/>
      <c r="AP350" s="1593"/>
      <c r="AQ350" s="1593"/>
      <c r="AR350" s="1593"/>
      <c r="AS350" s="1593"/>
      <c r="AT350" s="1593"/>
      <c r="AU350" s="1593"/>
      <c r="AV350" s="1593"/>
      <c r="AW350" s="1593"/>
      <c r="AX350" s="1593"/>
      <c r="AY350" s="1593"/>
      <c r="AZ350" s="1593"/>
      <c r="BA350" s="1593"/>
      <c r="BB350" s="1593"/>
      <c r="BC350" s="1593"/>
      <c r="BD350" s="1593"/>
      <c r="BE350" s="1593"/>
      <c r="BF350" s="1593"/>
      <c r="BG350" s="1593"/>
      <c r="BH350" s="1593"/>
      <c r="BI350" s="1593"/>
      <c r="BJ350" s="1593"/>
      <c r="BK350" s="1593"/>
      <c r="BL350" s="1593"/>
      <c r="BM350" s="1593"/>
      <c r="BN350" s="1593"/>
      <c r="BO350" s="1593"/>
      <c r="BP350" s="1593"/>
      <c r="BQ350" s="1593"/>
      <c r="BR350" s="1593"/>
      <c r="BS350" s="1593"/>
      <c r="BT350" s="1593"/>
      <c r="BU350" s="1593"/>
      <c r="BV350" s="1593"/>
      <c r="BW350" s="1593"/>
      <c r="BX350" s="1593"/>
      <c r="BY350" s="1593"/>
      <c r="BZ350" s="1593"/>
      <c r="CA350" s="1593"/>
      <c r="CB350" s="1593"/>
      <c r="CC350" s="1593"/>
      <c r="CD350" s="1593"/>
      <c r="CE350" s="1593"/>
      <c r="CF350" s="1593"/>
      <c r="CG350" s="1593"/>
      <c r="CH350" s="1593"/>
      <c r="CI350" s="1593"/>
      <c r="CJ350" s="1593"/>
      <c r="CK350" s="1593"/>
      <c r="CL350" s="1593"/>
      <c r="CM350" s="1593"/>
      <c r="CN350" s="1593"/>
      <c r="CO350" s="1593"/>
      <c r="CP350" s="1593"/>
      <c r="CQ350" s="1593"/>
      <c r="CR350" s="1593"/>
      <c r="CS350" s="1593"/>
      <c r="CT350" s="1593"/>
      <c r="CU350" s="1593"/>
      <c r="CV350" s="1593"/>
      <c r="CW350" s="1593"/>
      <c r="CX350" s="1593"/>
      <c r="CY350" s="1593"/>
      <c r="CZ350" s="1593"/>
      <c r="DA350" s="1593"/>
      <c r="DB350" s="1593"/>
      <c r="DC350" s="1593"/>
      <c r="DD350" s="1593"/>
      <c r="DE350" s="1593"/>
      <c r="DF350" s="1593"/>
      <c r="DG350" s="1593"/>
      <c r="DH350" s="1593"/>
      <c r="DI350" s="1593"/>
      <c r="DJ350" s="1593"/>
      <c r="DK350" s="1593"/>
      <c r="DL350" s="1593"/>
      <c r="DM350" s="1593"/>
      <c r="DN350" s="1593"/>
      <c r="DO350" s="1593"/>
      <c r="DP350" s="1593"/>
      <c r="DQ350" s="1593"/>
      <c r="DR350" s="1593"/>
      <c r="DS350" s="1593"/>
      <c r="DT350" s="1593"/>
      <c r="DU350" s="1593"/>
      <c r="DV350" s="1593"/>
      <c r="DW350" s="1593"/>
      <c r="DX350" s="1593"/>
      <c r="DY350" s="1593"/>
      <c r="DZ350" s="1593"/>
      <c r="EA350" s="1593"/>
      <c r="EB350" s="1593"/>
      <c r="EC350" s="1593"/>
      <c r="ED350" s="1593"/>
      <c r="EE350" s="1593"/>
      <c r="EF350" s="1593"/>
      <c r="EG350" s="1593"/>
      <c r="EH350" s="1593"/>
      <c r="EI350" s="1593"/>
      <c r="EJ350" s="1593"/>
      <c r="EK350" s="1593"/>
      <c r="EL350" s="1593"/>
      <c r="EM350" s="1593"/>
      <c r="EN350" s="1593"/>
      <c r="EO350" s="1593"/>
      <c r="EP350" s="1593"/>
      <c r="EQ350" s="1593"/>
      <c r="ER350" s="1593"/>
      <c r="ES350" s="1593"/>
      <c r="ET350" s="1593"/>
      <c r="EU350" s="1593"/>
      <c r="EV350" s="1593"/>
      <c r="EW350" s="1593"/>
      <c r="EX350" s="1593"/>
      <c r="EY350" s="1593"/>
      <c r="EZ350" s="1593"/>
      <c r="FA350" s="1593"/>
      <c r="FB350" s="1593"/>
      <c r="FC350" s="1593"/>
      <c r="FD350" s="1593"/>
      <c r="FE350" s="1593"/>
      <c r="FF350" s="1593"/>
      <c r="FG350" s="1593"/>
      <c r="FH350" s="1593"/>
      <c r="FI350" s="1593"/>
      <c r="FJ350" s="1593"/>
      <c r="FK350" s="1593"/>
      <c r="FL350" s="1593"/>
      <c r="FM350" s="1593"/>
      <c r="FN350" s="1593"/>
      <c r="FO350" s="1593"/>
      <c r="FP350" s="1593"/>
      <c r="FQ350" s="1593"/>
      <c r="FR350" s="1593"/>
      <c r="FS350" s="1593"/>
      <c r="FT350" s="1593"/>
      <c r="FU350" s="1593"/>
      <c r="FV350" s="1593"/>
      <c r="FW350" s="1593"/>
      <c r="FX350" s="1593"/>
      <c r="FY350" s="1593"/>
      <c r="FZ350" s="1593"/>
      <c r="GA350" s="1593"/>
      <c r="GB350" s="1593"/>
      <c r="GC350" s="1593"/>
      <c r="GD350" s="1593"/>
      <c r="GE350" s="1593"/>
      <c r="GF350" s="1593"/>
      <c r="GG350" s="1593"/>
      <c r="GH350" s="1593"/>
      <c r="GI350" s="1593"/>
      <c r="GJ350" s="1593"/>
      <c r="GK350" s="1593"/>
      <c r="GL350" s="1593"/>
      <c r="GM350" s="1593"/>
      <c r="GN350" s="1593"/>
      <c r="GO350" s="1593"/>
      <c r="GP350" s="1593"/>
      <c r="GQ350" s="1593"/>
      <c r="GR350" s="1593"/>
      <c r="GS350" s="1593"/>
      <c r="GT350" s="1593"/>
      <c r="GU350" s="1593"/>
      <c r="GV350" s="1593"/>
      <c r="GW350" s="1593"/>
      <c r="GX350" s="1593"/>
      <c r="GY350" s="1593"/>
      <c r="GZ350" s="1593"/>
      <c r="HA350" s="1593"/>
      <c r="HB350" s="1593"/>
      <c r="HC350" s="1593"/>
      <c r="HD350" s="1593"/>
      <c r="HE350" s="1593"/>
      <c r="HF350" s="1593"/>
      <c r="HG350" s="1593"/>
      <c r="HH350" s="1593"/>
      <c r="HI350" s="1593"/>
      <c r="HJ350" s="1593"/>
      <c r="HK350" s="1593"/>
      <c r="HL350" s="1593"/>
      <c r="HM350" s="1593"/>
      <c r="HN350" s="1593"/>
      <c r="HO350" s="1593"/>
      <c r="HP350" s="1593"/>
      <c r="HQ350" s="1593"/>
      <c r="HR350" s="1593"/>
      <c r="HS350" s="1593"/>
      <c r="HT350" s="1593"/>
      <c r="HU350" s="1593"/>
      <c r="HV350" s="1593"/>
      <c r="HW350" s="1593"/>
      <c r="HX350" s="1593"/>
      <c r="HY350" s="1593"/>
      <c r="HZ350" s="1593"/>
      <c r="IA350" s="1593"/>
      <c r="IB350" s="1593"/>
      <c r="IC350" s="1593"/>
      <c r="ID350" s="1593"/>
      <c r="IE350" s="1593"/>
      <c r="IF350" s="1593"/>
      <c r="IG350" s="1593"/>
      <c r="IH350" s="1593"/>
      <c r="II350" s="1593"/>
      <c r="IJ350" s="1593"/>
      <c r="IK350" s="1593"/>
      <c r="IL350" s="1593"/>
      <c r="IM350" s="1593"/>
      <c r="IN350" s="1593"/>
      <c r="IO350" s="1593"/>
      <c r="IP350" s="1593"/>
      <c r="IQ350" s="1593"/>
      <c r="IR350" s="1593"/>
      <c r="IS350" s="1593"/>
      <c r="IT350" s="1593"/>
      <c r="IU350" s="1593"/>
      <c r="IV350" s="1593"/>
      <c r="IW350" s="1593"/>
      <c r="IX350" s="1593"/>
      <c r="IY350" s="1593"/>
      <c r="IZ350" s="1593"/>
      <c r="JA350" s="1593"/>
      <c r="JB350" s="1593"/>
      <c r="JC350" s="1593"/>
      <c r="JD350" s="1593"/>
      <c r="JE350" s="1593"/>
      <c r="JF350" s="1593"/>
      <c r="JG350" s="1593"/>
      <c r="JH350" s="1593"/>
      <c r="JI350" s="1593"/>
      <c r="JJ350" s="1593"/>
      <c r="JK350" s="1593"/>
      <c r="JL350" s="1593"/>
      <c r="JM350" s="1593"/>
      <c r="JN350" s="1593"/>
      <c r="JO350" s="1593"/>
      <c r="JP350" s="1593"/>
      <c r="JQ350" s="1593"/>
      <c r="JR350" s="1593"/>
      <c r="JS350" s="1593"/>
      <c r="JT350" s="1593"/>
      <c r="JU350" s="1593"/>
      <c r="JV350" s="1593"/>
      <c r="JW350" s="1593"/>
      <c r="JX350" s="1593"/>
      <c r="JY350" s="1593"/>
      <c r="JZ350" s="1593"/>
      <c r="KA350" s="1593"/>
      <c r="KB350" s="1598"/>
    </row>
    <row r="351" spans="2:288" ht="15" customHeight="1" x14ac:dyDescent="0.25">
      <c r="B351" s="216" t="str">
        <f t="shared" si="29"/>
        <v>Desk 32</v>
      </c>
      <c r="C351" s="218" t="str">
        <v/>
      </c>
      <c r="D351" s="218" t="str">
        <v/>
      </c>
      <c r="E351" s="218" t="str">
        <v/>
      </c>
      <c r="F351" s="218" t="str">
        <v/>
      </c>
      <c r="G351" s="402" t="str">
        <v/>
      </c>
      <c r="H351" s="1593"/>
      <c r="I351" s="1593"/>
      <c r="J351" s="1593"/>
      <c r="K351" s="1593"/>
      <c r="L351" s="1593"/>
      <c r="M351" s="1593"/>
      <c r="N351" s="1593"/>
      <c r="O351" s="1593"/>
      <c r="P351" s="1593"/>
      <c r="Q351" s="1593"/>
      <c r="R351" s="1593"/>
      <c r="S351" s="1593"/>
      <c r="T351" s="1593"/>
      <c r="U351" s="1593"/>
      <c r="V351" s="1593"/>
      <c r="W351" s="1593"/>
      <c r="X351" s="1593"/>
      <c r="Y351" s="1593"/>
      <c r="Z351" s="1593"/>
      <c r="AA351" s="1593"/>
      <c r="AB351" s="1593"/>
      <c r="AC351" s="1593"/>
      <c r="AD351" s="1593"/>
      <c r="AE351" s="1593"/>
      <c r="AF351" s="1593"/>
      <c r="AG351" s="1593"/>
      <c r="AH351" s="1593"/>
      <c r="AI351" s="1593"/>
      <c r="AJ351" s="1593"/>
      <c r="AK351" s="1593"/>
      <c r="AL351" s="1593"/>
      <c r="AM351" s="1593"/>
      <c r="AN351" s="1593"/>
      <c r="AO351" s="1593"/>
      <c r="AP351" s="1593"/>
      <c r="AQ351" s="1593"/>
      <c r="AR351" s="1593"/>
      <c r="AS351" s="1593"/>
      <c r="AT351" s="1593"/>
      <c r="AU351" s="1593"/>
      <c r="AV351" s="1593"/>
      <c r="AW351" s="1593"/>
      <c r="AX351" s="1593"/>
      <c r="AY351" s="1593"/>
      <c r="AZ351" s="1593"/>
      <c r="BA351" s="1593"/>
      <c r="BB351" s="1593"/>
      <c r="BC351" s="1593"/>
      <c r="BD351" s="1593"/>
      <c r="BE351" s="1593"/>
      <c r="BF351" s="1593"/>
      <c r="BG351" s="1593"/>
      <c r="BH351" s="1593"/>
      <c r="BI351" s="1593"/>
      <c r="BJ351" s="1593"/>
      <c r="BK351" s="1593"/>
      <c r="BL351" s="1593"/>
      <c r="BM351" s="1593"/>
      <c r="BN351" s="1593"/>
      <c r="BO351" s="1593"/>
      <c r="BP351" s="1593"/>
      <c r="BQ351" s="1593"/>
      <c r="BR351" s="1593"/>
      <c r="BS351" s="1593"/>
      <c r="BT351" s="1593"/>
      <c r="BU351" s="1593"/>
      <c r="BV351" s="1593"/>
      <c r="BW351" s="1593"/>
      <c r="BX351" s="1593"/>
      <c r="BY351" s="1593"/>
      <c r="BZ351" s="1593"/>
      <c r="CA351" s="1593"/>
      <c r="CB351" s="1593"/>
      <c r="CC351" s="1593"/>
      <c r="CD351" s="1593"/>
      <c r="CE351" s="1593"/>
      <c r="CF351" s="1593"/>
      <c r="CG351" s="1593"/>
      <c r="CH351" s="1593"/>
      <c r="CI351" s="1593"/>
      <c r="CJ351" s="1593"/>
      <c r="CK351" s="1593"/>
      <c r="CL351" s="1593"/>
      <c r="CM351" s="1593"/>
      <c r="CN351" s="1593"/>
      <c r="CO351" s="1593"/>
      <c r="CP351" s="1593"/>
      <c r="CQ351" s="1593"/>
      <c r="CR351" s="1593"/>
      <c r="CS351" s="1593"/>
      <c r="CT351" s="1593"/>
      <c r="CU351" s="1593"/>
      <c r="CV351" s="1593"/>
      <c r="CW351" s="1593"/>
      <c r="CX351" s="1593"/>
      <c r="CY351" s="1593"/>
      <c r="CZ351" s="1593"/>
      <c r="DA351" s="1593"/>
      <c r="DB351" s="1593"/>
      <c r="DC351" s="1593"/>
      <c r="DD351" s="1593"/>
      <c r="DE351" s="1593"/>
      <c r="DF351" s="1593"/>
      <c r="DG351" s="1593"/>
      <c r="DH351" s="1593"/>
      <c r="DI351" s="1593"/>
      <c r="DJ351" s="1593"/>
      <c r="DK351" s="1593"/>
      <c r="DL351" s="1593"/>
      <c r="DM351" s="1593"/>
      <c r="DN351" s="1593"/>
      <c r="DO351" s="1593"/>
      <c r="DP351" s="1593"/>
      <c r="DQ351" s="1593"/>
      <c r="DR351" s="1593"/>
      <c r="DS351" s="1593"/>
      <c r="DT351" s="1593"/>
      <c r="DU351" s="1593"/>
      <c r="DV351" s="1593"/>
      <c r="DW351" s="1593"/>
      <c r="DX351" s="1593"/>
      <c r="DY351" s="1593"/>
      <c r="DZ351" s="1593"/>
      <c r="EA351" s="1593"/>
      <c r="EB351" s="1593"/>
      <c r="EC351" s="1593"/>
      <c r="ED351" s="1593"/>
      <c r="EE351" s="1593"/>
      <c r="EF351" s="1593"/>
      <c r="EG351" s="1593"/>
      <c r="EH351" s="1593"/>
      <c r="EI351" s="1593"/>
      <c r="EJ351" s="1593"/>
      <c r="EK351" s="1593"/>
      <c r="EL351" s="1593"/>
      <c r="EM351" s="1593"/>
      <c r="EN351" s="1593"/>
      <c r="EO351" s="1593"/>
      <c r="EP351" s="1593"/>
      <c r="EQ351" s="1593"/>
      <c r="ER351" s="1593"/>
      <c r="ES351" s="1593"/>
      <c r="ET351" s="1593"/>
      <c r="EU351" s="1593"/>
      <c r="EV351" s="1593"/>
      <c r="EW351" s="1593"/>
      <c r="EX351" s="1593"/>
      <c r="EY351" s="1593"/>
      <c r="EZ351" s="1593"/>
      <c r="FA351" s="1593"/>
      <c r="FB351" s="1593"/>
      <c r="FC351" s="1593"/>
      <c r="FD351" s="1593"/>
      <c r="FE351" s="1593"/>
      <c r="FF351" s="1593"/>
      <c r="FG351" s="1593"/>
      <c r="FH351" s="1593"/>
      <c r="FI351" s="1593"/>
      <c r="FJ351" s="1593"/>
      <c r="FK351" s="1593"/>
      <c r="FL351" s="1593"/>
      <c r="FM351" s="1593"/>
      <c r="FN351" s="1593"/>
      <c r="FO351" s="1593"/>
      <c r="FP351" s="1593"/>
      <c r="FQ351" s="1593"/>
      <c r="FR351" s="1593"/>
      <c r="FS351" s="1593"/>
      <c r="FT351" s="1593"/>
      <c r="FU351" s="1593"/>
      <c r="FV351" s="1593"/>
      <c r="FW351" s="1593"/>
      <c r="FX351" s="1593"/>
      <c r="FY351" s="1593"/>
      <c r="FZ351" s="1593"/>
      <c r="GA351" s="1593"/>
      <c r="GB351" s="1593"/>
      <c r="GC351" s="1593"/>
      <c r="GD351" s="1593"/>
      <c r="GE351" s="1593"/>
      <c r="GF351" s="1593"/>
      <c r="GG351" s="1593"/>
      <c r="GH351" s="1593"/>
      <c r="GI351" s="1593"/>
      <c r="GJ351" s="1593"/>
      <c r="GK351" s="1593"/>
      <c r="GL351" s="1593"/>
      <c r="GM351" s="1593"/>
      <c r="GN351" s="1593"/>
      <c r="GO351" s="1593"/>
      <c r="GP351" s="1593"/>
      <c r="GQ351" s="1593"/>
      <c r="GR351" s="1593"/>
      <c r="GS351" s="1593"/>
      <c r="GT351" s="1593"/>
      <c r="GU351" s="1593"/>
      <c r="GV351" s="1593"/>
      <c r="GW351" s="1593"/>
      <c r="GX351" s="1593"/>
      <c r="GY351" s="1593"/>
      <c r="GZ351" s="1593"/>
      <c r="HA351" s="1593"/>
      <c r="HB351" s="1593"/>
      <c r="HC351" s="1593"/>
      <c r="HD351" s="1593"/>
      <c r="HE351" s="1593"/>
      <c r="HF351" s="1593"/>
      <c r="HG351" s="1593"/>
      <c r="HH351" s="1593"/>
      <c r="HI351" s="1593"/>
      <c r="HJ351" s="1593"/>
      <c r="HK351" s="1593"/>
      <c r="HL351" s="1593"/>
      <c r="HM351" s="1593"/>
      <c r="HN351" s="1593"/>
      <c r="HO351" s="1593"/>
      <c r="HP351" s="1593"/>
      <c r="HQ351" s="1593"/>
      <c r="HR351" s="1593"/>
      <c r="HS351" s="1593"/>
      <c r="HT351" s="1593"/>
      <c r="HU351" s="1593"/>
      <c r="HV351" s="1593"/>
      <c r="HW351" s="1593"/>
      <c r="HX351" s="1593"/>
      <c r="HY351" s="1593"/>
      <c r="HZ351" s="1593"/>
      <c r="IA351" s="1593"/>
      <c r="IB351" s="1593"/>
      <c r="IC351" s="1593"/>
      <c r="ID351" s="1593"/>
      <c r="IE351" s="1593"/>
      <c r="IF351" s="1593"/>
      <c r="IG351" s="1593"/>
      <c r="IH351" s="1593"/>
      <c r="II351" s="1593"/>
      <c r="IJ351" s="1593"/>
      <c r="IK351" s="1593"/>
      <c r="IL351" s="1593"/>
      <c r="IM351" s="1593"/>
      <c r="IN351" s="1593"/>
      <c r="IO351" s="1593"/>
      <c r="IP351" s="1593"/>
      <c r="IQ351" s="1593"/>
      <c r="IR351" s="1593"/>
      <c r="IS351" s="1593"/>
      <c r="IT351" s="1593"/>
      <c r="IU351" s="1593"/>
      <c r="IV351" s="1593"/>
      <c r="IW351" s="1593"/>
      <c r="IX351" s="1593"/>
      <c r="IY351" s="1593"/>
      <c r="IZ351" s="1593"/>
      <c r="JA351" s="1593"/>
      <c r="JB351" s="1593"/>
      <c r="JC351" s="1593"/>
      <c r="JD351" s="1593"/>
      <c r="JE351" s="1593"/>
      <c r="JF351" s="1593"/>
      <c r="JG351" s="1593"/>
      <c r="JH351" s="1593"/>
      <c r="JI351" s="1593"/>
      <c r="JJ351" s="1593"/>
      <c r="JK351" s="1593"/>
      <c r="JL351" s="1593"/>
      <c r="JM351" s="1593"/>
      <c r="JN351" s="1593"/>
      <c r="JO351" s="1593"/>
      <c r="JP351" s="1593"/>
      <c r="JQ351" s="1593"/>
      <c r="JR351" s="1593"/>
      <c r="JS351" s="1593"/>
      <c r="JT351" s="1593"/>
      <c r="JU351" s="1593"/>
      <c r="JV351" s="1593"/>
      <c r="JW351" s="1593"/>
      <c r="JX351" s="1593"/>
      <c r="JY351" s="1593"/>
      <c r="JZ351" s="1593"/>
      <c r="KA351" s="1593"/>
      <c r="KB351" s="1598"/>
    </row>
    <row r="352" spans="2:288" ht="15" customHeight="1" x14ac:dyDescent="0.25">
      <c r="B352" s="216" t="str">
        <f t="shared" si="29"/>
        <v>Desk 33</v>
      </c>
      <c r="C352" s="218" t="str">
        <v/>
      </c>
      <c r="D352" s="218" t="str">
        <v/>
      </c>
      <c r="E352" s="218" t="str">
        <v/>
      </c>
      <c r="F352" s="218" t="str">
        <v/>
      </c>
      <c r="G352" s="402" t="str">
        <v/>
      </c>
      <c r="H352" s="1593"/>
      <c r="I352" s="1593"/>
      <c r="J352" s="1593"/>
      <c r="K352" s="1593"/>
      <c r="L352" s="1593"/>
      <c r="M352" s="1593"/>
      <c r="N352" s="1593"/>
      <c r="O352" s="1593"/>
      <c r="P352" s="1593"/>
      <c r="Q352" s="1593"/>
      <c r="R352" s="1593"/>
      <c r="S352" s="1593"/>
      <c r="T352" s="1593"/>
      <c r="U352" s="1593"/>
      <c r="V352" s="1593"/>
      <c r="W352" s="1593"/>
      <c r="X352" s="1593"/>
      <c r="Y352" s="1593"/>
      <c r="Z352" s="1593"/>
      <c r="AA352" s="1593"/>
      <c r="AB352" s="1593"/>
      <c r="AC352" s="1593"/>
      <c r="AD352" s="1593"/>
      <c r="AE352" s="1593"/>
      <c r="AF352" s="1593"/>
      <c r="AG352" s="1593"/>
      <c r="AH352" s="1593"/>
      <c r="AI352" s="1593"/>
      <c r="AJ352" s="1593"/>
      <c r="AK352" s="1593"/>
      <c r="AL352" s="1593"/>
      <c r="AM352" s="1593"/>
      <c r="AN352" s="1593"/>
      <c r="AO352" s="1593"/>
      <c r="AP352" s="1593"/>
      <c r="AQ352" s="1593"/>
      <c r="AR352" s="1593"/>
      <c r="AS352" s="1593"/>
      <c r="AT352" s="1593"/>
      <c r="AU352" s="1593"/>
      <c r="AV352" s="1593"/>
      <c r="AW352" s="1593"/>
      <c r="AX352" s="1593"/>
      <c r="AY352" s="1593"/>
      <c r="AZ352" s="1593"/>
      <c r="BA352" s="1593"/>
      <c r="BB352" s="1593"/>
      <c r="BC352" s="1593"/>
      <c r="BD352" s="1593"/>
      <c r="BE352" s="1593"/>
      <c r="BF352" s="1593"/>
      <c r="BG352" s="1593"/>
      <c r="BH352" s="1593"/>
      <c r="BI352" s="1593"/>
      <c r="BJ352" s="1593"/>
      <c r="BK352" s="1593"/>
      <c r="BL352" s="1593"/>
      <c r="BM352" s="1593"/>
      <c r="BN352" s="1593"/>
      <c r="BO352" s="1593"/>
      <c r="BP352" s="1593"/>
      <c r="BQ352" s="1593"/>
      <c r="BR352" s="1593"/>
      <c r="BS352" s="1593"/>
      <c r="BT352" s="1593"/>
      <c r="BU352" s="1593"/>
      <c r="BV352" s="1593"/>
      <c r="BW352" s="1593"/>
      <c r="BX352" s="1593"/>
      <c r="BY352" s="1593"/>
      <c r="BZ352" s="1593"/>
      <c r="CA352" s="1593"/>
      <c r="CB352" s="1593"/>
      <c r="CC352" s="1593"/>
      <c r="CD352" s="1593"/>
      <c r="CE352" s="1593"/>
      <c r="CF352" s="1593"/>
      <c r="CG352" s="1593"/>
      <c r="CH352" s="1593"/>
      <c r="CI352" s="1593"/>
      <c r="CJ352" s="1593"/>
      <c r="CK352" s="1593"/>
      <c r="CL352" s="1593"/>
      <c r="CM352" s="1593"/>
      <c r="CN352" s="1593"/>
      <c r="CO352" s="1593"/>
      <c r="CP352" s="1593"/>
      <c r="CQ352" s="1593"/>
      <c r="CR352" s="1593"/>
      <c r="CS352" s="1593"/>
      <c r="CT352" s="1593"/>
      <c r="CU352" s="1593"/>
      <c r="CV352" s="1593"/>
      <c r="CW352" s="1593"/>
      <c r="CX352" s="1593"/>
      <c r="CY352" s="1593"/>
      <c r="CZ352" s="1593"/>
      <c r="DA352" s="1593"/>
      <c r="DB352" s="1593"/>
      <c r="DC352" s="1593"/>
      <c r="DD352" s="1593"/>
      <c r="DE352" s="1593"/>
      <c r="DF352" s="1593"/>
      <c r="DG352" s="1593"/>
      <c r="DH352" s="1593"/>
      <c r="DI352" s="1593"/>
      <c r="DJ352" s="1593"/>
      <c r="DK352" s="1593"/>
      <c r="DL352" s="1593"/>
      <c r="DM352" s="1593"/>
      <c r="DN352" s="1593"/>
      <c r="DO352" s="1593"/>
      <c r="DP352" s="1593"/>
      <c r="DQ352" s="1593"/>
      <c r="DR352" s="1593"/>
      <c r="DS352" s="1593"/>
      <c r="DT352" s="1593"/>
      <c r="DU352" s="1593"/>
      <c r="DV352" s="1593"/>
      <c r="DW352" s="1593"/>
      <c r="DX352" s="1593"/>
      <c r="DY352" s="1593"/>
      <c r="DZ352" s="1593"/>
      <c r="EA352" s="1593"/>
      <c r="EB352" s="1593"/>
      <c r="EC352" s="1593"/>
      <c r="ED352" s="1593"/>
      <c r="EE352" s="1593"/>
      <c r="EF352" s="1593"/>
      <c r="EG352" s="1593"/>
      <c r="EH352" s="1593"/>
      <c r="EI352" s="1593"/>
      <c r="EJ352" s="1593"/>
      <c r="EK352" s="1593"/>
      <c r="EL352" s="1593"/>
      <c r="EM352" s="1593"/>
      <c r="EN352" s="1593"/>
      <c r="EO352" s="1593"/>
      <c r="EP352" s="1593"/>
      <c r="EQ352" s="1593"/>
      <c r="ER352" s="1593"/>
      <c r="ES352" s="1593"/>
      <c r="ET352" s="1593"/>
      <c r="EU352" s="1593"/>
      <c r="EV352" s="1593"/>
      <c r="EW352" s="1593"/>
      <c r="EX352" s="1593"/>
      <c r="EY352" s="1593"/>
      <c r="EZ352" s="1593"/>
      <c r="FA352" s="1593"/>
      <c r="FB352" s="1593"/>
      <c r="FC352" s="1593"/>
      <c r="FD352" s="1593"/>
      <c r="FE352" s="1593"/>
      <c r="FF352" s="1593"/>
      <c r="FG352" s="1593"/>
      <c r="FH352" s="1593"/>
      <c r="FI352" s="1593"/>
      <c r="FJ352" s="1593"/>
      <c r="FK352" s="1593"/>
      <c r="FL352" s="1593"/>
      <c r="FM352" s="1593"/>
      <c r="FN352" s="1593"/>
      <c r="FO352" s="1593"/>
      <c r="FP352" s="1593"/>
      <c r="FQ352" s="1593"/>
      <c r="FR352" s="1593"/>
      <c r="FS352" s="1593"/>
      <c r="FT352" s="1593"/>
      <c r="FU352" s="1593"/>
      <c r="FV352" s="1593"/>
      <c r="FW352" s="1593"/>
      <c r="FX352" s="1593"/>
      <c r="FY352" s="1593"/>
      <c r="FZ352" s="1593"/>
      <c r="GA352" s="1593"/>
      <c r="GB352" s="1593"/>
      <c r="GC352" s="1593"/>
      <c r="GD352" s="1593"/>
      <c r="GE352" s="1593"/>
      <c r="GF352" s="1593"/>
      <c r="GG352" s="1593"/>
      <c r="GH352" s="1593"/>
      <c r="GI352" s="1593"/>
      <c r="GJ352" s="1593"/>
      <c r="GK352" s="1593"/>
      <c r="GL352" s="1593"/>
      <c r="GM352" s="1593"/>
      <c r="GN352" s="1593"/>
      <c r="GO352" s="1593"/>
      <c r="GP352" s="1593"/>
      <c r="GQ352" s="1593"/>
      <c r="GR352" s="1593"/>
      <c r="GS352" s="1593"/>
      <c r="GT352" s="1593"/>
      <c r="GU352" s="1593"/>
      <c r="GV352" s="1593"/>
      <c r="GW352" s="1593"/>
      <c r="GX352" s="1593"/>
      <c r="GY352" s="1593"/>
      <c r="GZ352" s="1593"/>
      <c r="HA352" s="1593"/>
      <c r="HB352" s="1593"/>
      <c r="HC352" s="1593"/>
      <c r="HD352" s="1593"/>
      <c r="HE352" s="1593"/>
      <c r="HF352" s="1593"/>
      <c r="HG352" s="1593"/>
      <c r="HH352" s="1593"/>
      <c r="HI352" s="1593"/>
      <c r="HJ352" s="1593"/>
      <c r="HK352" s="1593"/>
      <c r="HL352" s="1593"/>
      <c r="HM352" s="1593"/>
      <c r="HN352" s="1593"/>
      <c r="HO352" s="1593"/>
      <c r="HP352" s="1593"/>
      <c r="HQ352" s="1593"/>
      <c r="HR352" s="1593"/>
      <c r="HS352" s="1593"/>
      <c r="HT352" s="1593"/>
      <c r="HU352" s="1593"/>
      <c r="HV352" s="1593"/>
      <c r="HW352" s="1593"/>
      <c r="HX352" s="1593"/>
      <c r="HY352" s="1593"/>
      <c r="HZ352" s="1593"/>
      <c r="IA352" s="1593"/>
      <c r="IB352" s="1593"/>
      <c r="IC352" s="1593"/>
      <c r="ID352" s="1593"/>
      <c r="IE352" s="1593"/>
      <c r="IF352" s="1593"/>
      <c r="IG352" s="1593"/>
      <c r="IH352" s="1593"/>
      <c r="II352" s="1593"/>
      <c r="IJ352" s="1593"/>
      <c r="IK352" s="1593"/>
      <c r="IL352" s="1593"/>
      <c r="IM352" s="1593"/>
      <c r="IN352" s="1593"/>
      <c r="IO352" s="1593"/>
      <c r="IP352" s="1593"/>
      <c r="IQ352" s="1593"/>
      <c r="IR352" s="1593"/>
      <c r="IS352" s="1593"/>
      <c r="IT352" s="1593"/>
      <c r="IU352" s="1593"/>
      <c r="IV352" s="1593"/>
      <c r="IW352" s="1593"/>
      <c r="IX352" s="1593"/>
      <c r="IY352" s="1593"/>
      <c r="IZ352" s="1593"/>
      <c r="JA352" s="1593"/>
      <c r="JB352" s="1593"/>
      <c r="JC352" s="1593"/>
      <c r="JD352" s="1593"/>
      <c r="JE352" s="1593"/>
      <c r="JF352" s="1593"/>
      <c r="JG352" s="1593"/>
      <c r="JH352" s="1593"/>
      <c r="JI352" s="1593"/>
      <c r="JJ352" s="1593"/>
      <c r="JK352" s="1593"/>
      <c r="JL352" s="1593"/>
      <c r="JM352" s="1593"/>
      <c r="JN352" s="1593"/>
      <c r="JO352" s="1593"/>
      <c r="JP352" s="1593"/>
      <c r="JQ352" s="1593"/>
      <c r="JR352" s="1593"/>
      <c r="JS352" s="1593"/>
      <c r="JT352" s="1593"/>
      <c r="JU352" s="1593"/>
      <c r="JV352" s="1593"/>
      <c r="JW352" s="1593"/>
      <c r="JX352" s="1593"/>
      <c r="JY352" s="1593"/>
      <c r="JZ352" s="1593"/>
      <c r="KA352" s="1593"/>
      <c r="KB352" s="1598"/>
    </row>
    <row r="353" spans="2:288" ht="15" customHeight="1" x14ac:dyDescent="0.25">
      <c r="B353" s="216" t="str">
        <f t="shared" si="29"/>
        <v>Desk 34</v>
      </c>
      <c r="C353" s="218" t="str">
        <v/>
      </c>
      <c r="D353" s="218" t="str">
        <v/>
      </c>
      <c r="E353" s="218" t="str">
        <v/>
      </c>
      <c r="F353" s="218" t="str">
        <v/>
      </c>
      <c r="G353" s="402" t="str">
        <v/>
      </c>
      <c r="H353" s="1593"/>
      <c r="I353" s="1593"/>
      <c r="J353" s="1593"/>
      <c r="K353" s="1593"/>
      <c r="L353" s="1593"/>
      <c r="M353" s="1593"/>
      <c r="N353" s="1593"/>
      <c r="O353" s="1593"/>
      <c r="P353" s="1593"/>
      <c r="Q353" s="1593"/>
      <c r="R353" s="1593"/>
      <c r="S353" s="1593"/>
      <c r="T353" s="1593"/>
      <c r="U353" s="1593"/>
      <c r="V353" s="1593"/>
      <c r="W353" s="1593"/>
      <c r="X353" s="1593"/>
      <c r="Y353" s="1593"/>
      <c r="Z353" s="1593"/>
      <c r="AA353" s="1593"/>
      <c r="AB353" s="1593"/>
      <c r="AC353" s="1593"/>
      <c r="AD353" s="1593"/>
      <c r="AE353" s="1593"/>
      <c r="AF353" s="1593"/>
      <c r="AG353" s="1593"/>
      <c r="AH353" s="1593"/>
      <c r="AI353" s="1593"/>
      <c r="AJ353" s="1593"/>
      <c r="AK353" s="1593"/>
      <c r="AL353" s="1593"/>
      <c r="AM353" s="1593"/>
      <c r="AN353" s="1593"/>
      <c r="AO353" s="1593"/>
      <c r="AP353" s="1593"/>
      <c r="AQ353" s="1593"/>
      <c r="AR353" s="1593"/>
      <c r="AS353" s="1593"/>
      <c r="AT353" s="1593"/>
      <c r="AU353" s="1593"/>
      <c r="AV353" s="1593"/>
      <c r="AW353" s="1593"/>
      <c r="AX353" s="1593"/>
      <c r="AY353" s="1593"/>
      <c r="AZ353" s="1593"/>
      <c r="BA353" s="1593"/>
      <c r="BB353" s="1593"/>
      <c r="BC353" s="1593"/>
      <c r="BD353" s="1593"/>
      <c r="BE353" s="1593"/>
      <c r="BF353" s="1593"/>
      <c r="BG353" s="1593"/>
      <c r="BH353" s="1593"/>
      <c r="BI353" s="1593"/>
      <c r="BJ353" s="1593"/>
      <c r="BK353" s="1593"/>
      <c r="BL353" s="1593"/>
      <c r="BM353" s="1593"/>
      <c r="BN353" s="1593"/>
      <c r="BO353" s="1593"/>
      <c r="BP353" s="1593"/>
      <c r="BQ353" s="1593"/>
      <c r="BR353" s="1593"/>
      <c r="BS353" s="1593"/>
      <c r="BT353" s="1593"/>
      <c r="BU353" s="1593"/>
      <c r="BV353" s="1593"/>
      <c r="BW353" s="1593"/>
      <c r="BX353" s="1593"/>
      <c r="BY353" s="1593"/>
      <c r="BZ353" s="1593"/>
      <c r="CA353" s="1593"/>
      <c r="CB353" s="1593"/>
      <c r="CC353" s="1593"/>
      <c r="CD353" s="1593"/>
      <c r="CE353" s="1593"/>
      <c r="CF353" s="1593"/>
      <c r="CG353" s="1593"/>
      <c r="CH353" s="1593"/>
      <c r="CI353" s="1593"/>
      <c r="CJ353" s="1593"/>
      <c r="CK353" s="1593"/>
      <c r="CL353" s="1593"/>
      <c r="CM353" s="1593"/>
      <c r="CN353" s="1593"/>
      <c r="CO353" s="1593"/>
      <c r="CP353" s="1593"/>
      <c r="CQ353" s="1593"/>
      <c r="CR353" s="1593"/>
      <c r="CS353" s="1593"/>
      <c r="CT353" s="1593"/>
      <c r="CU353" s="1593"/>
      <c r="CV353" s="1593"/>
      <c r="CW353" s="1593"/>
      <c r="CX353" s="1593"/>
      <c r="CY353" s="1593"/>
      <c r="CZ353" s="1593"/>
      <c r="DA353" s="1593"/>
      <c r="DB353" s="1593"/>
      <c r="DC353" s="1593"/>
      <c r="DD353" s="1593"/>
      <c r="DE353" s="1593"/>
      <c r="DF353" s="1593"/>
      <c r="DG353" s="1593"/>
      <c r="DH353" s="1593"/>
      <c r="DI353" s="1593"/>
      <c r="DJ353" s="1593"/>
      <c r="DK353" s="1593"/>
      <c r="DL353" s="1593"/>
      <c r="DM353" s="1593"/>
      <c r="DN353" s="1593"/>
      <c r="DO353" s="1593"/>
      <c r="DP353" s="1593"/>
      <c r="DQ353" s="1593"/>
      <c r="DR353" s="1593"/>
      <c r="DS353" s="1593"/>
      <c r="DT353" s="1593"/>
      <c r="DU353" s="1593"/>
      <c r="DV353" s="1593"/>
      <c r="DW353" s="1593"/>
      <c r="DX353" s="1593"/>
      <c r="DY353" s="1593"/>
      <c r="DZ353" s="1593"/>
      <c r="EA353" s="1593"/>
      <c r="EB353" s="1593"/>
      <c r="EC353" s="1593"/>
      <c r="ED353" s="1593"/>
      <c r="EE353" s="1593"/>
      <c r="EF353" s="1593"/>
      <c r="EG353" s="1593"/>
      <c r="EH353" s="1593"/>
      <c r="EI353" s="1593"/>
      <c r="EJ353" s="1593"/>
      <c r="EK353" s="1593"/>
      <c r="EL353" s="1593"/>
      <c r="EM353" s="1593"/>
      <c r="EN353" s="1593"/>
      <c r="EO353" s="1593"/>
      <c r="EP353" s="1593"/>
      <c r="EQ353" s="1593"/>
      <c r="ER353" s="1593"/>
      <c r="ES353" s="1593"/>
      <c r="ET353" s="1593"/>
      <c r="EU353" s="1593"/>
      <c r="EV353" s="1593"/>
      <c r="EW353" s="1593"/>
      <c r="EX353" s="1593"/>
      <c r="EY353" s="1593"/>
      <c r="EZ353" s="1593"/>
      <c r="FA353" s="1593"/>
      <c r="FB353" s="1593"/>
      <c r="FC353" s="1593"/>
      <c r="FD353" s="1593"/>
      <c r="FE353" s="1593"/>
      <c r="FF353" s="1593"/>
      <c r="FG353" s="1593"/>
      <c r="FH353" s="1593"/>
      <c r="FI353" s="1593"/>
      <c r="FJ353" s="1593"/>
      <c r="FK353" s="1593"/>
      <c r="FL353" s="1593"/>
      <c r="FM353" s="1593"/>
      <c r="FN353" s="1593"/>
      <c r="FO353" s="1593"/>
      <c r="FP353" s="1593"/>
      <c r="FQ353" s="1593"/>
      <c r="FR353" s="1593"/>
      <c r="FS353" s="1593"/>
      <c r="FT353" s="1593"/>
      <c r="FU353" s="1593"/>
      <c r="FV353" s="1593"/>
      <c r="FW353" s="1593"/>
      <c r="FX353" s="1593"/>
      <c r="FY353" s="1593"/>
      <c r="FZ353" s="1593"/>
      <c r="GA353" s="1593"/>
      <c r="GB353" s="1593"/>
      <c r="GC353" s="1593"/>
      <c r="GD353" s="1593"/>
      <c r="GE353" s="1593"/>
      <c r="GF353" s="1593"/>
      <c r="GG353" s="1593"/>
      <c r="GH353" s="1593"/>
      <c r="GI353" s="1593"/>
      <c r="GJ353" s="1593"/>
      <c r="GK353" s="1593"/>
      <c r="GL353" s="1593"/>
      <c r="GM353" s="1593"/>
      <c r="GN353" s="1593"/>
      <c r="GO353" s="1593"/>
      <c r="GP353" s="1593"/>
      <c r="GQ353" s="1593"/>
      <c r="GR353" s="1593"/>
      <c r="GS353" s="1593"/>
      <c r="GT353" s="1593"/>
      <c r="GU353" s="1593"/>
      <c r="GV353" s="1593"/>
      <c r="GW353" s="1593"/>
      <c r="GX353" s="1593"/>
      <c r="GY353" s="1593"/>
      <c r="GZ353" s="1593"/>
      <c r="HA353" s="1593"/>
      <c r="HB353" s="1593"/>
      <c r="HC353" s="1593"/>
      <c r="HD353" s="1593"/>
      <c r="HE353" s="1593"/>
      <c r="HF353" s="1593"/>
      <c r="HG353" s="1593"/>
      <c r="HH353" s="1593"/>
      <c r="HI353" s="1593"/>
      <c r="HJ353" s="1593"/>
      <c r="HK353" s="1593"/>
      <c r="HL353" s="1593"/>
      <c r="HM353" s="1593"/>
      <c r="HN353" s="1593"/>
      <c r="HO353" s="1593"/>
      <c r="HP353" s="1593"/>
      <c r="HQ353" s="1593"/>
      <c r="HR353" s="1593"/>
      <c r="HS353" s="1593"/>
      <c r="HT353" s="1593"/>
      <c r="HU353" s="1593"/>
      <c r="HV353" s="1593"/>
      <c r="HW353" s="1593"/>
      <c r="HX353" s="1593"/>
      <c r="HY353" s="1593"/>
      <c r="HZ353" s="1593"/>
      <c r="IA353" s="1593"/>
      <c r="IB353" s="1593"/>
      <c r="IC353" s="1593"/>
      <c r="ID353" s="1593"/>
      <c r="IE353" s="1593"/>
      <c r="IF353" s="1593"/>
      <c r="IG353" s="1593"/>
      <c r="IH353" s="1593"/>
      <c r="II353" s="1593"/>
      <c r="IJ353" s="1593"/>
      <c r="IK353" s="1593"/>
      <c r="IL353" s="1593"/>
      <c r="IM353" s="1593"/>
      <c r="IN353" s="1593"/>
      <c r="IO353" s="1593"/>
      <c r="IP353" s="1593"/>
      <c r="IQ353" s="1593"/>
      <c r="IR353" s="1593"/>
      <c r="IS353" s="1593"/>
      <c r="IT353" s="1593"/>
      <c r="IU353" s="1593"/>
      <c r="IV353" s="1593"/>
      <c r="IW353" s="1593"/>
      <c r="IX353" s="1593"/>
      <c r="IY353" s="1593"/>
      <c r="IZ353" s="1593"/>
      <c r="JA353" s="1593"/>
      <c r="JB353" s="1593"/>
      <c r="JC353" s="1593"/>
      <c r="JD353" s="1593"/>
      <c r="JE353" s="1593"/>
      <c r="JF353" s="1593"/>
      <c r="JG353" s="1593"/>
      <c r="JH353" s="1593"/>
      <c r="JI353" s="1593"/>
      <c r="JJ353" s="1593"/>
      <c r="JK353" s="1593"/>
      <c r="JL353" s="1593"/>
      <c r="JM353" s="1593"/>
      <c r="JN353" s="1593"/>
      <c r="JO353" s="1593"/>
      <c r="JP353" s="1593"/>
      <c r="JQ353" s="1593"/>
      <c r="JR353" s="1593"/>
      <c r="JS353" s="1593"/>
      <c r="JT353" s="1593"/>
      <c r="JU353" s="1593"/>
      <c r="JV353" s="1593"/>
      <c r="JW353" s="1593"/>
      <c r="JX353" s="1593"/>
      <c r="JY353" s="1593"/>
      <c r="JZ353" s="1593"/>
      <c r="KA353" s="1593"/>
      <c r="KB353" s="1598"/>
    </row>
    <row r="354" spans="2:288" ht="15" customHeight="1" x14ac:dyDescent="0.25">
      <c r="B354" s="216" t="str">
        <f t="shared" si="29"/>
        <v>Desk 35</v>
      </c>
      <c r="C354" s="218" t="str">
        <v/>
      </c>
      <c r="D354" s="218" t="str">
        <v/>
      </c>
      <c r="E354" s="218" t="str">
        <v/>
      </c>
      <c r="F354" s="218" t="str">
        <v/>
      </c>
      <c r="G354" s="402" t="str">
        <v/>
      </c>
      <c r="H354" s="1593"/>
      <c r="I354" s="1593"/>
      <c r="J354" s="1593"/>
      <c r="K354" s="1593"/>
      <c r="L354" s="1593"/>
      <c r="M354" s="1593"/>
      <c r="N354" s="1593"/>
      <c r="O354" s="1593"/>
      <c r="P354" s="1593"/>
      <c r="Q354" s="1593"/>
      <c r="R354" s="1593"/>
      <c r="S354" s="1593"/>
      <c r="T354" s="1593"/>
      <c r="U354" s="1593"/>
      <c r="V354" s="1593"/>
      <c r="W354" s="1593"/>
      <c r="X354" s="1593"/>
      <c r="Y354" s="1593"/>
      <c r="Z354" s="1593"/>
      <c r="AA354" s="1593"/>
      <c r="AB354" s="1593"/>
      <c r="AC354" s="1593"/>
      <c r="AD354" s="1593"/>
      <c r="AE354" s="1593"/>
      <c r="AF354" s="1593"/>
      <c r="AG354" s="1593"/>
      <c r="AH354" s="1593"/>
      <c r="AI354" s="1593"/>
      <c r="AJ354" s="1593"/>
      <c r="AK354" s="1593"/>
      <c r="AL354" s="1593"/>
      <c r="AM354" s="1593"/>
      <c r="AN354" s="1593"/>
      <c r="AO354" s="1593"/>
      <c r="AP354" s="1593"/>
      <c r="AQ354" s="1593"/>
      <c r="AR354" s="1593"/>
      <c r="AS354" s="1593"/>
      <c r="AT354" s="1593"/>
      <c r="AU354" s="1593"/>
      <c r="AV354" s="1593"/>
      <c r="AW354" s="1593"/>
      <c r="AX354" s="1593"/>
      <c r="AY354" s="1593"/>
      <c r="AZ354" s="1593"/>
      <c r="BA354" s="1593"/>
      <c r="BB354" s="1593"/>
      <c r="BC354" s="1593"/>
      <c r="BD354" s="1593"/>
      <c r="BE354" s="1593"/>
      <c r="BF354" s="1593"/>
      <c r="BG354" s="1593"/>
      <c r="BH354" s="1593"/>
      <c r="BI354" s="1593"/>
      <c r="BJ354" s="1593"/>
      <c r="BK354" s="1593"/>
      <c r="BL354" s="1593"/>
      <c r="BM354" s="1593"/>
      <c r="BN354" s="1593"/>
      <c r="BO354" s="1593"/>
      <c r="BP354" s="1593"/>
      <c r="BQ354" s="1593"/>
      <c r="BR354" s="1593"/>
      <c r="BS354" s="1593"/>
      <c r="BT354" s="1593"/>
      <c r="BU354" s="1593"/>
      <c r="BV354" s="1593"/>
      <c r="BW354" s="1593"/>
      <c r="BX354" s="1593"/>
      <c r="BY354" s="1593"/>
      <c r="BZ354" s="1593"/>
      <c r="CA354" s="1593"/>
      <c r="CB354" s="1593"/>
      <c r="CC354" s="1593"/>
      <c r="CD354" s="1593"/>
      <c r="CE354" s="1593"/>
      <c r="CF354" s="1593"/>
      <c r="CG354" s="1593"/>
      <c r="CH354" s="1593"/>
      <c r="CI354" s="1593"/>
      <c r="CJ354" s="1593"/>
      <c r="CK354" s="1593"/>
      <c r="CL354" s="1593"/>
      <c r="CM354" s="1593"/>
      <c r="CN354" s="1593"/>
      <c r="CO354" s="1593"/>
      <c r="CP354" s="1593"/>
      <c r="CQ354" s="1593"/>
      <c r="CR354" s="1593"/>
      <c r="CS354" s="1593"/>
      <c r="CT354" s="1593"/>
      <c r="CU354" s="1593"/>
      <c r="CV354" s="1593"/>
      <c r="CW354" s="1593"/>
      <c r="CX354" s="1593"/>
      <c r="CY354" s="1593"/>
      <c r="CZ354" s="1593"/>
      <c r="DA354" s="1593"/>
      <c r="DB354" s="1593"/>
      <c r="DC354" s="1593"/>
      <c r="DD354" s="1593"/>
      <c r="DE354" s="1593"/>
      <c r="DF354" s="1593"/>
      <c r="DG354" s="1593"/>
      <c r="DH354" s="1593"/>
      <c r="DI354" s="1593"/>
      <c r="DJ354" s="1593"/>
      <c r="DK354" s="1593"/>
      <c r="DL354" s="1593"/>
      <c r="DM354" s="1593"/>
      <c r="DN354" s="1593"/>
      <c r="DO354" s="1593"/>
      <c r="DP354" s="1593"/>
      <c r="DQ354" s="1593"/>
      <c r="DR354" s="1593"/>
      <c r="DS354" s="1593"/>
      <c r="DT354" s="1593"/>
      <c r="DU354" s="1593"/>
      <c r="DV354" s="1593"/>
      <c r="DW354" s="1593"/>
      <c r="DX354" s="1593"/>
      <c r="DY354" s="1593"/>
      <c r="DZ354" s="1593"/>
      <c r="EA354" s="1593"/>
      <c r="EB354" s="1593"/>
      <c r="EC354" s="1593"/>
      <c r="ED354" s="1593"/>
      <c r="EE354" s="1593"/>
      <c r="EF354" s="1593"/>
      <c r="EG354" s="1593"/>
      <c r="EH354" s="1593"/>
      <c r="EI354" s="1593"/>
      <c r="EJ354" s="1593"/>
      <c r="EK354" s="1593"/>
      <c r="EL354" s="1593"/>
      <c r="EM354" s="1593"/>
      <c r="EN354" s="1593"/>
      <c r="EO354" s="1593"/>
      <c r="EP354" s="1593"/>
      <c r="EQ354" s="1593"/>
      <c r="ER354" s="1593"/>
      <c r="ES354" s="1593"/>
      <c r="ET354" s="1593"/>
      <c r="EU354" s="1593"/>
      <c r="EV354" s="1593"/>
      <c r="EW354" s="1593"/>
      <c r="EX354" s="1593"/>
      <c r="EY354" s="1593"/>
      <c r="EZ354" s="1593"/>
      <c r="FA354" s="1593"/>
      <c r="FB354" s="1593"/>
      <c r="FC354" s="1593"/>
      <c r="FD354" s="1593"/>
      <c r="FE354" s="1593"/>
      <c r="FF354" s="1593"/>
      <c r="FG354" s="1593"/>
      <c r="FH354" s="1593"/>
      <c r="FI354" s="1593"/>
      <c r="FJ354" s="1593"/>
      <c r="FK354" s="1593"/>
      <c r="FL354" s="1593"/>
      <c r="FM354" s="1593"/>
      <c r="FN354" s="1593"/>
      <c r="FO354" s="1593"/>
      <c r="FP354" s="1593"/>
      <c r="FQ354" s="1593"/>
      <c r="FR354" s="1593"/>
      <c r="FS354" s="1593"/>
      <c r="FT354" s="1593"/>
      <c r="FU354" s="1593"/>
      <c r="FV354" s="1593"/>
      <c r="FW354" s="1593"/>
      <c r="FX354" s="1593"/>
      <c r="FY354" s="1593"/>
      <c r="FZ354" s="1593"/>
      <c r="GA354" s="1593"/>
      <c r="GB354" s="1593"/>
      <c r="GC354" s="1593"/>
      <c r="GD354" s="1593"/>
      <c r="GE354" s="1593"/>
      <c r="GF354" s="1593"/>
      <c r="GG354" s="1593"/>
      <c r="GH354" s="1593"/>
      <c r="GI354" s="1593"/>
      <c r="GJ354" s="1593"/>
      <c r="GK354" s="1593"/>
      <c r="GL354" s="1593"/>
      <c r="GM354" s="1593"/>
      <c r="GN354" s="1593"/>
      <c r="GO354" s="1593"/>
      <c r="GP354" s="1593"/>
      <c r="GQ354" s="1593"/>
      <c r="GR354" s="1593"/>
      <c r="GS354" s="1593"/>
      <c r="GT354" s="1593"/>
      <c r="GU354" s="1593"/>
      <c r="GV354" s="1593"/>
      <c r="GW354" s="1593"/>
      <c r="GX354" s="1593"/>
      <c r="GY354" s="1593"/>
      <c r="GZ354" s="1593"/>
      <c r="HA354" s="1593"/>
      <c r="HB354" s="1593"/>
      <c r="HC354" s="1593"/>
      <c r="HD354" s="1593"/>
      <c r="HE354" s="1593"/>
      <c r="HF354" s="1593"/>
      <c r="HG354" s="1593"/>
      <c r="HH354" s="1593"/>
      <c r="HI354" s="1593"/>
      <c r="HJ354" s="1593"/>
      <c r="HK354" s="1593"/>
      <c r="HL354" s="1593"/>
      <c r="HM354" s="1593"/>
      <c r="HN354" s="1593"/>
      <c r="HO354" s="1593"/>
      <c r="HP354" s="1593"/>
      <c r="HQ354" s="1593"/>
      <c r="HR354" s="1593"/>
      <c r="HS354" s="1593"/>
      <c r="HT354" s="1593"/>
      <c r="HU354" s="1593"/>
      <c r="HV354" s="1593"/>
      <c r="HW354" s="1593"/>
      <c r="HX354" s="1593"/>
      <c r="HY354" s="1593"/>
      <c r="HZ354" s="1593"/>
      <c r="IA354" s="1593"/>
      <c r="IB354" s="1593"/>
      <c r="IC354" s="1593"/>
      <c r="ID354" s="1593"/>
      <c r="IE354" s="1593"/>
      <c r="IF354" s="1593"/>
      <c r="IG354" s="1593"/>
      <c r="IH354" s="1593"/>
      <c r="II354" s="1593"/>
      <c r="IJ354" s="1593"/>
      <c r="IK354" s="1593"/>
      <c r="IL354" s="1593"/>
      <c r="IM354" s="1593"/>
      <c r="IN354" s="1593"/>
      <c r="IO354" s="1593"/>
      <c r="IP354" s="1593"/>
      <c r="IQ354" s="1593"/>
      <c r="IR354" s="1593"/>
      <c r="IS354" s="1593"/>
      <c r="IT354" s="1593"/>
      <c r="IU354" s="1593"/>
      <c r="IV354" s="1593"/>
      <c r="IW354" s="1593"/>
      <c r="IX354" s="1593"/>
      <c r="IY354" s="1593"/>
      <c r="IZ354" s="1593"/>
      <c r="JA354" s="1593"/>
      <c r="JB354" s="1593"/>
      <c r="JC354" s="1593"/>
      <c r="JD354" s="1593"/>
      <c r="JE354" s="1593"/>
      <c r="JF354" s="1593"/>
      <c r="JG354" s="1593"/>
      <c r="JH354" s="1593"/>
      <c r="JI354" s="1593"/>
      <c r="JJ354" s="1593"/>
      <c r="JK354" s="1593"/>
      <c r="JL354" s="1593"/>
      <c r="JM354" s="1593"/>
      <c r="JN354" s="1593"/>
      <c r="JO354" s="1593"/>
      <c r="JP354" s="1593"/>
      <c r="JQ354" s="1593"/>
      <c r="JR354" s="1593"/>
      <c r="JS354" s="1593"/>
      <c r="JT354" s="1593"/>
      <c r="JU354" s="1593"/>
      <c r="JV354" s="1593"/>
      <c r="JW354" s="1593"/>
      <c r="JX354" s="1593"/>
      <c r="JY354" s="1593"/>
      <c r="JZ354" s="1593"/>
      <c r="KA354" s="1593"/>
      <c r="KB354" s="1598"/>
    </row>
    <row r="355" spans="2:288" ht="15" customHeight="1" x14ac:dyDescent="0.25">
      <c r="B355" s="216" t="str">
        <f t="shared" si="29"/>
        <v>Desk 36</v>
      </c>
      <c r="C355" s="218" t="str">
        <v/>
      </c>
      <c r="D355" s="218" t="str">
        <v/>
      </c>
      <c r="E355" s="218" t="str">
        <v/>
      </c>
      <c r="F355" s="218" t="str">
        <v/>
      </c>
      <c r="G355" s="402" t="str">
        <v/>
      </c>
      <c r="H355" s="1593"/>
      <c r="I355" s="1593"/>
      <c r="J355" s="1593"/>
      <c r="K355" s="1593"/>
      <c r="L355" s="1593"/>
      <c r="M355" s="1593"/>
      <c r="N355" s="1593"/>
      <c r="O355" s="1593"/>
      <c r="P355" s="1593"/>
      <c r="Q355" s="1593"/>
      <c r="R355" s="1593"/>
      <c r="S355" s="1593"/>
      <c r="T355" s="1593"/>
      <c r="U355" s="1593"/>
      <c r="V355" s="1593"/>
      <c r="W355" s="1593"/>
      <c r="X355" s="1593"/>
      <c r="Y355" s="1593"/>
      <c r="Z355" s="1593"/>
      <c r="AA355" s="1593"/>
      <c r="AB355" s="1593"/>
      <c r="AC355" s="1593"/>
      <c r="AD355" s="1593"/>
      <c r="AE355" s="1593"/>
      <c r="AF355" s="1593"/>
      <c r="AG355" s="1593"/>
      <c r="AH355" s="1593"/>
      <c r="AI355" s="1593"/>
      <c r="AJ355" s="1593"/>
      <c r="AK355" s="1593"/>
      <c r="AL355" s="1593"/>
      <c r="AM355" s="1593"/>
      <c r="AN355" s="1593"/>
      <c r="AO355" s="1593"/>
      <c r="AP355" s="1593"/>
      <c r="AQ355" s="1593"/>
      <c r="AR355" s="1593"/>
      <c r="AS355" s="1593"/>
      <c r="AT355" s="1593"/>
      <c r="AU355" s="1593"/>
      <c r="AV355" s="1593"/>
      <c r="AW355" s="1593"/>
      <c r="AX355" s="1593"/>
      <c r="AY355" s="1593"/>
      <c r="AZ355" s="1593"/>
      <c r="BA355" s="1593"/>
      <c r="BB355" s="1593"/>
      <c r="BC355" s="1593"/>
      <c r="BD355" s="1593"/>
      <c r="BE355" s="1593"/>
      <c r="BF355" s="1593"/>
      <c r="BG355" s="1593"/>
      <c r="BH355" s="1593"/>
      <c r="BI355" s="1593"/>
      <c r="BJ355" s="1593"/>
      <c r="BK355" s="1593"/>
      <c r="BL355" s="1593"/>
      <c r="BM355" s="1593"/>
      <c r="BN355" s="1593"/>
      <c r="BO355" s="1593"/>
      <c r="BP355" s="1593"/>
      <c r="BQ355" s="1593"/>
      <c r="BR355" s="1593"/>
      <c r="BS355" s="1593"/>
      <c r="BT355" s="1593"/>
      <c r="BU355" s="1593"/>
      <c r="BV355" s="1593"/>
      <c r="BW355" s="1593"/>
      <c r="BX355" s="1593"/>
      <c r="BY355" s="1593"/>
      <c r="BZ355" s="1593"/>
      <c r="CA355" s="1593"/>
      <c r="CB355" s="1593"/>
      <c r="CC355" s="1593"/>
      <c r="CD355" s="1593"/>
      <c r="CE355" s="1593"/>
      <c r="CF355" s="1593"/>
      <c r="CG355" s="1593"/>
      <c r="CH355" s="1593"/>
      <c r="CI355" s="1593"/>
      <c r="CJ355" s="1593"/>
      <c r="CK355" s="1593"/>
      <c r="CL355" s="1593"/>
      <c r="CM355" s="1593"/>
      <c r="CN355" s="1593"/>
      <c r="CO355" s="1593"/>
      <c r="CP355" s="1593"/>
      <c r="CQ355" s="1593"/>
      <c r="CR355" s="1593"/>
      <c r="CS355" s="1593"/>
      <c r="CT355" s="1593"/>
      <c r="CU355" s="1593"/>
      <c r="CV355" s="1593"/>
      <c r="CW355" s="1593"/>
      <c r="CX355" s="1593"/>
      <c r="CY355" s="1593"/>
      <c r="CZ355" s="1593"/>
      <c r="DA355" s="1593"/>
      <c r="DB355" s="1593"/>
      <c r="DC355" s="1593"/>
      <c r="DD355" s="1593"/>
      <c r="DE355" s="1593"/>
      <c r="DF355" s="1593"/>
      <c r="DG355" s="1593"/>
      <c r="DH355" s="1593"/>
      <c r="DI355" s="1593"/>
      <c r="DJ355" s="1593"/>
      <c r="DK355" s="1593"/>
      <c r="DL355" s="1593"/>
      <c r="DM355" s="1593"/>
      <c r="DN355" s="1593"/>
      <c r="DO355" s="1593"/>
      <c r="DP355" s="1593"/>
      <c r="DQ355" s="1593"/>
      <c r="DR355" s="1593"/>
      <c r="DS355" s="1593"/>
      <c r="DT355" s="1593"/>
      <c r="DU355" s="1593"/>
      <c r="DV355" s="1593"/>
      <c r="DW355" s="1593"/>
      <c r="DX355" s="1593"/>
      <c r="DY355" s="1593"/>
      <c r="DZ355" s="1593"/>
      <c r="EA355" s="1593"/>
      <c r="EB355" s="1593"/>
      <c r="EC355" s="1593"/>
      <c r="ED355" s="1593"/>
      <c r="EE355" s="1593"/>
      <c r="EF355" s="1593"/>
      <c r="EG355" s="1593"/>
      <c r="EH355" s="1593"/>
      <c r="EI355" s="1593"/>
      <c r="EJ355" s="1593"/>
      <c r="EK355" s="1593"/>
      <c r="EL355" s="1593"/>
      <c r="EM355" s="1593"/>
      <c r="EN355" s="1593"/>
      <c r="EO355" s="1593"/>
      <c r="EP355" s="1593"/>
      <c r="EQ355" s="1593"/>
      <c r="ER355" s="1593"/>
      <c r="ES355" s="1593"/>
      <c r="ET355" s="1593"/>
      <c r="EU355" s="1593"/>
      <c r="EV355" s="1593"/>
      <c r="EW355" s="1593"/>
      <c r="EX355" s="1593"/>
      <c r="EY355" s="1593"/>
      <c r="EZ355" s="1593"/>
      <c r="FA355" s="1593"/>
      <c r="FB355" s="1593"/>
      <c r="FC355" s="1593"/>
      <c r="FD355" s="1593"/>
      <c r="FE355" s="1593"/>
      <c r="FF355" s="1593"/>
      <c r="FG355" s="1593"/>
      <c r="FH355" s="1593"/>
      <c r="FI355" s="1593"/>
      <c r="FJ355" s="1593"/>
      <c r="FK355" s="1593"/>
      <c r="FL355" s="1593"/>
      <c r="FM355" s="1593"/>
      <c r="FN355" s="1593"/>
      <c r="FO355" s="1593"/>
      <c r="FP355" s="1593"/>
      <c r="FQ355" s="1593"/>
      <c r="FR355" s="1593"/>
      <c r="FS355" s="1593"/>
      <c r="FT355" s="1593"/>
      <c r="FU355" s="1593"/>
      <c r="FV355" s="1593"/>
      <c r="FW355" s="1593"/>
      <c r="FX355" s="1593"/>
      <c r="FY355" s="1593"/>
      <c r="FZ355" s="1593"/>
      <c r="GA355" s="1593"/>
      <c r="GB355" s="1593"/>
      <c r="GC355" s="1593"/>
      <c r="GD355" s="1593"/>
      <c r="GE355" s="1593"/>
      <c r="GF355" s="1593"/>
      <c r="GG355" s="1593"/>
      <c r="GH355" s="1593"/>
      <c r="GI355" s="1593"/>
      <c r="GJ355" s="1593"/>
      <c r="GK355" s="1593"/>
      <c r="GL355" s="1593"/>
      <c r="GM355" s="1593"/>
      <c r="GN355" s="1593"/>
      <c r="GO355" s="1593"/>
      <c r="GP355" s="1593"/>
      <c r="GQ355" s="1593"/>
      <c r="GR355" s="1593"/>
      <c r="GS355" s="1593"/>
      <c r="GT355" s="1593"/>
      <c r="GU355" s="1593"/>
      <c r="GV355" s="1593"/>
      <c r="GW355" s="1593"/>
      <c r="GX355" s="1593"/>
      <c r="GY355" s="1593"/>
      <c r="GZ355" s="1593"/>
      <c r="HA355" s="1593"/>
      <c r="HB355" s="1593"/>
      <c r="HC355" s="1593"/>
      <c r="HD355" s="1593"/>
      <c r="HE355" s="1593"/>
      <c r="HF355" s="1593"/>
      <c r="HG355" s="1593"/>
      <c r="HH355" s="1593"/>
      <c r="HI355" s="1593"/>
      <c r="HJ355" s="1593"/>
      <c r="HK355" s="1593"/>
      <c r="HL355" s="1593"/>
      <c r="HM355" s="1593"/>
      <c r="HN355" s="1593"/>
      <c r="HO355" s="1593"/>
      <c r="HP355" s="1593"/>
      <c r="HQ355" s="1593"/>
      <c r="HR355" s="1593"/>
      <c r="HS355" s="1593"/>
      <c r="HT355" s="1593"/>
      <c r="HU355" s="1593"/>
      <c r="HV355" s="1593"/>
      <c r="HW355" s="1593"/>
      <c r="HX355" s="1593"/>
      <c r="HY355" s="1593"/>
      <c r="HZ355" s="1593"/>
      <c r="IA355" s="1593"/>
      <c r="IB355" s="1593"/>
      <c r="IC355" s="1593"/>
      <c r="ID355" s="1593"/>
      <c r="IE355" s="1593"/>
      <c r="IF355" s="1593"/>
      <c r="IG355" s="1593"/>
      <c r="IH355" s="1593"/>
      <c r="II355" s="1593"/>
      <c r="IJ355" s="1593"/>
      <c r="IK355" s="1593"/>
      <c r="IL355" s="1593"/>
      <c r="IM355" s="1593"/>
      <c r="IN355" s="1593"/>
      <c r="IO355" s="1593"/>
      <c r="IP355" s="1593"/>
      <c r="IQ355" s="1593"/>
      <c r="IR355" s="1593"/>
      <c r="IS355" s="1593"/>
      <c r="IT355" s="1593"/>
      <c r="IU355" s="1593"/>
      <c r="IV355" s="1593"/>
      <c r="IW355" s="1593"/>
      <c r="IX355" s="1593"/>
      <c r="IY355" s="1593"/>
      <c r="IZ355" s="1593"/>
      <c r="JA355" s="1593"/>
      <c r="JB355" s="1593"/>
      <c r="JC355" s="1593"/>
      <c r="JD355" s="1593"/>
      <c r="JE355" s="1593"/>
      <c r="JF355" s="1593"/>
      <c r="JG355" s="1593"/>
      <c r="JH355" s="1593"/>
      <c r="JI355" s="1593"/>
      <c r="JJ355" s="1593"/>
      <c r="JK355" s="1593"/>
      <c r="JL355" s="1593"/>
      <c r="JM355" s="1593"/>
      <c r="JN355" s="1593"/>
      <c r="JO355" s="1593"/>
      <c r="JP355" s="1593"/>
      <c r="JQ355" s="1593"/>
      <c r="JR355" s="1593"/>
      <c r="JS355" s="1593"/>
      <c r="JT355" s="1593"/>
      <c r="JU355" s="1593"/>
      <c r="JV355" s="1593"/>
      <c r="JW355" s="1593"/>
      <c r="JX355" s="1593"/>
      <c r="JY355" s="1593"/>
      <c r="JZ355" s="1593"/>
      <c r="KA355" s="1593"/>
      <c r="KB355" s="1598"/>
    </row>
    <row r="356" spans="2:288" ht="15" customHeight="1" x14ac:dyDescent="0.25">
      <c r="B356" s="216" t="str">
        <f t="shared" si="29"/>
        <v>Desk 37</v>
      </c>
      <c r="C356" s="218" t="str">
        <v/>
      </c>
      <c r="D356" s="218" t="str">
        <v/>
      </c>
      <c r="E356" s="218" t="str">
        <v/>
      </c>
      <c r="F356" s="218" t="str">
        <v/>
      </c>
      <c r="G356" s="402" t="str">
        <v/>
      </c>
      <c r="H356" s="1593"/>
      <c r="I356" s="1593"/>
      <c r="J356" s="1593"/>
      <c r="K356" s="1593"/>
      <c r="L356" s="1593"/>
      <c r="M356" s="1593"/>
      <c r="N356" s="1593"/>
      <c r="O356" s="1593"/>
      <c r="P356" s="1593"/>
      <c r="Q356" s="1593"/>
      <c r="R356" s="1593"/>
      <c r="S356" s="1593"/>
      <c r="T356" s="1593"/>
      <c r="U356" s="1593"/>
      <c r="V356" s="1593"/>
      <c r="W356" s="1593"/>
      <c r="X356" s="1593"/>
      <c r="Y356" s="1593"/>
      <c r="Z356" s="1593"/>
      <c r="AA356" s="1593"/>
      <c r="AB356" s="1593"/>
      <c r="AC356" s="1593"/>
      <c r="AD356" s="1593"/>
      <c r="AE356" s="1593"/>
      <c r="AF356" s="1593"/>
      <c r="AG356" s="1593"/>
      <c r="AH356" s="1593"/>
      <c r="AI356" s="1593"/>
      <c r="AJ356" s="1593"/>
      <c r="AK356" s="1593"/>
      <c r="AL356" s="1593"/>
      <c r="AM356" s="1593"/>
      <c r="AN356" s="1593"/>
      <c r="AO356" s="1593"/>
      <c r="AP356" s="1593"/>
      <c r="AQ356" s="1593"/>
      <c r="AR356" s="1593"/>
      <c r="AS356" s="1593"/>
      <c r="AT356" s="1593"/>
      <c r="AU356" s="1593"/>
      <c r="AV356" s="1593"/>
      <c r="AW356" s="1593"/>
      <c r="AX356" s="1593"/>
      <c r="AY356" s="1593"/>
      <c r="AZ356" s="1593"/>
      <c r="BA356" s="1593"/>
      <c r="BB356" s="1593"/>
      <c r="BC356" s="1593"/>
      <c r="BD356" s="1593"/>
      <c r="BE356" s="1593"/>
      <c r="BF356" s="1593"/>
      <c r="BG356" s="1593"/>
      <c r="BH356" s="1593"/>
      <c r="BI356" s="1593"/>
      <c r="BJ356" s="1593"/>
      <c r="BK356" s="1593"/>
      <c r="BL356" s="1593"/>
      <c r="BM356" s="1593"/>
      <c r="BN356" s="1593"/>
      <c r="BO356" s="1593"/>
      <c r="BP356" s="1593"/>
      <c r="BQ356" s="1593"/>
      <c r="BR356" s="1593"/>
      <c r="BS356" s="1593"/>
      <c r="BT356" s="1593"/>
      <c r="BU356" s="1593"/>
      <c r="BV356" s="1593"/>
      <c r="BW356" s="1593"/>
      <c r="BX356" s="1593"/>
      <c r="BY356" s="1593"/>
      <c r="BZ356" s="1593"/>
      <c r="CA356" s="1593"/>
      <c r="CB356" s="1593"/>
      <c r="CC356" s="1593"/>
      <c r="CD356" s="1593"/>
      <c r="CE356" s="1593"/>
      <c r="CF356" s="1593"/>
      <c r="CG356" s="1593"/>
      <c r="CH356" s="1593"/>
      <c r="CI356" s="1593"/>
      <c r="CJ356" s="1593"/>
      <c r="CK356" s="1593"/>
      <c r="CL356" s="1593"/>
      <c r="CM356" s="1593"/>
      <c r="CN356" s="1593"/>
      <c r="CO356" s="1593"/>
      <c r="CP356" s="1593"/>
      <c r="CQ356" s="1593"/>
      <c r="CR356" s="1593"/>
      <c r="CS356" s="1593"/>
      <c r="CT356" s="1593"/>
      <c r="CU356" s="1593"/>
      <c r="CV356" s="1593"/>
      <c r="CW356" s="1593"/>
      <c r="CX356" s="1593"/>
      <c r="CY356" s="1593"/>
      <c r="CZ356" s="1593"/>
      <c r="DA356" s="1593"/>
      <c r="DB356" s="1593"/>
      <c r="DC356" s="1593"/>
      <c r="DD356" s="1593"/>
      <c r="DE356" s="1593"/>
      <c r="DF356" s="1593"/>
      <c r="DG356" s="1593"/>
      <c r="DH356" s="1593"/>
      <c r="DI356" s="1593"/>
      <c r="DJ356" s="1593"/>
      <c r="DK356" s="1593"/>
      <c r="DL356" s="1593"/>
      <c r="DM356" s="1593"/>
      <c r="DN356" s="1593"/>
      <c r="DO356" s="1593"/>
      <c r="DP356" s="1593"/>
      <c r="DQ356" s="1593"/>
      <c r="DR356" s="1593"/>
      <c r="DS356" s="1593"/>
      <c r="DT356" s="1593"/>
      <c r="DU356" s="1593"/>
      <c r="DV356" s="1593"/>
      <c r="DW356" s="1593"/>
      <c r="DX356" s="1593"/>
      <c r="DY356" s="1593"/>
      <c r="DZ356" s="1593"/>
      <c r="EA356" s="1593"/>
      <c r="EB356" s="1593"/>
      <c r="EC356" s="1593"/>
      <c r="ED356" s="1593"/>
      <c r="EE356" s="1593"/>
      <c r="EF356" s="1593"/>
      <c r="EG356" s="1593"/>
      <c r="EH356" s="1593"/>
      <c r="EI356" s="1593"/>
      <c r="EJ356" s="1593"/>
      <c r="EK356" s="1593"/>
      <c r="EL356" s="1593"/>
      <c r="EM356" s="1593"/>
      <c r="EN356" s="1593"/>
      <c r="EO356" s="1593"/>
      <c r="EP356" s="1593"/>
      <c r="EQ356" s="1593"/>
      <c r="ER356" s="1593"/>
      <c r="ES356" s="1593"/>
      <c r="ET356" s="1593"/>
      <c r="EU356" s="1593"/>
      <c r="EV356" s="1593"/>
      <c r="EW356" s="1593"/>
      <c r="EX356" s="1593"/>
      <c r="EY356" s="1593"/>
      <c r="EZ356" s="1593"/>
      <c r="FA356" s="1593"/>
      <c r="FB356" s="1593"/>
      <c r="FC356" s="1593"/>
      <c r="FD356" s="1593"/>
      <c r="FE356" s="1593"/>
      <c r="FF356" s="1593"/>
      <c r="FG356" s="1593"/>
      <c r="FH356" s="1593"/>
      <c r="FI356" s="1593"/>
      <c r="FJ356" s="1593"/>
      <c r="FK356" s="1593"/>
      <c r="FL356" s="1593"/>
      <c r="FM356" s="1593"/>
      <c r="FN356" s="1593"/>
      <c r="FO356" s="1593"/>
      <c r="FP356" s="1593"/>
      <c r="FQ356" s="1593"/>
      <c r="FR356" s="1593"/>
      <c r="FS356" s="1593"/>
      <c r="FT356" s="1593"/>
      <c r="FU356" s="1593"/>
      <c r="FV356" s="1593"/>
      <c r="FW356" s="1593"/>
      <c r="FX356" s="1593"/>
      <c r="FY356" s="1593"/>
      <c r="FZ356" s="1593"/>
      <c r="GA356" s="1593"/>
      <c r="GB356" s="1593"/>
      <c r="GC356" s="1593"/>
      <c r="GD356" s="1593"/>
      <c r="GE356" s="1593"/>
      <c r="GF356" s="1593"/>
      <c r="GG356" s="1593"/>
      <c r="GH356" s="1593"/>
      <c r="GI356" s="1593"/>
      <c r="GJ356" s="1593"/>
      <c r="GK356" s="1593"/>
      <c r="GL356" s="1593"/>
      <c r="GM356" s="1593"/>
      <c r="GN356" s="1593"/>
      <c r="GO356" s="1593"/>
      <c r="GP356" s="1593"/>
      <c r="GQ356" s="1593"/>
      <c r="GR356" s="1593"/>
      <c r="GS356" s="1593"/>
      <c r="GT356" s="1593"/>
      <c r="GU356" s="1593"/>
      <c r="GV356" s="1593"/>
      <c r="GW356" s="1593"/>
      <c r="GX356" s="1593"/>
      <c r="GY356" s="1593"/>
      <c r="GZ356" s="1593"/>
      <c r="HA356" s="1593"/>
      <c r="HB356" s="1593"/>
      <c r="HC356" s="1593"/>
      <c r="HD356" s="1593"/>
      <c r="HE356" s="1593"/>
      <c r="HF356" s="1593"/>
      <c r="HG356" s="1593"/>
      <c r="HH356" s="1593"/>
      <c r="HI356" s="1593"/>
      <c r="HJ356" s="1593"/>
      <c r="HK356" s="1593"/>
      <c r="HL356" s="1593"/>
      <c r="HM356" s="1593"/>
      <c r="HN356" s="1593"/>
      <c r="HO356" s="1593"/>
      <c r="HP356" s="1593"/>
      <c r="HQ356" s="1593"/>
      <c r="HR356" s="1593"/>
      <c r="HS356" s="1593"/>
      <c r="HT356" s="1593"/>
      <c r="HU356" s="1593"/>
      <c r="HV356" s="1593"/>
      <c r="HW356" s="1593"/>
      <c r="HX356" s="1593"/>
      <c r="HY356" s="1593"/>
      <c r="HZ356" s="1593"/>
      <c r="IA356" s="1593"/>
      <c r="IB356" s="1593"/>
      <c r="IC356" s="1593"/>
      <c r="ID356" s="1593"/>
      <c r="IE356" s="1593"/>
      <c r="IF356" s="1593"/>
      <c r="IG356" s="1593"/>
      <c r="IH356" s="1593"/>
      <c r="II356" s="1593"/>
      <c r="IJ356" s="1593"/>
      <c r="IK356" s="1593"/>
      <c r="IL356" s="1593"/>
      <c r="IM356" s="1593"/>
      <c r="IN356" s="1593"/>
      <c r="IO356" s="1593"/>
      <c r="IP356" s="1593"/>
      <c r="IQ356" s="1593"/>
      <c r="IR356" s="1593"/>
      <c r="IS356" s="1593"/>
      <c r="IT356" s="1593"/>
      <c r="IU356" s="1593"/>
      <c r="IV356" s="1593"/>
      <c r="IW356" s="1593"/>
      <c r="IX356" s="1593"/>
      <c r="IY356" s="1593"/>
      <c r="IZ356" s="1593"/>
      <c r="JA356" s="1593"/>
      <c r="JB356" s="1593"/>
      <c r="JC356" s="1593"/>
      <c r="JD356" s="1593"/>
      <c r="JE356" s="1593"/>
      <c r="JF356" s="1593"/>
      <c r="JG356" s="1593"/>
      <c r="JH356" s="1593"/>
      <c r="JI356" s="1593"/>
      <c r="JJ356" s="1593"/>
      <c r="JK356" s="1593"/>
      <c r="JL356" s="1593"/>
      <c r="JM356" s="1593"/>
      <c r="JN356" s="1593"/>
      <c r="JO356" s="1593"/>
      <c r="JP356" s="1593"/>
      <c r="JQ356" s="1593"/>
      <c r="JR356" s="1593"/>
      <c r="JS356" s="1593"/>
      <c r="JT356" s="1593"/>
      <c r="JU356" s="1593"/>
      <c r="JV356" s="1593"/>
      <c r="JW356" s="1593"/>
      <c r="JX356" s="1593"/>
      <c r="JY356" s="1593"/>
      <c r="JZ356" s="1593"/>
      <c r="KA356" s="1593"/>
      <c r="KB356" s="1598"/>
    </row>
    <row r="357" spans="2:288" ht="15" customHeight="1" x14ac:dyDescent="0.25">
      <c r="B357" s="216" t="str">
        <f t="shared" si="29"/>
        <v>Desk 38</v>
      </c>
      <c r="C357" s="218" t="str">
        <v/>
      </c>
      <c r="D357" s="218" t="str">
        <v/>
      </c>
      <c r="E357" s="218" t="str">
        <v/>
      </c>
      <c r="F357" s="218" t="str">
        <v/>
      </c>
      <c r="G357" s="402" t="str">
        <v/>
      </c>
      <c r="H357" s="1593"/>
      <c r="I357" s="1593"/>
      <c r="J357" s="1593"/>
      <c r="K357" s="1593"/>
      <c r="L357" s="1593"/>
      <c r="M357" s="1593"/>
      <c r="N357" s="1593"/>
      <c r="O357" s="1593"/>
      <c r="P357" s="1593"/>
      <c r="Q357" s="1593"/>
      <c r="R357" s="1593"/>
      <c r="S357" s="1593"/>
      <c r="T357" s="1593"/>
      <c r="U357" s="1593"/>
      <c r="V357" s="1593"/>
      <c r="W357" s="1593"/>
      <c r="X357" s="1593"/>
      <c r="Y357" s="1593"/>
      <c r="Z357" s="1593"/>
      <c r="AA357" s="1593"/>
      <c r="AB357" s="1593"/>
      <c r="AC357" s="1593"/>
      <c r="AD357" s="1593"/>
      <c r="AE357" s="1593"/>
      <c r="AF357" s="1593"/>
      <c r="AG357" s="1593"/>
      <c r="AH357" s="1593"/>
      <c r="AI357" s="1593"/>
      <c r="AJ357" s="1593"/>
      <c r="AK357" s="1593"/>
      <c r="AL357" s="1593"/>
      <c r="AM357" s="1593"/>
      <c r="AN357" s="1593"/>
      <c r="AO357" s="1593"/>
      <c r="AP357" s="1593"/>
      <c r="AQ357" s="1593"/>
      <c r="AR357" s="1593"/>
      <c r="AS357" s="1593"/>
      <c r="AT357" s="1593"/>
      <c r="AU357" s="1593"/>
      <c r="AV357" s="1593"/>
      <c r="AW357" s="1593"/>
      <c r="AX357" s="1593"/>
      <c r="AY357" s="1593"/>
      <c r="AZ357" s="1593"/>
      <c r="BA357" s="1593"/>
      <c r="BB357" s="1593"/>
      <c r="BC357" s="1593"/>
      <c r="BD357" s="1593"/>
      <c r="BE357" s="1593"/>
      <c r="BF357" s="1593"/>
      <c r="BG357" s="1593"/>
      <c r="BH357" s="1593"/>
      <c r="BI357" s="1593"/>
      <c r="BJ357" s="1593"/>
      <c r="BK357" s="1593"/>
      <c r="BL357" s="1593"/>
      <c r="BM357" s="1593"/>
      <c r="BN357" s="1593"/>
      <c r="BO357" s="1593"/>
      <c r="BP357" s="1593"/>
      <c r="BQ357" s="1593"/>
      <c r="BR357" s="1593"/>
      <c r="BS357" s="1593"/>
      <c r="BT357" s="1593"/>
      <c r="BU357" s="1593"/>
      <c r="BV357" s="1593"/>
      <c r="BW357" s="1593"/>
      <c r="BX357" s="1593"/>
      <c r="BY357" s="1593"/>
      <c r="BZ357" s="1593"/>
      <c r="CA357" s="1593"/>
      <c r="CB357" s="1593"/>
      <c r="CC357" s="1593"/>
      <c r="CD357" s="1593"/>
      <c r="CE357" s="1593"/>
      <c r="CF357" s="1593"/>
      <c r="CG357" s="1593"/>
      <c r="CH357" s="1593"/>
      <c r="CI357" s="1593"/>
      <c r="CJ357" s="1593"/>
      <c r="CK357" s="1593"/>
      <c r="CL357" s="1593"/>
      <c r="CM357" s="1593"/>
      <c r="CN357" s="1593"/>
      <c r="CO357" s="1593"/>
      <c r="CP357" s="1593"/>
      <c r="CQ357" s="1593"/>
      <c r="CR357" s="1593"/>
      <c r="CS357" s="1593"/>
      <c r="CT357" s="1593"/>
      <c r="CU357" s="1593"/>
      <c r="CV357" s="1593"/>
      <c r="CW357" s="1593"/>
      <c r="CX357" s="1593"/>
      <c r="CY357" s="1593"/>
      <c r="CZ357" s="1593"/>
      <c r="DA357" s="1593"/>
      <c r="DB357" s="1593"/>
      <c r="DC357" s="1593"/>
      <c r="DD357" s="1593"/>
      <c r="DE357" s="1593"/>
      <c r="DF357" s="1593"/>
      <c r="DG357" s="1593"/>
      <c r="DH357" s="1593"/>
      <c r="DI357" s="1593"/>
      <c r="DJ357" s="1593"/>
      <c r="DK357" s="1593"/>
      <c r="DL357" s="1593"/>
      <c r="DM357" s="1593"/>
      <c r="DN357" s="1593"/>
      <c r="DO357" s="1593"/>
      <c r="DP357" s="1593"/>
      <c r="DQ357" s="1593"/>
      <c r="DR357" s="1593"/>
      <c r="DS357" s="1593"/>
      <c r="DT357" s="1593"/>
      <c r="DU357" s="1593"/>
      <c r="DV357" s="1593"/>
      <c r="DW357" s="1593"/>
      <c r="DX357" s="1593"/>
      <c r="DY357" s="1593"/>
      <c r="DZ357" s="1593"/>
      <c r="EA357" s="1593"/>
      <c r="EB357" s="1593"/>
      <c r="EC357" s="1593"/>
      <c r="ED357" s="1593"/>
      <c r="EE357" s="1593"/>
      <c r="EF357" s="1593"/>
      <c r="EG357" s="1593"/>
      <c r="EH357" s="1593"/>
      <c r="EI357" s="1593"/>
      <c r="EJ357" s="1593"/>
      <c r="EK357" s="1593"/>
      <c r="EL357" s="1593"/>
      <c r="EM357" s="1593"/>
      <c r="EN357" s="1593"/>
      <c r="EO357" s="1593"/>
      <c r="EP357" s="1593"/>
      <c r="EQ357" s="1593"/>
      <c r="ER357" s="1593"/>
      <c r="ES357" s="1593"/>
      <c r="ET357" s="1593"/>
      <c r="EU357" s="1593"/>
      <c r="EV357" s="1593"/>
      <c r="EW357" s="1593"/>
      <c r="EX357" s="1593"/>
      <c r="EY357" s="1593"/>
      <c r="EZ357" s="1593"/>
      <c r="FA357" s="1593"/>
      <c r="FB357" s="1593"/>
      <c r="FC357" s="1593"/>
      <c r="FD357" s="1593"/>
      <c r="FE357" s="1593"/>
      <c r="FF357" s="1593"/>
      <c r="FG357" s="1593"/>
      <c r="FH357" s="1593"/>
      <c r="FI357" s="1593"/>
      <c r="FJ357" s="1593"/>
      <c r="FK357" s="1593"/>
      <c r="FL357" s="1593"/>
      <c r="FM357" s="1593"/>
      <c r="FN357" s="1593"/>
      <c r="FO357" s="1593"/>
      <c r="FP357" s="1593"/>
      <c r="FQ357" s="1593"/>
      <c r="FR357" s="1593"/>
      <c r="FS357" s="1593"/>
      <c r="FT357" s="1593"/>
      <c r="FU357" s="1593"/>
      <c r="FV357" s="1593"/>
      <c r="FW357" s="1593"/>
      <c r="FX357" s="1593"/>
      <c r="FY357" s="1593"/>
      <c r="FZ357" s="1593"/>
      <c r="GA357" s="1593"/>
      <c r="GB357" s="1593"/>
      <c r="GC357" s="1593"/>
      <c r="GD357" s="1593"/>
      <c r="GE357" s="1593"/>
      <c r="GF357" s="1593"/>
      <c r="GG357" s="1593"/>
      <c r="GH357" s="1593"/>
      <c r="GI357" s="1593"/>
      <c r="GJ357" s="1593"/>
      <c r="GK357" s="1593"/>
      <c r="GL357" s="1593"/>
      <c r="GM357" s="1593"/>
      <c r="GN357" s="1593"/>
      <c r="GO357" s="1593"/>
      <c r="GP357" s="1593"/>
      <c r="GQ357" s="1593"/>
      <c r="GR357" s="1593"/>
      <c r="GS357" s="1593"/>
      <c r="GT357" s="1593"/>
      <c r="GU357" s="1593"/>
      <c r="GV357" s="1593"/>
      <c r="GW357" s="1593"/>
      <c r="GX357" s="1593"/>
      <c r="GY357" s="1593"/>
      <c r="GZ357" s="1593"/>
      <c r="HA357" s="1593"/>
      <c r="HB357" s="1593"/>
      <c r="HC357" s="1593"/>
      <c r="HD357" s="1593"/>
      <c r="HE357" s="1593"/>
      <c r="HF357" s="1593"/>
      <c r="HG357" s="1593"/>
      <c r="HH357" s="1593"/>
      <c r="HI357" s="1593"/>
      <c r="HJ357" s="1593"/>
      <c r="HK357" s="1593"/>
      <c r="HL357" s="1593"/>
      <c r="HM357" s="1593"/>
      <c r="HN357" s="1593"/>
      <c r="HO357" s="1593"/>
      <c r="HP357" s="1593"/>
      <c r="HQ357" s="1593"/>
      <c r="HR357" s="1593"/>
      <c r="HS357" s="1593"/>
      <c r="HT357" s="1593"/>
      <c r="HU357" s="1593"/>
      <c r="HV357" s="1593"/>
      <c r="HW357" s="1593"/>
      <c r="HX357" s="1593"/>
      <c r="HY357" s="1593"/>
      <c r="HZ357" s="1593"/>
      <c r="IA357" s="1593"/>
      <c r="IB357" s="1593"/>
      <c r="IC357" s="1593"/>
      <c r="ID357" s="1593"/>
      <c r="IE357" s="1593"/>
      <c r="IF357" s="1593"/>
      <c r="IG357" s="1593"/>
      <c r="IH357" s="1593"/>
      <c r="II357" s="1593"/>
      <c r="IJ357" s="1593"/>
      <c r="IK357" s="1593"/>
      <c r="IL357" s="1593"/>
      <c r="IM357" s="1593"/>
      <c r="IN357" s="1593"/>
      <c r="IO357" s="1593"/>
      <c r="IP357" s="1593"/>
      <c r="IQ357" s="1593"/>
      <c r="IR357" s="1593"/>
      <c r="IS357" s="1593"/>
      <c r="IT357" s="1593"/>
      <c r="IU357" s="1593"/>
      <c r="IV357" s="1593"/>
      <c r="IW357" s="1593"/>
      <c r="IX357" s="1593"/>
      <c r="IY357" s="1593"/>
      <c r="IZ357" s="1593"/>
      <c r="JA357" s="1593"/>
      <c r="JB357" s="1593"/>
      <c r="JC357" s="1593"/>
      <c r="JD357" s="1593"/>
      <c r="JE357" s="1593"/>
      <c r="JF357" s="1593"/>
      <c r="JG357" s="1593"/>
      <c r="JH357" s="1593"/>
      <c r="JI357" s="1593"/>
      <c r="JJ357" s="1593"/>
      <c r="JK357" s="1593"/>
      <c r="JL357" s="1593"/>
      <c r="JM357" s="1593"/>
      <c r="JN357" s="1593"/>
      <c r="JO357" s="1593"/>
      <c r="JP357" s="1593"/>
      <c r="JQ357" s="1593"/>
      <c r="JR357" s="1593"/>
      <c r="JS357" s="1593"/>
      <c r="JT357" s="1593"/>
      <c r="JU357" s="1593"/>
      <c r="JV357" s="1593"/>
      <c r="JW357" s="1593"/>
      <c r="JX357" s="1593"/>
      <c r="JY357" s="1593"/>
      <c r="JZ357" s="1593"/>
      <c r="KA357" s="1593"/>
      <c r="KB357" s="1598"/>
    </row>
    <row r="358" spans="2:288" ht="15" customHeight="1" x14ac:dyDescent="0.25">
      <c r="B358" s="216" t="str">
        <f t="shared" si="29"/>
        <v>Desk 39</v>
      </c>
      <c r="C358" s="218" t="str">
        <v/>
      </c>
      <c r="D358" s="218" t="str">
        <v/>
      </c>
      <c r="E358" s="218" t="str">
        <v/>
      </c>
      <c r="F358" s="218" t="str">
        <v/>
      </c>
      <c r="G358" s="402" t="str">
        <v/>
      </c>
      <c r="H358" s="1593"/>
      <c r="I358" s="1593"/>
      <c r="J358" s="1593"/>
      <c r="K358" s="1593"/>
      <c r="L358" s="1593"/>
      <c r="M358" s="1593"/>
      <c r="N358" s="1593"/>
      <c r="O358" s="1593"/>
      <c r="P358" s="1593"/>
      <c r="Q358" s="1593"/>
      <c r="R358" s="1593"/>
      <c r="S358" s="1593"/>
      <c r="T358" s="1593"/>
      <c r="U358" s="1593"/>
      <c r="V358" s="1593"/>
      <c r="W358" s="1593"/>
      <c r="X358" s="1593"/>
      <c r="Y358" s="1593"/>
      <c r="Z358" s="1593"/>
      <c r="AA358" s="1593"/>
      <c r="AB358" s="1593"/>
      <c r="AC358" s="1593"/>
      <c r="AD358" s="1593"/>
      <c r="AE358" s="1593"/>
      <c r="AF358" s="1593"/>
      <c r="AG358" s="1593"/>
      <c r="AH358" s="1593"/>
      <c r="AI358" s="1593"/>
      <c r="AJ358" s="1593"/>
      <c r="AK358" s="1593"/>
      <c r="AL358" s="1593"/>
      <c r="AM358" s="1593"/>
      <c r="AN358" s="1593"/>
      <c r="AO358" s="1593"/>
      <c r="AP358" s="1593"/>
      <c r="AQ358" s="1593"/>
      <c r="AR358" s="1593"/>
      <c r="AS358" s="1593"/>
      <c r="AT358" s="1593"/>
      <c r="AU358" s="1593"/>
      <c r="AV358" s="1593"/>
      <c r="AW358" s="1593"/>
      <c r="AX358" s="1593"/>
      <c r="AY358" s="1593"/>
      <c r="AZ358" s="1593"/>
      <c r="BA358" s="1593"/>
      <c r="BB358" s="1593"/>
      <c r="BC358" s="1593"/>
      <c r="BD358" s="1593"/>
      <c r="BE358" s="1593"/>
      <c r="BF358" s="1593"/>
      <c r="BG358" s="1593"/>
      <c r="BH358" s="1593"/>
      <c r="BI358" s="1593"/>
      <c r="BJ358" s="1593"/>
      <c r="BK358" s="1593"/>
      <c r="BL358" s="1593"/>
      <c r="BM358" s="1593"/>
      <c r="BN358" s="1593"/>
      <c r="BO358" s="1593"/>
      <c r="BP358" s="1593"/>
      <c r="BQ358" s="1593"/>
      <c r="BR358" s="1593"/>
      <c r="BS358" s="1593"/>
      <c r="BT358" s="1593"/>
      <c r="BU358" s="1593"/>
      <c r="BV358" s="1593"/>
      <c r="BW358" s="1593"/>
      <c r="BX358" s="1593"/>
      <c r="BY358" s="1593"/>
      <c r="BZ358" s="1593"/>
      <c r="CA358" s="1593"/>
      <c r="CB358" s="1593"/>
      <c r="CC358" s="1593"/>
      <c r="CD358" s="1593"/>
      <c r="CE358" s="1593"/>
      <c r="CF358" s="1593"/>
      <c r="CG358" s="1593"/>
      <c r="CH358" s="1593"/>
      <c r="CI358" s="1593"/>
      <c r="CJ358" s="1593"/>
      <c r="CK358" s="1593"/>
      <c r="CL358" s="1593"/>
      <c r="CM358" s="1593"/>
      <c r="CN358" s="1593"/>
      <c r="CO358" s="1593"/>
      <c r="CP358" s="1593"/>
      <c r="CQ358" s="1593"/>
      <c r="CR358" s="1593"/>
      <c r="CS358" s="1593"/>
      <c r="CT358" s="1593"/>
      <c r="CU358" s="1593"/>
      <c r="CV358" s="1593"/>
      <c r="CW358" s="1593"/>
      <c r="CX358" s="1593"/>
      <c r="CY358" s="1593"/>
      <c r="CZ358" s="1593"/>
      <c r="DA358" s="1593"/>
      <c r="DB358" s="1593"/>
      <c r="DC358" s="1593"/>
      <c r="DD358" s="1593"/>
      <c r="DE358" s="1593"/>
      <c r="DF358" s="1593"/>
      <c r="DG358" s="1593"/>
      <c r="DH358" s="1593"/>
      <c r="DI358" s="1593"/>
      <c r="DJ358" s="1593"/>
      <c r="DK358" s="1593"/>
      <c r="DL358" s="1593"/>
      <c r="DM358" s="1593"/>
      <c r="DN358" s="1593"/>
      <c r="DO358" s="1593"/>
      <c r="DP358" s="1593"/>
      <c r="DQ358" s="1593"/>
      <c r="DR358" s="1593"/>
      <c r="DS358" s="1593"/>
      <c r="DT358" s="1593"/>
      <c r="DU358" s="1593"/>
      <c r="DV358" s="1593"/>
      <c r="DW358" s="1593"/>
      <c r="DX358" s="1593"/>
      <c r="DY358" s="1593"/>
      <c r="DZ358" s="1593"/>
      <c r="EA358" s="1593"/>
      <c r="EB358" s="1593"/>
      <c r="EC358" s="1593"/>
      <c r="ED358" s="1593"/>
      <c r="EE358" s="1593"/>
      <c r="EF358" s="1593"/>
      <c r="EG358" s="1593"/>
      <c r="EH358" s="1593"/>
      <c r="EI358" s="1593"/>
      <c r="EJ358" s="1593"/>
      <c r="EK358" s="1593"/>
      <c r="EL358" s="1593"/>
      <c r="EM358" s="1593"/>
      <c r="EN358" s="1593"/>
      <c r="EO358" s="1593"/>
      <c r="EP358" s="1593"/>
      <c r="EQ358" s="1593"/>
      <c r="ER358" s="1593"/>
      <c r="ES358" s="1593"/>
      <c r="ET358" s="1593"/>
      <c r="EU358" s="1593"/>
      <c r="EV358" s="1593"/>
      <c r="EW358" s="1593"/>
      <c r="EX358" s="1593"/>
      <c r="EY358" s="1593"/>
      <c r="EZ358" s="1593"/>
      <c r="FA358" s="1593"/>
      <c r="FB358" s="1593"/>
      <c r="FC358" s="1593"/>
      <c r="FD358" s="1593"/>
      <c r="FE358" s="1593"/>
      <c r="FF358" s="1593"/>
      <c r="FG358" s="1593"/>
      <c r="FH358" s="1593"/>
      <c r="FI358" s="1593"/>
      <c r="FJ358" s="1593"/>
      <c r="FK358" s="1593"/>
      <c r="FL358" s="1593"/>
      <c r="FM358" s="1593"/>
      <c r="FN358" s="1593"/>
      <c r="FO358" s="1593"/>
      <c r="FP358" s="1593"/>
      <c r="FQ358" s="1593"/>
      <c r="FR358" s="1593"/>
      <c r="FS358" s="1593"/>
      <c r="FT358" s="1593"/>
      <c r="FU358" s="1593"/>
      <c r="FV358" s="1593"/>
      <c r="FW358" s="1593"/>
      <c r="FX358" s="1593"/>
      <c r="FY358" s="1593"/>
      <c r="FZ358" s="1593"/>
      <c r="GA358" s="1593"/>
      <c r="GB358" s="1593"/>
      <c r="GC358" s="1593"/>
      <c r="GD358" s="1593"/>
      <c r="GE358" s="1593"/>
      <c r="GF358" s="1593"/>
      <c r="GG358" s="1593"/>
      <c r="GH358" s="1593"/>
      <c r="GI358" s="1593"/>
      <c r="GJ358" s="1593"/>
      <c r="GK358" s="1593"/>
      <c r="GL358" s="1593"/>
      <c r="GM358" s="1593"/>
      <c r="GN358" s="1593"/>
      <c r="GO358" s="1593"/>
      <c r="GP358" s="1593"/>
      <c r="GQ358" s="1593"/>
      <c r="GR358" s="1593"/>
      <c r="GS358" s="1593"/>
      <c r="GT358" s="1593"/>
      <c r="GU358" s="1593"/>
      <c r="GV358" s="1593"/>
      <c r="GW358" s="1593"/>
      <c r="GX358" s="1593"/>
      <c r="GY358" s="1593"/>
      <c r="GZ358" s="1593"/>
      <c r="HA358" s="1593"/>
      <c r="HB358" s="1593"/>
      <c r="HC358" s="1593"/>
      <c r="HD358" s="1593"/>
      <c r="HE358" s="1593"/>
      <c r="HF358" s="1593"/>
      <c r="HG358" s="1593"/>
      <c r="HH358" s="1593"/>
      <c r="HI358" s="1593"/>
      <c r="HJ358" s="1593"/>
      <c r="HK358" s="1593"/>
      <c r="HL358" s="1593"/>
      <c r="HM358" s="1593"/>
      <c r="HN358" s="1593"/>
      <c r="HO358" s="1593"/>
      <c r="HP358" s="1593"/>
      <c r="HQ358" s="1593"/>
      <c r="HR358" s="1593"/>
      <c r="HS358" s="1593"/>
      <c r="HT358" s="1593"/>
      <c r="HU358" s="1593"/>
      <c r="HV358" s="1593"/>
      <c r="HW358" s="1593"/>
      <c r="HX358" s="1593"/>
      <c r="HY358" s="1593"/>
      <c r="HZ358" s="1593"/>
      <c r="IA358" s="1593"/>
      <c r="IB358" s="1593"/>
      <c r="IC358" s="1593"/>
      <c r="ID358" s="1593"/>
      <c r="IE358" s="1593"/>
      <c r="IF358" s="1593"/>
      <c r="IG358" s="1593"/>
      <c r="IH358" s="1593"/>
      <c r="II358" s="1593"/>
      <c r="IJ358" s="1593"/>
      <c r="IK358" s="1593"/>
      <c r="IL358" s="1593"/>
      <c r="IM358" s="1593"/>
      <c r="IN358" s="1593"/>
      <c r="IO358" s="1593"/>
      <c r="IP358" s="1593"/>
      <c r="IQ358" s="1593"/>
      <c r="IR358" s="1593"/>
      <c r="IS358" s="1593"/>
      <c r="IT358" s="1593"/>
      <c r="IU358" s="1593"/>
      <c r="IV358" s="1593"/>
      <c r="IW358" s="1593"/>
      <c r="IX358" s="1593"/>
      <c r="IY358" s="1593"/>
      <c r="IZ358" s="1593"/>
      <c r="JA358" s="1593"/>
      <c r="JB358" s="1593"/>
      <c r="JC358" s="1593"/>
      <c r="JD358" s="1593"/>
      <c r="JE358" s="1593"/>
      <c r="JF358" s="1593"/>
      <c r="JG358" s="1593"/>
      <c r="JH358" s="1593"/>
      <c r="JI358" s="1593"/>
      <c r="JJ358" s="1593"/>
      <c r="JK358" s="1593"/>
      <c r="JL358" s="1593"/>
      <c r="JM358" s="1593"/>
      <c r="JN358" s="1593"/>
      <c r="JO358" s="1593"/>
      <c r="JP358" s="1593"/>
      <c r="JQ358" s="1593"/>
      <c r="JR358" s="1593"/>
      <c r="JS358" s="1593"/>
      <c r="JT358" s="1593"/>
      <c r="JU358" s="1593"/>
      <c r="JV358" s="1593"/>
      <c r="JW358" s="1593"/>
      <c r="JX358" s="1593"/>
      <c r="JY358" s="1593"/>
      <c r="JZ358" s="1593"/>
      <c r="KA358" s="1593"/>
      <c r="KB358" s="1598"/>
    </row>
    <row r="359" spans="2:288" ht="15" customHeight="1" x14ac:dyDescent="0.25">
      <c r="B359" s="216" t="str">
        <f t="shared" si="29"/>
        <v>Desk 40</v>
      </c>
      <c r="C359" s="218" t="str">
        <v/>
      </c>
      <c r="D359" s="218" t="str">
        <v/>
      </c>
      <c r="E359" s="218" t="str">
        <v/>
      </c>
      <c r="F359" s="218" t="str">
        <v/>
      </c>
      <c r="G359" s="402" t="str">
        <v/>
      </c>
      <c r="H359" s="1593"/>
      <c r="I359" s="1593"/>
      <c r="J359" s="1593"/>
      <c r="K359" s="1593"/>
      <c r="L359" s="1593"/>
      <c r="M359" s="1593"/>
      <c r="N359" s="1593"/>
      <c r="O359" s="1593"/>
      <c r="P359" s="1593"/>
      <c r="Q359" s="1593"/>
      <c r="R359" s="1593"/>
      <c r="S359" s="1593"/>
      <c r="T359" s="1593"/>
      <c r="U359" s="1593"/>
      <c r="V359" s="1593"/>
      <c r="W359" s="1593"/>
      <c r="X359" s="1593"/>
      <c r="Y359" s="1593"/>
      <c r="Z359" s="1593"/>
      <c r="AA359" s="1593"/>
      <c r="AB359" s="1593"/>
      <c r="AC359" s="1593"/>
      <c r="AD359" s="1593"/>
      <c r="AE359" s="1593"/>
      <c r="AF359" s="1593"/>
      <c r="AG359" s="1593"/>
      <c r="AH359" s="1593"/>
      <c r="AI359" s="1593"/>
      <c r="AJ359" s="1593"/>
      <c r="AK359" s="1593"/>
      <c r="AL359" s="1593"/>
      <c r="AM359" s="1593"/>
      <c r="AN359" s="1593"/>
      <c r="AO359" s="1593"/>
      <c r="AP359" s="1593"/>
      <c r="AQ359" s="1593"/>
      <c r="AR359" s="1593"/>
      <c r="AS359" s="1593"/>
      <c r="AT359" s="1593"/>
      <c r="AU359" s="1593"/>
      <c r="AV359" s="1593"/>
      <c r="AW359" s="1593"/>
      <c r="AX359" s="1593"/>
      <c r="AY359" s="1593"/>
      <c r="AZ359" s="1593"/>
      <c r="BA359" s="1593"/>
      <c r="BB359" s="1593"/>
      <c r="BC359" s="1593"/>
      <c r="BD359" s="1593"/>
      <c r="BE359" s="1593"/>
      <c r="BF359" s="1593"/>
      <c r="BG359" s="1593"/>
      <c r="BH359" s="1593"/>
      <c r="BI359" s="1593"/>
      <c r="BJ359" s="1593"/>
      <c r="BK359" s="1593"/>
      <c r="BL359" s="1593"/>
      <c r="BM359" s="1593"/>
      <c r="BN359" s="1593"/>
      <c r="BO359" s="1593"/>
      <c r="BP359" s="1593"/>
      <c r="BQ359" s="1593"/>
      <c r="BR359" s="1593"/>
      <c r="BS359" s="1593"/>
      <c r="BT359" s="1593"/>
      <c r="BU359" s="1593"/>
      <c r="BV359" s="1593"/>
      <c r="BW359" s="1593"/>
      <c r="BX359" s="1593"/>
      <c r="BY359" s="1593"/>
      <c r="BZ359" s="1593"/>
      <c r="CA359" s="1593"/>
      <c r="CB359" s="1593"/>
      <c r="CC359" s="1593"/>
      <c r="CD359" s="1593"/>
      <c r="CE359" s="1593"/>
      <c r="CF359" s="1593"/>
      <c r="CG359" s="1593"/>
      <c r="CH359" s="1593"/>
      <c r="CI359" s="1593"/>
      <c r="CJ359" s="1593"/>
      <c r="CK359" s="1593"/>
      <c r="CL359" s="1593"/>
      <c r="CM359" s="1593"/>
      <c r="CN359" s="1593"/>
      <c r="CO359" s="1593"/>
      <c r="CP359" s="1593"/>
      <c r="CQ359" s="1593"/>
      <c r="CR359" s="1593"/>
      <c r="CS359" s="1593"/>
      <c r="CT359" s="1593"/>
      <c r="CU359" s="1593"/>
      <c r="CV359" s="1593"/>
      <c r="CW359" s="1593"/>
      <c r="CX359" s="1593"/>
      <c r="CY359" s="1593"/>
      <c r="CZ359" s="1593"/>
      <c r="DA359" s="1593"/>
      <c r="DB359" s="1593"/>
      <c r="DC359" s="1593"/>
      <c r="DD359" s="1593"/>
      <c r="DE359" s="1593"/>
      <c r="DF359" s="1593"/>
      <c r="DG359" s="1593"/>
      <c r="DH359" s="1593"/>
      <c r="DI359" s="1593"/>
      <c r="DJ359" s="1593"/>
      <c r="DK359" s="1593"/>
      <c r="DL359" s="1593"/>
      <c r="DM359" s="1593"/>
      <c r="DN359" s="1593"/>
      <c r="DO359" s="1593"/>
      <c r="DP359" s="1593"/>
      <c r="DQ359" s="1593"/>
      <c r="DR359" s="1593"/>
      <c r="DS359" s="1593"/>
      <c r="DT359" s="1593"/>
      <c r="DU359" s="1593"/>
      <c r="DV359" s="1593"/>
      <c r="DW359" s="1593"/>
      <c r="DX359" s="1593"/>
      <c r="DY359" s="1593"/>
      <c r="DZ359" s="1593"/>
      <c r="EA359" s="1593"/>
      <c r="EB359" s="1593"/>
      <c r="EC359" s="1593"/>
      <c r="ED359" s="1593"/>
      <c r="EE359" s="1593"/>
      <c r="EF359" s="1593"/>
      <c r="EG359" s="1593"/>
      <c r="EH359" s="1593"/>
      <c r="EI359" s="1593"/>
      <c r="EJ359" s="1593"/>
      <c r="EK359" s="1593"/>
      <c r="EL359" s="1593"/>
      <c r="EM359" s="1593"/>
      <c r="EN359" s="1593"/>
      <c r="EO359" s="1593"/>
      <c r="EP359" s="1593"/>
      <c r="EQ359" s="1593"/>
      <c r="ER359" s="1593"/>
      <c r="ES359" s="1593"/>
      <c r="ET359" s="1593"/>
      <c r="EU359" s="1593"/>
      <c r="EV359" s="1593"/>
      <c r="EW359" s="1593"/>
      <c r="EX359" s="1593"/>
      <c r="EY359" s="1593"/>
      <c r="EZ359" s="1593"/>
      <c r="FA359" s="1593"/>
      <c r="FB359" s="1593"/>
      <c r="FC359" s="1593"/>
      <c r="FD359" s="1593"/>
      <c r="FE359" s="1593"/>
      <c r="FF359" s="1593"/>
      <c r="FG359" s="1593"/>
      <c r="FH359" s="1593"/>
      <c r="FI359" s="1593"/>
      <c r="FJ359" s="1593"/>
      <c r="FK359" s="1593"/>
      <c r="FL359" s="1593"/>
      <c r="FM359" s="1593"/>
      <c r="FN359" s="1593"/>
      <c r="FO359" s="1593"/>
      <c r="FP359" s="1593"/>
      <c r="FQ359" s="1593"/>
      <c r="FR359" s="1593"/>
      <c r="FS359" s="1593"/>
      <c r="FT359" s="1593"/>
      <c r="FU359" s="1593"/>
      <c r="FV359" s="1593"/>
      <c r="FW359" s="1593"/>
      <c r="FX359" s="1593"/>
      <c r="FY359" s="1593"/>
      <c r="FZ359" s="1593"/>
      <c r="GA359" s="1593"/>
      <c r="GB359" s="1593"/>
      <c r="GC359" s="1593"/>
      <c r="GD359" s="1593"/>
      <c r="GE359" s="1593"/>
      <c r="GF359" s="1593"/>
      <c r="GG359" s="1593"/>
      <c r="GH359" s="1593"/>
      <c r="GI359" s="1593"/>
      <c r="GJ359" s="1593"/>
      <c r="GK359" s="1593"/>
      <c r="GL359" s="1593"/>
      <c r="GM359" s="1593"/>
      <c r="GN359" s="1593"/>
      <c r="GO359" s="1593"/>
      <c r="GP359" s="1593"/>
      <c r="GQ359" s="1593"/>
      <c r="GR359" s="1593"/>
      <c r="GS359" s="1593"/>
      <c r="GT359" s="1593"/>
      <c r="GU359" s="1593"/>
      <c r="GV359" s="1593"/>
      <c r="GW359" s="1593"/>
      <c r="GX359" s="1593"/>
      <c r="GY359" s="1593"/>
      <c r="GZ359" s="1593"/>
      <c r="HA359" s="1593"/>
      <c r="HB359" s="1593"/>
      <c r="HC359" s="1593"/>
      <c r="HD359" s="1593"/>
      <c r="HE359" s="1593"/>
      <c r="HF359" s="1593"/>
      <c r="HG359" s="1593"/>
      <c r="HH359" s="1593"/>
      <c r="HI359" s="1593"/>
      <c r="HJ359" s="1593"/>
      <c r="HK359" s="1593"/>
      <c r="HL359" s="1593"/>
      <c r="HM359" s="1593"/>
      <c r="HN359" s="1593"/>
      <c r="HO359" s="1593"/>
      <c r="HP359" s="1593"/>
      <c r="HQ359" s="1593"/>
      <c r="HR359" s="1593"/>
      <c r="HS359" s="1593"/>
      <c r="HT359" s="1593"/>
      <c r="HU359" s="1593"/>
      <c r="HV359" s="1593"/>
      <c r="HW359" s="1593"/>
      <c r="HX359" s="1593"/>
      <c r="HY359" s="1593"/>
      <c r="HZ359" s="1593"/>
      <c r="IA359" s="1593"/>
      <c r="IB359" s="1593"/>
      <c r="IC359" s="1593"/>
      <c r="ID359" s="1593"/>
      <c r="IE359" s="1593"/>
      <c r="IF359" s="1593"/>
      <c r="IG359" s="1593"/>
      <c r="IH359" s="1593"/>
      <c r="II359" s="1593"/>
      <c r="IJ359" s="1593"/>
      <c r="IK359" s="1593"/>
      <c r="IL359" s="1593"/>
      <c r="IM359" s="1593"/>
      <c r="IN359" s="1593"/>
      <c r="IO359" s="1593"/>
      <c r="IP359" s="1593"/>
      <c r="IQ359" s="1593"/>
      <c r="IR359" s="1593"/>
      <c r="IS359" s="1593"/>
      <c r="IT359" s="1593"/>
      <c r="IU359" s="1593"/>
      <c r="IV359" s="1593"/>
      <c r="IW359" s="1593"/>
      <c r="IX359" s="1593"/>
      <c r="IY359" s="1593"/>
      <c r="IZ359" s="1593"/>
      <c r="JA359" s="1593"/>
      <c r="JB359" s="1593"/>
      <c r="JC359" s="1593"/>
      <c r="JD359" s="1593"/>
      <c r="JE359" s="1593"/>
      <c r="JF359" s="1593"/>
      <c r="JG359" s="1593"/>
      <c r="JH359" s="1593"/>
      <c r="JI359" s="1593"/>
      <c r="JJ359" s="1593"/>
      <c r="JK359" s="1593"/>
      <c r="JL359" s="1593"/>
      <c r="JM359" s="1593"/>
      <c r="JN359" s="1593"/>
      <c r="JO359" s="1593"/>
      <c r="JP359" s="1593"/>
      <c r="JQ359" s="1593"/>
      <c r="JR359" s="1593"/>
      <c r="JS359" s="1593"/>
      <c r="JT359" s="1593"/>
      <c r="JU359" s="1593"/>
      <c r="JV359" s="1593"/>
      <c r="JW359" s="1593"/>
      <c r="JX359" s="1593"/>
      <c r="JY359" s="1593"/>
      <c r="JZ359" s="1593"/>
      <c r="KA359" s="1593"/>
      <c r="KB359" s="1598"/>
    </row>
    <row r="360" spans="2:288" ht="15" customHeight="1" x14ac:dyDescent="0.25">
      <c r="B360" s="216" t="str">
        <f t="shared" si="29"/>
        <v>Desk 41</v>
      </c>
      <c r="C360" s="218" t="str">
        <v/>
      </c>
      <c r="D360" s="218" t="str">
        <v/>
      </c>
      <c r="E360" s="218" t="str">
        <v/>
      </c>
      <c r="F360" s="218" t="str">
        <v/>
      </c>
      <c r="G360" s="402" t="str">
        <v/>
      </c>
      <c r="H360" s="1593"/>
      <c r="I360" s="1593"/>
      <c r="J360" s="1593"/>
      <c r="K360" s="1593"/>
      <c r="L360" s="1593"/>
      <c r="M360" s="1593"/>
      <c r="N360" s="1593"/>
      <c r="O360" s="1593"/>
      <c r="P360" s="1593"/>
      <c r="Q360" s="1593"/>
      <c r="R360" s="1593"/>
      <c r="S360" s="1593"/>
      <c r="T360" s="1593"/>
      <c r="U360" s="1593"/>
      <c r="V360" s="1593"/>
      <c r="W360" s="1593"/>
      <c r="X360" s="1593"/>
      <c r="Y360" s="1593"/>
      <c r="Z360" s="1593"/>
      <c r="AA360" s="1593"/>
      <c r="AB360" s="1593"/>
      <c r="AC360" s="1593"/>
      <c r="AD360" s="1593"/>
      <c r="AE360" s="1593"/>
      <c r="AF360" s="1593"/>
      <c r="AG360" s="1593"/>
      <c r="AH360" s="1593"/>
      <c r="AI360" s="1593"/>
      <c r="AJ360" s="1593"/>
      <c r="AK360" s="1593"/>
      <c r="AL360" s="1593"/>
      <c r="AM360" s="1593"/>
      <c r="AN360" s="1593"/>
      <c r="AO360" s="1593"/>
      <c r="AP360" s="1593"/>
      <c r="AQ360" s="1593"/>
      <c r="AR360" s="1593"/>
      <c r="AS360" s="1593"/>
      <c r="AT360" s="1593"/>
      <c r="AU360" s="1593"/>
      <c r="AV360" s="1593"/>
      <c r="AW360" s="1593"/>
      <c r="AX360" s="1593"/>
      <c r="AY360" s="1593"/>
      <c r="AZ360" s="1593"/>
      <c r="BA360" s="1593"/>
      <c r="BB360" s="1593"/>
      <c r="BC360" s="1593"/>
      <c r="BD360" s="1593"/>
      <c r="BE360" s="1593"/>
      <c r="BF360" s="1593"/>
      <c r="BG360" s="1593"/>
      <c r="BH360" s="1593"/>
      <c r="BI360" s="1593"/>
      <c r="BJ360" s="1593"/>
      <c r="BK360" s="1593"/>
      <c r="BL360" s="1593"/>
      <c r="BM360" s="1593"/>
      <c r="BN360" s="1593"/>
      <c r="BO360" s="1593"/>
      <c r="BP360" s="1593"/>
      <c r="BQ360" s="1593"/>
      <c r="BR360" s="1593"/>
      <c r="BS360" s="1593"/>
      <c r="BT360" s="1593"/>
      <c r="BU360" s="1593"/>
      <c r="BV360" s="1593"/>
      <c r="BW360" s="1593"/>
      <c r="BX360" s="1593"/>
      <c r="BY360" s="1593"/>
      <c r="BZ360" s="1593"/>
      <c r="CA360" s="1593"/>
      <c r="CB360" s="1593"/>
      <c r="CC360" s="1593"/>
      <c r="CD360" s="1593"/>
      <c r="CE360" s="1593"/>
      <c r="CF360" s="1593"/>
      <c r="CG360" s="1593"/>
      <c r="CH360" s="1593"/>
      <c r="CI360" s="1593"/>
      <c r="CJ360" s="1593"/>
      <c r="CK360" s="1593"/>
      <c r="CL360" s="1593"/>
      <c r="CM360" s="1593"/>
      <c r="CN360" s="1593"/>
      <c r="CO360" s="1593"/>
      <c r="CP360" s="1593"/>
      <c r="CQ360" s="1593"/>
      <c r="CR360" s="1593"/>
      <c r="CS360" s="1593"/>
      <c r="CT360" s="1593"/>
      <c r="CU360" s="1593"/>
      <c r="CV360" s="1593"/>
      <c r="CW360" s="1593"/>
      <c r="CX360" s="1593"/>
      <c r="CY360" s="1593"/>
      <c r="CZ360" s="1593"/>
      <c r="DA360" s="1593"/>
      <c r="DB360" s="1593"/>
      <c r="DC360" s="1593"/>
      <c r="DD360" s="1593"/>
      <c r="DE360" s="1593"/>
      <c r="DF360" s="1593"/>
      <c r="DG360" s="1593"/>
      <c r="DH360" s="1593"/>
      <c r="DI360" s="1593"/>
      <c r="DJ360" s="1593"/>
      <c r="DK360" s="1593"/>
      <c r="DL360" s="1593"/>
      <c r="DM360" s="1593"/>
      <c r="DN360" s="1593"/>
      <c r="DO360" s="1593"/>
      <c r="DP360" s="1593"/>
      <c r="DQ360" s="1593"/>
      <c r="DR360" s="1593"/>
      <c r="DS360" s="1593"/>
      <c r="DT360" s="1593"/>
      <c r="DU360" s="1593"/>
      <c r="DV360" s="1593"/>
      <c r="DW360" s="1593"/>
      <c r="DX360" s="1593"/>
      <c r="DY360" s="1593"/>
      <c r="DZ360" s="1593"/>
      <c r="EA360" s="1593"/>
      <c r="EB360" s="1593"/>
      <c r="EC360" s="1593"/>
      <c r="ED360" s="1593"/>
      <c r="EE360" s="1593"/>
      <c r="EF360" s="1593"/>
      <c r="EG360" s="1593"/>
      <c r="EH360" s="1593"/>
      <c r="EI360" s="1593"/>
      <c r="EJ360" s="1593"/>
      <c r="EK360" s="1593"/>
      <c r="EL360" s="1593"/>
      <c r="EM360" s="1593"/>
      <c r="EN360" s="1593"/>
      <c r="EO360" s="1593"/>
      <c r="EP360" s="1593"/>
      <c r="EQ360" s="1593"/>
      <c r="ER360" s="1593"/>
      <c r="ES360" s="1593"/>
      <c r="ET360" s="1593"/>
      <c r="EU360" s="1593"/>
      <c r="EV360" s="1593"/>
      <c r="EW360" s="1593"/>
      <c r="EX360" s="1593"/>
      <c r="EY360" s="1593"/>
      <c r="EZ360" s="1593"/>
      <c r="FA360" s="1593"/>
      <c r="FB360" s="1593"/>
      <c r="FC360" s="1593"/>
      <c r="FD360" s="1593"/>
      <c r="FE360" s="1593"/>
      <c r="FF360" s="1593"/>
      <c r="FG360" s="1593"/>
      <c r="FH360" s="1593"/>
      <c r="FI360" s="1593"/>
      <c r="FJ360" s="1593"/>
      <c r="FK360" s="1593"/>
      <c r="FL360" s="1593"/>
      <c r="FM360" s="1593"/>
      <c r="FN360" s="1593"/>
      <c r="FO360" s="1593"/>
      <c r="FP360" s="1593"/>
      <c r="FQ360" s="1593"/>
      <c r="FR360" s="1593"/>
      <c r="FS360" s="1593"/>
      <c r="FT360" s="1593"/>
      <c r="FU360" s="1593"/>
      <c r="FV360" s="1593"/>
      <c r="FW360" s="1593"/>
      <c r="FX360" s="1593"/>
      <c r="FY360" s="1593"/>
      <c r="FZ360" s="1593"/>
      <c r="GA360" s="1593"/>
      <c r="GB360" s="1593"/>
      <c r="GC360" s="1593"/>
      <c r="GD360" s="1593"/>
      <c r="GE360" s="1593"/>
      <c r="GF360" s="1593"/>
      <c r="GG360" s="1593"/>
      <c r="GH360" s="1593"/>
      <c r="GI360" s="1593"/>
      <c r="GJ360" s="1593"/>
      <c r="GK360" s="1593"/>
      <c r="GL360" s="1593"/>
      <c r="GM360" s="1593"/>
      <c r="GN360" s="1593"/>
      <c r="GO360" s="1593"/>
      <c r="GP360" s="1593"/>
      <c r="GQ360" s="1593"/>
      <c r="GR360" s="1593"/>
      <c r="GS360" s="1593"/>
      <c r="GT360" s="1593"/>
      <c r="GU360" s="1593"/>
      <c r="GV360" s="1593"/>
      <c r="GW360" s="1593"/>
      <c r="GX360" s="1593"/>
      <c r="GY360" s="1593"/>
      <c r="GZ360" s="1593"/>
      <c r="HA360" s="1593"/>
      <c r="HB360" s="1593"/>
      <c r="HC360" s="1593"/>
      <c r="HD360" s="1593"/>
      <c r="HE360" s="1593"/>
      <c r="HF360" s="1593"/>
      <c r="HG360" s="1593"/>
      <c r="HH360" s="1593"/>
      <c r="HI360" s="1593"/>
      <c r="HJ360" s="1593"/>
      <c r="HK360" s="1593"/>
      <c r="HL360" s="1593"/>
      <c r="HM360" s="1593"/>
      <c r="HN360" s="1593"/>
      <c r="HO360" s="1593"/>
      <c r="HP360" s="1593"/>
      <c r="HQ360" s="1593"/>
      <c r="HR360" s="1593"/>
      <c r="HS360" s="1593"/>
      <c r="HT360" s="1593"/>
      <c r="HU360" s="1593"/>
      <c r="HV360" s="1593"/>
      <c r="HW360" s="1593"/>
      <c r="HX360" s="1593"/>
      <c r="HY360" s="1593"/>
      <c r="HZ360" s="1593"/>
      <c r="IA360" s="1593"/>
      <c r="IB360" s="1593"/>
      <c r="IC360" s="1593"/>
      <c r="ID360" s="1593"/>
      <c r="IE360" s="1593"/>
      <c r="IF360" s="1593"/>
      <c r="IG360" s="1593"/>
      <c r="IH360" s="1593"/>
      <c r="II360" s="1593"/>
      <c r="IJ360" s="1593"/>
      <c r="IK360" s="1593"/>
      <c r="IL360" s="1593"/>
      <c r="IM360" s="1593"/>
      <c r="IN360" s="1593"/>
      <c r="IO360" s="1593"/>
      <c r="IP360" s="1593"/>
      <c r="IQ360" s="1593"/>
      <c r="IR360" s="1593"/>
      <c r="IS360" s="1593"/>
      <c r="IT360" s="1593"/>
      <c r="IU360" s="1593"/>
      <c r="IV360" s="1593"/>
      <c r="IW360" s="1593"/>
      <c r="IX360" s="1593"/>
      <c r="IY360" s="1593"/>
      <c r="IZ360" s="1593"/>
      <c r="JA360" s="1593"/>
      <c r="JB360" s="1593"/>
      <c r="JC360" s="1593"/>
      <c r="JD360" s="1593"/>
      <c r="JE360" s="1593"/>
      <c r="JF360" s="1593"/>
      <c r="JG360" s="1593"/>
      <c r="JH360" s="1593"/>
      <c r="JI360" s="1593"/>
      <c r="JJ360" s="1593"/>
      <c r="JK360" s="1593"/>
      <c r="JL360" s="1593"/>
      <c r="JM360" s="1593"/>
      <c r="JN360" s="1593"/>
      <c r="JO360" s="1593"/>
      <c r="JP360" s="1593"/>
      <c r="JQ360" s="1593"/>
      <c r="JR360" s="1593"/>
      <c r="JS360" s="1593"/>
      <c r="JT360" s="1593"/>
      <c r="JU360" s="1593"/>
      <c r="JV360" s="1593"/>
      <c r="JW360" s="1593"/>
      <c r="JX360" s="1593"/>
      <c r="JY360" s="1593"/>
      <c r="JZ360" s="1593"/>
      <c r="KA360" s="1593"/>
      <c r="KB360" s="1598"/>
    </row>
    <row r="361" spans="2:288" ht="15" customHeight="1" x14ac:dyDescent="0.25">
      <c r="B361" s="216" t="str">
        <f t="shared" si="29"/>
        <v>Desk 42</v>
      </c>
      <c r="C361" s="218" t="str">
        <v/>
      </c>
      <c r="D361" s="218" t="str">
        <v/>
      </c>
      <c r="E361" s="218" t="str">
        <v/>
      </c>
      <c r="F361" s="218" t="str">
        <v/>
      </c>
      <c r="G361" s="402" t="str">
        <v/>
      </c>
      <c r="H361" s="1593"/>
      <c r="I361" s="1593"/>
      <c r="J361" s="1593"/>
      <c r="K361" s="1593"/>
      <c r="L361" s="1593"/>
      <c r="M361" s="1593"/>
      <c r="N361" s="1593"/>
      <c r="O361" s="1593"/>
      <c r="P361" s="1593"/>
      <c r="Q361" s="1593"/>
      <c r="R361" s="1593"/>
      <c r="S361" s="1593"/>
      <c r="T361" s="1593"/>
      <c r="U361" s="1593"/>
      <c r="V361" s="1593"/>
      <c r="W361" s="1593"/>
      <c r="X361" s="1593"/>
      <c r="Y361" s="1593"/>
      <c r="Z361" s="1593"/>
      <c r="AA361" s="1593"/>
      <c r="AB361" s="1593"/>
      <c r="AC361" s="1593"/>
      <c r="AD361" s="1593"/>
      <c r="AE361" s="1593"/>
      <c r="AF361" s="1593"/>
      <c r="AG361" s="1593"/>
      <c r="AH361" s="1593"/>
      <c r="AI361" s="1593"/>
      <c r="AJ361" s="1593"/>
      <c r="AK361" s="1593"/>
      <c r="AL361" s="1593"/>
      <c r="AM361" s="1593"/>
      <c r="AN361" s="1593"/>
      <c r="AO361" s="1593"/>
      <c r="AP361" s="1593"/>
      <c r="AQ361" s="1593"/>
      <c r="AR361" s="1593"/>
      <c r="AS361" s="1593"/>
      <c r="AT361" s="1593"/>
      <c r="AU361" s="1593"/>
      <c r="AV361" s="1593"/>
      <c r="AW361" s="1593"/>
      <c r="AX361" s="1593"/>
      <c r="AY361" s="1593"/>
      <c r="AZ361" s="1593"/>
      <c r="BA361" s="1593"/>
      <c r="BB361" s="1593"/>
      <c r="BC361" s="1593"/>
      <c r="BD361" s="1593"/>
      <c r="BE361" s="1593"/>
      <c r="BF361" s="1593"/>
      <c r="BG361" s="1593"/>
      <c r="BH361" s="1593"/>
      <c r="BI361" s="1593"/>
      <c r="BJ361" s="1593"/>
      <c r="BK361" s="1593"/>
      <c r="BL361" s="1593"/>
      <c r="BM361" s="1593"/>
      <c r="BN361" s="1593"/>
      <c r="BO361" s="1593"/>
      <c r="BP361" s="1593"/>
      <c r="BQ361" s="1593"/>
      <c r="BR361" s="1593"/>
      <c r="BS361" s="1593"/>
      <c r="BT361" s="1593"/>
      <c r="BU361" s="1593"/>
      <c r="BV361" s="1593"/>
      <c r="BW361" s="1593"/>
      <c r="BX361" s="1593"/>
      <c r="BY361" s="1593"/>
      <c r="BZ361" s="1593"/>
      <c r="CA361" s="1593"/>
      <c r="CB361" s="1593"/>
      <c r="CC361" s="1593"/>
      <c r="CD361" s="1593"/>
      <c r="CE361" s="1593"/>
      <c r="CF361" s="1593"/>
      <c r="CG361" s="1593"/>
      <c r="CH361" s="1593"/>
      <c r="CI361" s="1593"/>
      <c r="CJ361" s="1593"/>
      <c r="CK361" s="1593"/>
      <c r="CL361" s="1593"/>
      <c r="CM361" s="1593"/>
      <c r="CN361" s="1593"/>
      <c r="CO361" s="1593"/>
      <c r="CP361" s="1593"/>
      <c r="CQ361" s="1593"/>
      <c r="CR361" s="1593"/>
      <c r="CS361" s="1593"/>
      <c r="CT361" s="1593"/>
      <c r="CU361" s="1593"/>
      <c r="CV361" s="1593"/>
      <c r="CW361" s="1593"/>
      <c r="CX361" s="1593"/>
      <c r="CY361" s="1593"/>
      <c r="CZ361" s="1593"/>
      <c r="DA361" s="1593"/>
      <c r="DB361" s="1593"/>
      <c r="DC361" s="1593"/>
      <c r="DD361" s="1593"/>
      <c r="DE361" s="1593"/>
      <c r="DF361" s="1593"/>
      <c r="DG361" s="1593"/>
      <c r="DH361" s="1593"/>
      <c r="DI361" s="1593"/>
      <c r="DJ361" s="1593"/>
      <c r="DK361" s="1593"/>
      <c r="DL361" s="1593"/>
      <c r="DM361" s="1593"/>
      <c r="DN361" s="1593"/>
      <c r="DO361" s="1593"/>
      <c r="DP361" s="1593"/>
      <c r="DQ361" s="1593"/>
      <c r="DR361" s="1593"/>
      <c r="DS361" s="1593"/>
      <c r="DT361" s="1593"/>
      <c r="DU361" s="1593"/>
      <c r="DV361" s="1593"/>
      <c r="DW361" s="1593"/>
      <c r="DX361" s="1593"/>
      <c r="DY361" s="1593"/>
      <c r="DZ361" s="1593"/>
      <c r="EA361" s="1593"/>
      <c r="EB361" s="1593"/>
      <c r="EC361" s="1593"/>
      <c r="ED361" s="1593"/>
      <c r="EE361" s="1593"/>
      <c r="EF361" s="1593"/>
      <c r="EG361" s="1593"/>
      <c r="EH361" s="1593"/>
      <c r="EI361" s="1593"/>
      <c r="EJ361" s="1593"/>
      <c r="EK361" s="1593"/>
      <c r="EL361" s="1593"/>
      <c r="EM361" s="1593"/>
      <c r="EN361" s="1593"/>
      <c r="EO361" s="1593"/>
      <c r="EP361" s="1593"/>
      <c r="EQ361" s="1593"/>
      <c r="ER361" s="1593"/>
      <c r="ES361" s="1593"/>
      <c r="ET361" s="1593"/>
      <c r="EU361" s="1593"/>
      <c r="EV361" s="1593"/>
      <c r="EW361" s="1593"/>
      <c r="EX361" s="1593"/>
      <c r="EY361" s="1593"/>
      <c r="EZ361" s="1593"/>
      <c r="FA361" s="1593"/>
      <c r="FB361" s="1593"/>
      <c r="FC361" s="1593"/>
      <c r="FD361" s="1593"/>
      <c r="FE361" s="1593"/>
      <c r="FF361" s="1593"/>
      <c r="FG361" s="1593"/>
      <c r="FH361" s="1593"/>
      <c r="FI361" s="1593"/>
      <c r="FJ361" s="1593"/>
      <c r="FK361" s="1593"/>
      <c r="FL361" s="1593"/>
      <c r="FM361" s="1593"/>
      <c r="FN361" s="1593"/>
      <c r="FO361" s="1593"/>
      <c r="FP361" s="1593"/>
      <c r="FQ361" s="1593"/>
      <c r="FR361" s="1593"/>
      <c r="FS361" s="1593"/>
      <c r="FT361" s="1593"/>
      <c r="FU361" s="1593"/>
      <c r="FV361" s="1593"/>
      <c r="FW361" s="1593"/>
      <c r="FX361" s="1593"/>
      <c r="FY361" s="1593"/>
      <c r="FZ361" s="1593"/>
      <c r="GA361" s="1593"/>
      <c r="GB361" s="1593"/>
      <c r="GC361" s="1593"/>
      <c r="GD361" s="1593"/>
      <c r="GE361" s="1593"/>
      <c r="GF361" s="1593"/>
      <c r="GG361" s="1593"/>
      <c r="GH361" s="1593"/>
      <c r="GI361" s="1593"/>
      <c r="GJ361" s="1593"/>
      <c r="GK361" s="1593"/>
      <c r="GL361" s="1593"/>
      <c r="GM361" s="1593"/>
      <c r="GN361" s="1593"/>
      <c r="GO361" s="1593"/>
      <c r="GP361" s="1593"/>
      <c r="GQ361" s="1593"/>
      <c r="GR361" s="1593"/>
      <c r="GS361" s="1593"/>
      <c r="GT361" s="1593"/>
      <c r="GU361" s="1593"/>
      <c r="GV361" s="1593"/>
      <c r="GW361" s="1593"/>
      <c r="GX361" s="1593"/>
      <c r="GY361" s="1593"/>
      <c r="GZ361" s="1593"/>
      <c r="HA361" s="1593"/>
      <c r="HB361" s="1593"/>
      <c r="HC361" s="1593"/>
      <c r="HD361" s="1593"/>
      <c r="HE361" s="1593"/>
      <c r="HF361" s="1593"/>
      <c r="HG361" s="1593"/>
      <c r="HH361" s="1593"/>
      <c r="HI361" s="1593"/>
      <c r="HJ361" s="1593"/>
      <c r="HK361" s="1593"/>
      <c r="HL361" s="1593"/>
      <c r="HM361" s="1593"/>
      <c r="HN361" s="1593"/>
      <c r="HO361" s="1593"/>
      <c r="HP361" s="1593"/>
      <c r="HQ361" s="1593"/>
      <c r="HR361" s="1593"/>
      <c r="HS361" s="1593"/>
      <c r="HT361" s="1593"/>
      <c r="HU361" s="1593"/>
      <c r="HV361" s="1593"/>
      <c r="HW361" s="1593"/>
      <c r="HX361" s="1593"/>
      <c r="HY361" s="1593"/>
      <c r="HZ361" s="1593"/>
      <c r="IA361" s="1593"/>
      <c r="IB361" s="1593"/>
      <c r="IC361" s="1593"/>
      <c r="ID361" s="1593"/>
      <c r="IE361" s="1593"/>
      <c r="IF361" s="1593"/>
      <c r="IG361" s="1593"/>
      <c r="IH361" s="1593"/>
      <c r="II361" s="1593"/>
      <c r="IJ361" s="1593"/>
      <c r="IK361" s="1593"/>
      <c r="IL361" s="1593"/>
      <c r="IM361" s="1593"/>
      <c r="IN361" s="1593"/>
      <c r="IO361" s="1593"/>
      <c r="IP361" s="1593"/>
      <c r="IQ361" s="1593"/>
      <c r="IR361" s="1593"/>
      <c r="IS361" s="1593"/>
      <c r="IT361" s="1593"/>
      <c r="IU361" s="1593"/>
      <c r="IV361" s="1593"/>
      <c r="IW361" s="1593"/>
      <c r="IX361" s="1593"/>
      <c r="IY361" s="1593"/>
      <c r="IZ361" s="1593"/>
      <c r="JA361" s="1593"/>
      <c r="JB361" s="1593"/>
      <c r="JC361" s="1593"/>
      <c r="JD361" s="1593"/>
      <c r="JE361" s="1593"/>
      <c r="JF361" s="1593"/>
      <c r="JG361" s="1593"/>
      <c r="JH361" s="1593"/>
      <c r="JI361" s="1593"/>
      <c r="JJ361" s="1593"/>
      <c r="JK361" s="1593"/>
      <c r="JL361" s="1593"/>
      <c r="JM361" s="1593"/>
      <c r="JN361" s="1593"/>
      <c r="JO361" s="1593"/>
      <c r="JP361" s="1593"/>
      <c r="JQ361" s="1593"/>
      <c r="JR361" s="1593"/>
      <c r="JS361" s="1593"/>
      <c r="JT361" s="1593"/>
      <c r="JU361" s="1593"/>
      <c r="JV361" s="1593"/>
      <c r="JW361" s="1593"/>
      <c r="JX361" s="1593"/>
      <c r="JY361" s="1593"/>
      <c r="JZ361" s="1593"/>
      <c r="KA361" s="1593"/>
      <c r="KB361" s="1598"/>
    </row>
    <row r="362" spans="2:288" ht="15" customHeight="1" x14ac:dyDescent="0.25">
      <c r="B362" s="216" t="str">
        <f t="shared" si="29"/>
        <v>Desk 43</v>
      </c>
      <c r="C362" s="218" t="str">
        <v/>
      </c>
      <c r="D362" s="218" t="str">
        <v/>
      </c>
      <c r="E362" s="218" t="str">
        <v/>
      </c>
      <c r="F362" s="218" t="str">
        <v/>
      </c>
      <c r="G362" s="402" t="str">
        <v/>
      </c>
      <c r="H362" s="1593"/>
      <c r="I362" s="1593"/>
      <c r="J362" s="1593"/>
      <c r="K362" s="1593"/>
      <c r="L362" s="1593"/>
      <c r="M362" s="1593"/>
      <c r="N362" s="1593"/>
      <c r="O362" s="1593"/>
      <c r="P362" s="1593"/>
      <c r="Q362" s="1593"/>
      <c r="R362" s="1593"/>
      <c r="S362" s="1593"/>
      <c r="T362" s="1593"/>
      <c r="U362" s="1593"/>
      <c r="V362" s="1593"/>
      <c r="W362" s="1593"/>
      <c r="X362" s="1593"/>
      <c r="Y362" s="1593"/>
      <c r="Z362" s="1593"/>
      <c r="AA362" s="1593"/>
      <c r="AB362" s="1593"/>
      <c r="AC362" s="1593"/>
      <c r="AD362" s="1593"/>
      <c r="AE362" s="1593"/>
      <c r="AF362" s="1593"/>
      <c r="AG362" s="1593"/>
      <c r="AH362" s="1593"/>
      <c r="AI362" s="1593"/>
      <c r="AJ362" s="1593"/>
      <c r="AK362" s="1593"/>
      <c r="AL362" s="1593"/>
      <c r="AM362" s="1593"/>
      <c r="AN362" s="1593"/>
      <c r="AO362" s="1593"/>
      <c r="AP362" s="1593"/>
      <c r="AQ362" s="1593"/>
      <c r="AR362" s="1593"/>
      <c r="AS362" s="1593"/>
      <c r="AT362" s="1593"/>
      <c r="AU362" s="1593"/>
      <c r="AV362" s="1593"/>
      <c r="AW362" s="1593"/>
      <c r="AX362" s="1593"/>
      <c r="AY362" s="1593"/>
      <c r="AZ362" s="1593"/>
      <c r="BA362" s="1593"/>
      <c r="BB362" s="1593"/>
      <c r="BC362" s="1593"/>
      <c r="BD362" s="1593"/>
      <c r="BE362" s="1593"/>
      <c r="BF362" s="1593"/>
      <c r="BG362" s="1593"/>
      <c r="BH362" s="1593"/>
      <c r="BI362" s="1593"/>
      <c r="BJ362" s="1593"/>
      <c r="BK362" s="1593"/>
      <c r="BL362" s="1593"/>
      <c r="BM362" s="1593"/>
      <c r="BN362" s="1593"/>
      <c r="BO362" s="1593"/>
      <c r="BP362" s="1593"/>
      <c r="BQ362" s="1593"/>
      <c r="BR362" s="1593"/>
      <c r="BS362" s="1593"/>
      <c r="BT362" s="1593"/>
      <c r="BU362" s="1593"/>
      <c r="BV362" s="1593"/>
      <c r="BW362" s="1593"/>
      <c r="BX362" s="1593"/>
      <c r="BY362" s="1593"/>
      <c r="BZ362" s="1593"/>
      <c r="CA362" s="1593"/>
      <c r="CB362" s="1593"/>
      <c r="CC362" s="1593"/>
      <c r="CD362" s="1593"/>
      <c r="CE362" s="1593"/>
      <c r="CF362" s="1593"/>
      <c r="CG362" s="1593"/>
      <c r="CH362" s="1593"/>
      <c r="CI362" s="1593"/>
      <c r="CJ362" s="1593"/>
      <c r="CK362" s="1593"/>
      <c r="CL362" s="1593"/>
      <c r="CM362" s="1593"/>
      <c r="CN362" s="1593"/>
      <c r="CO362" s="1593"/>
      <c r="CP362" s="1593"/>
      <c r="CQ362" s="1593"/>
      <c r="CR362" s="1593"/>
      <c r="CS362" s="1593"/>
      <c r="CT362" s="1593"/>
      <c r="CU362" s="1593"/>
      <c r="CV362" s="1593"/>
      <c r="CW362" s="1593"/>
      <c r="CX362" s="1593"/>
      <c r="CY362" s="1593"/>
      <c r="CZ362" s="1593"/>
      <c r="DA362" s="1593"/>
      <c r="DB362" s="1593"/>
      <c r="DC362" s="1593"/>
      <c r="DD362" s="1593"/>
      <c r="DE362" s="1593"/>
      <c r="DF362" s="1593"/>
      <c r="DG362" s="1593"/>
      <c r="DH362" s="1593"/>
      <c r="DI362" s="1593"/>
      <c r="DJ362" s="1593"/>
      <c r="DK362" s="1593"/>
      <c r="DL362" s="1593"/>
      <c r="DM362" s="1593"/>
      <c r="DN362" s="1593"/>
      <c r="DO362" s="1593"/>
      <c r="DP362" s="1593"/>
      <c r="DQ362" s="1593"/>
      <c r="DR362" s="1593"/>
      <c r="DS362" s="1593"/>
      <c r="DT362" s="1593"/>
      <c r="DU362" s="1593"/>
      <c r="DV362" s="1593"/>
      <c r="DW362" s="1593"/>
      <c r="DX362" s="1593"/>
      <c r="DY362" s="1593"/>
      <c r="DZ362" s="1593"/>
      <c r="EA362" s="1593"/>
      <c r="EB362" s="1593"/>
      <c r="EC362" s="1593"/>
      <c r="ED362" s="1593"/>
      <c r="EE362" s="1593"/>
      <c r="EF362" s="1593"/>
      <c r="EG362" s="1593"/>
      <c r="EH362" s="1593"/>
      <c r="EI362" s="1593"/>
      <c r="EJ362" s="1593"/>
      <c r="EK362" s="1593"/>
      <c r="EL362" s="1593"/>
      <c r="EM362" s="1593"/>
      <c r="EN362" s="1593"/>
      <c r="EO362" s="1593"/>
      <c r="EP362" s="1593"/>
      <c r="EQ362" s="1593"/>
      <c r="ER362" s="1593"/>
      <c r="ES362" s="1593"/>
      <c r="ET362" s="1593"/>
      <c r="EU362" s="1593"/>
      <c r="EV362" s="1593"/>
      <c r="EW362" s="1593"/>
      <c r="EX362" s="1593"/>
      <c r="EY362" s="1593"/>
      <c r="EZ362" s="1593"/>
      <c r="FA362" s="1593"/>
      <c r="FB362" s="1593"/>
      <c r="FC362" s="1593"/>
      <c r="FD362" s="1593"/>
      <c r="FE362" s="1593"/>
      <c r="FF362" s="1593"/>
      <c r="FG362" s="1593"/>
      <c r="FH362" s="1593"/>
      <c r="FI362" s="1593"/>
      <c r="FJ362" s="1593"/>
      <c r="FK362" s="1593"/>
      <c r="FL362" s="1593"/>
      <c r="FM362" s="1593"/>
      <c r="FN362" s="1593"/>
      <c r="FO362" s="1593"/>
      <c r="FP362" s="1593"/>
      <c r="FQ362" s="1593"/>
      <c r="FR362" s="1593"/>
      <c r="FS362" s="1593"/>
      <c r="FT362" s="1593"/>
      <c r="FU362" s="1593"/>
      <c r="FV362" s="1593"/>
      <c r="FW362" s="1593"/>
      <c r="FX362" s="1593"/>
      <c r="FY362" s="1593"/>
      <c r="FZ362" s="1593"/>
      <c r="GA362" s="1593"/>
      <c r="GB362" s="1593"/>
      <c r="GC362" s="1593"/>
      <c r="GD362" s="1593"/>
      <c r="GE362" s="1593"/>
      <c r="GF362" s="1593"/>
      <c r="GG362" s="1593"/>
      <c r="GH362" s="1593"/>
      <c r="GI362" s="1593"/>
      <c r="GJ362" s="1593"/>
      <c r="GK362" s="1593"/>
      <c r="GL362" s="1593"/>
      <c r="GM362" s="1593"/>
      <c r="GN362" s="1593"/>
      <c r="GO362" s="1593"/>
      <c r="GP362" s="1593"/>
      <c r="GQ362" s="1593"/>
      <c r="GR362" s="1593"/>
      <c r="GS362" s="1593"/>
      <c r="GT362" s="1593"/>
      <c r="GU362" s="1593"/>
      <c r="GV362" s="1593"/>
      <c r="GW362" s="1593"/>
      <c r="GX362" s="1593"/>
      <c r="GY362" s="1593"/>
      <c r="GZ362" s="1593"/>
      <c r="HA362" s="1593"/>
      <c r="HB362" s="1593"/>
      <c r="HC362" s="1593"/>
      <c r="HD362" s="1593"/>
      <c r="HE362" s="1593"/>
      <c r="HF362" s="1593"/>
      <c r="HG362" s="1593"/>
      <c r="HH362" s="1593"/>
      <c r="HI362" s="1593"/>
      <c r="HJ362" s="1593"/>
      <c r="HK362" s="1593"/>
      <c r="HL362" s="1593"/>
      <c r="HM362" s="1593"/>
      <c r="HN362" s="1593"/>
      <c r="HO362" s="1593"/>
      <c r="HP362" s="1593"/>
      <c r="HQ362" s="1593"/>
      <c r="HR362" s="1593"/>
      <c r="HS362" s="1593"/>
      <c r="HT362" s="1593"/>
      <c r="HU362" s="1593"/>
      <c r="HV362" s="1593"/>
      <c r="HW362" s="1593"/>
      <c r="HX362" s="1593"/>
      <c r="HY362" s="1593"/>
      <c r="HZ362" s="1593"/>
      <c r="IA362" s="1593"/>
      <c r="IB362" s="1593"/>
      <c r="IC362" s="1593"/>
      <c r="ID362" s="1593"/>
      <c r="IE362" s="1593"/>
      <c r="IF362" s="1593"/>
      <c r="IG362" s="1593"/>
      <c r="IH362" s="1593"/>
      <c r="II362" s="1593"/>
      <c r="IJ362" s="1593"/>
      <c r="IK362" s="1593"/>
      <c r="IL362" s="1593"/>
      <c r="IM362" s="1593"/>
      <c r="IN362" s="1593"/>
      <c r="IO362" s="1593"/>
      <c r="IP362" s="1593"/>
      <c r="IQ362" s="1593"/>
      <c r="IR362" s="1593"/>
      <c r="IS362" s="1593"/>
      <c r="IT362" s="1593"/>
      <c r="IU362" s="1593"/>
      <c r="IV362" s="1593"/>
      <c r="IW362" s="1593"/>
      <c r="IX362" s="1593"/>
      <c r="IY362" s="1593"/>
      <c r="IZ362" s="1593"/>
      <c r="JA362" s="1593"/>
      <c r="JB362" s="1593"/>
      <c r="JC362" s="1593"/>
      <c r="JD362" s="1593"/>
      <c r="JE362" s="1593"/>
      <c r="JF362" s="1593"/>
      <c r="JG362" s="1593"/>
      <c r="JH362" s="1593"/>
      <c r="JI362" s="1593"/>
      <c r="JJ362" s="1593"/>
      <c r="JK362" s="1593"/>
      <c r="JL362" s="1593"/>
      <c r="JM362" s="1593"/>
      <c r="JN362" s="1593"/>
      <c r="JO362" s="1593"/>
      <c r="JP362" s="1593"/>
      <c r="JQ362" s="1593"/>
      <c r="JR362" s="1593"/>
      <c r="JS362" s="1593"/>
      <c r="JT362" s="1593"/>
      <c r="JU362" s="1593"/>
      <c r="JV362" s="1593"/>
      <c r="JW362" s="1593"/>
      <c r="JX362" s="1593"/>
      <c r="JY362" s="1593"/>
      <c r="JZ362" s="1593"/>
      <c r="KA362" s="1593"/>
      <c r="KB362" s="1598"/>
    </row>
    <row r="363" spans="2:288" ht="15" customHeight="1" x14ac:dyDescent="0.25">
      <c r="B363" s="216" t="str">
        <f t="shared" si="29"/>
        <v>Desk 44</v>
      </c>
      <c r="C363" s="218" t="str">
        <v/>
      </c>
      <c r="D363" s="218" t="str">
        <v/>
      </c>
      <c r="E363" s="218" t="str">
        <v/>
      </c>
      <c r="F363" s="218" t="str">
        <v/>
      </c>
      <c r="G363" s="402" t="str">
        <v/>
      </c>
      <c r="H363" s="1593"/>
      <c r="I363" s="1593"/>
      <c r="J363" s="1593"/>
      <c r="K363" s="1593"/>
      <c r="L363" s="1593"/>
      <c r="M363" s="1593"/>
      <c r="N363" s="1593"/>
      <c r="O363" s="1593"/>
      <c r="P363" s="1593"/>
      <c r="Q363" s="1593"/>
      <c r="R363" s="1593"/>
      <c r="S363" s="1593"/>
      <c r="T363" s="1593"/>
      <c r="U363" s="1593"/>
      <c r="V363" s="1593"/>
      <c r="W363" s="1593"/>
      <c r="X363" s="1593"/>
      <c r="Y363" s="1593"/>
      <c r="Z363" s="1593"/>
      <c r="AA363" s="1593"/>
      <c r="AB363" s="1593"/>
      <c r="AC363" s="1593"/>
      <c r="AD363" s="1593"/>
      <c r="AE363" s="1593"/>
      <c r="AF363" s="1593"/>
      <c r="AG363" s="1593"/>
      <c r="AH363" s="1593"/>
      <c r="AI363" s="1593"/>
      <c r="AJ363" s="1593"/>
      <c r="AK363" s="1593"/>
      <c r="AL363" s="1593"/>
      <c r="AM363" s="1593"/>
      <c r="AN363" s="1593"/>
      <c r="AO363" s="1593"/>
      <c r="AP363" s="1593"/>
      <c r="AQ363" s="1593"/>
      <c r="AR363" s="1593"/>
      <c r="AS363" s="1593"/>
      <c r="AT363" s="1593"/>
      <c r="AU363" s="1593"/>
      <c r="AV363" s="1593"/>
      <c r="AW363" s="1593"/>
      <c r="AX363" s="1593"/>
      <c r="AY363" s="1593"/>
      <c r="AZ363" s="1593"/>
      <c r="BA363" s="1593"/>
      <c r="BB363" s="1593"/>
      <c r="BC363" s="1593"/>
      <c r="BD363" s="1593"/>
      <c r="BE363" s="1593"/>
      <c r="BF363" s="1593"/>
      <c r="BG363" s="1593"/>
      <c r="BH363" s="1593"/>
      <c r="BI363" s="1593"/>
      <c r="BJ363" s="1593"/>
      <c r="BK363" s="1593"/>
      <c r="BL363" s="1593"/>
      <c r="BM363" s="1593"/>
      <c r="BN363" s="1593"/>
      <c r="BO363" s="1593"/>
      <c r="BP363" s="1593"/>
      <c r="BQ363" s="1593"/>
      <c r="BR363" s="1593"/>
      <c r="BS363" s="1593"/>
      <c r="BT363" s="1593"/>
      <c r="BU363" s="1593"/>
      <c r="BV363" s="1593"/>
      <c r="BW363" s="1593"/>
      <c r="BX363" s="1593"/>
      <c r="BY363" s="1593"/>
      <c r="BZ363" s="1593"/>
      <c r="CA363" s="1593"/>
      <c r="CB363" s="1593"/>
      <c r="CC363" s="1593"/>
      <c r="CD363" s="1593"/>
      <c r="CE363" s="1593"/>
      <c r="CF363" s="1593"/>
      <c r="CG363" s="1593"/>
      <c r="CH363" s="1593"/>
      <c r="CI363" s="1593"/>
      <c r="CJ363" s="1593"/>
      <c r="CK363" s="1593"/>
      <c r="CL363" s="1593"/>
      <c r="CM363" s="1593"/>
      <c r="CN363" s="1593"/>
      <c r="CO363" s="1593"/>
      <c r="CP363" s="1593"/>
      <c r="CQ363" s="1593"/>
      <c r="CR363" s="1593"/>
      <c r="CS363" s="1593"/>
      <c r="CT363" s="1593"/>
      <c r="CU363" s="1593"/>
      <c r="CV363" s="1593"/>
      <c r="CW363" s="1593"/>
      <c r="CX363" s="1593"/>
      <c r="CY363" s="1593"/>
      <c r="CZ363" s="1593"/>
      <c r="DA363" s="1593"/>
      <c r="DB363" s="1593"/>
      <c r="DC363" s="1593"/>
      <c r="DD363" s="1593"/>
      <c r="DE363" s="1593"/>
      <c r="DF363" s="1593"/>
      <c r="DG363" s="1593"/>
      <c r="DH363" s="1593"/>
      <c r="DI363" s="1593"/>
      <c r="DJ363" s="1593"/>
      <c r="DK363" s="1593"/>
      <c r="DL363" s="1593"/>
      <c r="DM363" s="1593"/>
      <c r="DN363" s="1593"/>
      <c r="DO363" s="1593"/>
      <c r="DP363" s="1593"/>
      <c r="DQ363" s="1593"/>
      <c r="DR363" s="1593"/>
      <c r="DS363" s="1593"/>
      <c r="DT363" s="1593"/>
      <c r="DU363" s="1593"/>
      <c r="DV363" s="1593"/>
      <c r="DW363" s="1593"/>
      <c r="DX363" s="1593"/>
      <c r="DY363" s="1593"/>
      <c r="DZ363" s="1593"/>
      <c r="EA363" s="1593"/>
      <c r="EB363" s="1593"/>
      <c r="EC363" s="1593"/>
      <c r="ED363" s="1593"/>
      <c r="EE363" s="1593"/>
      <c r="EF363" s="1593"/>
      <c r="EG363" s="1593"/>
      <c r="EH363" s="1593"/>
      <c r="EI363" s="1593"/>
      <c r="EJ363" s="1593"/>
      <c r="EK363" s="1593"/>
      <c r="EL363" s="1593"/>
      <c r="EM363" s="1593"/>
      <c r="EN363" s="1593"/>
      <c r="EO363" s="1593"/>
      <c r="EP363" s="1593"/>
      <c r="EQ363" s="1593"/>
      <c r="ER363" s="1593"/>
      <c r="ES363" s="1593"/>
      <c r="ET363" s="1593"/>
      <c r="EU363" s="1593"/>
      <c r="EV363" s="1593"/>
      <c r="EW363" s="1593"/>
      <c r="EX363" s="1593"/>
      <c r="EY363" s="1593"/>
      <c r="EZ363" s="1593"/>
      <c r="FA363" s="1593"/>
      <c r="FB363" s="1593"/>
      <c r="FC363" s="1593"/>
      <c r="FD363" s="1593"/>
      <c r="FE363" s="1593"/>
      <c r="FF363" s="1593"/>
      <c r="FG363" s="1593"/>
      <c r="FH363" s="1593"/>
      <c r="FI363" s="1593"/>
      <c r="FJ363" s="1593"/>
      <c r="FK363" s="1593"/>
      <c r="FL363" s="1593"/>
      <c r="FM363" s="1593"/>
      <c r="FN363" s="1593"/>
      <c r="FO363" s="1593"/>
      <c r="FP363" s="1593"/>
      <c r="FQ363" s="1593"/>
      <c r="FR363" s="1593"/>
      <c r="FS363" s="1593"/>
      <c r="FT363" s="1593"/>
      <c r="FU363" s="1593"/>
      <c r="FV363" s="1593"/>
      <c r="FW363" s="1593"/>
      <c r="FX363" s="1593"/>
      <c r="FY363" s="1593"/>
      <c r="FZ363" s="1593"/>
      <c r="GA363" s="1593"/>
      <c r="GB363" s="1593"/>
      <c r="GC363" s="1593"/>
      <c r="GD363" s="1593"/>
      <c r="GE363" s="1593"/>
      <c r="GF363" s="1593"/>
      <c r="GG363" s="1593"/>
      <c r="GH363" s="1593"/>
      <c r="GI363" s="1593"/>
      <c r="GJ363" s="1593"/>
      <c r="GK363" s="1593"/>
      <c r="GL363" s="1593"/>
      <c r="GM363" s="1593"/>
      <c r="GN363" s="1593"/>
      <c r="GO363" s="1593"/>
      <c r="GP363" s="1593"/>
      <c r="GQ363" s="1593"/>
      <c r="GR363" s="1593"/>
      <c r="GS363" s="1593"/>
      <c r="GT363" s="1593"/>
      <c r="GU363" s="1593"/>
      <c r="GV363" s="1593"/>
      <c r="GW363" s="1593"/>
      <c r="GX363" s="1593"/>
      <c r="GY363" s="1593"/>
      <c r="GZ363" s="1593"/>
      <c r="HA363" s="1593"/>
      <c r="HB363" s="1593"/>
      <c r="HC363" s="1593"/>
      <c r="HD363" s="1593"/>
      <c r="HE363" s="1593"/>
      <c r="HF363" s="1593"/>
      <c r="HG363" s="1593"/>
      <c r="HH363" s="1593"/>
      <c r="HI363" s="1593"/>
      <c r="HJ363" s="1593"/>
      <c r="HK363" s="1593"/>
      <c r="HL363" s="1593"/>
      <c r="HM363" s="1593"/>
      <c r="HN363" s="1593"/>
      <c r="HO363" s="1593"/>
      <c r="HP363" s="1593"/>
      <c r="HQ363" s="1593"/>
      <c r="HR363" s="1593"/>
      <c r="HS363" s="1593"/>
      <c r="HT363" s="1593"/>
      <c r="HU363" s="1593"/>
      <c r="HV363" s="1593"/>
      <c r="HW363" s="1593"/>
      <c r="HX363" s="1593"/>
      <c r="HY363" s="1593"/>
      <c r="HZ363" s="1593"/>
      <c r="IA363" s="1593"/>
      <c r="IB363" s="1593"/>
      <c r="IC363" s="1593"/>
      <c r="ID363" s="1593"/>
      <c r="IE363" s="1593"/>
      <c r="IF363" s="1593"/>
      <c r="IG363" s="1593"/>
      <c r="IH363" s="1593"/>
      <c r="II363" s="1593"/>
      <c r="IJ363" s="1593"/>
      <c r="IK363" s="1593"/>
      <c r="IL363" s="1593"/>
      <c r="IM363" s="1593"/>
      <c r="IN363" s="1593"/>
      <c r="IO363" s="1593"/>
      <c r="IP363" s="1593"/>
      <c r="IQ363" s="1593"/>
      <c r="IR363" s="1593"/>
      <c r="IS363" s="1593"/>
      <c r="IT363" s="1593"/>
      <c r="IU363" s="1593"/>
      <c r="IV363" s="1593"/>
      <c r="IW363" s="1593"/>
      <c r="IX363" s="1593"/>
      <c r="IY363" s="1593"/>
      <c r="IZ363" s="1593"/>
      <c r="JA363" s="1593"/>
      <c r="JB363" s="1593"/>
      <c r="JC363" s="1593"/>
      <c r="JD363" s="1593"/>
      <c r="JE363" s="1593"/>
      <c r="JF363" s="1593"/>
      <c r="JG363" s="1593"/>
      <c r="JH363" s="1593"/>
      <c r="JI363" s="1593"/>
      <c r="JJ363" s="1593"/>
      <c r="JK363" s="1593"/>
      <c r="JL363" s="1593"/>
      <c r="JM363" s="1593"/>
      <c r="JN363" s="1593"/>
      <c r="JO363" s="1593"/>
      <c r="JP363" s="1593"/>
      <c r="JQ363" s="1593"/>
      <c r="JR363" s="1593"/>
      <c r="JS363" s="1593"/>
      <c r="JT363" s="1593"/>
      <c r="JU363" s="1593"/>
      <c r="JV363" s="1593"/>
      <c r="JW363" s="1593"/>
      <c r="JX363" s="1593"/>
      <c r="JY363" s="1593"/>
      <c r="JZ363" s="1593"/>
      <c r="KA363" s="1593"/>
      <c r="KB363" s="1598"/>
    </row>
    <row r="364" spans="2:288" ht="15" customHeight="1" x14ac:dyDescent="0.25">
      <c r="B364" s="216" t="str">
        <f t="shared" si="29"/>
        <v>Desk 45</v>
      </c>
      <c r="C364" s="218" t="str">
        <v/>
      </c>
      <c r="D364" s="218" t="str">
        <v/>
      </c>
      <c r="E364" s="218" t="str">
        <v/>
      </c>
      <c r="F364" s="218" t="str">
        <v/>
      </c>
      <c r="G364" s="402" t="str">
        <v/>
      </c>
      <c r="H364" s="1593"/>
      <c r="I364" s="1593"/>
      <c r="J364" s="1593"/>
      <c r="K364" s="1593"/>
      <c r="L364" s="1593"/>
      <c r="M364" s="1593"/>
      <c r="N364" s="1593"/>
      <c r="O364" s="1593"/>
      <c r="P364" s="1593"/>
      <c r="Q364" s="1593"/>
      <c r="R364" s="1593"/>
      <c r="S364" s="1593"/>
      <c r="T364" s="1593"/>
      <c r="U364" s="1593"/>
      <c r="V364" s="1593"/>
      <c r="W364" s="1593"/>
      <c r="X364" s="1593"/>
      <c r="Y364" s="1593"/>
      <c r="Z364" s="1593"/>
      <c r="AA364" s="1593"/>
      <c r="AB364" s="1593"/>
      <c r="AC364" s="1593"/>
      <c r="AD364" s="1593"/>
      <c r="AE364" s="1593"/>
      <c r="AF364" s="1593"/>
      <c r="AG364" s="1593"/>
      <c r="AH364" s="1593"/>
      <c r="AI364" s="1593"/>
      <c r="AJ364" s="1593"/>
      <c r="AK364" s="1593"/>
      <c r="AL364" s="1593"/>
      <c r="AM364" s="1593"/>
      <c r="AN364" s="1593"/>
      <c r="AO364" s="1593"/>
      <c r="AP364" s="1593"/>
      <c r="AQ364" s="1593"/>
      <c r="AR364" s="1593"/>
      <c r="AS364" s="1593"/>
      <c r="AT364" s="1593"/>
      <c r="AU364" s="1593"/>
      <c r="AV364" s="1593"/>
      <c r="AW364" s="1593"/>
      <c r="AX364" s="1593"/>
      <c r="AY364" s="1593"/>
      <c r="AZ364" s="1593"/>
      <c r="BA364" s="1593"/>
      <c r="BB364" s="1593"/>
      <c r="BC364" s="1593"/>
      <c r="BD364" s="1593"/>
      <c r="BE364" s="1593"/>
      <c r="BF364" s="1593"/>
      <c r="BG364" s="1593"/>
      <c r="BH364" s="1593"/>
      <c r="BI364" s="1593"/>
      <c r="BJ364" s="1593"/>
      <c r="BK364" s="1593"/>
      <c r="BL364" s="1593"/>
      <c r="BM364" s="1593"/>
      <c r="BN364" s="1593"/>
      <c r="BO364" s="1593"/>
      <c r="BP364" s="1593"/>
      <c r="BQ364" s="1593"/>
      <c r="BR364" s="1593"/>
      <c r="BS364" s="1593"/>
      <c r="BT364" s="1593"/>
      <c r="BU364" s="1593"/>
      <c r="BV364" s="1593"/>
      <c r="BW364" s="1593"/>
      <c r="BX364" s="1593"/>
      <c r="BY364" s="1593"/>
      <c r="BZ364" s="1593"/>
      <c r="CA364" s="1593"/>
      <c r="CB364" s="1593"/>
      <c r="CC364" s="1593"/>
      <c r="CD364" s="1593"/>
      <c r="CE364" s="1593"/>
      <c r="CF364" s="1593"/>
      <c r="CG364" s="1593"/>
      <c r="CH364" s="1593"/>
      <c r="CI364" s="1593"/>
      <c r="CJ364" s="1593"/>
      <c r="CK364" s="1593"/>
      <c r="CL364" s="1593"/>
      <c r="CM364" s="1593"/>
      <c r="CN364" s="1593"/>
      <c r="CO364" s="1593"/>
      <c r="CP364" s="1593"/>
      <c r="CQ364" s="1593"/>
      <c r="CR364" s="1593"/>
      <c r="CS364" s="1593"/>
      <c r="CT364" s="1593"/>
      <c r="CU364" s="1593"/>
      <c r="CV364" s="1593"/>
      <c r="CW364" s="1593"/>
      <c r="CX364" s="1593"/>
      <c r="CY364" s="1593"/>
      <c r="CZ364" s="1593"/>
      <c r="DA364" s="1593"/>
      <c r="DB364" s="1593"/>
      <c r="DC364" s="1593"/>
      <c r="DD364" s="1593"/>
      <c r="DE364" s="1593"/>
      <c r="DF364" s="1593"/>
      <c r="DG364" s="1593"/>
      <c r="DH364" s="1593"/>
      <c r="DI364" s="1593"/>
      <c r="DJ364" s="1593"/>
      <c r="DK364" s="1593"/>
      <c r="DL364" s="1593"/>
      <c r="DM364" s="1593"/>
      <c r="DN364" s="1593"/>
      <c r="DO364" s="1593"/>
      <c r="DP364" s="1593"/>
      <c r="DQ364" s="1593"/>
      <c r="DR364" s="1593"/>
      <c r="DS364" s="1593"/>
      <c r="DT364" s="1593"/>
      <c r="DU364" s="1593"/>
      <c r="DV364" s="1593"/>
      <c r="DW364" s="1593"/>
      <c r="DX364" s="1593"/>
      <c r="DY364" s="1593"/>
      <c r="DZ364" s="1593"/>
      <c r="EA364" s="1593"/>
      <c r="EB364" s="1593"/>
      <c r="EC364" s="1593"/>
      <c r="ED364" s="1593"/>
      <c r="EE364" s="1593"/>
      <c r="EF364" s="1593"/>
      <c r="EG364" s="1593"/>
      <c r="EH364" s="1593"/>
      <c r="EI364" s="1593"/>
      <c r="EJ364" s="1593"/>
      <c r="EK364" s="1593"/>
      <c r="EL364" s="1593"/>
      <c r="EM364" s="1593"/>
      <c r="EN364" s="1593"/>
      <c r="EO364" s="1593"/>
      <c r="EP364" s="1593"/>
      <c r="EQ364" s="1593"/>
      <c r="ER364" s="1593"/>
      <c r="ES364" s="1593"/>
      <c r="ET364" s="1593"/>
      <c r="EU364" s="1593"/>
      <c r="EV364" s="1593"/>
      <c r="EW364" s="1593"/>
      <c r="EX364" s="1593"/>
      <c r="EY364" s="1593"/>
      <c r="EZ364" s="1593"/>
      <c r="FA364" s="1593"/>
      <c r="FB364" s="1593"/>
      <c r="FC364" s="1593"/>
      <c r="FD364" s="1593"/>
      <c r="FE364" s="1593"/>
      <c r="FF364" s="1593"/>
      <c r="FG364" s="1593"/>
      <c r="FH364" s="1593"/>
      <c r="FI364" s="1593"/>
      <c r="FJ364" s="1593"/>
      <c r="FK364" s="1593"/>
      <c r="FL364" s="1593"/>
      <c r="FM364" s="1593"/>
      <c r="FN364" s="1593"/>
      <c r="FO364" s="1593"/>
      <c r="FP364" s="1593"/>
      <c r="FQ364" s="1593"/>
      <c r="FR364" s="1593"/>
      <c r="FS364" s="1593"/>
      <c r="FT364" s="1593"/>
      <c r="FU364" s="1593"/>
      <c r="FV364" s="1593"/>
      <c r="FW364" s="1593"/>
      <c r="FX364" s="1593"/>
      <c r="FY364" s="1593"/>
      <c r="FZ364" s="1593"/>
      <c r="GA364" s="1593"/>
      <c r="GB364" s="1593"/>
      <c r="GC364" s="1593"/>
      <c r="GD364" s="1593"/>
      <c r="GE364" s="1593"/>
      <c r="GF364" s="1593"/>
      <c r="GG364" s="1593"/>
      <c r="GH364" s="1593"/>
      <c r="GI364" s="1593"/>
      <c r="GJ364" s="1593"/>
      <c r="GK364" s="1593"/>
      <c r="GL364" s="1593"/>
      <c r="GM364" s="1593"/>
      <c r="GN364" s="1593"/>
      <c r="GO364" s="1593"/>
      <c r="GP364" s="1593"/>
      <c r="GQ364" s="1593"/>
      <c r="GR364" s="1593"/>
      <c r="GS364" s="1593"/>
      <c r="GT364" s="1593"/>
      <c r="GU364" s="1593"/>
      <c r="GV364" s="1593"/>
      <c r="GW364" s="1593"/>
      <c r="GX364" s="1593"/>
      <c r="GY364" s="1593"/>
      <c r="GZ364" s="1593"/>
      <c r="HA364" s="1593"/>
      <c r="HB364" s="1593"/>
      <c r="HC364" s="1593"/>
      <c r="HD364" s="1593"/>
      <c r="HE364" s="1593"/>
      <c r="HF364" s="1593"/>
      <c r="HG364" s="1593"/>
      <c r="HH364" s="1593"/>
      <c r="HI364" s="1593"/>
      <c r="HJ364" s="1593"/>
      <c r="HK364" s="1593"/>
      <c r="HL364" s="1593"/>
      <c r="HM364" s="1593"/>
      <c r="HN364" s="1593"/>
      <c r="HO364" s="1593"/>
      <c r="HP364" s="1593"/>
      <c r="HQ364" s="1593"/>
      <c r="HR364" s="1593"/>
      <c r="HS364" s="1593"/>
      <c r="HT364" s="1593"/>
      <c r="HU364" s="1593"/>
      <c r="HV364" s="1593"/>
      <c r="HW364" s="1593"/>
      <c r="HX364" s="1593"/>
      <c r="HY364" s="1593"/>
      <c r="HZ364" s="1593"/>
      <c r="IA364" s="1593"/>
      <c r="IB364" s="1593"/>
      <c r="IC364" s="1593"/>
      <c r="ID364" s="1593"/>
      <c r="IE364" s="1593"/>
      <c r="IF364" s="1593"/>
      <c r="IG364" s="1593"/>
      <c r="IH364" s="1593"/>
      <c r="II364" s="1593"/>
      <c r="IJ364" s="1593"/>
      <c r="IK364" s="1593"/>
      <c r="IL364" s="1593"/>
      <c r="IM364" s="1593"/>
      <c r="IN364" s="1593"/>
      <c r="IO364" s="1593"/>
      <c r="IP364" s="1593"/>
      <c r="IQ364" s="1593"/>
      <c r="IR364" s="1593"/>
      <c r="IS364" s="1593"/>
      <c r="IT364" s="1593"/>
      <c r="IU364" s="1593"/>
      <c r="IV364" s="1593"/>
      <c r="IW364" s="1593"/>
      <c r="IX364" s="1593"/>
      <c r="IY364" s="1593"/>
      <c r="IZ364" s="1593"/>
      <c r="JA364" s="1593"/>
      <c r="JB364" s="1593"/>
      <c r="JC364" s="1593"/>
      <c r="JD364" s="1593"/>
      <c r="JE364" s="1593"/>
      <c r="JF364" s="1593"/>
      <c r="JG364" s="1593"/>
      <c r="JH364" s="1593"/>
      <c r="JI364" s="1593"/>
      <c r="JJ364" s="1593"/>
      <c r="JK364" s="1593"/>
      <c r="JL364" s="1593"/>
      <c r="JM364" s="1593"/>
      <c r="JN364" s="1593"/>
      <c r="JO364" s="1593"/>
      <c r="JP364" s="1593"/>
      <c r="JQ364" s="1593"/>
      <c r="JR364" s="1593"/>
      <c r="JS364" s="1593"/>
      <c r="JT364" s="1593"/>
      <c r="JU364" s="1593"/>
      <c r="JV364" s="1593"/>
      <c r="JW364" s="1593"/>
      <c r="JX364" s="1593"/>
      <c r="JY364" s="1593"/>
      <c r="JZ364" s="1593"/>
      <c r="KA364" s="1593"/>
      <c r="KB364" s="1598"/>
    </row>
    <row r="365" spans="2:288" ht="15" customHeight="1" x14ac:dyDescent="0.25">
      <c r="B365" s="216" t="str">
        <f t="shared" si="29"/>
        <v>Desk 46</v>
      </c>
      <c r="C365" s="218" t="str">
        <v/>
      </c>
      <c r="D365" s="218" t="str">
        <v/>
      </c>
      <c r="E365" s="218" t="str">
        <v/>
      </c>
      <c r="F365" s="218" t="str">
        <v/>
      </c>
      <c r="G365" s="402" t="str">
        <v/>
      </c>
      <c r="H365" s="1593"/>
      <c r="I365" s="1593"/>
      <c r="J365" s="1593"/>
      <c r="K365" s="1593"/>
      <c r="L365" s="1593"/>
      <c r="M365" s="1593"/>
      <c r="N365" s="1593"/>
      <c r="O365" s="1593"/>
      <c r="P365" s="1593"/>
      <c r="Q365" s="1593"/>
      <c r="R365" s="1593"/>
      <c r="S365" s="1593"/>
      <c r="T365" s="1593"/>
      <c r="U365" s="1593"/>
      <c r="V365" s="1593"/>
      <c r="W365" s="1593"/>
      <c r="X365" s="1593"/>
      <c r="Y365" s="1593"/>
      <c r="Z365" s="1593"/>
      <c r="AA365" s="1593"/>
      <c r="AB365" s="1593"/>
      <c r="AC365" s="1593"/>
      <c r="AD365" s="1593"/>
      <c r="AE365" s="1593"/>
      <c r="AF365" s="1593"/>
      <c r="AG365" s="1593"/>
      <c r="AH365" s="1593"/>
      <c r="AI365" s="1593"/>
      <c r="AJ365" s="1593"/>
      <c r="AK365" s="1593"/>
      <c r="AL365" s="1593"/>
      <c r="AM365" s="1593"/>
      <c r="AN365" s="1593"/>
      <c r="AO365" s="1593"/>
      <c r="AP365" s="1593"/>
      <c r="AQ365" s="1593"/>
      <c r="AR365" s="1593"/>
      <c r="AS365" s="1593"/>
      <c r="AT365" s="1593"/>
      <c r="AU365" s="1593"/>
      <c r="AV365" s="1593"/>
      <c r="AW365" s="1593"/>
      <c r="AX365" s="1593"/>
      <c r="AY365" s="1593"/>
      <c r="AZ365" s="1593"/>
      <c r="BA365" s="1593"/>
      <c r="BB365" s="1593"/>
      <c r="BC365" s="1593"/>
      <c r="BD365" s="1593"/>
      <c r="BE365" s="1593"/>
      <c r="BF365" s="1593"/>
      <c r="BG365" s="1593"/>
      <c r="BH365" s="1593"/>
      <c r="BI365" s="1593"/>
      <c r="BJ365" s="1593"/>
      <c r="BK365" s="1593"/>
      <c r="BL365" s="1593"/>
      <c r="BM365" s="1593"/>
      <c r="BN365" s="1593"/>
      <c r="BO365" s="1593"/>
      <c r="BP365" s="1593"/>
      <c r="BQ365" s="1593"/>
      <c r="BR365" s="1593"/>
      <c r="BS365" s="1593"/>
      <c r="BT365" s="1593"/>
      <c r="BU365" s="1593"/>
      <c r="BV365" s="1593"/>
      <c r="BW365" s="1593"/>
      <c r="BX365" s="1593"/>
      <c r="BY365" s="1593"/>
      <c r="BZ365" s="1593"/>
      <c r="CA365" s="1593"/>
      <c r="CB365" s="1593"/>
      <c r="CC365" s="1593"/>
      <c r="CD365" s="1593"/>
      <c r="CE365" s="1593"/>
      <c r="CF365" s="1593"/>
      <c r="CG365" s="1593"/>
      <c r="CH365" s="1593"/>
      <c r="CI365" s="1593"/>
      <c r="CJ365" s="1593"/>
      <c r="CK365" s="1593"/>
      <c r="CL365" s="1593"/>
      <c r="CM365" s="1593"/>
      <c r="CN365" s="1593"/>
      <c r="CO365" s="1593"/>
      <c r="CP365" s="1593"/>
      <c r="CQ365" s="1593"/>
      <c r="CR365" s="1593"/>
      <c r="CS365" s="1593"/>
      <c r="CT365" s="1593"/>
      <c r="CU365" s="1593"/>
      <c r="CV365" s="1593"/>
      <c r="CW365" s="1593"/>
      <c r="CX365" s="1593"/>
      <c r="CY365" s="1593"/>
      <c r="CZ365" s="1593"/>
      <c r="DA365" s="1593"/>
      <c r="DB365" s="1593"/>
      <c r="DC365" s="1593"/>
      <c r="DD365" s="1593"/>
      <c r="DE365" s="1593"/>
      <c r="DF365" s="1593"/>
      <c r="DG365" s="1593"/>
      <c r="DH365" s="1593"/>
      <c r="DI365" s="1593"/>
      <c r="DJ365" s="1593"/>
      <c r="DK365" s="1593"/>
      <c r="DL365" s="1593"/>
      <c r="DM365" s="1593"/>
      <c r="DN365" s="1593"/>
      <c r="DO365" s="1593"/>
      <c r="DP365" s="1593"/>
      <c r="DQ365" s="1593"/>
      <c r="DR365" s="1593"/>
      <c r="DS365" s="1593"/>
      <c r="DT365" s="1593"/>
      <c r="DU365" s="1593"/>
      <c r="DV365" s="1593"/>
      <c r="DW365" s="1593"/>
      <c r="DX365" s="1593"/>
      <c r="DY365" s="1593"/>
      <c r="DZ365" s="1593"/>
      <c r="EA365" s="1593"/>
      <c r="EB365" s="1593"/>
      <c r="EC365" s="1593"/>
      <c r="ED365" s="1593"/>
      <c r="EE365" s="1593"/>
      <c r="EF365" s="1593"/>
      <c r="EG365" s="1593"/>
      <c r="EH365" s="1593"/>
      <c r="EI365" s="1593"/>
      <c r="EJ365" s="1593"/>
      <c r="EK365" s="1593"/>
      <c r="EL365" s="1593"/>
      <c r="EM365" s="1593"/>
      <c r="EN365" s="1593"/>
      <c r="EO365" s="1593"/>
      <c r="EP365" s="1593"/>
      <c r="EQ365" s="1593"/>
      <c r="ER365" s="1593"/>
      <c r="ES365" s="1593"/>
      <c r="ET365" s="1593"/>
      <c r="EU365" s="1593"/>
      <c r="EV365" s="1593"/>
      <c r="EW365" s="1593"/>
      <c r="EX365" s="1593"/>
      <c r="EY365" s="1593"/>
      <c r="EZ365" s="1593"/>
      <c r="FA365" s="1593"/>
      <c r="FB365" s="1593"/>
      <c r="FC365" s="1593"/>
      <c r="FD365" s="1593"/>
      <c r="FE365" s="1593"/>
      <c r="FF365" s="1593"/>
      <c r="FG365" s="1593"/>
      <c r="FH365" s="1593"/>
      <c r="FI365" s="1593"/>
      <c r="FJ365" s="1593"/>
      <c r="FK365" s="1593"/>
      <c r="FL365" s="1593"/>
      <c r="FM365" s="1593"/>
      <c r="FN365" s="1593"/>
      <c r="FO365" s="1593"/>
      <c r="FP365" s="1593"/>
      <c r="FQ365" s="1593"/>
      <c r="FR365" s="1593"/>
      <c r="FS365" s="1593"/>
      <c r="FT365" s="1593"/>
      <c r="FU365" s="1593"/>
      <c r="FV365" s="1593"/>
      <c r="FW365" s="1593"/>
      <c r="FX365" s="1593"/>
      <c r="FY365" s="1593"/>
      <c r="FZ365" s="1593"/>
      <c r="GA365" s="1593"/>
      <c r="GB365" s="1593"/>
      <c r="GC365" s="1593"/>
      <c r="GD365" s="1593"/>
      <c r="GE365" s="1593"/>
      <c r="GF365" s="1593"/>
      <c r="GG365" s="1593"/>
      <c r="GH365" s="1593"/>
      <c r="GI365" s="1593"/>
      <c r="GJ365" s="1593"/>
      <c r="GK365" s="1593"/>
      <c r="GL365" s="1593"/>
      <c r="GM365" s="1593"/>
      <c r="GN365" s="1593"/>
      <c r="GO365" s="1593"/>
      <c r="GP365" s="1593"/>
      <c r="GQ365" s="1593"/>
      <c r="GR365" s="1593"/>
      <c r="GS365" s="1593"/>
      <c r="GT365" s="1593"/>
      <c r="GU365" s="1593"/>
      <c r="GV365" s="1593"/>
      <c r="GW365" s="1593"/>
      <c r="GX365" s="1593"/>
      <c r="GY365" s="1593"/>
      <c r="GZ365" s="1593"/>
      <c r="HA365" s="1593"/>
      <c r="HB365" s="1593"/>
      <c r="HC365" s="1593"/>
      <c r="HD365" s="1593"/>
      <c r="HE365" s="1593"/>
      <c r="HF365" s="1593"/>
      <c r="HG365" s="1593"/>
      <c r="HH365" s="1593"/>
      <c r="HI365" s="1593"/>
      <c r="HJ365" s="1593"/>
      <c r="HK365" s="1593"/>
      <c r="HL365" s="1593"/>
      <c r="HM365" s="1593"/>
      <c r="HN365" s="1593"/>
      <c r="HO365" s="1593"/>
      <c r="HP365" s="1593"/>
      <c r="HQ365" s="1593"/>
      <c r="HR365" s="1593"/>
      <c r="HS365" s="1593"/>
      <c r="HT365" s="1593"/>
      <c r="HU365" s="1593"/>
      <c r="HV365" s="1593"/>
      <c r="HW365" s="1593"/>
      <c r="HX365" s="1593"/>
      <c r="HY365" s="1593"/>
      <c r="HZ365" s="1593"/>
      <c r="IA365" s="1593"/>
      <c r="IB365" s="1593"/>
      <c r="IC365" s="1593"/>
      <c r="ID365" s="1593"/>
      <c r="IE365" s="1593"/>
      <c r="IF365" s="1593"/>
      <c r="IG365" s="1593"/>
      <c r="IH365" s="1593"/>
      <c r="II365" s="1593"/>
      <c r="IJ365" s="1593"/>
      <c r="IK365" s="1593"/>
      <c r="IL365" s="1593"/>
      <c r="IM365" s="1593"/>
      <c r="IN365" s="1593"/>
      <c r="IO365" s="1593"/>
      <c r="IP365" s="1593"/>
      <c r="IQ365" s="1593"/>
      <c r="IR365" s="1593"/>
      <c r="IS365" s="1593"/>
      <c r="IT365" s="1593"/>
      <c r="IU365" s="1593"/>
      <c r="IV365" s="1593"/>
      <c r="IW365" s="1593"/>
      <c r="IX365" s="1593"/>
      <c r="IY365" s="1593"/>
      <c r="IZ365" s="1593"/>
      <c r="JA365" s="1593"/>
      <c r="JB365" s="1593"/>
      <c r="JC365" s="1593"/>
      <c r="JD365" s="1593"/>
      <c r="JE365" s="1593"/>
      <c r="JF365" s="1593"/>
      <c r="JG365" s="1593"/>
      <c r="JH365" s="1593"/>
      <c r="JI365" s="1593"/>
      <c r="JJ365" s="1593"/>
      <c r="JK365" s="1593"/>
      <c r="JL365" s="1593"/>
      <c r="JM365" s="1593"/>
      <c r="JN365" s="1593"/>
      <c r="JO365" s="1593"/>
      <c r="JP365" s="1593"/>
      <c r="JQ365" s="1593"/>
      <c r="JR365" s="1593"/>
      <c r="JS365" s="1593"/>
      <c r="JT365" s="1593"/>
      <c r="JU365" s="1593"/>
      <c r="JV365" s="1593"/>
      <c r="JW365" s="1593"/>
      <c r="JX365" s="1593"/>
      <c r="JY365" s="1593"/>
      <c r="JZ365" s="1593"/>
      <c r="KA365" s="1593"/>
      <c r="KB365" s="1598"/>
    </row>
    <row r="366" spans="2:288" ht="15" customHeight="1" x14ac:dyDescent="0.25">
      <c r="B366" s="216" t="str">
        <f t="shared" si="29"/>
        <v>Desk 47</v>
      </c>
      <c r="C366" s="218" t="str">
        <v/>
      </c>
      <c r="D366" s="218" t="str">
        <v/>
      </c>
      <c r="E366" s="218" t="str">
        <v/>
      </c>
      <c r="F366" s="218" t="str">
        <v/>
      </c>
      <c r="G366" s="402" t="str">
        <v/>
      </c>
      <c r="H366" s="1593"/>
      <c r="I366" s="1593"/>
      <c r="J366" s="1593"/>
      <c r="K366" s="1593"/>
      <c r="L366" s="1593"/>
      <c r="M366" s="1593"/>
      <c r="N366" s="1593"/>
      <c r="O366" s="1593"/>
      <c r="P366" s="1593"/>
      <c r="Q366" s="1593"/>
      <c r="R366" s="1593"/>
      <c r="S366" s="1593"/>
      <c r="T366" s="1593"/>
      <c r="U366" s="1593"/>
      <c r="V366" s="1593"/>
      <c r="W366" s="1593"/>
      <c r="X366" s="1593"/>
      <c r="Y366" s="1593"/>
      <c r="Z366" s="1593"/>
      <c r="AA366" s="1593"/>
      <c r="AB366" s="1593"/>
      <c r="AC366" s="1593"/>
      <c r="AD366" s="1593"/>
      <c r="AE366" s="1593"/>
      <c r="AF366" s="1593"/>
      <c r="AG366" s="1593"/>
      <c r="AH366" s="1593"/>
      <c r="AI366" s="1593"/>
      <c r="AJ366" s="1593"/>
      <c r="AK366" s="1593"/>
      <c r="AL366" s="1593"/>
      <c r="AM366" s="1593"/>
      <c r="AN366" s="1593"/>
      <c r="AO366" s="1593"/>
      <c r="AP366" s="1593"/>
      <c r="AQ366" s="1593"/>
      <c r="AR366" s="1593"/>
      <c r="AS366" s="1593"/>
      <c r="AT366" s="1593"/>
      <c r="AU366" s="1593"/>
      <c r="AV366" s="1593"/>
      <c r="AW366" s="1593"/>
      <c r="AX366" s="1593"/>
      <c r="AY366" s="1593"/>
      <c r="AZ366" s="1593"/>
      <c r="BA366" s="1593"/>
      <c r="BB366" s="1593"/>
      <c r="BC366" s="1593"/>
      <c r="BD366" s="1593"/>
      <c r="BE366" s="1593"/>
      <c r="BF366" s="1593"/>
      <c r="BG366" s="1593"/>
      <c r="BH366" s="1593"/>
      <c r="BI366" s="1593"/>
      <c r="BJ366" s="1593"/>
      <c r="BK366" s="1593"/>
      <c r="BL366" s="1593"/>
      <c r="BM366" s="1593"/>
      <c r="BN366" s="1593"/>
      <c r="BO366" s="1593"/>
      <c r="BP366" s="1593"/>
      <c r="BQ366" s="1593"/>
      <c r="BR366" s="1593"/>
      <c r="BS366" s="1593"/>
      <c r="BT366" s="1593"/>
      <c r="BU366" s="1593"/>
      <c r="BV366" s="1593"/>
      <c r="BW366" s="1593"/>
      <c r="BX366" s="1593"/>
      <c r="BY366" s="1593"/>
      <c r="BZ366" s="1593"/>
      <c r="CA366" s="1593"/>
      <c r="CB366" s="1593"/>
      <c r="CC366" s="1593"/>
      <c r="CD366" s="1593"/>
      <c r="CE366" s="1593"/>
      <c r="CF366" s="1593"/>
      <c r="CG366" s="1593"/>
      <c r="CH366" s="1593"/>
      <c r="CI366" s="1593"/>
      <c r="CJ366" s="1593"/>
      <c r="CK366" s="1593"/>
      <c r="CL366" s="1593"/>
      <c r="CM366" s="1593"/>
      <c r="CN366" s="1593"/>
      <c r="CO366" s="1593"/>
      <c r="CP366" s="1593"/>
      <c r="CQ366" s="1593"/>
      <c r="CR366" s="1593"/>
      <c r="CS366" s="1593"/>
      <c r="CT366" s="1593"/>
      <c r="CU366" s="1593"/>
      <c r="CV366" s="1593"/>
      <c r="CW366" s="1593"/>
      <c r="CX366" s="1593"/>
      <c r="CY366" s="1593"/>
      <c r="CZ366" s="1593"/>
      <c r="DA366" s="1593"/>
      <c r="DB366" s="1593"/>
      <c r="DC366" s="1593"/>
      <c r="DD366" s="1593"/>
      <c r="DE366" s="1593"/>
      <c r="DF366" s="1593"/>
      <c r="DG366" s="1593"/>
      <c r="DH366" s="1593"/>
      <c r="DI366" s="1593"/>
      <c r="DJ366" s="1593"/>
      <c r="DK366" s="1593"/>
      <c r="DL366" s="1593"/>
      <c r="DM366" s="1593"/>
      <c r="DN366" s="1593"/>
      <c r="DO366" s="1593"/>
      <c r="DP366" s="1593"/>
      <c r="DQ366" s="1593"/>
      <c r="DR366" s="1593"/>
      <c r="DS366" s="1593"/>
      <c r="DT366" s="1593"/>
      <c r="DU366" s="1593"/>
      <c r="DV366" s="1593"/>
      <c r="DW366" s="1593"/>
      <c r="DX366" s="1593"/>
      <c r="DY366" s="1593"/>
      <c r="DZ366" s="1593"/>
      <c r="EA366" s="1593"/>
      <c r="EB366" s="1593"/>
      <c r="EC366" s="1593"/>
      <c r="ED366" s="1593"/>
      <c r="EE366" s="1593"/>
      <c r="EF366" s="1593"/>
      <c r="EG366" s="1593"/>
      <c r="EH366" s="1593"/>
      <c r="EI366" s="1593"/>
      <c r="EJ366" s="1593"/>
      <c r="EK366" s="1593"/>
      <c r="EL366" s="1593"/>
      <c r="EM366" s="1593"/>
      <c r="EN366" s="1593"/>
      <c r="EO366" s="1593"/>
      <c r="EP366" s="1593"/>
      <c r="EQ366" s="1593"/>
      <c r="ER366" s="1593"/>
      <c r="ES366" s="1593"/>
      <c r="ET366" s="1593"/>
      <c r="EU366" s="1593"/>
      <c r="EV366" s="1593"/>
      <c r="EW366" s="1593"/>
      <c r="EX366" s="1593"/>
      <c r="EY366" s="1593"/>
      <c r="EZ366" s="1593"/>
      <c r="FA366" s="1593"/>
      <c r="FB366" s="1593"/>
      <c r="FC366" s="1593"/>
      <c r="FD366" s="1593"/>
      <c r="FE366" s="1593"/>
      <c r="FF366" s="1593"/>
      <c r="FG366" s="1593"/>
      <c r="FH366" s="1593"/>
      <c r="FI366" s="1593"/>
      <c r="FJ366" s="1593"/>
      <c r="FK366" s="1593"/>
      <c r="FL366" s="1593"/>
      <c r="FM366" s="1593"/>
      <c r="FN366" s="1593"/>
      <c r="FO366" s="1593"/>
      <c r="FP366" s="1593"/>
      <c r="FQ366" s="1593"/>
      <c r="FR366" s="1593"/>
      <c r="FS366" s="1593"/>
      <c r="FT366" s="1593"/>
      <c r="FU366" s="1593"/>
      <c r="FV366" s="1593"/>
      <c r="FW366" s="1593"/>
      <c r="FX366" s="1593"/>
      <c r="FY366" s="1593"/>
      <c r="FZ366" s="1593"/>
      <c r="GA366" s="1593"/>
      <c r="GB366" s="1593"/>
      <c r="GC366" s="1593"/>
      <c r="GD366" s="1593"/>
      <c r="GE366" s="1593"/>
      <c r="GF366" s="1593"/>
      <c r="GG366" s="1593"/>
      <c r="GH366" s="1593"/>
      <c r="GI366" s="1593"/>
      <c r="GJ366" s="1593"/>
      <c r="GK366" s="1593"/>
      <c r="GL366" s="1593"/>
      <c r="GM366" s="1593"/>
      <c r="GN366" s="1593"/>
      <c r="GO366" s="1593"/>
      <c r="GP366" s="1593"/>
      <c r="GQ366" s="1593"/>
      <c r="GR366" s="1593"/>
      <c r="GS366" s="1593"/>
      <c r="GT366" s="1593"/>
      <c r="GU366" s="1593"/>
      <c r="GV366" s="1593"/>
      <c r="GW366" s="1593"/>
      <c r="GX366" s="1593"/>
      <c r="GY366" s="1593"/>
      <c r="GZ366" s="1593"/>
      <c r="HA366" s="1593"/>
      <c r="HB366" s="1593"/>
      <c r="HC366" s="1593"/>
      <c r="HD366" s="1593"/>
      <c r="HE366" s="1593"/>
      <c r="HF366" s="1593"/>
      <c r="HG366" s="1593"/>
      <c r="HH366" s="1593"/>
      <c r="HI366" s="1593"/>
      <c r="HJ366" s="1593"/>
      <c r="HK366" s="1593"/>
      <c r="HL366" s="1593"/>
      <c r="HM366" s="1593"/>
      <c r="HN366" s="1593"/>
      <c r="HO366" s="1593"/>
      <c r="HP366" s="1593"/>
      <c r="HQ366" s="1593"/>
      <c r="HR366" s="1593"/>
      <c r="HS366" s="1593"/>
      <c r="HT366" s="1593"/>
      <c r="HU366" s="1593"/>
      <c r="HV366" s="1593"/>
      <c r="HW366" s="1593"/>
      <c r="HX366" s="1593"/>
      <c r="HY366" s="1593"/>
      <c r="HZ366" s="1593"/>
      <c r="IA366" s="1593"/>
      <c r="IB366" s="1593"/>
      <c r="IC366" s="1593"/>
      <c r="ID366" s="1593"/>
      <c r="IE366" s="1593"/>
      <c r="IF366" s="1593"/>
      <c r="IG366" s="1593"/>
      <c r="IH366" s="1593"/>
      <c r="II366" s="1593"/>
      <c r="IJ366" s="1593"/>
      <c r="IK366" s="1593"/>
      <c r="IL366" s="1593"/>
      <c r="IM366" s="1593"/>
      <c r="IN366" s="1593"/>
      <c r="IO366" s="1593"/>
      <c r="IP366" s="1593"/>
      <c r="IQ366" s="1593"/>
      <c r="IR366" s="1593"/>
      <c r="IS366" s="1593"/>
      <c r="IT366" s="1593"/>
      <c r="IU366" s="1593"/>
      <c r="IV366" s="1593"/>
      <c r="IW366" s="1593"/>
      <c r="IX366" s="1593"/>
      <c r="IY366" s="1593"/>
      <c r="IZ366" s="1593"/>
      <c r="JA366" s="1593"/>
      <c r="JB366" s="1593"/>
      <c r="JC366" s="1593"/>
      <c r="JD366" s="1593"/>
      <c r="JE366" s="1593"/>
      <c r="JF366" s="1593"/>
      <c r="JG366" s="1593"/>
      <c r="JH366" s="1593"/>
      <c r="JI366" s="1593"/>
      <c r="JJ366" s="1593"/>
      <c r="JK366" s="1593"/>
      <c r="JL366" s="1593"/>
      <c r="JM366" s="1593"/>
      <c r="JN366" s="1593"/>
      <c r="JO366" s="1593"/>
      <c r="JP366" s="1593"/>
      <c r="JQ366" s="1593"/>
      <c r="JR366" s="1593"/>
      <c r="JS366" s="1593"/>
      <c r="JT366" s="1593"/>
      <c r="JU366" s="1593"/>
      <c r="JV366" s="1593"/>
      <c r="JW366" s="1593"/>
      <c r="JX366" s="1593"/>
      <c r="JY366" s="1593"/>
      <c r="JZ366" s="1593"/>
      <c r="KA366" s="1593"/>
      <c r="KB366" s="1598"/>
    </row>
    <row r="367" spans="2:288" ht="15" customHeight="1" x14ac:dyDescent="0.25">
      <c r="B367" s="216" t="str">
        <f t="shared" si="29"/>
        <v>Desk 48</v>
      </c>
      <c r="C367" s="218" t="str">
        <v/>
      </c>
      <c r="D367" s="218" t="str">
        <v/>
      </c>
      <c r="E367" s="218" t="str">
        <v/>
      </c>
      <c r="F367" s="218" t="str">
        <v/>
      </c>
      <c r="G367" s="402" t="str">
        <v/>
      </c>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c r="AI367" s="1593"/>
      <c r="AJ367" s="1593"/>
      <c r="AK367" s="1593"/>
      <c r="AL367" s="1593"/>
      <c r="AM367" s="1593"/>
      <c r="AN367" s="1593"/>
      <c r="AO367" s="1593"/>
      <c r="AP367" s="1593"/>
      <c r="AQ367" s="1593"/>
      <c r="AR367" s="1593"/>
      <c r="AS367" s="1593"/>
      <c r="AT367" s="1593"/>
      <c r="AU367" s="1593"/>
      <c r="AV367" s="1593"/>
      <c r="AW367" s="1593"/>
      <c r="AX367" s="1593"/>
      <c r="AY367" s="1593"/>
      <c r="AZ367" s="1593"/>
      <c r="BA367" s="1593"/>
      <c r="BB367" s="1593"/>
      <c r="BC367" s="1593"/>
      <c r="BD367" s="1593"/>
      <c r="BE367" s="1593"/>
      <c r="BF367" s="1593"/>
      <c r="BG367" s="1593"/>
      <c r="BH367" s="1593"/>
      <c r="BI367" s="1593"/>
      <c r="BJ367" s="1593"/>
      <c r="BK367" s="1593"/>
      <c r="BL367" s="1593"/>
      <c r="BM367" s="1593"/>
      <c r="BN367" s="1593"/>
      <c r="BO367" s="1593"/>
      <c r="BP367" s="1593"/>
      <c r="BQ367" s="1593"/>
      <c r="BR367" s="1593"/>
      <c r="BS367" s="1593"/>
      <c r="BT367" s="1593"/>
      <c r="BU367" s="1593"/>
      <c r="BV367" s="1593"/>
      <c r="BW367" s="1593"/>
      <c r="BX367" s="1593"/>
      <c r="BY367" s="1593"/>
      <c r="BZ367" s="1593"/>
      <c r="CA367" s="1593"/>
      <c r="CB367" s="1593"/>
      <c r="CC367" s="1593"/>
      <c r="CD367" s="1593"/>
      <c r="CE367" s="1593"/>
      <c r="CF367" s="1593"/>
      <c r="CG367" s="1593"/>
      <c r="CH367" s="1593"/>
      <c r="CI367" s="1593"/>
      <c r="CJ367" s="1593"/>
      <c r="CK367" s="1593"/>
      <c r="CL367" s="1593"/>
      <c r="CM367" s="1593"/>
      <c r="CN367" s="1593"/>
      <c r="CO367" s="1593"/>
      <c r="CP367" s="1593"/>
      <c r="CQ367" s="1593"/>
      <c r="CR367" s="1593"/>
      <c r="CS367" s="1593"/>
      <c r="CT367" s="1593"/>
      <c r="CU367" s="1593"/>
      <c r="CV367" s="1593"/>
      <c r="CW367" s="1593"/>
      <c r="CX367" s="1593"/>
      <c r="CY367" s="1593"/>
      <c r="CZ367" s="1593"/>
      <c r="DA367" s="1593"/>
      <c r="DB367" s="1593"/>
      <c r="DC367" s="1593"/>
      <c r="DD367" s="1593"/>
      <c r="DE367" s="1593"/>
      <c r="DF367" s="1593"/>
      <c r="DG367" s="1593"/>
      <c r="DH367" s="1593"/>
      <c r="DI367" s="1593"/>
      <c r="DJ367" s="1593"/>
      <c r="DK367" s="1593"/>
      <c r="DL367" s="1593"/>
      <c r="DM367" s="1593"/>
      <c r="DN367" s="1593"/>
      <c r="DO367" s="1593"/>
      <c r="DP367" s="1593"/>
      <c r="DQ367" s="1593"/>
      <c r="DR367" s="1593"/>
      <c r="DS367" s="1593"/>
      <c r="DT367" s="1593"/>
      <c r="DU367" s="1593"/>
      <c r="DV367" s="1593"/>
      <c r="DW367" s="1593"/>
      <c r="DX367" s="1593"/>
      <c r="DY367" s="1593"/>
      <c r="DZ367" s="1593"/>
      <c r="EA367" s="1593"/>
      <c r="EB367" s="1593"/>
      <c r="EC367" s="1593"/>
      <c r="ED367" s="1593"/>
      <c r="EE367" s="1593"/>
      <c r="EF367" s="1593"/>
      <c r="EG367" s="1593"/>
      <c r="EH367" s="1593"/>
      <c r="EI367" s="1593"/>
      <c r="EJ367" s="1593"/>
      <c r="EK367" s="1593"/>
      <c r="EL367" s="1593"/>
      <c r="EM367" s="1593"/>
      <c r="EN367" s="1593"/>
      <c r="EO367" s="1593"/>
      <c r="EP367" s="1593"/>
      <c r="EQ367" s="1593"/>
      <c r="ER367" s="1593"/>
      <c r="ES367" s="1593"/>
      <c r="ET367" s="1593"/>
      <c r="EU367" s="1593"/>
      <c r="EV367" s="1593"/>
      <c r="EW367" s="1593"/>
      <c r="EX367" s="1593"/>
      <c r="EY367" s="1593"/>
      <c r="EZ367" s="1593"/>
      <c r="FA367" s="1593"/>
      <c r="FB367" s="1593"/>
      <c r="FC367" s="1593"/>
      <c r="FD367" s="1593"/>
      <c r="FE367" s="1593"/>
      <c r="FF367" s="1593"/>
      <c r="FG367" s="1593"/>
      <c r="FH367" s="1593"/>
      <c r="FI367" s="1593"/>
      <c r="FJ367" s="1593"/>
      <c r="FK367" s="1593"/>
      <c r="FL367" s="1593"/>
      <c r="FM367" s="1593"/>
      <c r="FN367" s="1593"/>
      <c r="FO367" s="1593"/>
      <c r="FP367" s="1593"/>
      <c r="FQ367" s="1593"/>
      <c r="FR367" s="1593"/>
      <c r="FS367" s="1593"/>
      <c r="FT367" s="1593"/>
      <c r="FU367" s="1593"/>
      <c r="FV367" s="1593"/>
      <c r="FW367" s="1593"/>
      <c r="FX367" s="1593"/>
      <c r="FY367" s="1593"/>
      <c r="FZ367" s="1593"/>
      <c r="GA367" s="1593"/>
      <c r="GB367" s="1593"/>
      <c r="GC367" s="1593"/>
      <c r="GD367" s="1593"/>
      <c r="GE367" s="1593"/>
      <c r="GF367" s="1593"/>
      <c r="GG367" s="1593"/>
      <c r="GH367" s="1593"/>
      <c r="GI367" s="1593"/>
      <c r="GJ367" s="1593"/>
      <c r="GK367" s="1593"/>
      <c r="GL367" s="1593"/>
      <c r="GM367" s="1593"/>
      <c r="GN367" s="1593"/>
      <c r="GO367" s="1593"/>
      <c r="GP367" s="1593"/>
      <c r="GQ367" s="1593"/>
      <c r="GR367" s="1593"/>
      <c r="GS367" s="1593"/>
      <c r="GT367" s="1593"/>
      <c r="GU367" s="1593"/>
      <c r="GV367" s="1593"/>
      <c r="GW367" s="1593"/>
      <c r="GX367" s="1593"/>
      <c r="GY367" s="1593"/>
      <c r="GZ367" s="1593"/>
      <c r="HA367" s="1593"/>
      <c r="HB367" s="1593"/>
      <c r="HC367" s="1593"/>
      <c r="HD367" s="1593"/>
      <c r="HE367" s="1593"/>
      <c r="HF367" s="1593"/>
      <c r="HG367" s="1593"/>
      <c r="HH367" s="1593"/>
      <c r="HI367" s="1593"/>
      <c r="HJ367" s="1593"/>
      <c r="HK367" s="1593"/>
      <c r="HL367" s="1593"/>
      <c r="HM367" s="1593"/>
      <c r="HN367" s="1593"/>
      <c r="HO367" s="1593"/>
      <c r="HP367" s="1593"/>
      <c r="HQ367" s="1593"/>
      <c r="HR367" s="1593"/>
      <c r="HS367" s="1593"/>
      <c r="HT367" s="1593"/>
      <c r="HU367" s="1593"/>
      <c r="HV367" s="1593"/>
      <c r="HW367" s="1593"/>
      <c r="HX367" s="1593"/>
      <c r="HY367" s="1593"/>
      <c r="HZ367" s="1593"/>
      <c r="IA367" s="1593"/>
      <c r="IB367" s="1593"/>
      <c r="IC367" s="1593"/>
      <c r="ID367" s="1593"/>
      <c r="IE367" s="1593"/>
      <c r="IF367" s="1593"/>
      <c r="IG367" s="1593"/>
      <c r="IH367" s="1593"/>
      <c r="II367" s="1593"/>
      <c r="IJ367" s="1593"/>
      <c r="IK367" s="1593"/>
      <c r="IL367" s="1593"/>
      <c r="IM367" s="1593"/>
      <c r="IN367" s="1593"/>
      <c r="IO367" s="1593"/>
      <c r="IP367" s="1593"/>
      <c r="IQ367" s="1593"/>
      <c r="IR367" s="1593"/>
      <c r="IS367" s="1593"/>
      <c r="IT367" s="1593"/>
      <c r="IU367" s="1593"/>
      <c r="IV367" s="1593"/>
      <c r="IW367" s="1593"/>
      <c r="IX367" s="1593"/>
      <c r="IY367" s="1593"/>
      <c r="IZ367" s="1593"/>
      <c r="JA367" s="1593"/>
      <c r="JB367" s="1593"/>
      <c r="JC367" s="1593"/>
      <c r="JD367" s="1593"/>
      <c r="JE367" s="1593"/>
      <c r="JF367" s="1593"/>
      <c r="JG367" s="1593"/>
      <c r="JH367" s="1593"/>
      <c r="JI367" s="1593"/>
      <c r="JJ367" s="1593"/>
      <c r="JK367" s="1593"/>
      <c r="JL367" s="1593"/>
      <c r="JM367" s="1593"/>
      <c r="JN367" s="1593"/>
      <c r="JO367" s="1593"/>
      <c r="JP367" s="1593"/>
      <c r="JQ367" s="1593"/>
      <c r="JR367" s="1593"/>
      <c r="JS367" s="1593"/>
      <c r="JT367" s="1593"/>
      <c r="JU367" s="1593"/>
      <c r="JV367" s="1593"/>
      <c r="JW367" s="1593"/>
      <c r="JX367" s="1593"/>
      <c r="JY367" s="1593"/>
      <c r="JZ367" s="1593"/>
      <c r="KA367" s="1593"/>
      <c r="KB367" s="1598"/>
    </row>
    <row r="368" spans="2:288" ht="15" customHeight="1" x14ac:dyDescent="0.25">
      <c r="B368" s="216" t="str">
        <f t="shared" si="29"/>
        <v>Desk 49</v>
      </c>
      <c r="C368" s="218" t="str">
        <v/>
      </c>
      <c r="D368" s="218" t="str">
        <v/>
      </c>
      <c r="E368" s="218" t="str">
        <v/>
      </c>
      <c r="F368" s="218" t="str">
        <v/>
      </c>
      <c r="G368" s="402" t="str">
        <v/>
      </c>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c r="AI368" s="1593"/>
      <c r="AJ368" s="1593"/>
      <c r="AK368" s="1593"/>
      <c r="AL368" s="1593"/>
      <c r="AM368" s="1593"/>
      <c r="AN368" s="1593"/>
      <c r="AO368" s="1593"/>
      <c r="AP368" s="1593"/>
      <c r="AQ368" s="1593"/>
      <c r="AR368" s="1593"/>
      <c r="AS368" s="1593"/>
      <c r="AT368" s="1593"/>
      <c r="AU368" s="1593"/>
      <c r="AV368" s="1593"/>
      <c r="AW368" s="1593"/>
      <c r="AX368" s="1593"/>
      <c r="AY368" s="1593"/>
      <c r="AZ368" s="1593"/>
      <c r="BA368" s="1593"/>
      <c r="BB368" s="1593"/>
      <c r="BC368" s="1593"/>
      <c r="BD368" s="1593"/>
      <c r="BE368" s="1593"/>
      <c r="BF368" s="1593"/>
      <c r="BG368" s="1593"/>
      <c r="BH368" s="1593"/>
      <c r="BI368" s="1593"/>
      <c r="BJ368" s="1593"/>
      <c r="BK368" s="1593"/>
      <c r="BL368" s="1593"/>
      <c r="BM368" s="1593"/>
      <c r="BN368" s="1593"/>
      <c r="BO368" s="1593"/>
      <c r="BP368" s="1593"/>
      <c r="BQ368" s="1593"/>
      <c r="BR368" s="1593"/>
      <c r="BS368" s="1593"/>
      <c r="BT368" s="1593"/>
      <c r="BU368" s="1593"/>
      <c r="BV368" s="1593"/>
      <c r="BW368" s="1593"/>
      <c r="BX368" s="1593"/>
      <c r="BY368" s="1593"/>
      <c r="BZ368" s="1593"/>
      <c r="CA368" s="1593"/>
      <c r="CB368" s="1593"/>
      <c r="CC368" s="1593"/>
      <c r="CD368" s="1593"/>
      <c r="CE368" s="1593"/>
      <c r="CF368" s="1593"/>
      <c r="CG368" s="1593"/>
      <c r="CH368" s="1593"/>
      <c r="CI368" s="1593"/>
      <c r="CJ368" s="1593"/>
      <c r="CK368" s="1593"/>
      <c r="CL368" s="1593"/>
      <c r="CM368" s="1593"/>
      <c r="CN368" s="1593"/>
      <c r="CO368" s="1593"/>
      <c r="CP368" s="1593"/>
      <c r="CQ368" s="1593"/>
      <c r="CR368" s="1593"/>
      <c r="CS368" s="1593"/>
      <c r="CT368" s="1593"/>
      <c r="CU368" s="1593"/>
      <c r="CV368" s="1593"/>
      <c r="CW368" s="1593"/>
      <c r="CX368" s="1593"/>
      <c r="CY368" s="1593"/>
      <c r="CZ368" s="1593"/>
      <c r="DA368" s="1593"/>
      <c r="DB368" s="1593"/>
      <c r="DC368" s="1593"/>
      <c r="DD368" s="1593"/>
      <c r="DE368" s="1593"/>
      <c r="DF368" s="1593"/>
      <c r="DG368" s="1593"/>
      <c r="DH368" s="1593"/>
      <c r="DI368" s="1593"/>
      <c r="DJ368" s="1593"/>
      <c r="DK368" s="1593"/>
      <c r="DL368" s="1593"/>
      <c r="DM368" s="1593"/>
      <c r="DN368" s="1593"/>
      <c r="DO368" s="1593"/>
      <c r="DP368" s="1593"/>
      <c r="DQ368" s="1593"/>
      <c r="DR368" s="1593"/>
      <c r="DS368" s="1593"/>
      <c r="DT368" s="1593"/>
      <c r="DU368" s="1593"/>
      <c r="DV368" s="1593"/>
      <c r="DW368" s="1593"/>
      <c r="DX368" s="1593"/>
      <c r="DY368" s="1593"/>
      <c r="DZ368" s="1593"/>
      <c r="EA368" s="1593"/>
      <c r="EB368" s="1593"/>
      <c r="EC368" s="1593"/>
      <c r="ED368" s="1593"/>
      <c r="EE368" s="1593"/>
      <c r="EF368" s="1593"/>
      <c r="EG368" s="1593"/>
      <c r="EH368" s="1593"/>
      <c r="EI368" s="1593"/>
      <c r="EJ368" s="1593"/>
      <c r="EK368" s="1593"/>
      <c r="EL368" s="1593"/>
      <c r="EM368" s="1593"/>
      <c r="EN368" s="1593"/>
      <c r="EO368" s="1593"/>
      <c r="EP368" s="1593"/>
      <c r="EQ368" s="1593"/>
      <c r="ER368" s="1593"/>
      <c r="ES368" s="1593"/>
      <c r="ET368" s="1593"/>
      <c r="EU368" s="1593"/>
      <c r="EV368" s="1593"/>
      <c r="EW368" s="1593"/>
      <c r="EX368" s="1593"/>
      <c r="EY368" s="1593"/>
      <c r="EZ368" s="1593"/>
      <c r="FA368" s="1593"/>
      <c r="FB368" s="1593"/>
      <c r="FC368" s="1593"/>
      <c r="FD368" s="1593"/>
      <c r="FE368" s="1593"/>
      <c r="FF368" s="1593"/>
      <c r="FG368" s="1593"/>
      <c r="FH368" s="1593"/>
      <c r="FI368" s="1593"/>
      <c r="FJ368" s="1593"/>
      <c r="FK368" s="1593"/>
      <c r="FL368" s="1593"/>
      <c r="FM368" s="1593"/>
      <c r="FN368" s="1593"/>
      <c r="FO368" s="1593"/>
      <c r="FP368" s="1593"/>
      <c r="FQ368" s="1593"/>
      <c r="FR368" s="1593"/>
      <c r="FS368" s="1593"/>
      <c r="FT368" s="1593"/>
      <c r="FU368" s="1593"/>
      <c r="FV368" s="1593"/>
      <c r="FW368" s="1593"/>
      <c r="FX368" s="1593"/>
      <c r="FY368" s="1593"/>
      <c r="FZ368" s="1593"/>
      <c r="GA368" s="1593"/>
      <c r="GB368" s="1593"/>
      <c r="GC368" s="1593"/>
      <c r="GD368" s="1593"/>
      <c r="GE368" s="1593"/>
      <c r="GF368" s="1593"/>
      <c r="GG368" s="1593"/>
      <c r="GH368" s="1593"/>
      <c r="GI368" s="1593"/>
      <c r="GJ368" s="1593"/>
      <c r="GK368" s="1593"/>
      <c r="GL368" s="1593"/>
      <c r="GM368" s="1593"/>
      <c r="GN368" s="1593"/>
      <c r="GO368" s="1593"/>
      <c r="GP368" s="1593"/>
      <c r="GQ368" s="1593"/>
      <c r="GR368" s="1593"/>
      <c r="GS368" s="1593"/>
      <c r="GT368" s="1593"/>
      <c r="GU368" s="1593"/>
      <c r="GV368" s="1593"/>
      <c r="GW368" s="1593"/>
      <c r="GX368" s="1593"/>
      <c r="GY368" s="1593"/>
      <c r="GZ368" s="1593"/>
      <c r="HA368" s="1593"/>
      <c r="HB368" s="1593"/>
      <c r="HC368" s="1593"/>
      <c r="HD368" s="1593"/>
      <c r="HE368" s="1593"/>
      <c r="HF368" s="1593"/>
      <c r="HG368" s="1593"/>
      <c r="HH368" s="1593"/>
      <c r="HI368" s="1593"/>
      <c r="HJ368" s="1593"/>
      <c r="HK368" s="1593"/>
      <c r="HL368" s="1593"/>
      <c r="HM368" s="1593"/>
      <c r="HN368" s="1593"/>
      <c r="HO368" s="1593"/>
      <c r="HP368" s="1593"/>
      <c r="HQ368" s="1593"/>
      <c r="HR368" s="1593"/>
      <c r="HS368" s="1593"/>
      <c r="HT368" s="1593"/>
      <c r="HU368" s="1593"/>
      <c r="HV368" s="1593"/>
      <c r="HW368" s="1593"/>
      <c r="HX368" s="1593"/>
      <c r="HY368" s="1593"/>
      <c r="HZ368" s="1593"/>
      <c r="IA368" s="1593"/>
      <c r="IB368" s="1593"/>
      <c r="IC368" s="1593"/>
      <c r="ID368" s="1593"/>
      <c r="IE368" s="1593"/>
      <c r="IF368" s="1593"/>
      <c r="IG368" s="1593"/>
      <c r="IH368" s="1593"/>
      <c r="II368" s="1593"/>
      <c r="IJ368" s="1593"/>
      <c r="IK368" s="1593"/>
      <c r="IL368" s="1593"/>
      <c r="IM368" s="1593"/>
      <c r="IN368" s="1593"/>
      <c r="IO368" s="1593"/>
      <c r="IP368" s="1593"/>
      <c r="IQ368" s="1593"/>
      <c r="IR368" s="1593"/>
      <c r="IS368" s="1593"/>
      <c r="IT368" s="1593"/>
      <c r="IU368" s="1593"/>
      <c r="IV368" s="1593"/>
      <c r="IW368" s="1593"/>
      <c r="IX368" s="1593"/>
      <c r="IY368" s="1593"/>
      <c r="IZ368" s="1593"/>
      <c r="JA368" s="1593"/>
      <c r="JB368" s="1593"/>
      <c r="JC368" s="1593"/>
      <c r="JD368" s="1593"/>
      <c r="JE368" s="1593"/>
      <c r="JF368" s="1593"/>
      <c r="JG368" s="1593"/>
      <c r="JH368" s="1593"/>
      <c r="JI368" s="1593"/>
      <c r="JJ368" s="1593"/>
      <c r="JK368" s="1593"/>
      <c r="JL368" s="1593"/>
      <c r="JM368" s="1593"/>
      <c r="JN368" s="1593"/>
      <c r="JO368" s="1593"/>
      <c r="JP368" s="1593"/>
      <c r="JQ368" s="1593"/>
      <c r="JR368" s="1593"/>
      <c r="JS368" s="1593"/>
      <c r="JT368" s="1593"/>
      <c r="JU368" s="1593"/>
      <c r="JV368" s="1593"/>
      <c r="JW368" s="1593"/>
      <c r="JX368" s="1593"/>
      <c r="JY368" s="1593"/>
      <c r="JZ368" s="1593"/>
      <c r="KA368" s="1593"/>
      <c r="KB368" s="1598"/>
    </row>
    <row r="369" spans="2:288" ht="15" customHeight="1" x14ac:dyDescent="0.25">
      <c r="B369" s="216" t="str">
        <f t="shared" si="29"/>
        <v>Desk 50</v>
      </c>
      <c r="C369" s="218" t="str">
        <v/>
      </c>
      <c r="D369" s="218" t="str">
        <v/>
      </c>
      <c r="E369" s="218" t="str">
        <v/>
      </c>
      <c r="F369" s="218" t="str">
        <v/>
      </c>
      <c r="G369" s="402" t="str">
        <v/>
      </c>
      <c r="H369" s="1593"/>
      <c r="I369" s="1593"/>
      <c r="J369" s="1593"/>
      <c r="K369" s="1593"/>
      <c r="L369" s="1593"/>
      <c r="M369" s="1593"/>
      <c r="N369" s="1593"/>
      <c r="O369" s="1593"/>
      <c r="P369" s="1593"/>
      <c r="Q369" s="1593"/>
      <c r="R369" s="1593"/>
      <c r="S369" s="1593"/>
      <c r="T369" s="1593"/>
      <c r="U369" s="1593"/>
      <c r="V369" s="1593"/>
      <c r="W369" s="1593"/>
      <c r="X369" s="1593"/>
      <c r="Y369" s="1593"/>
      <c r="Z369" s="1593"/>
      <c r="AA369" s="1593"/>
      <c r="AB369" s="1593"/>
      <c r="AC369" s="1593"/>
      <c r="AD369" s="1593"/>
      <c r="AE369" s="1593"/>
      <c r="AF369" s="1593"/>
      <c r="AG369" s="1593"/>
      <c r="AH369" s="1593"/>
      <c r="AI369" s="1593"/>
      <c r="AJ369" s="1593"/>
      <c r="AK369" s="1593"/>
      <c r="AL369" s="1593"/>
      <c r="AM369" s="1593"/>
      <c r="AN369" s="1593"/>
      <c r="AO369" s="1593"/>
      <c r="AP369" s="1593"/>
      <c r="AQ369" s="1593"/>
      <c r="AR369" s="1593"/>
      <c r="AS369" s="1593"/>
      <c r="AT369" s="1593"/>
      <c r="AU369" s="1593"/>
      <c r="AV369" s="1593"/>
      <c r="AW369" s="1593"/>
      <c r="AX369" s="1593"/>
      <c r="AY369" s="1593"/>
      <c r="AZ369" s="1593"/>
      <c r="BA369" s="1593"/>
      <c r="BB369" s="1593"/>
      <c r="BC369" s="1593"/>
      <c r="BD369" s="1593"/>
      <c r="BE369" s="1593"/>
      <c r="BF369" s="1593"/>
      <c r="BG369" s="1593"/>
      <c r="BH369" s="1593"/>
      <c r="BI369" s="1593"/>
      <c r="BJ369" s="1593"/>
      <c r="BK369" s="1593"/>
      <c r="BL369" s="1593"/>
      <c r="BM369" s="1593"/>
      <c r="BN369" s="1593"/>
      <c r="BO369" s="1593"/>
      <c r="BP369" s="1593"/>
      <c r="BQ369" s="1593"/>
      <c r="BR369" s="1593"/>
      <c r="BS369" s="1593"/>
      <c r="BT369" s="1593"/>
      <c r="BU369" s="1593"/>
      <c r="BV369" s="1593"/>
      <c r="BW369" s="1593"/>
      <c r="BX369" s="1593"/>
      <c r="BY369" s="1593"/>
      <c r="BZ369" s="1593"/>
      <c r="CA369" s="1593"/>
      <c r="CB369" s="1593"/>
      <c r="CC369" s="1593"/>
      <c r="CD369" s="1593"/>
      <c r="CE369" s="1593"/>
      <c r="CF369" s="1593"/>
      <c r="CG369" s="1593"/>
      <c r="CH369" s="1593"/>
      <c r="CI369" s="1593"/>
      <c r="CJ369" s="1593"/>
      <c r="CK369" s="1593"/>
      <c r="CL369" s="1593"/>
      <c r="CM369" s="1593"/>
      <c r="CN369" s="1593"/>
      <c r="CO369" s="1593"/>
      <c r="CP369" s="1593"/>
      <c r="CQ369" s="1593"/>
      <c r="CR369" s="1593"/>
      <c r="CS369" s="1593"/>
      <c r="CT369" s="1593"/>
      <c r="CU369" s="1593"/>
      <c r="CV369" s="1593"/>
      <c r="CW369" s="1593"/>
      <c r="CX369" s="1593"/>
      <c r="CY369" s="1593"/>
      <c r="CZ369" s="1593"/>
      <c r="DA369" s="1593"/>
      <c r="DB369" s="1593"/>
      <c r="DC369" s="1593"/>
      <c r="DD369" s="1593"/>
      <c r="DE369" s="1593"/>
      <c r="DF369" s="1593"/>
      <c r="DG369" s="1593"/>
      <c r="DH369" s="1593"/>
      <c r="DI369" s="1593"/>
      <c r="DJ369" s="1593"/>
      <c r="DK369" s="1593"/>
      <c r="DL369" s="1593"/>
      <c r="DM369" s="1593"/>
      <c r="DN369" s="1593"/>
      <c r="DO369" s="1593"/>
      <c r="DP369" s="1593"/>
      <c r="DQ369" s="1593"/>
      <c r="DR369" s="1593"/>
      <c r="DS369" s="1593"/>
      <c r="DT369" s="1593"/>
      <c r="DU369" s="1593"/>
      <c r="DV369" s="1593"/>
      <c r="DW369" s="1593"/>
      <c r="DX369" s="1593"/>
      <c r="DY369" s="1593"/>
      <c r="DZ369" s="1593"/>
      <c r="EA369" s="1593"/>
      <c r="EB369" s="1593"/>
      <c r="EC369" s="1593"/>
      <c r="ED369" s="1593"/>
      <c r="EE369" s="1593"/>
      <c r="EF369" s="1593"/>
      <c r="EG369" s="1593"/>
      <c r="EH369" s="1593"/>
      <c r="EI369" s="1593"/>
      <c r="EJ369" s="1593"/>
      <c r="EK369" s="1593"/>
      <c r="EL369" s="1593"/>
      <c r="EM369" s="1593"/>
      <c r="EN369" s="1593"/>
      <c r="EO369" s="1593"/>
      <c r="EP369" s="1593"/>
      <c r="EQ369" s="1593"/>
      <c r="ER369" s="1593"/>
      <c r="ES369" s="1593"/>
      <c r="ET369" s="1593"/>
      <c r="EU369" s="1593"/>
      <c r="EV369" s="1593"/>
      <c r="EW369" s="1593"/>
      <c r="EX369" s="1593"/>
      <c r="EY369" s="1593"/>
      <c r="EZ369" s="1593"/>
      <c r="FA369" s="1593"/>
      <c r="FB369" s="1593"/>
      <c r="FC369" s="1593"/>
      <c r="FD369" s="1593"/>
      <c r="FE369" s="1593"/>
      <c r="FF369" s="1593"/>
      <c r="FG369" s="1593"/>
      <c r="FH369" s="1593"/>
      <c r="FI369" s="1593"/>
      <c r="FJ369" s="1593"/>
      <c r="FK369" s="1593"/>
      <c r="FL369" s="1593"/>
      <c r="FM369" s="1593"/>
      <c r="FN369" s="1593"/>
      <c r="FO369" s="1593"/>
      <c r="FP369" s="1593"/>
      <c r="FQ369" s="1593"/>
      <c r="FR369" s="1593"/>
      <c r="FS369" s="1593"/>
      <c r="FT369" s="1593"/>
      <c r="FU369" s="1593"/>
      <c r="FV369" s="1593"/>
      <c r="FW369" s="1593"/>
      <c r="FX369" s="1593"/>
      <c r="FY369" s="1593"/>
      <c r="FZ369" s="1593"/>
      <c r="GA369" s="1593"/>
      <c r="GB369" s="1593"/>
      <c r="GC369" s="1593"/>
      <c r="GD369" s="1593"/>
      <c r="GE369" s="1593"/>
      <c r="GF369" s="1593"/>
      <c r="GG369" s="1593"/>
      <c r="GH369" s="1593"/>
      <c r="GI369" s="1593"/>
      <c r="GJ369" s="1593"/>
      <c r="GK369" s="1593"/>
      <c r="GL369" s="1593"/>
      <c r="GM369" s="1593"/>
      <c r="GN369" s="1593"/>
      <c r="GO369" s="1593"/>
      <c r="GP369" s="1593"/>
      <c r="GQ369" s="1593"/>
      <c r="GR369" s="1593"/>
      <c r="GS369" s="1593"/>
      <c r="GT369" s="1593"/>
      <c r="GU369" s="1593"/>
      <c r="GV369" s="1593"/>
      <c r="GW369" s="1593"/>
      <c r="GX369" s="1593"/>
      <c r="GY369" s="1593"/>
      <c r="GZ369" s="1593"/>
      <c r="HA369" s="1593"/>
      <c r="HB369" s="1593"/>
      <c r="HC369" s="1593"/>
      <c r="HD369" s="1593"/>
      <c r="HE369" s="1593"/>
      <c r="HF369" s="1593"/>
      <c r="HG369" s="1593"/>
      <c r="HH369" s="1593"/>
      <c r="HI369" s="1593"/>
      <c r="HJ369" s="1593"/>
      <c r="HK369" s="1593"/>
      <c r="HL369" s="1593"/>
      <c r="HM369" s="1593"/>
      <c r="HN369" s="1593"/>
      <c r="HO369" s="1593"/>
      <c r="HP369" s="1593"/>
      <c r="HQ369" s="1593"/>
      <c r="HR369" s="1593"/>
      <c r="HS369" s="1593"/>
      <c r="HT369" s="1593"/>
      <c r="HU369" s="1593"/>
      <c r="HV369" s="1593"/>
      <c r="HW369" s="1593"/>
      <c r="HX369" s="1593"/>
      <c r="HY369" s="1593"/>
      <c r="HZ369" s="1593"/>
      <c r="IA369" s="1593"/>
      <c r="IB369" s="1593"/>
      <c r="IC369" s="1593"/>
      <c r="ID369" s="1593"/>
      <c r="IE369" s="1593"/>
      <c r="IF369" s="1593"/>
      <c r="IG369" s="1593"/>
      <c r="IH369" s="1593"/>
      <c r="II369" s="1593"/>
      <c r="IJ369" s="1593"/>
      <c r="IK369" s="1593"/>
      <c r="IL369" s="1593"/>
      <c r="IM369" s="1593"/>
      <c r="IN369" s="1593"/>
      <c r="IO369" s="1593"/>
      <c r="IP369" s="1593"/>
      <c r="IQ369" s="1593"/>
      <c r="IR369" s="1593"/>
      <c r="IS369" s="1593"/>
      <c r="IT369" s="1593"/>
      <c r="IU369" s="1593"/>
      <c r="IV369" s="1593"/>
      <c r="IW369" s="1593"/>
      <c r="IX369" s="1593"/>
      <c r="IY369" s="1593"/>
      <c r="IZ369" s="1593"/>
      <c r="JA369" s="1593"/>
      <c r="JB369" s="1593"/>
      <c r="JC369" s="1593"/>
      <c r="JD369" s="1593"/>
      <c r="JE369" s="1593"/>
      <c r="JF369" s="1593"/>
      <c r="JG369" s="1593"/>
      <c r="JH369" s="1593"/>
      <c r="JI369" s="1593"/>
      <c r="JJ369" s="1593"/>
      <c r="JK369" s="1593"/>
      <c r="JL369" s="1593"/>
      <c r="JM369" s="1593"/>
      <c r="JN369" s="1593"/>
      <c r="JO369" s="1593"/>
      <c r="JP369" s="1593"/>
      <c r="JQ369" s="1593"/>
      <c r="JR369" s="1593"/>
      <c r="JS369" s="1593"/>
      <c r="JT369" s="1593"/>
      <c r="JU369" s="1593"/>
      <c r="JV369" s="1593"/>
      <c r="JW369" s="1593"/>
      <c r="JX369" s="1593"/>
      <c r="JY369" s="1593"/>
      <c r="JZ369" s="1593"/>
      <c r="KA369" s="1593"/>
      <c r="KB369" s="1598"/>
    </row>
    <row r="370" spans="2:288" ht="15" customHeight="1" x14ac:dyDescent="0.25">
      <c r="B370" s="216" t="str">
        <f t="shared" si="29"/>
        <v>Desk 51</v>
      </c>
      <c r="C370" s="218" t="str">
        <v/>
      </c>
      <c r="D370" s="218" t="str">
        <v/>
      </c>
      <c r="E370" s="218" t="str">
        <v/>
      </c>
      <c r="F370" s="218" t="str">
        <v/>
      </c>
      <c r="G370" s="402" t="str">
        <v/>
      </c>
      <c r="H370" s="1593"/>
      <c r="I370" s="1593"/>
      <c r="J370" s="1593"/>
      <c r="K370" s="1593"/>
      <c r="L370" s="1593"/>
      <c r="M370" s="1593"/>
      <c r="N370" s="1593"/>
      <c r="O370" s="1593"/>
      <c r="P370" s="1593"/>
      <c r="Q370" s="1593"/>
      <c r="R370" s="1593"/>
      <c r="S370" s="1593"/>
      <c r="T370" s="1593"/>
      <c r="U370" s="1593"/>
      <c r="V370" s="1593"/>
      <c r="W370" s="1593"/>
      <c r="X370" s="1593"/>
      <c r="Y370" s="1593"/>
      <c r="Z370" s="1593"/>
      <c r="AA370" s="1593"/>
      <c r="AB370" s="1593"/>
      <c r="AC370" s="1593"/>
      <c r="AD370" s="1593"/>
      <c r="AE370" s="1593"/>
      <c r="AF370" s="1593"/>
      <c r="AG370" s="1593"/>
      <c r="AH370" s="1593"/>
      <c r="AI370" s="1593"/>
      <c r="AJ370" s="1593"/>
      <c r="AK370" s="1593"/>
      <c r="AL370" s="1593"/>
      <c r="AM370" s="1593"/>
      <c r="AN370" s="1593"/>
      <c r="AO370" s="1593"/>
      <c r="AP370" s="1593"/>
      <c r="AQ370" s="1593"/>
      <c r="AR370" s="1593"/>
      <c r="AS370" s="1593"/>
      <c r="AT370" s="1593"/>
      <c r="AU370" s="1593"/>
      <c r="AV370" s="1593"/>
      <c r="AW370" s="1593"/>
      <c r="AX370" s="1593"/>
      <c r="AY370" s="1593"/>
      <c r="AZ370" s="1593"/>
      <c r="BA370" s="1593"/>
      <c r="BB370" s="1593"/>
      <c r="BC370" s="1593"/>
      <c r="BD370" s="1593"/>
      <c r="BE370" s="1593"/>
      <c r="BF370" s="1593"/>
      <c r="BG370" s="1593"/>
      <c r="BH370" s="1593"/>
      <c r="BI370" s="1593"/>
      <c r="BJ370" s="1593"/>
      <c r="BK370" s="1593"/>
      <c r="BL370" s="1593"/>
      <c r="BM370" s="1593"/>
      <c r="BN370" s="1593"/>
      <c r="BO370" s="1593"/>
      <c r="BP370" s="1593"/>
      <c r="BQ370" s="1593"/>
      <c r="BR370" s="1593"/>
      <c r="BS370" s="1593"/>
      <c r="BT370" s="1593"/>
      <c r="BU370" s="1593"/>
      <c r="BV370" s="1593"/>
      <c r="BW370" s="1593"/>
      <c r="BX370" s="1593"/>
      <c r="BY370" s="1593"/>
      <c r="BZ370" s="1593"/>
      <c r="CA370" s="1593"/>
      <c r="CB370" s="1593"/>
      <c r="CC370" s="1593"/>
      <c r="CD370" s="1593"/>
      <c r="CE370" s="1593"/>
      <c r="CF370" s="1593"/>
      <c r="CG370" s="1593"/>
      <c r="CH370" s="1593"/>
      <c r="CI370" s="1593"/>
      <c r="CJ370" s="1593"/>
      <c r="CK370" s="1593"/>
      <c r="CL370" s="1593"/>
      <c r="CM370" s="1593"/>
      <c r="CN370" s="1593"/>
      <c r="CO370" s="1593"/>
      <c r="CP370" s="1593"/>
      <c r="CQ370" s="1593"/>
      <c r="CR370" s="1593"/>
      <c r="CS370" s="1593"/>
      <c r="CT370" s="1593"/>
      <c r="CU370" s="1593"/>
      <c r="CV370" s="1593"/>
      <c r="CW370" s="1593"/>
      <c r="CX370" s="1593"/>
      <c r="CY370" s="1593"/>
      <c r="CZ370" s="1593"/>
      <c r="DA370" s="1593"/>
      <c r="DB370" s="1593"/>
      <c r="DC370" s="1593"/>
      <c r="DD370" s="1593"/>
      <c r="DE370" s="1593"/>
      <c r="DF370" s="1593"/>
      <c r="DG370" s="1593"/>
      <c r="DH370" s="1593"/>
      <c r="DI370" s="1593"/>
      <c r="DJ370" s="1593"/>
      <c r="DK370" s="1593"/>
      <c r="DL370" s="1593"/>
      <c r="DM370" s="1593"/>
      <c r="DN370" s="1593"/>
      <c r="DO370" s="1593"/>
      <c r="DP370" s="1593"/>
      <c r="DQ370" s="1593"/>
      <c r="DR370" s="1593"/>
      <c r="DS370" s="1593"/>
      <c r="DT370" s="1593"/>
      <c r="DU370" s="1593"/>
      <c r="DV370" s="1593"/>
      <c r="DW370" s="1593"/>
      <c r="DX370" s="1593"/>
      <c r="DY370" s="1593"/>
      <c r="DZ370" s="1593"/>
      <c r="EA370" s="1593"/>
      <c r="EB370" s="1593"/>
      <c r="EC370" s="1593"/>
      <c r="ED370" s="1593"/>
      <c r="EE370" s="1593"/>
      <c r="EF370" s="1593"/>
      <c r="EG370" s="1593"/>
      <c r="EH370" s="1593"/>
      <c r="EI370" s="1593"/>
      <c r="EJ370" s="1593"/>
      <c r="EK370" s="1593"/>
      <c r="EL370" s="1593"/>
      <c r="EM370" s="1593"/>
      <c r="EN370" s="1593"/>
      <c r="EO370" s="1593"/>
      <c r="EP370" s="1593"/>
      <c r="EQ370" s="1593"/>
      <c r="ER370" s="1593"/>
      <c r="ES370" s="1593"/>
      <c r="ET370" s="1593"/>
      <c r="EU370" s="1593"/>
      <c r="EV370" s="1593"/>
      <c r="EW370" s="1593"/>
      <c r="EX370" s="1593"/>
      <c r="EY370" s="1593"/>
      <c r="EZ370" s="1593"/>
      <c r="FA370" s="1593"/>
      <c r="FB370" s="1593"/>
      <c r="FC370" s="1593"/>
      <c r="FD370" s="1593"/>
      <c r="FE370" s="1593"/>
      <c r="FF370" s="1593"/>
      <c r="FG370" s="1593"/>
      <c r="FH370" s="1593"/>
      <c r="FI370" s="1593"/>
      <c r="FJ370" s="1593"/>
      <c r="FK370" s="1593"/>
      <c r="FL370" s="1593"/>
      <c r="FM370" s="1593"/>
      <c r="FN370" s="1593"/>
      <c r="FO370" s="1593"/>
      <c r="FP370" s="1593"/>
      <c r="FQ370" s="1593"/>
      <c r="FR370" s="1593"/>
      <c r="FS370" s="1593"/>
      <c r="FT370" s="1593"/>
      <c r="FU370" s="1593"/>
      <c r="FV370" s="1593"/>
      <c r="FW370" s="1593"/>
      <c r="FX370" s="1593"/>
      <c r="FY370" s="1593"/>
      <c r="FZ370" s="1593"/>
      <c r="GA370" s="1593"/>
      <c r="GB370" s="1593"/>
      <c r="GC370" s="1593"/>
      <c r="GD370" s="1593"/>
      <c r="GE370" s="1593"/>
      <c r="GF370" s="1593"/>
      <c r="GG370" s="1593"/>
      <c r="GH370" s="1593"/>
      <c r="GI370" s="1593"/>
      <c r="GJ370" s="1593"/>
      <c r="GK370" s="1593"/>
      <c r="GL370" s="1593"/>
      <c r="GM370" s="1593"/>
      <c r="GN370" s="1593"/>
      <c r="GO370" s="1593"/>
      <c r="GP370" s="1593"/>
      <c r="GQ370" s="1593"/>
      <c r="GR370" s="1593"/>
      <c r="GS370" s="1593"/>
      <c r="GT370" s="1593"/>
      <c r="GU370" s="1593"/>
      <c r="GV370" s="1593"/>
      <c r="GW370" s="1593"/>
      <c r="GX370" s="1593"/>
      <c r="GY370" s="1593"/>
      <c r="GZ370" s="1593"/>
      <c r="HA370" s="1593"/>
      <c r="HB370" s="1593"/>
      <c r="HC370" s="1593"/>
      <c r="HD370" s="1593"/>
      <c r="HE370" s="1593"/>
      <c r="HF370" s="1593"/>
      <c r="HG370" s="1593"/>
      <c r="HH370" s="1593"/>
      <c r="HI370" s="1593"/>
      <c r="HJ370" s="1593"/>
      <c r="HK370" s="1593"/>
      <c r="HL370" s="1593"/>
      <c r="HM370" s="1593"/>
      <c r="HN370" s="1593"/>
      <c r="HO370" s="1593"/>
      <c r="HP370" s="1593"/>
      <c r="HQ370" s="1593"/>
      <c r="HR370" s="1593"/>
      <c r="HS370" s="1593"/>
      <c r="HT370" s="1593"/>
      <c r="HU370" s="1593"/>
      <c r="HV370" s="1593"/>
      <c r="HW370" s="1593"/>
      <c r="HX370" s="1593"/>
      <c r="HY370" s="1593"/>
      <c r="HZ370" s="1593"/>
      <c r="IA370" s="1593"/>
      <c r="IB370" s="1593"/>
      <c r="IC370" s="1593"/>
      <c r="ID370" s="1593"/>
      <c r="IE370" s="1593"/>
      <c r="IF370" s="1593"/>
      <c r="IG370" s="1593"/>
      <c r="IH370" s="1593"/>
      <c r="II370" s="1593"/>
      <c r="IJ370" s="1593"/>
      <c r="IK370" s="1593"/>
      <c r="IL370" s="1593"/>
      <c r="IM370" s="1593"/>
      <c r="IN370" s="1593"/>
      <c r="IO370" s="1593"/>
      <c r="IP370" s="1593"/>
      <c r="IQ370" s="1593"/>
      <c r="IR370" s="1593"/>
      <c r="IS370" s="1593"/>
      <c r="IT370" s="1593"/>
      <c r="IU370" s="1593"/>
      <c r="IV370" s="1593"/>
      <c r="IW370" s="1593"/>
      <c r="IX370" s="1593"/>
      <c r="IY370" s="1593"/>
      <c r="IZ370" s="1593"/>
      <c r="JA370" s="1593"/>
      <c r="JB370" s="1593"/>
      <c r="JC370" s="1593"/>
      <c r="JD370" s="1593"/>
      <c r="JE370" s="1593"/>
      <c r="JF370" s="1593"/>
      <c r="JG370" s="1593"/>
      <c r="JH370" s="1593"/>
      <c r="JI370" s="1593"/>
      <c r="JJ370" s="1593"/>
      <c r="JK370" s="1593"/>
      <c r="JL370" s="1593"/>
      <c r="JM370" s="1593"/>
      <c r="JN370" s="1593"/>
      <c r="JO370" s="1593"/>
      <c r="JP370" s="1593"/>
      <c r="JQ370" s="1593"/>
      <c r="JR370" s="1593"/>
      <c r="JS370" s="1593"/>
      <c r="JT370" s="1593"/>
      <c r="JU370" s="1593"/>
      <c r="JV370" s="1593"/>
      <c r="JW370" s="1593"/>
      <c r="JX370" s="1593"/>
      <c r="JY370" s="1593"/>
      <c r="JZ370" s="1593"/>
      <c r="KA370" s="1593"/>
      <c r="KB370" s="1598"/>
    </row>
    <row r="371" spans="2:288" ht="15" customHeight="1" x14ac:dyDescent="0.25">
      <c r="B371" s="216" t="str">
        <f t="shared" si="29"/>
        <v>Desk 52</v>
      </c>
      <c r="C371" s="218" t="str">
        <v/>
      </c>
      <c r="D371" s="218" t="str">
        <v/>
      </c>
      <c r="E371" s="218" t="str">
        <v/>
      </c>
      <c r="F371" s="218" t="str">
        <v/>
      </c>
      <c r="G371" s="402" t="str">
        <v/>
      </c>
      <c r="H371" s="1593"/>
      <c r="I371" s="1593"/>
      <c r="J371" s="1593"/>
      <c r="K371" s="1593"/>
      <c r="L371" s="1593"/>
      <c r="M371" s="1593"/>
      <c r="N371" s="1593"/>
      <c r="O371" s="1593"/>
      <c r="P371" s="1593"/>
      <c r="Q371" s="1593"/>
      <c r="R371" s="1593"/>
      <c r="S371" s="1593"/>
      <c r="T371" s="1593"/>
      <c r="U371" s="1593"/>
      <c r="V371" s="1593"/>
      <c r="W371" s="1593"/>
      <c r="X371" s="1593"/>
      <c r="Y371" s="1593"/>
      <c r="Z371" s="1593"/>
      <c r="AA371" s="1593"/>
      <c r="AB371" s="1593"/>
      <c r="AC371" s="1593"/>
      <c r="AD371" s="1593"/>
      <c r="AE371" s="1593"/>
      <c r="AF371" s="1593"/>
      <c r="AG371" s="1593"/>
      <c r="AH371" s="1593"/>
      <c r="AI371" s="1593"/>
      <c r="AJ371" s="1593"/>
      <c r="AK371" s="1593"/>
      <c r="AL371" s="1593"/>
      <c r="AM371" s="1593"/>
      <c r="AN371" s="1593"/>
      <c r="AO371" s="1593"/>
      <c r="AP371" s="1593"/>
      <c r="AQ371" s="1593"/>
      <c r="AR371" s="1593"/>
      <c r="AS371" s="1593"/>
      <c r="AT371" s="1593"/>
      <c r="AU371" s="1593"/>
      <c r="AV371" s="1593"/>
      <c r="AW371" s="1593"/>
      <c r="AX371" s="1593"/>
      <c r="AY371" s="1593"/>
      <c r="AZ371" s="1593"/>
      <c r="BA371" s="1593"/>
      <c r="BB371" s="1593"/>
      <c r="BC371" s="1593"/>
      <c r="BD371" s="1593"/>
      <c r="BE371" s="1593"/>
      <c r="BF371" s="1593"/>
      <c r="BG371" s="1593"/>
      <c r="BH371" s="1593"/>
      <c r="BI371" s="1593"/>
      <c r="BJ371" s="1593"/>
      <c r="BK371" s="1593"/>
      <c r="BL371" s="1593"/>
      <c r="BM371" s="1593"/>
      <c r="BN371" s="1593"/>
      <c r="BO371" s="1593"/>
      <c r="BP371" s="1593"/>
      <c r="BQ371" s="1593"/>
      <c r="BR371" s="1593"/>
      <c r="BS371" s="1593"/>
      <c r="BT371" s="1593"/>
      <c r="BU371" s="1593"/>
      <c r="BV371" s="1593"/>
      <c r="BW371" s="1593"/>
      <c r="BX371" s="1593"/>
      <c r="BY371" s="1593"/>
      <c r="BZ371" s="1593"/>
      <c r="CA371" s="1593"/>
      <c r="CB371" s="1593"/>
      <c r="CC371" s="1593"/>
      <c r="CD371" s="1593"/>
      <c r="CE371" s="1593"/>
      <c r="CF371" s="1593"/>
      <c r="CG371" s="1593"/>
      <c r="CH371" s="1593"/>
      <c r="CI371" s="1593"/>
      <c r="CJ371" s="1593"/>
      <c r="CK371" s="1593"/>
      <c r="CL371" s="1593"/>
      <c r="CM371" s="1593"/>
      <c r="CN371" s="1593"/>
      <c r="CO371" s="1593"/>
      <c r="CP371" s="1593"/>
      <c r="CQ371" s="1593"/>
      <c r="CR371" s="1593"/>
      <c r="CS371" s="1593"/>
      <c r="CT371" s="1593"/>
      <c r="CU371" s="1593"/>
      <c r="CV371" s="1593"/>
      <c r="CW371" s="1593"/>
      <c r="CX371" s="1593"/>
      <c r="CY371" s="1593"/>
      <c r="CZ371" s="1593"/>
      <c r="DA371" s="1593"/>
      <c r="DB371" s="1593"/>
      <c r="DC371" s="1593"/>
      <c r="DD371" s="1593"/>
      <c r="DE371" s="1593"/>
      <c r="DF371" s="1593"/>
      <c r="DG371" s="1593"/>
      <c r="DH371" s="1593"/>
      <c r="DI371" s="1593"/>
      <c r="DJ371" s="1593"/>
      <c r="DK371" s="1593"/>
      <c r="DL371" s="1593"/>
      <c r="DM371" s="1593"/>
      <c r="DN371" s="1593"/>
      <c r="DO371" s="1593"/>
      <c r="DP371" s="1593"/>
      <c r="DQ371" s="1593"/>
      <c r="DR371" s="1593"/>
      <c r="DS371" s="1593"/>
      <c r="DT371" s="1593"/>
      <c r="DU371" s="1593"/>
      <c r="DV371" s="1593"/>
      <c r="DW371" s="1593"/>
      <c r="DX371" s="1593"/>
      <c r="DY371" s="1593"/>
      <c r="DZ371" s="1593"/>
      <c r="EA371" s="1593"/>
      <c r="EB371" s="1593"/>
      <c r="EC371" s="1593"/>
      <c r="ED371" s="1593"/>
      <c r="EE371" s="1593"/>
      <c r="EF371" s="1593"/>
      <c r="EG371" s="1593"/>
      <c r="EH371" s="1593"/>
      <c r="EI371" s="1593"/>
      <c r="EJ371" s="1593"/>
      <c r="EK371" s="1593"/>
      <c r="EL371" s="1593"/>
      <c r="EM371" s="1593"/>
      <c r="EN371" s="1593"/>
      <c r="EO371" s="1593"/>
      <c r="EP371" s="1593"/>
      <c r="EQ371" s="1593"/>
      <c r="ER371" s="1593"/>
      <c r="ES371" s="1593"/>
      <c r="ET371" s="1593"/>
      <c r="EU371" s="1593"/>
      <c r="EV371" s="1593"/>
      <c r="EW371" s="1593"/>
      <c r="EX371" s="1593"/>
      <c r="EY371" s="1593"/>
      <c r="EZ371" s="1593"/>
      <c r="FA371" s="1593"/>
      <c r="FB371" s="1593"/>
      <c r="FC371" s="1593"/>
      <c r="FD371" s="1593"/>
      <c r="FE371" s="1593"/>
      <c r="FF371" s="1593"/>
      <c r="FG371" s="1593"/>
      <c r="FH371" s="1593"/>
      <c r="FI371" s="1593"/>
      <c r="FJ371" s="1593"/>
      <c r="FK371" s="1593"/>
      <c r="FL371" s="1593"/>
      <c r="FM371" s="1593"/>
      <c r="FN371" s="1593"/>
      <c r="FO371" s="1593"/>
      <c r="FP371" s="1593"/>
      <c r="FQ371" s="1593"/>
      <c r="FR371" s="1593"/>
      <c r="FS371" s="1593"/>
      <c r="FT371" s="1593"/>
      <c r="FU371" s="1593"/>
      <c r="FV371" s="1593"/>
      <c r="FW371" s="1593"/>
      <c r="FX371" s="1593"/>
      <c r="FY371" s="1593"/>
      <c r="FZ371" s="1593"/>
      <c r="GA371" s="1593"/>
      <c r="GB371" s="1593"/>
      <c r="GC371" s="1593"/>
      <c r="GD371" s="1593"/>
      <c r="GE371" s="1593"/>
      <c r="GF371" s="1593"/>
      <c r="GG371" s="1593"/>
      <c r="GH371" s="1593"/>
      <c r="GI371" s="1593"/>
      <c r="GJ371" s="1593"/>
      <c r="GK371" s="1593"/>
      <c r="GL371" s="1593"/>
      <c r="GM371" s="1593"/>
      <c r="GN371" s="1593"/>
      <c r="GO371" s="1593"/>
      <c r="GP371" s="1593"/>
      <c r="GQ371" s="1593"/>
      <c r="GR371" s="1593"/>
      <c r="GS371" s="1593"/>
      <c r="GT371" s="1593"/>
      <c r="GU371" s="1593"/>
      <c r="GV371" s="1593"/>
      <c r="GW371" s="1593"/>
      <c r="GX371" s="1593"/>
      <c r="GY371" s="1593"/>
      <c r="GZ371" s="1593"/>
      <c r="HA371" s="1593"/>
      <c r="HB371" s="1593"/>
      <c r="HC371" s="1593"/>
      <c r="HD371" s="1593"/>
      <c r="HE371" s="1593"/>
      <c r="HF371" s="1593"/>
      <c r="HG371" s="1593"/>
      <c r="HH371" s="1593"/>
      <c r="HI371" s="1593"/>
      <c r="HJ371" s="1593"/>
      <c r="HK371" s="1593"/>
      <c r="HL371" s="1593"/>
      <c r="HM371" s="1593"/>
      <c r="HN371" s="1593"/>
      <c r="HO371" s="1593"/>
      <c r="HP371" s="1593"/>
      <c r="HQ371" s="1593"/>
      <c r="HR371" s="1593"/>
      <c r="HS371" s="1593"/>
      <c r="HT371" s="1593"/>
      <c r="HU371" s="1593"/>
      <c r="HV371" s="1593"/>
      <c r="HW371" s="1593"/>
      <c r="HX371" s="1593"/>
      <c r="HY371" s="1593"/>
      <c r="HZ371" s="1593"/>
      <c r="IA371" s="1593"/>
      <c r="IB371" s="1593"/>
      <c r="IC371" s="1593"/>
      <c r="ID371" s="1593"/>
      <c r="IE371" s="1593"/>
      <c r="IF371" s="1593"/>
      <c r="IG371" s="1593"/>
      <c r="IH371" s="1593"/>
      <c r="II371" s="1593"/>
      <c r="IJ371" s="1593"/>
      <c r="IK371" s="1593"/>
      <c r="IL371" s="1593"/>
      <c r="IM371" s="1593"/>
      <c r="IN371" s="1593"/>
      <c r="IO371" s="1593"/>
      <c r="IP371" s="1593"/>
      <c r="IQ371" s="1593"/>
      <c r="IR371" s="1593"/>
      <c r="IS371" s="1593"/>
      <c r="IT371" s="1593"/>
      <c r="IU371" s="1593"/>
      <c r="IV371" s="1593"/>
      <c r="IW371" s="1593"/>
      <c r="IX371" s="1593"/>
      <c r="IY371" s="1593"/>
      <c r="IZ371" s="1593"/>
      <c r="JA371" s="1593"/>
      <c r="JB371" s="1593"/>
      <c r="JC371" s="1593"/>
      <c r="JD371" s="1593"/>
      <c r="JE371" s="1593"/>
      <c r="JF371" s="1593"/>
      <c r="JG371" s="1593"/>
      <c r="JH371" s="1593"/>
      <c r="JI371" s="1593"/>
      <c r="JJ371" s="1593"/>
      <c r="JK371" s="1593"/>
      <c r="JL371" s="1593"/>
      <c r="JM371" s="1593"/>
      <c r="JN371" s="1593"/>
      <c r="JO371" s="1593"/>
      <c r="JP371" s="1593"/>
      <c r="JQ371" s="1593"/>
      <c r="JR371" s="1593"/>
      <c r="JS371" s="1593"/>
      <c r="JT371" s="1593"/>
      <c r="JU371" s="1593"/>
      <c r="JV371" s="1593"/>
      <c r="JW371" s="1593"/>
      <c r="JX371" s="1593"/>
      <c r="JY371" s="1593"/>
      <c r="JZ371" s="1593"/>
      <c r="KA371" s="1593"/>
      <c r="KB371" s="1598"/>
    </row>
    <row r="372" spans="2:288" ht="15" customHeight="1" x14ac:dyDescent="0.25">
      <c r="B372" s="216" t="str">
        <f t="shared" si="29"/>
        <v>Desk 53</v>
      </c>
      <c r="C372" s="218" t="str">
        <v/>
      </c>
      <c r="D372" s="218" t="str">
        <v/>
      </c>
      <c r="E372" s="218" t="str">
        <v/>
      </c>
      <c r="F372" s="218" t="str">
        <v/>
      </c>
      <c r="G372" s="402" t="str">
        <v/>
      </c>
      <c r="H372" s="1593"/>
      <c r="I372" s="1593"/>
      <c r="J372" s="1593"/>
      <c r="K372" s="1593"/>
      <c r="L372" s="1593"/>
      <c r="M372" s="1593"/>
      <c r="N372" s="1593"/>
      <c r="O372" s="1593"/>
      <c r="P372" s="1593"/>
      <c r="Q372" s="1593"/>
      <c r="R372" s="1593"/>
      <c r="S372" s="1593"/>
      <c r="T372" s="1593"/>
      <c r="U372" s="1593"/>
      <c r="V372" s="1593"/>
      <c r="W372" s="1593"/>
      <c r="X372" s="1593"/>
      <c r="Y372" s="1593"/>
      <c r="Z372" s="1593"/>
      <c r="AA372" s="1593"/>
      <c r="AB372" s="1593"/>
      <c r="AC372" s="1593"/>
      <c r="AD372" s="1593"/>
      <c r="AE372" s="1593"/>
      <c r="AF372" s="1593"/>
      <c r="AG372" s="1593"/>
      <c r="AH372" s="1593"/>
      <c r="AI372" s="1593"/>
      <c r="AJ372" s="1593"/>
      <c r="AK372" s="1593"/>
      <c r="AL372" s="1593"/>
      <c r="AM372" s="1593"/>
      <c r="AN372" s="1593"/>
      <c r="AO372" s="1593"/>
      <c r="AP372" s="1593"/>
      <c r="AQ372" s="1593"/>
      <c r="AR372" s="1593"/>
      <c r="AS372" s="1593"/>
      <c r="AT372" s="1593"/>
      <c r="AU372" s="1593"/>
      <c r="AV372" s="1593"/>
      <c r="AW372" s="1593"/>
      <c r="AX372" s="1593"/>
      <c r="AY372" s="1593"/>
      <c r="AZ372" s="1593"/>
      <c r="BA372" s="1593"/>
      <c r="BB372" s="1593"/>
      <c r="BC372" s="1593"/>
      <c r="BD372" s="1593"/>
      <c r="BE372" s="1593"/>
      <c r="BF372" s="1593"/>
      <c r="BG372" s="1593"/>
      <c r="BH372" s="1593"/>
      <c r="BI372" s="1593"/>
      <c r="BJ372" s="1593"/>
      <c r="BK372" s="1593"/>
      <c r="BL372" s="1593"/>
      <c r="BM372" s="1593"/>
      <c r="BN372" s="1593"/>
      <c r="BO372" s="1593"/>
      <c r="BP372" s="1593"/>
      <c r="BQ372" s="1593"/>
      <c r="BR372" s="1593"/>
      <c r="BS372" s="1593"/>
      <c r="BT372" s="1593"/>
      <c r="BU372" s="1593"/>
      <c r="BV372" s="1593"/>
      <c r="BW372" s="1593"/>
      <c r="BX372" s="1593"/>
      <c r="BY372" s="1593"/>
      <c r="BZ372" s="1593"/>
      <c r="CA372" s="1593"/>
      <c r="CB372" s="1593"/>
      <c r="CC372" s="1593"/>
      <c r="CD372" s="1593"/>
      <c r="CE372" s="1593"/>
      <c r="CF372" s="1593"/>
      <c r="CG372" s="1593"/>
      <c r="CH372" s="1593"/>
      <c r="CI372" s="1593"/>
      <c r="CJ372" s="1593"/>
      <c r="CK372" s="1593"/>
      <c r="CL372" s="1593"/>
      <c r="CM372" s="1593"/>
      <c r="CN372" s="1593"/>
      <c r="CO372" s="1593"/>
      <c r="CP372" s="1593"/>
      <c r="CQ372" s="1593"/>
      <c r="CR372" s="1593"/>
      <c r="CS372" s="1593"/>
      <c r="CT372" s="1593"/>
      <c r="CU372" s="1593"/>
      <c r="CV372" s="1593"/>
      <c r="CW372" s="1593"/>
      <c r="CX372" s="1593"/>
      <c r="CY372" s="1593"/>
      <c r="CZ372" s="1593"/>
      <c r="DA372" s="1593"/>
      <c r="DB372" s="1593"/>
      <c r="DC372" s="1593"/>
      <c r="DD372" s="1593"/>
      <c r="DE372" s="1593"/>
      <c r="DF372" s="1593"/>
      <c r="DG372" s="1593"/>
      <c r="DH372" s="1593"/>
      <c r="DI372" s="1593"/>
      <c r="DJ372" s="1593"/>
      <c r="DK372" s="1593"/>
      <c r="DL372" s="1593"/>
      <c r="DM372" s="1593"/>
      <c r="DN372" s="1593"/>
      <c r="DO372" s="1593"/>
      <c r="DP372" s="1593"/>
      <c r="DQ372" s="1593"/>
      <c r="DR372" s="1593"/>
      <c r="DS372" s="1593"/>
      <c r="DT372" s="1593"/>
      <c r="DU372" s="1593"/>
      <c r="DV372" s="1593"/>
      <c r="DW372" s="1593"/>
      <c r="DX372" s="1593"/>
      <c r="DY372" s="1593"/>
      <c r="DZ372" s="1593"/>
      <c r="EA372" s="1593"/>
      <c r="EB372" s="1593"/>
      <c r="EC372" s="1593"/>
      <c r="ED372" s="1593"/>
      <c r="EE372" s="1593"/>
      <c r="EF372" s="1593"/>
      <c r="EG372" s="1593"/>
      <c r="EH372" s="1593"/>
      <c r="EI372" s="1593"/>
      <c r="EJ372" s="1593"/>
      <c r="EK372" s="1593"/>
      <c r="EL372" s="1593"/>
      <c r="EM372" s="1593"/>
      <c r="EN372" s="1593"/>
      <c r="EO372" s="1593"/>
      <c r="EP372" s="1593"/>
      <c r="EQ372" s="1593"/>
      <c r="ER372" s="1593"/>
      <c r="ES372" s="1593"/>
      <c r="ET372" s="1593"/>
      <c r="EU372" s="1593"/>
      <c r="EV372" s="1593"/>
      <c r="EW372" s="1593"/>
      <c r="EX372" s="1593"/>
      <c r="EY372" s="1593"/>
      <c r="EZ372" s="1593"/>
      <c r="FA372" s="1593"/>
      <c r="FB372" s="1593"/>
      <c r="FC372" s="1593"/>
      <c r="FD372" s="1593"/>
      <c r="FE372" s="1593"/>
      <c r="FF372" s="1593"/>
      <c r="FG372" s="1593"/>
      <c r="FH372" s="1593"/>
      <c r="FI372" s="1593"/>
      <c r="FJ372" s="1593"/>
      <c r="FK372" s="1593"/>
      <c r="FL372" s="1593"/>
      <c r="FM372" s="1593"/>
      <c r="FN372" s="1593"/>
      <c r="FO372" s="1593"/>
      <c r="FP372" s="1593"/>
      <c r="FQ372" s="1593"/>
      <c r="FR372" s="1593"/>
      <c r="FS372" s="1593"/>
      <c r="FT372" s="1593"/>
      <c r="FU372" s="1593"/>
      <c r="FV372" s="1593"/>
      <c r="FW372" s="1593"/>
      <c r="FX372" s="1593"/>
      <c r="FY372" s="1593"/>
      <c r="FZ372" s="1593"/>
      <c r="GA372" s="1593"/>
      <c r="GB372" s="1593"/>
      <c r="GC372" s="1593"/>
      <c r="GD372" s="1593"/>
      <c r="GE372" s="1593"/>
      <c r="GF372" s="1593"/>
      <c r="GG372" s="1593"/>
      <c r="GH372" s="1593"/>
      <c r="GI372" s="1593"/>
      <c r="GJ372" s="1593"/>
      <c r="GK372" s="1593"/>
      <c r="GL372" s="1593"/>
      <c r="GM372" s="1593"/>
      <c r="GN372" s="1593"/>
      <c r="GO372" s="1593"/>
      <c r="GP372" s="1593"/>
      <c r="GQ372" s="1593"/>
      <c r="GR372" s="1593"/>
      <c r="GS372" s="1593"/>
      <c r="GT372" s="1593"/>
      <c r="GU372" s="1593"/>
      <c r="GV372" s="1593"/>
      <c r="GW372" s="1593"/>
      <c r="GX372" s="1593"/>
      <c r="GY372" s="1593"/>
      <c r="GZ372" s="1593"/>
      <c r="HA372" s="1593"/>
      <c r="HB372" s="1593"/>
      <c r="HC372" s="1593"/>
      <c r="HD372" s="1593"/>
      <c r="HE372" s="1593"/>
      <c r="HF372" s="1593"/>
      <c r="HG372" s="1593"/>
      <c r="HH372" s="1593"/>
      <c r="HI372" s="1593"/>
      <c r="HJ372" s="1593"/>
      <c r="HK372" s="1593"/>
      <c r="HL372" s="1593"/>
      <c r="HM372" s="1593"/>
      <c r="HN372" s="1593"/>
      <c r="HO372" s="1593"/>
      <c r="HP372" s="1593"/>
      <c r="HQ372" s="1593"/>
      <c r="HR372" s="1593"/>
      <c r="HS372" s="1593"/>
      <c r="HT372" s="1593"/>
      <c r="HU372" s="1593"/>
      <c r="HV372" s="1593"/>
      <c r="HW372" s="1593"/>
      <c r="HX372" s="1593"/>
      <c r="HY372" s="1593"/>
      <c r="HZ372" s="1593"/>
      <c r="IA372" s="1593"/>
      <c r="IB372" s="1593"/>
      <c r="IC372" s="1593"/>
      <c r="ID372" s="1593"/>
      <c r="IE372" s="1593"/>
      <c r="IF372" s="1593"/>
      <c r="IG372" s="1593"/>
      <c r="IH372" s="1593"/>
      <c r="II372" s="1593"/>
      <c r="IJ372" s="1593"/>
      <c r="IK372" s="1593"/>
      <c r="IL372" s="1593"/>
      <c r="IM372" s="1593"/>
      <c r="IN372" s="1593"/>
      <c r="IO372" s="1593"/>
      <c r="IP372" s="1593"/>
      <c r="IQ372" s="1593"/>
      <c r="IR372" s="1593"/>
      <c r="IS372" s="1593"/>
      <c r="IT372" s="1593"/>
      <c r="IU372" s="1593"/>
      <c r="IV372" s="1593"/>
      <c r="IW372" s="1593"/>
      <c r="IX372" s="1593"/>
      <c r="IY372" s="1593"/>
      <c r="IZ372" s="1593"/>
      <c r="JA372" s="1593"/>
      <c r="JB372" s="1593"/>
      <c r="JC372" s="1593"/>
      <c r="JD372" s="1593"/>
      <c r="JE372" s="1593"/>
      <c r="JF372" s="1593"/>
      <c r="JG372" s="1593"/>
      <c r="JH372" s="1593"/>
      <c r="JI372" s="1593"/>
      <c r="JJ372" s="1593"/>
      <c r="JK372" s="1593"/>
      <c r="JL372" s="1593"/>
      <c r="JM372" s="1593"/>
      <c r="JN372" s="1593"/>
      <c r="JO372" s="1593"/>
      <c r="JP372" s="1593"/>
      <c r="JQ372" s="1593"/>
      <c r="JR372" s="1593"/>
      <c r="JS372" s="1593"/>
      <c r="JT372" s="1593"/>
      <c r="JU372" s="1593"/>
      <c r="JV372" s="1593"/>
      <c r="JW372" s="1593"/>
      <c r="JX372" s="1593"/>
      <c r="JY372" s="1593"/>
      <c r="JZ372" s="1593"/>
      <c r="KA372" s="1593"/>
      <c r="KB372" s="1598"/>
    </row>
    <row r="373" spans="2:288" ht="15" customHeight="1" x14ac:dyDescent="0.25">
      <c r="B373" s="216" t="str">
        <f t="shared" si="29"/>
        <v>Desk 54</v>
      </c>
      <c r="C373" s="218" t="str">
        <v/>
      </c>
      <c r="D373" s="218" t="str">
        <v/>
      </c>
      <c r="E373" s="218" t="str">
        <v/>
      </c>
      <c r="F373" s="218" t="str">
        <v/>
      </c>
      <c r="G373" s="402" t="str">
        <v/>
      </c>
      <c r="H373" s="1593"/>
      <c r="I373" s="1593"/>
      <c r="J373" s="1593"/>
      <c r="K373" s="1593"/>
      <c r="L373" s="1593"/>
      <c r="M373" s="1593"/>
      <c r="N373" s="1593"/>
      <c r="O373" s="1593"/>
      <c r="P373" s="1593"/>
      <c r="Q373" s="1593"/>
      <c r="R373" s="1593"/>
      <c r="S373" s="1593"/>
      <c r="T373" s="1593"/>
      <c r="U373" s="1593"/>
      <c r="V373" s="1593"/>
      <c r="W373" s="1593"/>
      <c r="X373" s="1593"/>
      <c r="Y373" s="1593"/>
      <c r="Z373" s="1593"/>
      <c r="AA373" s="1593"/>
      <c r="AB373" s="1593"/>
      <c r="AC373" s="1593"/>
      <c r="AD373" s="1593"/>
      <c r="AE373" s="1593"/>
      <c r="AF373" s="1593"/>
      <c r="AG373" s="1593"/>
      <c r="AH373" s="1593"/>
      <c r="AI373" s="1593"/>
      <c r="AJ373" s="1593"/>
      <c r="AK373" s="1593"/>
      <c r="AL373" s="1593"/>
      <c r="AM373" s="1593"/>
      <c r="AN373" s="1593"/>
      <c r="AO373" s="1593"/>
      <c r="AP373" s="1593"/>
      <c r="AQ373" s="1593"/>
      <c r="AR373" s="1593"/>
      <c r="AS373" s="1593"/>
      <c r="AT373" s="1593"/>
      <c r="AU373" s="1593"/>
      <c r="AV373" s="1593"/>
      <c r="AW373" s="1593"/>
      <c r="AX373" s="1593"/>
      <c r="AY373" s="1593"/>
      <c r="AZ373" s="1593"/>
      <c r="BA373" s="1593"/>
      <c r="BB373" s="1593"/>
      <c r="BC373" s="1593"/>
      <c r="BD373" s="1593"/>
      <c r="BE373" s="1593"/>
      <c r="BF373" s="1593"/>
      <c r="BG373" s="1593"/>
      <c r="BH373" s="1593"/>
      <c r="BI373" s="1593"/>
      <c r="BJ373" s="1593"/>
      <c r="BK373" s="1593"/>
      <c r="BL373" s="1593"/>
      <c r="BM373" s="1593"/>
      <c r="BN373" s="1593"/>
      <c r="BO373" s="1593"/>
      <c r="BP373" s="1593"/>
      <c r="BQ373" s="1593"/>
      <c r="BR373" s="1593"/>
      <c r="BS373" s="1593"/>
      <c r="BT373" s="1593"/>
      <c r="BU373" s="1593"/>
      <c r="BV373" s="1593"/>
      <c r="BW373" s="1593"/>
      <c r="BX373" s="1593"/>
      <c r="BY373" s="1593"/>
      <c r="BZ373" s="1593"/>
      <c r="CA373" s="1593"/>
      <c r="CB373" s="1593"/>
      <c r="CC373" s="1593"/>
      <c r="CD373" s="1593"/>
      <c r="CE373" s="1593"/>
      <c r="CF373" s="1593"/>
      <c r="CG373" s="1593"/>
      <c r="CH373" s="1593"/>
      <c r="CI373" s="1593"/>
      <c r="CJ373" s="1593"/>
      <c r="CK373" s="1593"/>
      <c r="CL373" s="1593"/>
      <c r="CM373" s="1593"/>
      <c r="CN373" s="1593"/>
      <c r="CO373" s="1593"/>
      <c r="CP373" s="1593"/>
      <c r="CQ373" s="1593"/>
      <c r="CR373" s="1593"/>
      <c r="CS373" s="1593"/>
      <c r="CT373" s="1593"/>
      <c r="CU373" s="1593"/>
      <c r="CV373" s="1593"/>
      <c r="CW373" s="1593"/>
      <c r="CX373" s="1593"/>
      <c r="CY373" s="1593"/>
      <c r="CZ373" s="1593"/>
      <c r="DA373" s="1593"/>
      <c r="DB373" s="1593"/>
      <c r="DC373" s="1593"/>
      <c r="DD373" s="1593"/>
      <c r="DE373" s="1593"/>
      <c r="DF373" s="1593"/>
      <c r="DG373" s="1593"/>
      <c r="DH373" s="1593"/>
      <c r="DI373" s="1593"/>
      <c r="DJ373" s="1593"/>
      <c r="DK373" s="1593"/>
      <c r="DL373" s="1593"/>
      <c r="DM373" s="1593"/>
      <c r="DN373" s="1593"/>
      <c r="DO373" s="1593"/>
      <c r="DP373" s="1593"/>
      <c r="DQ373" s="1593"/>
      <c r="DR373" s="1593"/>
      <c r="DS373" s="1593"/>
      <c r="DT373" s="1593"/>
      <c r="DU373" s="1593"/>
      <c r="DV373" s="1593"/>
      <c r="DW373" s="1593"/>
      <c r="DX373" s="1593"/>
      <c r="DY373" s="1593"/>
      <c r="DZ373" s="1593"/>
      <c r="EA373" s="1593"/>
      <c r="EB373" s="1593"/>
      <c r="EC373" s="1593"/>
      <c r="ED373" s="1593"/>
      <c r="EE373" s="1593"/>
      <c r="EF373" s="1593"/>
      <c r="EG373" s="1593"/>
      <c r="EH373" s="1593"/>
      <c r="EI373" s="1593"/>
      <c r="EJ373" s="1593"/>
      <c r="EK373" s="1593"/>
      <c r="EL373" s="1593"/>
      <c r="EM373" s="1593"/>
      <c r="EN373" s="1593"/>
      <c r="EO373" s="1593"/>
      <c r="EP373" s="1593"/>
      <c r="EQ373" s="1593"/>
      <c r="ER373" s="1593"/>
      <c r="ES373" s="1593"/>
      <c r="ET373" s="1593"/>
      <c r="EU373" s="1593"/>
      <c r="EV373" s="1593"/>
      <c r="EW373" s="1593"/>
      <c r="EX373" s="1593"/>
      <c r="EY373" s="1593"/>
      <c r="EZ373" s="1593"/>
      <c r="FA373" s="1593"/>
      <c r="FB373" s="1593"/>
      <c r="FC373" s="1593"/>
      <c r="FD373" s="1593"/>
      <c r="FE373" s="1593"/>
      <c r="FF373" s="1593"/>
      <c r="FG373" s="1593"/>
      <c r="FH373" s="1593"/>
      <c r="FI373" s="1593"/>
      <c r="FJ373" s="1593"/>
      <c r="FK373" s="1593"/>
      <c r="FL373" s="1593"/>
      <c r="FM373" s="1593"/>
      <c r="FN373" s="1593"/>
      <c r="FO373" s="1593"/>
      <c r="FP373" s="1593"/>
      <c r="FQ373" s="1593"/>
      <c r="FR373" s="1593"/>
      <c r="FS373" s="1593"/>
      <c r="FT373" s="1593"/>
      <c r="FU373" s="1593"/>
      <c r="FV373" s="1593"/>
      <c r="FW373" s="1593"/>
      <c r="FX373" s="1593"/>
      <c r="FY373" s="1593"/>
      <c r="FZ373" s="1593"/>
      <c r="GA373" s="1593"/>
      <c r="GB373" s="1593"/>
      <c r="GC373" s="1593"/>
      <c r="GD373" s="1593"/>
      <c r="GE373" s="1593"/>
      <c r="GF373" s="1593"/>
      <c r="GG373" s="1593"/>
      <c r="GH373" s="1593"/>
      <c r="GI373" s="1593"/>
      <c r="GJ373" s="1593"/>
      <c r="GK373" s="1593"/>
      <c r="GL373" s="1593"/>
      <c r="GM373" s="1593"/>
      <c r="GN373" s="1593"/>
      <c r="GO373" s="1593"/>
      <c r="GP373" s="1593"/>
      <c r="GQ373" s="1593"/>
      <c r="GR373" s="1593"/>
      <c r="GS373" s="1593"/>
      <c r="GT373" s="1593"/>
      <c r="GU373" s="1593"/>
      <c r="GV373" s="1593"/>
      <c r="GW373" s="1593"/>
      <c r="GX373" s="1593"/>
      <c r="GY373" s="1593"/>
      <c r="GZ373" s="1593"/>
      <c r="HA373" s="1593"/>
      <c r="HB373" s="1593"/>
      <c r="HC373" s="1593"/>
      <c r="HD373" s="1593"/>
      <c r="HE373" s="1593"/>
      <c r="HF373" s="1593"/>
      <c r="HG373" s="1593"/>
      <c r="HH373" s="1593"/>
      <c r="HI373" s="1593"/>
      <c r="HJ373" s="1593"/>
      <c r="HK373" s="1593"/>
      <c r="HL373" s="1593"/>
      <c r="HM373" s="1593"/>
      <c r="HN373" s="1593"/>
      <c r="HO373" s="1593"/>
      <c r="HP373" s="1593"/>
      <c r="HQ373" s="1593"/>
      <c r="HR373" s="1593"/>
      <c r="HS373" s="1593"/>
      <c r="HT373" s="1593"/>
      <c r="HU373" s="1593"/>
      <c r="HV373" s="1593"/>
      <c r="HW373" s="1593"/>
      <c r="HX373" s="1593"/>
      <c r="HY373" s="1593"/>
      <c r="HZ373" s="1593"/>
      <c r="IA373" s="1593"/>
      <c r="IB373" s="1593"/>
      <c r="IC373" s="1593"/>
      <c r="ID373" s="1593"/>
      <c r="IE373" s="1593"/>
      <c r="IF373" s="1593"/>
      <c r="IG373" s="1593"/>
      <c r="IH373" s="1593"/>
      <c r="II373" s="1593"/>
      <c r="IJ373" s="1593"/>
      <c r="IK373" s="1593"/>
      <c r="IL373" s="1593"/>
      <c r="IM373" s="1593"/>
      <c r="IN373" s="1593"/>
      <c r="IO373" s="1593"/>
      <c r="IP373" s="1593"/>
      <c r="IQ373" s="1593"/>
      <c r="IR373" s="1593"/>
      <c r="IS373" s="1593"/>
      <c r="IT373" s="1593"/>
      <c r="IU373" s="1593"/>
      <c r="IV373" s="1593"/>
      <c r="IW373" s="1593"/>
      <c r="IX373" s="1593"/>
      <c r="IY373" s="1593"/>
      <c r="IZ373" s="1593"/>
      <c r="JA373" s="1593"/>
      <c r="JB373" s="1593"/>
      <c r="JC373" s="1593"/>
      <c r="JD373" s="1593"/>
      <c r="JE373" s="1593"/>
      <c r="JF373" s="1593"/>
      <c r="JG373" s="1593"/>
      <c r="JH373" s="1593"/>
      <c r="JI373" s="1593"/>
      <c r="JJ373" s="1593"/>
      <c r="JK373" s="1593"/>
      <c r="JL373" s="1593"/>
      <c r="JM373" s="1593"/>
      <c r="JN373" s="1593"/>
      <c r="JO373" s="1593"/>
      <c r="JP373" s="1593"/>
      <c r="JQ373" s="1593"/>
      <c r="JR373" s="1593"/>
      <c r="JS373" s="1593"/>
      <c r="JT373" s="1593"/>
      <c r="JU373" s="1593"/>
      <c r="JV373" s="1593"/>
      <c r="JW373" s="1593"/>
      <c r="JX373" s="1593"/>
      <c r="JY373" s="1593"/>
      <c r="JZ373" s="1593"/>
      <c r="KA373" s="1593"/>
      <c r="KB373" s="1598"/>
    </row>
    <row r="374" spans="2:288" ht="15" customHeight="1" x14ac:dyDescent="0.25">
      <c r="B374" s="216" t="str">
        <f t="shared" si="29"/>
        <v>Desk 55</v>
      </c>
      <c r="C374" s="218" t="str">
        <v/>
      </c>
      <c r="D374" s="218" t="str">
        <v/>
      </c>
      <c r="E374" s="218" t="str">
        <v/>
      </c>
      <c r="F374" s="218" t="str">
        <v/>
      </c>
      <c r="G374" s="402" t="str">
        <v/>
      </c>
      <c r="H374" s="1593"/>
      <c r="I374" s="1593"/>
      <c r="J374" s="1593"/>
      <c r="K374" s="1593"/>
      <c r="L374" s="1593"/>
      <c r="M374" s="1593"/>
      <c r="N374" s="1593"/>
      <c r="O374" s="1593"/>
      <c r="P374" s="1593"/>
      <c r="Q374" s="1593"/>
      <c r="R374" s="1593"/>
      <c r="S374" s="1593"/>
      <c r="T374" s="1593"/>
      <c r="U374" s="1593"/>
      <c r="V374" s="1593"/>
      <c r="W374" s="1593"/>
      <c r="X374" s="1593"/>
      <c r="Y374" s="1593"/>
      <c r="Z374" s="1593"/>
      <c r="AA374" s="1593"/>
      <c r="AB374" s="1593"/>
      <c r="AC374" s="1593"/>
      <c r="AD374" s="1593"/>
      <c r="AE374" s="1593"/>
      <c r="AF374" s="1593"/>
      <c r="AG374" s="1593"/>
      <c r="AH374" s="1593"/>
      <c r="AI374" s="1593"/>
      <c r="AJ374" s="1593"/>
      <c r="AK374" s="1593"/>
      <c r="AL374" s="1593"/>
      <c r="AM374" s="1593"/>
      <c r="AN374" s="1593"/>
      <c r="AO374" s="1593"/>
      <c r="AP374" s="1593"/>
      <c r="AQ374" s="1593"/>
      <c r="AR374" s="1593"/>
      <c r="AS374" s="1593"/>
      <c r="AT374" s="1593"/>
      <c r="AU374" s="1593"/>
      <c r="AV374" s="1593"/>
      <c r="AW374" s="1593"/>
      <c r="AX374" s="1593"/>
      <c r="AY374" s="1593"/>
      <c r="AZ374" s="1593"/>
      <c r="BA374" s="1593"/>
      <c r="BB374" s="1593"/>
      <c r="BC374" s="1593"/>
      <c r="BD374" s="1593"/>
      <c r="BE374" s="1593"/>
      <c r="BF374" s="1593"/>
      <c r="BG374" s="1593"/>
      <c r="BH374" s="1593"/>
      <c r="BI374" s="1593"/>
      <c r="BJ374" s="1593"/>
      <c r="BK374" s="1593"/>
      <c r="BL374" s="1593"/>
      <c r="BM374" s="1593"/>
      <c r="BN374" s="1593"/>
      <c r="BO374" s="1593"/>
      <c r="BP374" s="1593"/>
      <c r="BQ374" s="1593"/>
      <c r="BR374" s="1593"/>
      <c r="BS374" s="1593"/>
      <c r="BT374" s="1593"/>
      <c r="BU374" s="1593"/>
      <c r="BV374" s="1593"/>
      <c r="BW374" s="1593"/>
      <c r="BX374" s="1593"/>
      <c r="BY374" s="1593"/>
      <c r="BZ374" s="1593"/>
      <c r="CA374" s="1593"/>
      <c r="CB374" s="1593"/>
      <c r="CC374" s="1593"/>
      <c r="CD374" s="1593"/>
      <c r="CE374" s="1593"/>
      <c r="CF374" s="1593"/>
      <c r="CG374" s="1593"/>
      <c r="CH374" s="1593"/>
      <c r="CI374" s="1593"/>
      <c r="CJ374" s="1593"/>
      <c r="CK374" s="1593"/>
      <c r="CL374" s="1593"/>
      <c r="CM374" s="1593"/>
      <c r="CN374" s="1593"/>
      <c r="CO374" s="1593"/>
      <c r="CP374" s="1593"/>
      <c r="CQ374" s="1593"/>
      <c r="CR374" s="1593"/>
      <c r="CS374" s="1593"/>
      <c r="CT374" s="1593"/>
      <c r="CU374" s="1593"/>
      <c r="CV374" s="1593"/>
      <c r="CW374" s="1593"/>
      <c r="CX374" s="1593"/>
      <c r="CY374" s="1593"/>
      <c r="CZ374" s="1593"/>
      <c r="DA374" s="1593"/>
      <c r="DB374" s="1593"/>
      <c r="DC374" s="1593"/>
      <c r="DD374" s="1593"/>
      <c r="DE374" s="1593"/>
      <c r="DF374" s="1593"/>
      <c r="DG374" s="1593"/>
      <c r="DH374" s="1593"/>
      <c r="DI374" s="1593"/>
      <c r="DJ374" s="1593"/>
      <c r="DK374" s="1593"/>
      <c r="DL374" s="1593"/>
      <c r="DM374" s="1593"/>
      <c r="DN374" s="1593"/>
      <c r="DO374" s="1593"/>
      <c r="DP374" s="1593"/>
      <c r="DQ374" s="1593"/>
      <c r="DR374" s="1593"/>
      <c r="DS374" s="1593"/>
      <c r="DT374" s="1593"/>
      <c r="DU374" s="1593"/>
      <c r="DV374" s="1593"/>
      <c r="DW374" s="1593"/>
      <c r="DX374" s="1593"/>
      <c r="DY374" s="1593"/>
      <c r="DZ374" s="1593"/>
      <c r="EA374" s="1593"/>
      <c r="EB374" s="1593"/>
      <c r="EC374" s="1593"/>
      <c r="ED374" s="1593"/>
      <c r="EE374" s="1593"/>
      <c r="EF374" s="1593"/>
      <c r="EG374" s="1593"/>
      <c r="EH374" s="1593"/>
      <c r="EI374" s="1593"/>
      <c r="EJ374" s="1593"/>
      <c r="EK374" s="1593"/>
      <c r="EL374" s="1593"/>
      <c r="EM374" s="1593"/>
      <c r="EN374" s="1593"/>
      <c r="EO374" s="1593"/>
      <c r="EP374" s="1593"/>
      <c r="EQ374" s="1593"/>
      <c r="ER374" s="1593"/>
      <c r="ES374" s="1593"/>
      <c r="ET374" s="1593"/>
      <c r="EU374" s="1593"/>
      <c r="EV374" s="1593"/>
      <c r="EW374" s="1593"/>
      <c r="EX374" s="1593"/>
      <c r="EY374" s="1593"/>
      <c r="EZ374" s="1593"/>
      <c r="FA374" s="1593"/>
      <c r="FB374" s="1593"/>
      <c r="FC374" s="1593"/>
      <c r="FD374" s="1593"/>
      <c r="FE374" s="1593"/>
      <c r="FF374" s="1593"/>
      <c r="FG374" s="1593"/>
      <c r="FH374" s="1593"/>
      <c r="FI374" s="1593"/>
      <c r="FJ374" s="1593"/>
      <c r="FK374" s="1593"/>
      <c r="FL374" s="1593"/>
      <c r="FM374" s="1593"/>
      <c r="FN374" s="1593"/>
      <c r="FO374" s="1593"/>
      <c r="FP374" s="1593"/>
      <c r="FQ374" s="1593"/>
      <c r="FR374" s="1593"/>
      <c r="FS374" s="1593"/>
      <c r="FT374" s="1593"/>
      <c r="FU374" s="1593"/>
      <c r="FV374" s="1593"/>
      <c r="FW374" s="1593"/>
      <c r="FX374" s="1593"/>
      <c r="FY374" s="1593"/>
      <c r="FZ374" s="1593"/>
      <c r="GA374" s="1593"/>
      <c r="GB374" s="1593"/>
      <c r="GC374" s="1593"/>
      <c r="GD374" s="1593"/>
      <c r="GE374" s="1593"/>
      <c r="GF374" s="1593"/>
      <c r="GG374" s="1593"/>
      <c r="GH374" s="1593"/>
      <c r="GI374" s="1593"/>
      <c r="GJ374" s="1593"/>
      <c r="GK374" s="1593"/>
      <c r="GL374" s="1593"/>
      <c r="GM374" s="1593"/>
      <c r="GN374" s="1593"/>
      <c r="GO374" s="1593"/>
      <c r="GP374" s="1593"/>
      <c r="GQ374" s="1593"/>
      <c r="GR374" s="1593"/>
      <c r="GS374" s="1593"/>
      <c r="GT374" s="1593"/>
      <c r="GU374" s="1593"/>
      <c r="GV374" s="1593"/>
      <c r="GW374" s="1593"/>
      <c r="GX374" s="1593"/>
      <c r="GY374" s="1593"/>
      <c r="GZ374" s="1593"/>
      <c r="HA374" s="1593"/>
      <c r="HB374" s="1593"/>
      <c r="HC374" s="1593"/>
      <c r="HD374" s="1593"/>
      <c r="HE374" s="1593"/>
      <c r="HF374" s="1593"/>
      <c r="HG374" s="1593"/>
      <c r="HH374" s="1593"/>
      <c r="HI374" s="1593"/>
      <c r="HJ374" s="1593"/>
      <c r="HK374" s="1593"/>
      <c r="HL374" s="1593"/>
      <c r="HM374" s="1593"/>
      <c r="HN374" s="1593"/>
      <c r="HO374" s="1593"/>
      <c r="HP374" s="1593"/>
      <c r="HQ374" s="1593"/>
      <c r="HR374" s="1593"/>
      <c r="HS374" s="1593"/>
      <c r="HT374" s="1593"/>
      <c r="HU374" s="1593"/>
      <c r="HV374" s="1593"/>
      <c r="HW374" s="1593"/>
      <c r="HX374" s="1593"/>
      <c r="HY374" s="1593"/>
      <c r="HZ374" s="1593"/>
      <c r="IA374" s="1593"/>
      <c r="IB374" s="1593"/>
      <c r="IC374" s="1593"/>
      <c r="ID374" s="1593"/>
      <c r="IE374" s="1593"/>
      <c r="IF374" s="1593"/>
      <c r="IG374" s="1593"/>
      <c r="IH374" s="1593"/>
      <c r="II374" s="1593"/>
      <c r="IJ374" s="1593"/>
      <c r="IK374" s="1593"/>
      <c r="IL374" s="1593"/>
      <c r="IM374" s="1593"/>
      <c r="IN374" s="1593"/>
      <c r="IO374" s="1593"/>
      <c r="IP374" s="1593"/>
      <c r="IQ374" s="1593"/>
      <c r="IR374" s="1593"/>
      <c r="IS374" s="1593"/>
      <c r="IT374" s="1593"/>
      <c r="IU374" s="1593"/>
      <c r="IV374" s="1593"/>
      <c r="IW374" s="1593"/>
      <c r="IX374" s="1593"/>
      <c r="IY374" s="1593"/>
      <c r="IZ374" s="1593"/>
      <c r="JA374" s="1593"/>
      <c r="JB374" s="1593"/>
      <c r="JC374" s="1593"/>
      <c r="JD374" s="1593"/>
      <c r="JE374" s="1593"/>
      <c r="JF374" s="1593"/>
      <c r="JG374" s="1593"/>
      <c r="JH374" s="1593"/>
      <c r="JI374" s="1593"/>
      <c r="JJ374" s="1593"/>
      <c r="JK374" s="1593"/>
      <c r="JL374" s="1593"/>
      <c r="JM374" s="1593"/>
      <c r="JN374" s="1593"/>
      <c r="JO374" s="1593"/>
      <c r="JP374" s="1593"/>
      <c r="JQ374" s="1593"/>
      <c r="JR374" s="1593"/>
      <c r="JS374" s="1593"/>
      <c r="JT374" s="1593"/>
      <c r="JU374" s="1593"/>
      <c r="JV374" s="1593"/>
      <c r="JW374" s="1593"/>
      <c r="JX374" s="1593"/>
      <c r="JY374" s="1593"/>
      <c r="JZ374" s="1593"/>
      <c r="KA374" s="1593"/>
      <c r="KB374" s="1598"/>
    </row>
    <row r="375" spans="2:288" ht="15" customHeight="1" x14ac:dyDescent="0.25">
      <c r="B375" s="216" t="str">
        <f t="shared" si="29"/>
        <v>Desk 56</v>
      </c>
      <c r="C375" s="218" t="str">
        <v/>
      </c>
      <c r="D375" s="218" t="str">
        <v/>
      </c>
      <c r="E375" s="218" t="str">
        <v/>
      </c>
      <c r="F375" s="218" t="str">
        <v/>
      </c>
      <c r="G375" s="402" t="str">
        <v/>
      </c>
      <c r="H375" s="1593"/>
      <c r="I375" s="1593"/>
      <c r="J375" s="1593"/>
      <c r="K375" s="1593"/>
      <c r="L375" s="1593"/>
      <c r="M375" s="1593"/>
      <c r="N375" s="1593"/>
      <c r="O375" s="1593"/>
      <c r="P375" s="1593"/>
      <c r="Q375" s="1593"/>
      <c r="R375" s="1593"/>
      <c r="S375" s="1593"/>
      <c r="T375" s="1593"/>
      <c r="U375" s="1593"/>
      <c r="V375" s="1593"/>
      <c r="W375" s="1593"/>
      <c r="X375" s="1593"/>
      <c r="Y375" s="1593"/>
      <c r="Z375" s="1593"/>
      <c r="AA375" s="1593"/>
      <c r="AB375" s="1593"/>
      <c r="AC375" s="1593"/>
      <c r="AD375" s="1593"/>
      <c r="AE375" s="1593"/>
      <c r="AF375" s="1593"/>
      <c r="AG375" s="1593"/>
      <c r="AH375" s="1593"/>
      <c r="AI375" s="1593"/>
      <c r="AJ375" s="1593"/>
      <c r="AK375" s="1593"/>
      <c r="AL375" s="1593"/>
      <c r="AM375" s="1593"/>
      <c r="AN375" s="1593"/>
      <c r="AO375" s="1593"/>
      <c r="AP375" s="1593"/>
      <c r="AQ375" s="1593"/>
      <c r="AR375" s="1593"/>
      <c r="AS375" s="1593"/>
      <c r="AT375" s="1593"/>
      <c r="AU375" s="1593"/>
      <c r="AV375" s="1593"/>
      <c r="AW375" s="1593"/>
      <c r="AX375" s="1593"/>
      <c r="AY375" s="1593"/>
      <c r="AZ375" s="1593"/>
      <c r="BA375" s="1593"/>
      <c r="BB375" s="1593"/>
      <c r="BC375" s="1593"/>
      <c r="BD375" s="1593"/>
      <c r="BE375" s="1593"/>
      <c r="BF375" s="1593"/>
      <c r="BG375" s="1593"/>
      <c r="BH375" s="1593"/>
      <c r="BI375" s="1593"/>
      <c r="BJ375" s="1593"/>
      <c r="BK375" s="1593"/>
      <c r="BL375" s="1593"/>
      <c r="BM375" s="1593"/>
      <c r="BN375" s="1593"/>
      <c r="BO375" s="1593"/>
      <c r="BP375" s="1593"/>
      <c r="BQ375" s="1593"/>
      <c r="BR375" s="1593"/>
      <c r="BS375" s="1593"/>
      <c r="BT375" s="1593"/>
      <c r="BU375" s="1593"/>
      <c r="BV375" s="1593"/>
      <c r="BW375" s="1593"/>
      <c r="BX375" s="1593"/>
      <c r="BY375" s="1593"/>
      <c r="BZ375" s="1593"/>
      <c r="CA375" s="1593"/>
      <c r="CB375" s="1593"/>
      <c r="CC375" s="1593"/>
      <c r="CD375" s="1593"/>
      <c r="CE375" s="1593"/>
      <c r="CF375" s="1593"/>
      <c r="CG375" s="1593"/>
      <c r="CH375" s="1593"/>
      <c r="CI375" s="1593"/>
      <c r="CJ375" s="1593"/>
      <c r="CK375" s="1593"/>
      <c r="CL375" s="1593"/>
      <c r="CM375" s="1593"/>
      <c r="CN375" s="1593"/>
      <c r="CO375" s="1593"/>
      <c r="CP375" s="1593"/>
      <c r="CQ375" s="1593"/>
      <c r="CR375" s="1593"/>
      <c r="CS375" s="1593"/>
      <c r="CT375" s="1593"/>
      <c r="CU375" s="1593"/>
      <c r="CV375" s="1593"/>
      <c r="CW375" s="1593"/>
      <c r="CX375" s="1593"/>
      <c r="CY375" s="1593"/>
      <c r="CZ375" s="1593"/>
      <c r="DA375" s="1593"/>
      <c r="DB375" s="1593"/>
      <c r="DC375" s="1593"/>
      <c r="DD375" s="1593"/>
      <c r="DE375" s="1593"/>
      <c r="DF375" s="1593"/>
      <c r="DG375" s="1593"/>
      <c r="DH375" s="1593"/>
      <c r="DI375" s="1593"/>
      <c r="DJ375" s="1593"/>
      <c r="DK375" s="1593"/>
      <c r="DL375" s="1593"/>
      <c r="DM375" s="1593"/>
      <c r="DN375" s="1593"/>
      <c r="DO375" s="1593"/>
      <c r="DP375" s="1593"/>
      <c r="DQ375" s="1593"/>
      <c r="DR375" s="1593"/>
      <c r="DS375" s="1593"/>
      <c r="DT375" s="1593"/>
      <c r="DU375" s="1593"/>
      <c r="DV375" s="1593"/>
      <c r="DW375" s="1593"/>
      <c r="DX375" s="1593"/>
      <c r="DY375" s="1593"/>
      <c r="DZ375" s="1593"/>
      <c r="EA375" s="1593"/>
      <c r="EB375" s="1593"/>
      <c r="EC375" s="1593"/>
      <c r="ED375" s="1593"/>
      <c r="EE375" s="1593"/>
      <c r="EF375" s="1593"/>
      <c r="EG375" s="1593"/>
      <c r="EH375" s="1593"/>
      <c r="EI375" s="1593"/>
      <c r="EJ375" s="1593"/>
      <c r="EK375" s="1593"/>
      <c r="EL375" s="1593"/>
      <c r="EM375" s="1593"/>
      <c r="EN375" s="1593"/>
      <c r="EO375" s="1593"/>
      <c r="EP375" s="1593"/>
      <c r="EQ375" s="1593"/>
      <c r="ER375" s="1593"/>
      <c r="ES375" s="1593"/>
      <c r="ET375" s="1593"/>
      <c r="EU375" s="1593"/>
      <c r="EV375" s="1593"/>
      <c r="EW375" s="1593"/>
      <c r="EX375" s="1593"/>
      <c r="EY375" s="1593"/>
      <c r="EZ375" s="1593"/>
      <c r="FA375" s="1593"/>
      <c r="FB375" s="1593"/>
      <c r="FC375" s="1593"/>
      <c r="FD375" s="1593"/>
      <c r="FE375" s="1593"/>
      <c r="FF375" s="1593"/>
      <c r="FG375" s="1593"/>
      <c r="FH375" s="1593"/>
      <c r="FI375" s="1593"/>
      <c r="FJ375" s="1593"/>
      <c r="FK375" s="1593"/>
      <c r="FL375" s="1593"/>
      <c r="FM375" s="1593"/>
      <c r="FN375" s="1593"/>
      <c r="FO375" s="1593"/>
      <c r="FP375" s="1593"/>
      <c r="FQ375" s="1593"/>
      <c r="FR375" s="1593"/>
      <c r="FS375" s="1593"/>
      <c r="FT375" s="1593"/>
      <c r="FU375" s="1593"/>
      <c r="FV375" s="1593"/>
      <c r="FW375" s="1593"/>
      <c r="FX375" s="1593"/>
      <c r="FY375" s="1593"/>
      <c r="FZ375" s="1593"/>
      <c r="GA375" s="1593"/>
      <c r="GB375" s="1593"/>
      <c r="GC375" s="1593"/>
      <c r="GD375" s="1593"/>
      <c r="GE375" s="1593"/>
      <c r="GF375" s="1593"/>
      <c r="GG375" s="1593"/>
      <c r="GH375" s="1593"/>
      <c r="GI375" s="1593"/>
      <c r="GJ375" s="1593"/>
      <c r="GK375" s="1593"/>
      <c r="GL375" s="1593"/>
      <c r="GM375" s="1593"/>
      <c r="GN375" s="1593"/>
      <c r="GO375" s="1593"/>
      <c r="GP375" s="1593"/>
      <c r="GQ375" s="1593"/>
      <c r="GR375" s="1593"/>
      <c r="GS375" s="1593"/>
      <c r="GT375" s="1593"/>
      <c r="GU375" s="1593"/>
      <c r="GV375" s="1593"/>
      <c r="GW375" s="1593"/>
      <c r="GX375" s="1593"/>
      <c r="GY375" s="1593"/>
      <c r="GZ375" s="1593"/>
      <c r="HA375" s="1593"/>
      <c r="HB375" s="1593"/>
      <c r="HC375" s="1593"/>
      <c r="HD375" s="1593"/>
      <c r="HE375" s="1593"/>
      <c r="HF375" s="1593"/>
      <c r="HG375" s="1593"/>
      <c r="HH375" s="1593"/>
      <c r="HI375" s="1593"/>
      <c r="HJ375" s="1593"/>
      <c r="HK375" s="1593"/>
      <c r="HL375" s="1593"/>
      <c r="HM375" s="1593"/>
      <c r="HN375" s="1593"/>
      <c r="HO375" s="1593"/>
      <c r="HP375" s="1593"/>
      <c r="HQ375" s="1593"/>
      <c r="HR375" s="1593"/>
      <c r="HS375" s="1593"/>
      <c r="HT375" s="1593"/>
      <c r="HU375" s="1593"/>
      <c r="HV375" s="1593"/>
      <c r="HW375" s="1593"/>
      <c r="HX375" s="1593"/>
      <c r="HY375" s="1593"/>
      <c r="HZ375" s="1593"/>
      <c r="IA375" s="1593"/>
      <c r="IB375" s="1593"/>
      <c r="IC375" s="1593"/>
      <c r="ID375" s="1593"/>
      <c r="IE375" s="1593"/>
      <c r="IF375" s="1593"/>
      <c r="IG375" s="1593"/>
      <c r="IH375" s="1593"/>
      <c r="II375" s="1593"/>
      <c r="IJ375" s="1593"/>
      <c r="IK375" s="1593"/>
      <c r="IL375" s="1593"/>
      <c r="IM375" s="1593"/>
      <c r="IN375" s="1593"/>
      <c r="IO375" s="1593"/>
      <c r="IP375" s="1593"/>
      <c r="IQ375" s="1593"/>
      <c r="IR375" s="1593"/>
      <c r="IS375" s="1593"/>
      <c r="IT375" s="1593"/>
      <c r="IU375" s="1593"/>
      <c r="IV375" s="1593"/>
      <c r="IW375" s="1593"/>
      <c r="IX375" s="1593"/>
      <c r="IY375" s="1593"/>
      <c r="IZ375" s="1593"/>
      <c r="JA375" s="1593"/>
      <c r="JB375" s="1593"/>
      <c r="JC375" s="1593"/>
      <c r="JD375" s="1593"/>
      <c r="JE375" s="1593"/>
      <c r="JF375" s="1593"/>
      <c r="JG375" s="1593"/>
      <c r="JH375" s="1593"/>
      <c r="JI375" s="1593"/>
      <c r="JJ375" s="1593"/>
      <c r="JK375" s="1593"/>
      <c r="JL375" s="1593"/>
      <c r="JM375" s="1593"/>
      <c r="JN375" s="1593"/>
      <c r="JO375" s="1593"/>
      <c r="JP375" s="1593"/>
      <c r="JQ375" s="1593"/>
      <c r="JR375" s="1593"/>
      <c r="JS375" s="1593"/>
      <c r="JT375" s="1593"/>
      <c r="JU375" s="1593"/>
      <c r="JV375" s="1593"/>
      <c r="JW375" s="1593"/>
      <c r="JX375" s="1593"/>
      <c r="JY375" s="1593"/>
      <c r="JZ375" s="1593"/>
      <c r="KA375" s="1593"/>
      <c r="KB375" s="1598"/>
    </row>
    <row r="376" spans="2:288" ht="15" customHeight="1" x14ac:dyDescent="0.25">
      <c r="B376" s="216" t="str">
        <f t="shared" si="29"/>
        <v>Desk 57</v>
      </c>
      <c r="C376" s="218" t="str">
        <v/>
      </c>
      <c r="D376" s="218" t="str">
        <v/>
      </c>
      <c r="E376" s="218" t="str">
        <v/>
      </c>
      <c r="F376" s="218" t="str">
        <v/>
      </c>
      <c r="G376" s="402" t="str">
        <v/>
      </c>
      <c r="H376" s="1593"/>
      <c r="I376" s="1593"/>
      <c r="J376" s="1593"/>
      <c r="K376" s="1593"/>
      <c r="L376" s="1593"/>
      <c r="M376" s="1593"/>
      <c r="N376" s="1593"/>
      <c r="O376" s="1593"/>
      <c r="P376" s="1593"/>
      <c r="Q376" s="1593"/>
      <c r="R376" s="1593"/>
      <c r="S376" s="1593"/>
      <c r="T376" s="1593"/>
      <c r="U376" s="1593"/>
      <c r="V376" s="1593"/>
      <c r="W376" s="1593"/>
      <c r="X376" s="1593"/>
      <c r="Y376" s="1593"/>
      <c r="Z376" s="1593"/>
      <c r="AA376" s="1593"/>
      <c r="AB376" s="1593"/>
      <c r="AC376" s="1593"/>
      <c r="AD376" s="1593"/>
      <c r="AE376" s="1593"/>
      <c r="AF376" s="1593"/>
      <c r="AG376" s="1593"/>
      <c r="AH376" s="1593"/>
      <c r="AI376" s="1593"/>
      <c r="AJ376" s="1593"/>
      <c r="AK376" s="1593"/>
      <c r="AL376" s="1593"/>
      <c r="AM376" s="1593"/>
      <c r="AN376" s="1593"/>
      <c r="AO376" s="1593"/>
      <c r="AP376" s="1593"/>
      <c r="AQ376" s="1593"/>
      <c r="AR376" s="1593"/>
      <c r="AS376" s="1593"/>
      <c r="AT376" s="1593"/>
      <c r="AU376" s="1593"/>
      <c r="AV376" s="1593"/>
      <c r="AW376" s="1593"/>
      <c r="AX376" s="1593"/>
      <c r="AY376" s="1593"/>
      <c r="AZ376" s="1593"/>
      <c r="BA376" s="1593"/>
      <c r="BB376" s="1593"/>
      <c r="BC376" s="1593"/>
      <c r="BD376" s="1593"/>
      <c r="BE376" s="1593"/>
      <c r="BF376" s="1593"/>
      <c r="BG376" s="1593"/>
      <c r="BH376" s="1593"/>
      <c r="BI376" s="1593"/>
      <c r="BJ376" s="1593"/>
      <c r="BK376" s="1593"/>
      <c r="BL376" s="1593"/>
      <c r="BM376" s="1593"/>
      <c r="BN376" s="1593"/>
      <c r="BO376" s="1593"/>
      <c r="BP376" s="1593"/>
      <c r="BQ376" s="1593"/>
      <c r="BR376" s="1593"/>
      <c r="BS376" s="1593"/>
      <c r="BT376" s="1593"/>
      <c r="BU376" s="1593"/>
      <c r="BV376" s="1593"/>
      <c r="BW376" s="1593"/>
      <c r="BX376" s="1593"/>
      <c r="BY376" s="1593"/>
      <c r="BZ376" s="1593"/>
      <c r="CA376" s="1593"/>
      <c r="CB376" s="1593"/>
      <c r="CC376" s="1593"/>
      <c r="CD376" s="1593"/>
      <c r="CE376" s="1593"/>
      <c r="CF376" s="1593"/>
      <c r="CG376" s="1593"/>
      <c r="CH376" s="1593"/>
      <c r="CI376" s="1593"/>
      <c r="CJ376" s="1593"/>
      <c r="CK376" s="1593"/>
      <c r="CL376" s="1593"/>
      <c r="CM376" s="1593"/>
      <c r="CN376" s="1593"/>
      <c r="CO376" s="1593"/>
      <c r="CP376" s="1593"/>
      <c r="CQ376" s="1593"/>
      <c r="CR376" s="1593"/>
      <c r="CS376" s="1593"/>
      <c r="CT376" s="1593"/>
      <c r="CU376" s="1593"/>
      <c r="CV376" s="1593"/>
      <c r="CW376" s="1593"/>
      <c r="CX376" s="1593"/>
      <c r="CY376" s="1593"/>
      <c r="CZ376" s="1593"/>
      <c r="DA376" s="1593"/>
      <c r="DB376" s="1593"/>
      <c r="DC376" s="1593"/>
      <c r="DD376" s="1593"/>
      <c r="DE376" s="1593"/>
      <c r="DF376" s="1593"/>
      <c r="DG376" s="1593"/>
      <c r="DH376" s="1593"/>
      <c r="DI376" s="1593"/>
      <c r="DJ376" s="1593"/>
      <c r="DK376" s="1593"/>
      <c r="DL376" s="1593"/>
      <c r="DM376" s="1593"/>
      <c r="DN376" s="1593"/>
      <c r="DO376" s="1593"/>
      <c r="DP376" s="1593"/>
      <c r="DQ376" s="1593"/>
      <c r="DR376" s="1593"/>
      <c r="DS376" s="1593"/>
      <c r="DT376" s="1593"/>
      <c r="DU376" s="1593"/>
      <c r="DV376" s="1593"/>
      <c r="DW376" s="1593"/>
      <c r="DX376" s="1593"/>
      <c r="DY376" s="1593"/>
      <c r="DZ376" s="1593"/>
      <c r="EA376" s="1593"/>
      <c r="EB376" s="1593"/>
      <c r="EC376" s="1593"/>
      <c r="ED376" s="1593"/>
      <c r="EE376" s="1593"/>
      <c r="EF376" s="1593"/>
      <c r="EG376" s="1593"/>
      <c r="EH376" s="1593"/>
      <c r="EI376" s="1593"/>
      <c r="EJ376" s="1593"/>
      <c r="EK376" s="1593"/>
      <c r="EL376" s="1593"/>
      <c r="EM376" s="1593"/>
      <c r="EN376" s="1593"/>
      <c r="EO376" s="1593"/>
      <c r="EP376" s="1593"/>
      <c r="EQ376" s="1593"/>
      <c r="ER376" s="1593"/>
      <c r="ES376" s="1593"/>
      <c r="ET376" s="1593"/>
      <c r="EU376" s="1593"/>
      <c r="EV376" s="1593"/>
      <c r="EW376" s="1593"/>
      <c r="EX376" s="1593"/>
      <c r="EY376" s="1593"/>
      <c r="EZ376" s="1593"/>
      <c r="FA376" s="1593"/>
      <c r="FB376" s="1593"/>
      <c r="FC376" s="1593"/>
      <c r="FD376" s="1593"/>
      <c r="FE376" s="1593"/>
      <c r="FF376" s="1593"/>
      <c r="FG376" s="1593"/>
      <c r="FH376" s="1593"/>
      <c r="FI376" s="1593"/>
      <c r="FJ376" s="1593"/>
      <c r="FK376" s="1593"/>
      <c r="FL376" s="1593"/>
      <c r="FM376" s="1593"/>
      <c r="FN376" s="1593"/>
      <c r="FO376" s="1593"/>
      <c r="FP376" s="1593"/>
      <c r="FQ376" s="1593"/>
      <c r="FR376" s="1593"/>
      <c r="FS376" s="1593"/>
      <c r="FT376" s="1593"/>
      <c r="FU376" s="1593"/>
      <c r="FV376" s="1593"/>
      <c r="FW376" s="1593"/>
      <c r="FX376" s="1593"/>
      <c r="FY376" s="1593"/>
      <c r="FZ376" s="1593"/>
      <c r="GA376" s="1593"/>
      <c r="GB376" s="1593"/>
      <c r="GC376" s="1593"/>
      <c r="GD376" s="1593"/>
      <c r="GE376" s="1593"/>
      <c r="GF376" s="1593"/>
      <c r="GG376" s="1593"/>
      <c r="GH376" s="1593"/>
      <c r="GI376" s="1593"/>
      <c r="GJ376" s="1593"/>
      <c r="GK376" s="1593"/>
      <c r="GL376" s="1593"/>
      <c r="GM376" s="1593"/>
      <c r="GN376" s="1593"/>
      <c r="GO376" s="1593"/>
      <c r="GP376" s="1593"/>
      <c r="GQ376" s="1593"/>
      <c r="GR376" s="1593"/>
      <c r="GS376" s="1593"/>
      <c r="GT376" s="1593"/>
      <c r="GU376" s="1593"/>
      <c r="GV376" s="1593"/>
      <c r="GW376" s="1593"/>
      <c r="GX376" s="1593"/>
      <c r="GY376" s="1593"/>
      <c r="GZ376" s="1593"/>
      <c r="HA376" s="1593"/>
      <c r="HB376" s="1593"/>
      <c r="HC376" s="1593"/>
      <c r="HD376" s="1593"/>
      <c r="HE376" s="1593"/>
      <c r="HF376" s="1593"/>
      <c r="HG376" s="1593"/>
      <c r="HH376" s="1593"/>
      <c r="HI376" s="1593"/>
      <c r="HJ376" s="1593"/>
      <c r="HK376" s="1593"/>
      <c r="HL376" s="1593"/>
      <c r="HM376" s="1593"/>
      <c r="HN376" s="1593"/>
      <c r="HO376" s="1593"/>
      <c r="HP376" s="1593"/>
      <c r="HQ376" s="1593"/>
      <c r="HR376" s="1593"/>
      <c r="HS376" s="1593"/>
      <c r="HT376" s="1593"/>
      <c r="HU376" s="1593"/>
      <c r="HV376" s="1593"/>
      <c r="HW376" s="1593"/>
      <c r="HX376" s="1593"/>
      <c r="HY376" s="1593"/>
      <c r="HZ376" s="1593"/>
      <c r="IA376" s="1593"/>
      <c r="IB376" s="1593"/>
      <c r="IC376" s="1593"/>
      <c r="ID376" s="1593"/>
      <c r="IE376" s="1593"/>
      <c r="IF376" s="1593"/>
      <c r="IG376" s="1593"/>
      <c r="IH376" s="1593"/>
      <c r="II376" s="1593"/>
      <c r="IJ376" s="1593"/>
      <c r="IK376" s="1593"/>
      <c r="IL376" s="1593"/>
      <c r="IM376" s="1593"/>
      <c r="IN376" s="1593"/>
      <c r="IO376" s="1593"/>
      <c r="IP376" s="1593"/>
      <c r="IQ376" s="1593"/>
      <c r="IR376" s="1593"/>
      <c r="IS376" s="1593"/>
      <c r="IT376" s="1593"/>
      <c r="IU376" s="1593"/>
      <c r="IV376" s="1593"/>
      <c r="IW376" s="1593"/>
      <c r="IX376" s="1593"/>
      <c r="IY376" s="1593"/>
      <c r="IZ376" s="1593"/>
      <c r="JA376" s="1593"/>
      <c r="JB376" s="1593"/>
      <c r="JC376" s="1593"/>
      <c r="JD376" s="1593"/>
      <c r="JE376" s="1593"/>
      <c r="JF376" s="1593"/>
      <c r="JG376" s="1593"/>
      <c r="JH376" s="1593"/>
      <c r="JI376" s="1593"/>
      <c r="JJ376" s="1593"/>
      <c r="JK376" s="1593"/>
      <c r="JL376" s="1593"/>
      <c r="JM376" s="1593"/>
      <c r="JN376" s="1593"/>
      <c r="JO376" s="1593"/>
      <c r="JP376" s="1593"/>
      <c r="JQ376" s="1593"/>
      <c r="JR376" s="1593"/>
      <c r="JS376" s="1593"/>
      <c r="JT376" s="1593"/>
      <c r="JU376" s="1593"/>
      <c r="JV376" s="1593"/>
      <c r="JW376" s="1593"/>
      <c r="JX376" s="1593"/>
      <c r="JY376" s="1593"/>
      <c r="JZ376" s="1593"/>
      <c r="KA376" s="1593"/>
      <c r="KB376" s="1598"/>
    </row>
    <row r="377" spans="2:288" ht="15" customHeight="1" x14ac:dyDescent="0.25">
      <c r="B377" s="216" t="str">
        <f t="shared" si="29"/>
        <v>Desk 58</v>
      </c>
      <c r="C377" s="218" t="str">
        <v/>
      </c>
      <c r="D377" s="218" t="str">
        <v/>
      </c>
      <c r="E377" s="218" t="str">
        <v/>
      </c>
      <c r="F377" s="218" t="str">
        <v/>
      </c>
      <c r="G377" s="402" t="str">
        <v/>
      </c>
      <c r="H377" s="1593"/>
      <c r="I377" s="1593"/>
      <c r="J377" s="1593"/>
      <c r="K377" s="1593"/>
      <c r="L377" s="1593"/>
      <c r="M377" s="1593"/>
      <c r="N377" s="1593"/>
      <c r="O377" s="1593"/>
      <c r="P377" s="1593"/>
      <c r="Q377" s="1593"/>
      <c r="R377" s="1593"/>
      <c r="S377" s="1593"/>
      <c r="T377" s="1593"/>
      <c r="U377" s="1593"/>
      <c r="V377" s="1593"/>
      <c r="W377" s="1593"/>
      <c r="X377" s="1593"/>
      <c r="Y377" s="1593"/>
      <c r="Z377" s="1593"/>
      <c r="AA377" s="1593"/>
      <c r="AB377" s="1593"/>
      <c r="AC377" s="1593"/>
      <c r="AD377" s="1593"/>
      <c r="AE377" s="1593"/>
      <c r="AF377" s="1593"/>
      <c r="AG377" s="1593"/>
      <c r="AH377" s="1593"/>
      <c r="AI377" s="1593"/>
      <c r="AJ377" s="1593"/>
      <c r="AK377" s="1593"/>
      <c r="AL377" s="1593"/>
      <c r="AM377" s="1593"/>
      <c r="AN377" s="1593"/>
      <c r="AO377" s="1593"/>
      <c r="AP377" s="1593"/>
      <c r="AQ377" s="1593"/>
      <c r="AR377" s="1593"/>
      <c r="AS377" s="1593"/>
      <c r="AT377" s="1593"/>
      <c r="AU377" s="1593"/>
      <c r="AV377" s="1593"/>
      <c r="AW377" s="1593"/>
      <c r="AX377" s="1593"/>
      <c r="AY377" s="1593"/>
      <c r="AZ377" s="1593"/>
      <c r="BA377" s="1593"/>
      <c r="BB377" s="1593"/>
      <c r="BC377" s="1593"/>
      <c r="BD377" s="1593"/>
      <c r="BE377" s="1593"/>
      <c r="BF377" s="1593"/>
      <c r="BG377" s="1593"/>
      <c r="BH377" s="1593"/>
      <c r="BI377" s="1593"/>
      <c r="BJ377" s="1593"/>
      <c r="BK377" s="1593"/>
      <c r="BL377" s="1593"/>
      <c r="BM377" s="1593"/>
      <c r="BN377" s="1593"/>
      <c r="BO377" s="1593"/>
      <c r="BP377" s="1593"/>
      <c r="BQ377" s="1593"/>
      <c r="BR377" s="1593"/>
      <c r="BS377" s="1593"/>
      <c r="BT377" s="1593"/>
      <c r="BU377" s="1593"/>
      <c r="BV377" s="1593"/>
      <c r="BW377" s="1593"/>
      <c r="BX377" s="1593"/>
      <c r="BY377" s="1593"/>
      <c r="BZ377" s="1593"/>
      <c r="CA377" s="1593"/>
      <c r="CB377" s="1593"/>
      <c r="CC377" s="1593"/>
      <c r="CD377" s="1593"/>
      <c r="CE377" s="1593"/>
      <c r="CF377" s="1593"/>
      <c r="CG377" s="1593"/>
      <c r="CH377" s="1593"/>
      <c r="CI377" s="1593"/>
      <c r="CJ377" s="1593"/>
      <c r="CK377" s="1593"/>
      <c r="CL377" s="1593"/>
      <c r="CM377" s="1593"/>
      <c r="CN377" s="1593"/>
      <c r="CO377" s="1593"/>
      <c r="CP377" s="1593"/>
      <c r="CQ377" s="1593"/>
      <c r="CR377" s="1593"/>
      <c r="CS377" s="1593"/>
      <c r="CT377" s="1593"/>
      <c r="CU377" s="1593"/>
      <c r="CV377" s="1593"/>
      <c r="CW377" s="1593"/>
      <c r="CX377" s="1593"/>
      <c r="CY377" s="1593"/>
      <c r="CZ377" s="1593"/>
      <c r="DA377" s="1593"/>
      <c r="DB377" s="1593"/>
      <c r="DC377" s="1593"/>
      <c r="DD377" s="1593"/>
      <c r="DE377" s="1593"/>
      <c r="DF377" s="1593"/>
      <c r="DG377" s="1593"/>
      <c r="DH377" s="1593"/>
      <c r="DI377" s="1593"/>
      <c r="DJ377" s="1593"/>
      <c r="DK377" s="1593"/>
      <c r="DL377" s="1593"/>
      <c r="DM377" s="1593"/>
      <c r="DN377" s="1593"/>
      <c r="DO377" s="1593"/>
      <c r="DP377" s="1593"/>
      <c r="DQ377" s="1593"/>
      <c r="DR377" s="1593"/>
      <c r="DS377" s="1593"/>
      <c r="DT377" s="1593"/>
      <c r="DU377" s="1593"/>
      <c r="DV377" s="1593"/>
      <c r="DW377" s="1593"/>
      <c r="DX377" s="1593"/>
      <c r="DY377" s="1593"/>
      <c r="DZ377" s="1593"/>
      <c r="EA377" s="1593"/>
      <c r="EB377" s="1593"/>
      <c r="EC377" s="1593"/>
      <c r="ED377" s="1593"/>
      <c r="EE377" s="1593"/>
      <c r="EF377" s="1593"/>
      <c r="EG377" s="1593"/>
      <c r="EH377" s="1593"/>
      <c r="EI377" s="1593"/>
      <c r="EJ377" s="1593"/>
      <c r="EK377" s="1593"/>
      <c r="EL377" s="1593"/>
      <c r="EM377" s="1593"/>
      <c r="EN377" s="1593"/>
      <c r="EO377" s="1593"/>
      <c r="EP377" s="1593"/>
      <c r="EQ377" s="1593"/>
      <c r="ER377" s="1593"/>
      <c r="ES377" s="1593"/>
      <c r="ET377" s="1593"/>
      <c r="EU377" s="1593"/>
      <c r="EV377" s="1593"/>
      <c r="EW377" s="1593"/>
      <c r="EX377" s="1593"/>
      <c r="EY377" s="1593"/>
      <c r="EZ377" s="1593"/>
      <c r="FA377" s="1593"/>
      <c r="FB377" s="1593"/>
      <c r="FC377" s="1593"/>
      <c r="FD377" s="1593"/>
      <c r="FE377" s="1593"/>
      <c r="FF377" s="1593"/>
      <c r="FG377" s="1593"/>
      <c r="FH377" s="1593"/>
      <c r="FI377" s="1593"/>
      <c r="FJ377" s="1593"/>
      <c r="FK377" s="1593"/>
      <c r="FL377" s="1593"/>
      <c r="FM377" s="1593"/>
      <c r="FN377" s="1593"/>
      <c r="FO377" s="1593"/>
      <c r="FP377" s="1593"/>
      <c r="FQ377" s="1593"/>
      <c r="FR377" s="1593"/>
      <c r="FS377" s="1593"/>
      <c r="FT377" s="1593"/>
      <c r="FU377" s="1593"/>
      <c r="FV377" s="1593"/>
      <c r="FW377" s="1593"/>
      <c r="FX377" s="1593"/>
      <c r="FY377" s="1593"/>
      <c r="FZ377" s="1593"/>
      <c r="GA377" s="1593"/>
      <c r="GB377" s="1593"/>
      <c r="GC377" s="1593"/>
      <c r="GD377" s="1593"/>
      <c r="GE377" s="1593"/>
      <c r="GF377" s="1593"/>
      <c r="GG377" s="1593"/>
      <c r="GH377" s="1593"/>
      <c r="GI377" s="1593"/>
      <c r="GJ377" s="1593"/>
      <c r="GK377" s="1593"/>
      <c r="GL377" s="1593"/>
      <c r="GM377" s="1593"/>
      <c r="GN377" s="1593"/>
      <c r="GO377" s="1593"/>
      <c r="GP377" s="1593"/>
      <c r="GQ377" s="1593"/>
      <c r="GR377" s="1593"/>
      <c r="GS377" s="1593"/>
      <c r="GT377" s="1593"/>
      <c r="GU377" s="1593"/>
      <c r="GV377" s="1593"/>
      <c r="GW377" s="1593"/>
      <c r="GX377" s="1593"/>
      <c r="GY377" s="1593"/>
      <c r="GZ377" s="1593"/>
      <c r="HA377" s="1593"/>
      <c r="HB377" s="1593"/>
      <c r="HC377" s="1593"/>
      <c r="HD377" s="1593"/>
      <c r="HE377" s="1593"/>
      <c r="HF377" s="1593"/>
      <c r="HG377" s="1593"/>
      <c r="HH377" s="1593"/>
      <c r="HI377" s="1593"/>
      <c r="HJ377" s="1593"/>
      <c r="HK377" s="1593"/>
      <c r="HL377" s="1593"/>
      <c r="HM377" s="1593"/>
      <c r="HN377" s="1593"/>
      <c r="HO377" s="1593"/>
      <c r="HP377" s="1593"/>
      <c r="HQ377" s="1593"/>
      <c r="HR377" s="1593"/>
      <c r="HS377" s="1593"/>
      <c r="HT377" s="1593"/>
      <c r="HU377" s="1593"/>
      <c r="HV377" s="1593"/>
      <c r="HW377" s="1593"/>
      <c r="HX377" s="1593"/>
      <c r="HY377" s="1593"/>
      <c r="HZ377" s="1593"/>
      <c r="IA377" s="1593"/>
      <c r="IB377" s="1593"/>
      <c r="IC377" s="1593"/>
      <c r="ID377" s="1593"/>
      <c r="IE377" s="1593"/>
      <c r="IF377" s="1593"/>
      <c r="IG377" s="1593"/>
      <c r="IH377" s="1593"/>
      <c r="II377" s="1593"/>
      <c r="IJ377" s="1593"/>
      <c r="IK377" s="1593"/>
      <c r="IL377" s="1593"/>
      <c r="IM377" s="1593"/>
      <c r="IN377" s="1593"/>
      <c r="IO377" s="1593"/>
      <c r="IP377" s="1593"/>
      <c r="IQ377" s="1593"/>
      <c r="IR377" s="1593"/>
      <c r="IS377" s="1593"/>
      <c r="IT377" s="1593"/>
      <c r="IU377" s="1593"/>
      <c r="IV377" s="1593"/>
      <c r="IW377" s="1593"/>
      <c r="IX377" s="1593"/>
      <c r="IY377" s="1593"/>
      <c r="IZ377" s="1593"/>
      <c r="JA377" s="1593"/>
      <c r="JB377" s="1593"/>
      <c r="JC377" s="1593"/>
      <c r="JD377" s="1593"/>
      <c r="JE377" s="1593"/>
      <c r="JF377" s="1593"/>
      <c r="JG377" s="1593"/>
      <c r="JH377" s="1593"/>
      <c r="JI377" s="1593"/>
      <c r="JJ377" s="1593"/>
      <c r="JK377" s="1593"/>
      <c r="JL377" s="1593"/>
      <c r="JM377" s="1593"/>
      <c r="JN377" s="1593"/>
      <c r="JO377" s="1593"/>
      <c r="JP377" s="1593"/>
      <c r="JQ377" s="1593"/>
      <c r="JR377" s="1593"/>
      <c r="JS377" s="1593"/>
      <c r="JT377" s="1593"/>
      <c r="JU377" s="1593"/>
      <c r="JV377" s="1593"/>
      <c r="JW377" s="1593"/>
      <c r="JX377" s="1593"/>
      <c r="JY377" s="1593"/>
      <c r="JZ377" s="1593"/>
      <c r="KA377" s="1593"/>
      <c r="KB377" s="1598"/>
    </row>
    <row r="378" spans="2:288" ht="15" customHeight="1" x14ac:dyDescent="0.25">
      <c r="B378" s="216" t="str">
        <f t="shared" si="29"/>
        <v>Desk 59</v>
      </c>
      <c r="C378" s="218" t="str">
        <v/>
      </c>
      <c r="D378" s="218" t="str">
        <v/>
      </c>
      <c r="E378" s="218" t="str">
        <v/>
      </c>
      <c r="F378" s="218" t="str">
        <v/>
      </c>
      <c r="G378" s="402" t="str">
        <v/>
      </c>
      <c r="H378" s="1593"/>
      <c r="I378" s="1593"/>
      <c r="J378" s="1593"/>
      <c r="K378" s="1593"/>
      <c r="L378" s="1593"/>
      <c r="M378" s="1593"/>
      <c r="N378" s="1593"/>
      <c r="O378" s="1593"/>
      <c r="P378" s="1593"/>
      <c r="Q378" s="1593"/>
      <c r="R378" s="1593"/>
      <c r="S378" s="1593"/>
      <c r="T378" s="1593"/>
      <c r="U378" s="1593"/>
      <c r="V378" s="1593"/>
      <c r="W378" s="1593"/>
      <c r="X378" s="1593"/>
      <c r="Y378" s="1593"/>
      <c r="Z378" s="1593"/>
      <c r="AA378" s="1593"/>
      <c r="AB378" s="1593"/>
      <c r="AC378" s="1593"/>
      <c r="AD378" s="1593"/>
      <c r="AE378" s="1593"/>
      <c r="AF378" s="1593"/>
      <c r="AG378" s="1593"/>
      <c r="AH378" s="1593"/>
      <c r="AI378" s="1593"/>
      <c r="AJ378" s="1593"/>
      <c r="AK378" s="1593"/>
      <c r="AL378" s="1593"/>
      <c r="AM378" s="1593"/>
      <c r="AN378" s="1593"/>
      <c r="AO378" s="1593"/>
      <c r="AP378" s="1593"/>
      <c r="AQ378" s="1593"/>
      <c r="AR378" s="1593"/>
      <c r="AS378" s="1593"/>
      <c r="AT378" s="1593"/>
      <c r="AU378" s="1593"/>
      <c r="AV378" s="1593"/>
      <c r="AW378" s="1593"/>
      <c r="AX378" s="1593"/>
      <c r="AY378" s="1593"/>
      <c r="AZ378" s="1593"/>
      <c r="BA378" s="1593"/>
      <c r="BB378" s="1593"/>
      <c r="BC378" s="1593"/>
      <c r="BD378" s="1593"/>
      <c r="BE378" s="1593"/>
      <c r="BF378" s="1593"/>
      <c r="BG378" s="1593"/>
      <c r="BH378" s="1593"/>
      <c r="BI378" s="1593"/>
      <c r="BJ378" s="1593"/>
      <c r="BK378" s="1593"/>
      <c r="BL378" s="1593"/>
      <c r="BM378" s="1593"/>
      <c r="BN378" s="1593"/>
      <c r="BO378" s="1593"/>
      <c r="BP378" s="1593"/>
      <c r="BQ378" s="1593"/>
      <c r="BR378" s="1593"/>
      <c r="BS378" s="1593"/>
      <c r="BT378" s="1593"/>
      <c r="BU378" s="1593"/>
      <c r="BV378" s="1593"/>
      <c r="BW378" s="1593"/>
      <c r="BX378" s="1593"/>
      <c r="BY378" s="1593"/>
      <c r="BZ378" s="1593"/>
      <c r="CA378" s="1593"/>
      <c r="CB378" s="1593"/>
      <c r="CC378" s="1593"/>
      <c r="CD378" s="1593"/>
      <c r="CE378" s="1593"/>
      <c r="CF378" s="1593"/>
      <c r="CG378" s="1593"/>
      <c r="CH378" s="1593"/>
      <c r="CI378" s="1593"/>
      <c r="CJ378" s="1593"/>
      <c r="CK378" s="1593"/>
      <c r="CL378" s="1593"/>
      <c r="CM378" s="1593"/>
      <c r="CN378" s="1593"/>
      <c r="CO378" s="1593"/>
      <c r="CP378" s="1593"/>
      <c r="CQ378" s="1593"/>
      <c r="CR378" s="1593"/>
      <c r="CS378" s="1593"/>
      <c r="CT378" s="1593"/>
      <c r="CU378" s="1593"/>
      <c r="CV378" s="1593"/>
      <c r="CW378" s="1593"/>
      <c r="CX378" s="1593"/>
      <c r="CY378" s="1593"/>
      <c r="CZ378" s="1593"/>
      <c r="DA378" s="1593"/>
      <c r="DB378" s="1593"/>
      <c r="DC378" s="1593"/>
      <c r="DD378" s="1593"/>
      <c r="DE378" s="1593"/>
      <c r="DF378" s="1593"/>
      <c r="DG378" s="1593"/>
      <c r="DH378" s="1593"/>
      <c r="DI378" s="1593"/>
      <c r="DJ378" s="1593"/>
      <c r="DK378" s="1593"/>
      <c r="DL378" s="1593"/>
      <c r="DM378" s="1593"/>
      <c r="DN378" s="1593"/>
      <c r="DO378" s="1593"/>
      <c r="DP378" s="1593"/>
      <c r="DQ378" s="1593"/>
      <c r="DR378" s="1593"/>
      <c r="DS378" s="1593"/>
      <c r="DT378" s="1593"/>
      <c r="DU378" s="1593"/>
      <c r="DV378" s="1593"/>
      <c r="DW378" s="1593"/>
      <c r="DX378" s="1593"/>
      <c r="DY378" s="1593"/>
      <c r="DZ378" s="1593"/>
      <c r="EA378" s="1593"/>
      <c r="EB378" s="1593"/>
      <c r="EC378" s="1593"/>
      <c r="ED378" s="1593"/>
      <c r="EE378" s="1593"/>
      <c r="EF378" s="1593"/>
      <c r="EG378" s="1593"/>
      <c r="EH378" s="1593"/>
      <c r="EI378" s="1593"/>
      <c r="EJ378" s="1593"/>
      <c r="EK378" s="1593"/>
      <c r="EL378" s="1593"/>
      <c r="EM378" s="1593"/>
      <c r="EN378" s="1593"/>
      <c r="EO378" s="1593"/>
      <c r="EP378" s="1593"/>
      <c r="EQ378" s="1593"/>
      <c r="ER378" s="1593"/>
      <c r="ES378" s="1593"/>
      <c r="ET378" s="1593"/>
      <c r="EU378" s="1593"/>
      <c r="EV378" s="1593"/>
      <c r="EW378" s="1593"/>
      <c r="EX378" s="1593"/>
      <c r="EY378" s="1593"/>
      <c r="EZ378" s="1593"/>
      <c r="FA378" s="1593"/>
      <c r="FB378" s="1593"/>
      <c r="FC378" s="1593"/>
      <c r="FD378" s="1593"/>
      <c r="FE378" s="1593"/>
      <c r="FF378" s="1593"/>
      <c r="FG378" s="1593"/>
      <c r="FH378" s="1593"/>
      <c r="FI378" s="1593"/>
      <c r="FJ378" s="1593"/>
      <c r="FK378" s="1593"/>
      <c r="FL378" s="1593"/>
      <c r="FM378" s="1593"/>
      <c r="FN378" s="1593"/>
      <c r="FO378" s="1593"/>
      <c r="FP378" s="1593"/>
      <c r="FQ378" s="1593"/>
      <c r="FR378" s="1593"/>
      <c r="FS378" s="1593"/>
      <c r="FT378" s="1593"/>
      <c r="FU378" s="1593"/>
      <c r="FV378" s="1593"/>
      <c r="FW378" s="1593"/>
      <c r="FX378" s="1593"/>
      <c r="FY378" s="1593"/>
      <c r="FZ378" s="1593"/>
      <c r="GA378" s="1593"/>
      <c r="GB378" s="1593"/>
      <c r="GC378" s="1593"/>
      <c r="GD378" s="1593"/>
      <c r="GE378" s="1593"/>
      <c r="GF378" s="1593"/>
      <c r="GG378" s="1593"/>
      <c r="GH378" s="1593"/>
      <c r="GI378" s="1593"/>
      <c r="GJ378" s="1593"/>
      <c r="GK378" s="1593"/>
      <c r="GL378" s="1593"/>
      <c r="GM378" s="1593"/>
      <c r="GN378" s="1593"/>
      <c r="GO378" s="1593"/>
      <c r="GP378" s="1593"/>
      <c r="GQ378" s="1593"/>
      <c r="GR378" s="1593"/>
      <c r="GS378" s="1593"/>
      <c r="GT378" s="1593"/>
      <c r="GU378" s="1593"/>
      <c r="GV378" s="1593"/>
      <c r="GW378" s="1593"/>
      <c r="GX378" s="1593"/>
      <c r="GY378" s="1593"/>
      <c r="GZ378" s="1593"/>
      <c r="HA378" s="1593"/>
      <c r="HB378" s="1593"/>
      <c r="HC378" s="1593"/>
      <c r="HD378" s="1593"/>
      <c r="HE378" s="1593"/>
      <c r="HF378" s="1593"/>
      <c r="HG378" s="1593"/>
      <c r="HH378" s="1593"/>
      <c r="HI378" s="1593"/>
      <c r="HJ378" s="1593"/>
      <c r="HK378" s="1593"/>
      <c r="HL378" s="1593"/>
      <c r="HM378" s="1593"/>
      <c r="HN378" s="1593"/>
      <c r="HO378" s="1593"/>
      <c r="HP378" s="1593"/>
      <c r="HQ378" s="1593"/>
      <c r="HR378" s="1593"/>
      <c r="HS378" s="1593"/>
      <c r="HT378" s="1593"/>
      <c r="HU378" s="1593"/>
      <c r="HV378" s="1593"/>
      <c r="HW378" s="1593"/>
      <c r="HX378" s="1593"/>
      <c r="HY378" s="1593"/>
      <c r="HZ378" s="1593"/>
      <c r="IA378" s="1593"/>
      <c r="IB378" s="1593"/>
      <c r="IC378" s="1593"/>
      <c r="ID378" s="1593"/>
      <c r="IE378" s="1593"/>
      <c r="IF378" s="1593"/>
      <c r="IG378" s="1593"/>
      <c r="IH378" s="1593"/>
      <c r="II378" s="1593"/>
      <c r="IJ378" s="1593"/>
      <c r="IK378" s="1593"/>
      <c r="IL378" s="1593"/>
      <c r="IM378" s="1593"/>
      <c r="IN378" s="1593"/>
      <c r="IO378" s="1593"/>
      <c r="IP378" s="1593"/>
      <c r="IQ378" s="1593"/>
      <c r="IR378" s="1593"/>
      <c r="IS378" s="1593"/>
      <c r="IT378" s="1593"/>
      <c r="IU378" s="1593"/>
      <c r="IV378" s="1593"/>
      <c r="IW378" s="1593"/>
      <c r="IX378" s="1593"/>
      <c r="IY378" s="1593"/>
      <c r="IZ378" s="1593"/>
      <c r="JA378" s="1593"/>
      <c r="JB378" s="1593"/>
      <c r="JC378" s="1593"/>
      <c r="JD378" s="1593"/>
      <c r="JE378" s="1593"/>
      <c r="JF378" s="1593"/>
      <c r="JG378" s="1593"/>
      <c r="JH378" s="1593"/>
      <c r="JI378" s="1593"/>
      <c r="JJ378" s="1593"/>
      <c r="JK378" s="1593"/>
      <c r="JL378" s="1593"/>
      <c r="JM378" s="1593"/>
      <c r="JN378" s="1593"/>
      <c r="JO378" s="1593"/>
      <c r="JP378" s="1593"/>
      <c r="JQ378" s="1593"/>
      <c r="JR378" s="1593"/>
      <c r="JS378" s="1593"/>
      <c r="JT378" s="1593"/>
      <c r="JU378" s="1593"/>
      <c r="JV378" s="1593"/>
      <c r="JW378" s="1593"/>
      <c r="JX378" s="1593"/>
      <c r="JY378" s="1593"/>
      <c r="JZ378" s="1593"/>
      <c r="KA378" s="1593"/>
      <c r="KB378" s="1598"/>
    </row>
    <row r="379" spans="2:288" ht="15" customHeight="1" x14ac:dyDescent="0.25">
      <c r="B379" s="216" t="str">
        <f t="shared" si="29"/>
        <v>Desk 60</v>
      </c>
      <c r="C379" s="218" t="str">
        <v/>
      </c>
      <c r="D379" s="218" t="str">
        <v/>
      </c>
      <c r="E379" s="218" t="str">
        <v/>
      </c>
      <c r="F379" s="218" t="str">
        <v/>
      </c>
      <c r="G379" s="402" t="str">
        <v/>
      </c>
      <c r="H379" s="1593"/>
      <c r="I379" s="1593"/>
      <c r="J379" s="1593"/>
      <c r="K379" s="1593"/>
      <c r="L379" s="1593"/>
      <c r="M379" s="1593"/>
      <c r="N379" s="1593"/>
      <c r="O379" s="1593"/>
      <c r="P379" s="1593"/>
      <c r="Q379" s="1593"/>
      <c r="R379" s="1593"/>
      <c r="S379" s="1593"/>
      <c r="T379" s="1593"/>
      <c r="U379" s="1593"/>
      <c r="V379" s="1593"/>
      <c r="W379" s="1593"/>
      <c r="X379" s="1593"/>
      <c r="Y379" s="1593"/>
      <c r="Z379" s="1593"/>
      <c r="AA379" s="1593"/>
      <c r="AB379" s="1593"/>
      <c r="AC379" s="1593"/>
      <c r="AD379" s="1593"/>
      <c r="AE379" s="1593"/>
      <c r="AF379" s="1593"/>
      <c r="AG379" s="1593"/>
      <c r="AH379" s="1593"/>
      <c r="AI379" s="1593"/>
      <c r="AJ379" s="1593"/>
      <c r="AK379" s="1593"/>
      <c r="AL379" s="1593"/>
      <c r="AM379" s="1593"/>
      <c r="AN379" s="1593"/>
      <c r="AO379" s="1593"/>
      <c r="AP379" s="1593"/>
      <c r="AQ379" s="1593"/>
      <c r="AR379" s="1593"/>
      <c r="AS379" s="1593"/>
      <c r="AT379" s="1593"/>
      <c r="AU379" s="1593"/>
      <c r="AV379" s="1593"/>
      <c r="AW379" s="1593"/>
      <c r="AX379" s="1593"/>
      <c r="AY379" s="1593"/>
      <c r="AZ379" s="1593"/>
      <c r="BA379" s="1593"/>
      <c r="BB379" s="1593"/>
      <c r="BC379" s="1593"/>
      <c r="BD379" s="1593"/>
      <c r="BE379" s="1593"/>
      <c r="BF379" s="1593"/>
      <c r="BG379" s="1593"/>
      <c r="BH379" s="1593"/>
      <c r="BI379" s="1593"/>
      <c r="BJ379" s="1593"/>
      <c r="BK379" s="1593"/>
      <c r="BL379" s="1593"/>
      <c r="BM379" s="1593"/>
      <c r="BN379" s="1593"/>
      <c r="BO379" s="1593"/>
      <c r="BP379" s="1593"/>
      <c r="BQ379" s="1593"/>
      <c r="BR379" s="1593"/>
      <c r="BS379" s="1593"/>
      <c r="BT379" s="1593"/>
      <c r="BU379" s="1593"/>
      <c r="BV379" s="1593"/>
      <c r="BW379" s="1593"/>
      <c r="BX379" s="1593"/>
      <c r="BY379" s="1593"/>
      <c r="BZ379" s="1593"/>
      <c r="CA379" s="1593"/>
      <c r="CB379" s="1593"/>
      <c r="CC379" s="1593"/>
      <c r="CD379" s="1593"/>
      <c r="CE379" s="1593"/>
      <c r="CF379" s="1593"/>
      <c r="CG379" s="1593"/>
      <c r="CH379" s="1593"/>
      <c r="CI379" s="1593"/>
      <c r="CJ379" s="1593"/>
      <c r="CK379" s="1593"/>
      <c r="CL379" s="1593"/>
      <c r="CM379" s="1593"/>
      <c r="CN379" s="1593"/>
      <c r="CO379" s="1593"/>
      <c r="CP379" s="1593"/>
      <c r="CQ379" s="1593"/>
      <c r="CR379" s="1593"/>
      <c r="CS379" s="1593"/>
      <c r="CT379" s="1593"/>
      <c r="CU379" s="1593"/>
      <c r="CV379" s="1593"/>
      <c r="CW379" s="1593"/>
      <c r="CX379" s="1593"/>
      <c r="CY379" s="1593"/>
      <c r="CZ379" s="1593"/>
      <c r="DA379" s="1593"/>
      <c r="DB379" s="1593"/>
      <c r="DC379" s="1593"/>
      <c r="DD379" s="1593"/>
      <c r="DE379" s="1593"/>
      <c r="DF379" s="1593"/>
      <c r="DG379" s="1593"/>
      <c r="DH379" s="1593"/>
      <c r="DI379" s="1593"/>
      <c r="DJ379" s="1593"/>
      <c r="DK379" s="1593"/>
      <c r="DL379" s="1593"/>
      <c r="DM379" s="1593"/>
      <c r="DN379" s="1593"/>
      <c r="DO379" s="1593"/>
      <c r="DP379" s="1593"/>
      <c r="DQ379" s="1593"/>
      <c r="DR379" s="1593"/>
      <c r="DS379" s="1593"/>
      <c r="DT379" s="1593"/>
      <c r="DU379" s="1593"/>
      <c r="DV379" s="1593"/>
      <c r="DW379" s="1593"/>
      <c r="DX379" s="1593"/>
      <c r="DY379" s="1593"/>
      <c r="DZ379" s="1593"/>
      <c r="EA379" s="1593"/>
      <c r="EB379" s="1593"/>
      <c r="EC379" s="1593"/>
      <c r="ED379" s="1593"/>
      <c r="EE379" s="1593"/>
      <c r="EF379" s="1593"/>
      <c r="EG379" s="1593"/>
      <c r="EH379" s="1593"/>
      <c r="EI379" s="1593"/>
      <c r="EJ379" s="1593"/>
      <c r="EK379" s="1593"/>
      <c r="EL379" s="1593"/>
      <c r="EM379" s="1593"/>
      <c r="EN379" s="1593"/>
      <c r="EO379" s="1593"/>
      <c r="EP379" s="1593"/>
      <c r="EQ379" s="1593"/>
      <c r="ER379" s="1593"/>
      <c r="ES379" s="1593"/>
      <c r="ET379" s="1593"/>
      <c r="EU379" s="1593"/>
      <c r="EV379" s="1593"/>
      <c r="EW379" s="1593"/>
      <c r="EX379" s="1593"/>
      <c r="EY379" s="1593"/>
      <c r="EZ379" s="1593"/>
      <c r="FA379" s="1593"/>
      <c r="FB379" s="1593"/>
      <c r="FC379" s="1593"/>
      <c r="FD379" s="1593"/>
      <c r="FE379" s="1593"/>
      <c r="FF379" s="1593"/>
      <c r="FG379" s="1593"/>
      <c r="FH379" s="1593"/>
      <c r="FI379" s="1593"/>
      <c r="FJ379" s="1593"/>
      <c r="FK379" s="1593"/>
      <c r="FL379" s="1593"/>
      <c r="FM379" s="1593"/>
      <c r="FN379" s="1593"/>
      <c r="FO379" s="1593"/>
      <c r="FP379" s="1593"/>
      <c r="FQ379" s="1593"/>
      <c r="FR379" s="1593"/>
      <c r="FS379" s="1593"/>
      <c r="FT379" s="1593"/>
      <c r="FU379" s="1593"/>
      <c r="FV379" s="1593"/>
      <c r="FW379" s="1593"/>
      <c r="FX379" s="1593"/>
      <c r="FY379" s="1593"/>
      <c r="FZ379" s="1593"/>
      <c r="GA379" s="1593"/>
      <c r="GB379" s="1593"/>
      <c r="GC379" s="1593"/>
      <c r="GD379" s="1593"/>
      <c r="GE379" s="1593"/>
      <c r="GF379" s="1593"/>
      <c r="GG379" s="1593"/>
      <c r="GH379" s="1593"/>
      <c r="GI379" s="1593"/>
      <c r="GJ379" s="1593"/>
      <c r="GK379" s="1593"/>
      <c r="GL379" s="1593"/>
      <c r="GM379" s="1593"/>
      <c r="GN379" s="1593"/>
      <c r="GO379" s="1593"/>
      <c r="GP379" s="1593"/>
      <c r="GQ379" s="1593"/>
      <c r="GR379" s="1593"/>
      <c r="GS379" s="1593"/>
      <c r="GT379" s="1593"/>
      <c r="GU379" s="1593"/>
      <c r="GV379" s="1593"/>
      <c r="GW379" s="1593"/>
      <c r="GX379" s="1593"/>
      <c r="GY379" s="1593"/>
      <c r="GZ379" s="1593"/>
      <c r="HA379" s="1593"/>
      <c r="HB379" s="1593"/>
      <c r="HC379" s="1593"/>
      <c r="HD379" s="1593"/>
      <c r="HE379" s="1593"/>
      <c r="HF379" s="1593"/>
      <c r="HG379" s="1593"/>
      <c r="HH379" s="1593"/>
      <c r="HI379" s="1593"/>
      <c r="HJ379" s="1593"/>
      <c r="HK379" s="1593"/>
      <c r="HL379" s="1593"/>
      <c r="HM379" s="1593"/>
      <c r="HN379" s="1593"/>
      <c r="HO379" s="1593"/>
      <c r="HP379" s="1593"/>
      <c r="HQ379" s="1593"/>
      <c r="HR379" s="1593"/>
      <c r="HS379" s="1593"/>
      <c r="HT379" s="1593"/>
      <c r="HU379" s="1593"/>
      <c r="HV379" s="1593"/>
      <c r="HW379" s="1593"/>
      <c r="HX379" s="1593"/>
      <c r="HY379" s="1593"/>
      <c r="HZ379" s="1593"/>
      <c r="IA379" s="1593"/>
      <c r="IB379" s="1593"/>
      <c r="IC379" s="1593"/>
      <c r="ID379" s="1593"/>
      <c r="IE379" s="1593"/>
      <c r="IF379" s="1593"/>
      <c r="IG379" s="1593"/>
      <c r="IH379" s="1593"/>
      <c r="II379" s="1593"/>
      <c r="IJ379" s="1593"/>
      <c r="IK379" s="1593"/>
      <c r="IL379" s="1593"/>
      <c r="IM379" s="1593"/>
      <c r="IN379" s="1593"/>
      <c r="IO379" s="1593"/>
      <c r="IP379" s="1593"/>
      <c r="IQ379" s="1593"/>
      <c r="IR379" s="1593"/>
      <c r="IS379" s="1593"/>
      <c r="IT379" s="1593"/>
      <c r="IU379" s="1593"/>
      <c r="IV379" s="1593"/>
      <c r="IW379" s="1593"/>
      <c r="IX379" s="1593"/>
      <c r="IY379" s="1593"/>
      <c r="IZ379" s="1593"/>
      <c r="JA379" s="1593"/>
      <c r="JB379" s="1593"/>
      <c r="JC379" s="1593"/>
      <c r="JD379" s="1593"/>
      <c r="JE379" s="1593"/>
      <c r="JF379" s="1593"/>
      <c r="JG379" s="1593"/>
      <c r="JH379" s="1593"/>
      <c r="JI379" s="1593"/>
      <c r="JJ379" s="1593"/>
      <c r="JK379" s="1593"/>
      <c r="JL379" s="1593"/>
      <c r="JM379" s="1593"/>
      <c r="JN379" s="1593"/>
      <c r="JO379" s="1593"/>
      <c r="JP379" s="1593"/>
      <c r="JQ379" s="1593"/>
      <c r="JR379" s="1593"/>
      <c r="JS379" s="1593"/>
      <c r="JT379" s="1593"/>
      <c r="JU379" s="1593"/>
      <c r="JV379" s="1593"/>
      <c r="JW379" s="1593"/>
      <c r="JX379" s="1593"/>
      <c r="JY379" s="1593"/>
      <c r="JZ379" s="1593"/>
      <c r="KA379" s="1593"/>
      <c r="KB379" s="1598"/>
    </row>
    <row r="380" spans="2:288" ht="15" customHeight="1" x14ac:dyDescent="0.25">
      <c r="B380" s="216" t="str">
        <f t="shared" si="29"/>
        <v>Desk 61</v>
      </c>
      <c r="C380" s="218" t="str">
        <v/>
      </c>
      <c r="D380" s="218" t="str">
        <v/>
      </c>
      <c r="E380" s="218" t="str">
        <v/>
      </c>
      <c r="F380" s="218" t="str">
        <v/>
      </c>
      <c r="G380" s="402" t="str">
        <v/>
      </c>
      <c r="H380" s="1593"/>
      <c r="I380" s="1593"/>
      <c r="J380" s="1593"/>
      <c r="K380" s="1593"/>
      <c r="L380" s="1593"/>
      <c r="M380" s="1593"/>
      <c r="N380" s="1593"/>
      <c r="O380" s="1593"/>
      <c r="P380" s="1593"/>
      <c r="Q380" s="1593"/>
      <c r="R380" s="1593"/>
      <c r="S380" s="1593"/>
      <c r="T380" s="1593"/>
      <c r="U380" s="1593"/>
      <c r="V380" s="1593"/>
      <c r="W380" s="1593"/>
      <c r="X380" s="1593"/>
      <c r="Y380" s="1593"/>
      <c r="Z380" s="1593"/>
      <c r="AA380" s="1593"/>
      <c r="AB380" s="1593"/>
      <c r="AC380" s="1593"/>
      <c r="AD380" s="1593"/>
      <c r="AE380" s="1593"/>
      <c r="AF380" s="1593"/>
      <c r="AG380" s="1593"/>
      <c r="AH380" s="1593"/>
      <c r="AI380" s="1593"/>
      <c r="AJ380" s="1593"/>
      <c r="AK380" s="1593"/>
      <c r="AL380" s="1593"/>
      <c r="AM380" s="1593"/>
      <c r="AN380" s="1593"/>
      <c r="AO380" s="1593"/>
      <c r="AP380" s="1593"/>
      <c r="AQ380" s="1593"/>
      <c r="AR380" s="1593"/>
      <c r="AS380" s="1593"/>
      <c r="AT380" s="1593"/>
      <c r="AU380" s="1593"/>
      <c r="AV380" s="1593"/>
      <c r="AW380" s="1593"/>
      <c r="AX380" s="1593"/>
      <c r="AY380" s="1593"/>
      <c r="AZ380" s="1593"/>
      <c r="BA380" s="1593"/>
      <c r="BB380" s="1593"/>
      <c r="BC380" s="1593"/>
      <c r="BD380" s="1593"/>
      <c r="BE380" s="1593"/>
      <c r="BF380" s="1593"/>
      <c r="BG380" s="1593"/>
      <c r="BH380" s="1593"/>
      <c r="BI380" s="1593"/>
      <c r="BJ380" s="1593"/>
      <c r="BK380" s="1593"/>
      <c r="BL380" s="1593"/>
      <c r="BM380" s="1593"/>
      <c r="BN380" s="1593"/>
      <c r="BO380" s="1593"/>
      <c r="BP380" s="1593"/>
      <c r="BQ380" s="1593"/>
      <c r="BR380" s="1593"/>
      <c r="BS380" s="1593"/>
      <c r="BT380" s="1593"/>
      <c r="BU380" s="1593"/>
      <c r="BV380" s="1593"/>
      <c r="BW380" s="1593"/>
      <c r="BX380" s="1593"/>
      <c r="BY380" s="1593"/>
      <c r="BZ380" s="1593"/>
      <c r="CA380" s="1593"/>
      <c r="CB380" s="1593"/>
      <c r="CC380" s="1593"/>
      <c r="CD380" s="1593"/>
      <c r="CE380" s="1593"/>
      <c r="CF380" s="1593"/>
      <c r="CG380" s="1593"/>
      <c r="CH380" s="1593"/>
      <c r="CI380" s="1593"/>
      <c r="CJ380" s="1593"/>
      <c r="CK380" s="1593"/>
      <c r="CL380" s="1593"/>
      <c r="CM380" s="1593"/>
      <c r="CN380" s="1593"/>
      <c r="CO380" s="1593"/>
      <c r="CP380" s="1593"/>
      <c r="CQ380" s="1593"/>
      <c r="CR380" s="1593"/>
      <c r="CS380" s="1593"/>
      <c r="CT380" s="1593"/>
      <c r="CU380" s="1593"/>
      <c r="CV380" s="1593"/>
      <c r="CW380" s="1593"/>
      <c r="CX380" s="1593"/>
      <c r="CY380" s="1593"/>
      <c r="CZ380" s="1593"/>
      <c r="DA380" s="1593"/>
      <c r="DB380" s="1593"/>
      <c r="DC380" s="1593"/>
      <c r="DD380" s="1593"/>
      <c r="DE380" s="1593"/>
      <c r="DF380" s="1593"/>
      <c r="DG380" s="1593"/>
      <c r="DH380" s="1593"/>
      <c r="DI380" s="1593"/>
      <c r="DJ380" s="1593"/>
      <c r="DK380" s="1593"/>
      <c r="DL380" s="1593"/>
      <c r="DM380" s="1593"/>
      <c r="DN380" s="1593"/>
      <c r="DO380" s="1593"/>
      <c r="DP380" s="1593"/>
      <c r="DQ380" s="1593"/>
      <c r="DR380" s="1593"/>
      <c r="DS380" s="1593"/>
      <c r="DT380" s="1593"/>
      <c r="DU380" s="1593"/>
      <c r="DV380" s="1593"/>
      <c r="DW380" s="1593"/>
      <c r="DX380" s="1593"/>
      <c r="DY380" s="1593"/>
      <c r="DZ380" s="1593"/>
      <c r="EA380" s="1593"/>
      <c r="EB380" s="1593"/>
      <c r="EC380" s="1593"/>
      <c r="ED380" s="1593"/>
      <c r="EE380" s="1593"/>
      <c r="EF380" s="1593"/>
      <c r="EG380" s="1593"/>
      <c r="EH380" s="1593"/>
      <c r="EI380" s="1593"/>
      <c r="EJ380" s="1593"/>
      <c r="EK380" s="1593"/>
      <c r="EL380" s="1593"/>
      <c r="EM380" s="1593"/>
      <c r="EN380" s="1593"/>
      <c r="EO380" s="1593"/>
      <c r="EP380" s="1593"/>
      <c r="EQ380" s="1593"/>
      <c r="ER380" s="1593"/>
      <c r="ES380" s="1593"/>
      <c r="ET380" s="1593"/>
      <c r="EU380" s="1593"/>
      <c r="EV380" s="1593"/>
      <c r="EW380" s="1593"/>
      <c r="EX380" s="1593"/>
      <c r="EY380" s="1593"/>
      <c r="EZ380" s="1593"/>
      <c r="FA380" s="1593"/>
      <c r="FB380" s="1593"/>
      <c r="FC380" s="1593"/>
      <c r="FD380" s="1593"/>
      <c r="FE380" s="1593"/>
      <c r="FF380" s="1593"/>
      <c r="FG380" s="1593"/>
      <c r="FH380" s="1593"/>
      <c r="FI380" s="1593"/>
      <c r="FJ380" s="1593"/>
      <c r="FK380" s="1593"/>
      <c r="FL380" s="1593"/>
      <c r="FM380" s="1593"/>
      <c r="FN380" s="1593"/>
      <c r="FO380" s="1593"/>
      <c r="FP380" s="1593"/>
      <c r="FQ380" s="1593"/>
      <c r="FR380" s="1593"/>
      <c r="FS380" s="1593"/>
      <c r="FT380" s="1593"/>
      <c r="FU380" s="1593"/>
      <c r="FV380" s="1593"/>
      <c r="FW380" s="1593"/>
      <c r="FX380" s="1593"/>
      <c r="FY380" s="1593"/>
      <c r="FZ380" s="1593"/>
      <c r="GA380" s="1593"/>
      <c r="GB380" s="1593"/>
      <c r="GC380" s="1593"/>
      <c r="GD380" s="1593"/>
      <c r="GE380" s="1593"/>
      <c r="GF380" s="1593"/>
      <c r="GG380" s="1593"/>
      <c r="GH380" s="1593"/>
      <c r="GI380" s="1593"/>
      <c r="GJ380" s="1593"/>
      <c r="GK380" s="1593"/>
      <c r="GL380" s="1593"/>
      <c r="GM380" s="1593"/>
      <c r="GN380" s="1593"/>
      <c r="GO380" s="1593"/>
      <c r="GP380" s="1593"/>
      <c r="GQ380" s="1593"/>
      <c r="GR380" s="1593"/>
      <c r="GS380" s="1593"/>
      <c r="GT380" s="1593"/>
      <c r="GU380" s="1593"/>
      <c r="GV380" s="1593"/>
      <c r="GW380" s="1593"/>
      <c r="GX380" s="1593"/>
      <c r="GY380" s="1593"/>
      <c r="GZ380" s="1593"/>
      <c r="HA380" s="1593"/>
      <c r="HB380" s="1593"/>
      <c r="HC380" s="1593"/>
      <c r="HD380" s="1593"/>
      <c r="HE380" s="1593"/>
      <c r="HF380" s="1593"/>
      <c r="HG380" s="1593"/>
      <c r="HH380" s="1593"/>
      <c r="HI380" s="1593"/>
      <c r="HJ380" s="1593"/>
      <c r="HK380" s="1593"/>
      <c r="HL380" s="1593"/>
      <c r="HM380" s="1593"/>
      <c r="HN380" s="1593"/>
      <c r="HO380" s="1593"/>
      <c r="HP380" s="1593"/>
      <c r="HQ380" s="1593"/>
      <c r="HR380" s="1593"/>
      <c r="HS380" s="1593"/>
      <c r="HT380" s="1593"/>
      <c r="HU380" s="1593"/>
      <c r="HV380" s="1593"/>
      <c r="HW380" s="1593"/>
      <c r="HX380" s="1593"/>
      <c r="HY380" s="1593"/>
      <c r="HZ380" s="1593"/>
      <c r="IA380" s="1593"/>
      <c r="IB380" s="1593"/>
      <c r="IC380" s="1593"/>
      <c r="ID380" s="1593"/>
      <c r="IE380" s="1593"/>
      <c r="IF380" s="1593"/>
      <c r="IG380" s="1593"/>
      <c r="IH380" s="1593"/>
      <c r="II380" s="1593"/>
      <c r="IJ380" s="1593"/>
      <c r="IK380" s="1593"/>
      <c r="IL380" s="1593"/>
      <c r="IM380" s="1593"/>
      <c r="IN380" s="1593"/>
      <c r="IO380" s="1593"/>
      <c r="IP380" s="1593"/>
      <c r="IQ380" s="1593"/>
      <c r="IR380" s="1593"/>
      <c r="IS380" s="1593"/>
      <c r="IT380" s="1593"/>
      <c r="IU380" s="1593"/>
      <c r="IV380" s="1593"/>
      <c r="IW380" s="1593"/>
      <c r="IX380" s="1593"/>
      <c r="IY380" s="1593"/>
      <c r="IZ380" s="1593"/>
      <c r="JA380" s="1593"/>
      <c r="JB380" s="1593"/>
      <c r="JC380" s="1593"/>
      <c r="JD380" s="1593"/>
      <c r="JE380" s="1593"/>
      <c r="JF380" s="1593"/>
      <c r="JG380" s="1593"/>
      <c r="JH380" s="1593"/>
      <c r="JI380" s="1593"/>
      <c r="JJ380" s="1593"/>
      <c r="JK380" s="1593"/>
      <c r="JL380" s="1593"/>
      <c r="JM380" s="1593"/>
      <c r="JN380" s="1593"/>
      <c r="JO380" s="1593"/>
      <c r="JP380" s="1593"/>
      <c r="JQ380" s="1593"/>
      <c r="JR380" s="1593"/>
      <c r="JS380" s="1593"/>
      <c r="JT380" s="1593"/>
      <c r="JU380" s="1593"/>
      <c r="JV380" s="1593"/>
      <c r="JW380" s="1593"/>
      <c r="JX380" s="1593"/>
      <c r="JY380" s="1593"/>
      <c r="JZ380" s="1593"/>
      <c r="KA380" s="1593"/>
      <c r="KB380" s="1598"/>
    </row>
    <row r="381" spans="2:288" ht="15" customHeight="1" x14ac:dyDescent="0.25">
      <c r="B381" s="216" t="str">
        <f t="shared" si="29"/>
        <v>Desk 62</v>
      </c>
      <c r="C381" s="218" t="str">
        <v/>
      </c>
      <c r="D381" s="218" t="str">
        <v/>
      </c>
      <c r="E381" s="218" t="str">
        <v/>
      </c>
      <c r="F381" s="218" t="str">
        <v/>
      </c>
      <c r="G381" s="402" t="str">
        <v/>
      </c>
      <c r="H381" s="1593"/>
      <c r="I381" s="1593"/>
      <c r="J381" s="1593"/>
      <c r="K381" s="1593"/>
      <c r="L381" s="1593"/>
      <c r="M381" s="1593"/>
      <c r="N381" s="1593"/>
      <c r="O381" s="1593"/>
      <c r="P381" s="1593"/>
      <c r="Q381" s="1593"/>
      <c r="R381" s="1593"/>
      <c r="S381" s="1593"/>
      <c r="T381" s="1593"/>
      <c r="U381" s="1593"/>
      <c r="V381" s="1593"/>
      <c r="W381" s="1593"/>
      <c r="X381" s="1593"/>
      <c r="Y381" s="1593"/>
      <c r="Z381" s="1593"/>
      <c r="AA381" s="1593"/>
      <c r="AB381" s="1593"/>
      <c r="AC381" s="1593"/>
      <c r="AD381" s="1593"/>
      <c r="AE381" s="1593"/>
      <c r="AF381" s="1593"/>
      <c r="AG381" s="1593"/>
      <c r="AH381" s="1593"/>
      <c r="AI381" s="1593"/>
      <c r="AJ381" s="1593"/>
      <c r="AK381" s="1593"/>
      <c r="AL381" s="1593"/>
      <c r="AM381" s="1593"/>
      <c r="AN381" s="1593"/>
      <c r="AO381" s="1593"/>
      <c r="AP381" s="1593"/>
      <c r="AQ381" s="1593"/>
      <c r="AR381" s="1593"/>
      <c r="AS381" s="1593"/>
      <c r="AT381" s="1593"/>
      <c r="AU381" s="1593"/>
      <c r="AV381" s="1593"/>
      <c r="AW381" s="1593"/>
      <c r="AX381" s="1593"/>
      <c r="AY381" s="1593"/>
      <c r="AZ381" s="1593"/>
      <c r="BA381" s="1593"/>
      <c r="BB381" s="1593"/>
      <c r="BC381" s="1593"/>
      <c r="BD381" s="1593"/>
      <c r="BE381" s="1593"/>
      <c r="BF381" s="1593"/>
      <c r="BG381" s="1593"/>
      <c r="BH381" s="1593"/>
      <c r="BI381" s="1593"/>
      <c r="BJ381" s="1593"/>
      <c r="BK381" s="1593"/>
      <c r="BL381" s="1593"/>
      <c r="BM381" s="1593"/>
      <c r="BN381" s="1593"/>
      <c r="BO381" s="1593"/>
      <c r="BP381" s="1593"/>
      <c r="BQ381" s="1593"/>
      <c r="BR381" s="1593"/>
      <c r="BS381" s="1593"/>
      <c r="BT381" s="1593"/>
      <c r="BU381" s="1593"/>
      <c r="BV381" s="1593"/>
      <c r="BW381" s="1593"/>
      <c r="BX381" s="1593"/>
      <c r="BY381" s="1593"/>
      <c r="BZ381" s="1593"/>
      <c r="CA381" s="1593"/>
      <c r="CB381" s="1593"/>
      <c r="CC381" s="1593"/>
      <c r="CD381" s="1593"/>
      <c r="CE381" s="1593"/>
      <c r="CF381" s="1593"/>
      <c r="CG381" s="1593"/>
      <c r="CH381" s="1593"/>
      <c r="CI381" s="1593"/>
      <c r="CJ381" s="1593"/>
      <c r="CK381" s="1593"/>
      <c r="CL381" s="1593"/>
      <c r="CM381" s="1593"/>
      <c r="CN381" s="1593"/>
      <c r="CO381" s="1593"/>
      <c r="CP381" s="1593"/>
      <c r="CQ381" s="1593"/>
      <c r="CR381" s="1593"/>
      <c r="CS381" s="1593"/>
      <c r="CT381" s="1593"/>
      <c r="CU381" s="1593"/>
      <c r="CV381" s="1593"/>
      <c r="CW381" s="1593"/>
      <c r="CX381" s="1593"/>
      <c r="CY381" s="1593"/>
      <c r="CZ381" s="1593"/>
      <c r="DA381" s="1593"/>
      <c r="DB381" s="1593"/>
      <c r="DC381" s="1593"/>
      <c r="DD381" s="1593"/>
      <c r="DE381" s="1593"/>
      <c r="DF381" s="1593"/>
      <c r="DG381" s="1593"/>
      <c r="DH381" s="1593"/>
      <c r="DI381" s="1593"/>
      <c r="DJ381" s="1593"/>
      <c r="DK381" s="1593"/>
      <c r="DL381" s="1593"/>
      <c r="DM381" s="1593"/>
      <c r="DN381" s="1593"/>
      <c r="DO381" s="1593"/>
      <c r="DP381" s="1593"/>
      <c r="DQ381" s="1593"/>
      <c r="DR381" s="1593"/>
      <c r="DS381" s="1593"/>
      <c r="DT381" s="1593"/>
      <c r="DU381" s="1593"/>
      <c r="DV381" s="1593"/>
      <c r="DW381" s="1593"/>
      <c r="DX381" s="1593"/>
      <c r="DY381" s="1593"/>
      <c r="DZ381" s="1593"/>
      <c r="EA381" s="1593"/>
      <c r="EB381" s="1593"/>
      <c r="EC381" s="1593"/>
      <c r="ED381" s="1593"/>
      <c r="EE381" s="1593"/>
      <c r="EF381" s="1593"/>
      <c r="EG381" s="1593"/>
      <c r="EH381" s="1593"/>
      <c r="EI381" s="1593"/>
      <c r="EJ381" s="1593"/>
      <c r="EK381" s="1593"/>
      <c r="EL381" s="1593"/>
      <c r="EM381" s="1593"/>
      <c r="EN381" s="1593"/>
      <c r="EO381" s="1593"/>
      <c r="EP381" s="1593"/>
      <c r="EQ381" s="1593"/>
      <c r="ER381" s="1593"/>
      <c r="ES381" s="1593"/>
      <c r="ET381" s="1593"/>
      <c r="EU381" s="1593"/>
      <c r="EV381" s="1593"/>
      <c r="EW381" s="1593"/>
      <c r="EX381" s="1593"/>
      <c r="EY381" s="1593"/>
      <c r="EZ381" s="1593"/>
      <c r="FA381" s="1593"/>
      <c r="FB381" s="1593"/>
      <c r="FC381" s="1593"/>
      <c r="FD381" s="1593"/>
      <c r="FE381" s="1593"/>
      <c r="FF381" s="1593"/>
      <c r="FG381" s="1593"/>
      <c r="FH381" s="1593"/>
      <c r="FI381" s="1593"/>
      <c r="FJ381" s="1593"/>
      <c r="FK381" s="1593"/>
      <c r="FL381" s="1593"/>
      <c r="FM381" s="1593"/>
      <c r="FN381" s="1593"/>
      <c r="FO381" s="1593"/>
      <c r="FP381" s="1593"/>
      <c r="FQ381" s="1593"/>
      <c r="FR381" s="1593"/>
      <c r="FS381" s="1593"/>
      <c r="FT381" s="1593"/>
      <c r="FU381" s="1593"/>
      <c r="FV381" s="1593"/>
      <c r="FW381" s="1593"/>
      <c r="FX381" s="1593"/>
      <c r="FY381" s="1593"/>
      <c r="FZ381" s="1593"/>
      <c r="GA381" s="1593"/>
      <c r="GB381" s="1593"/>
      <c r="GC381" s="1593"/>
      <c r="GD381" s="1593"/>
      <c r="GE381" s="1593"/>
      <c r="GF381" s="1593"/>
      <c r="GG381" s="1593"/>
      <c r="GH381" s="1593"/>
      <c r="GI381" s="1593"/>
      <c r="GJ381" s="1593"/>
      <c r="GK381" s="1593"/>
      <c r="GL381" s="1593"/>
      <c r="GM381" s="1593"/>
      <c r="GN381" s="1593"/>
      <c r="GO381" s="1593"/>
      <c r="GP381" s="1593"/>
      <c r="GQ381" s="1593"/>
      <c r="GR381" s="1593"/>
      <c r="GS381" s="1593"/>
      <c r="GT381" s="1593"/>
      <c r="GU381" s="1593"/>
      <c r="GV381" s="1593"/>
      <c r="GW381" s="1593"/>
      <c r="GX381" s="1593"/>
      <c r="GY381" s="1593"/>
      <c r="GZ381" s="1593"/>
      <c r="HA381" s="1593"/>
      <c r="HB381" s="1593"/>
      <c r="HC381" s="1593"/>
      <c r="HD381" s="1593"/>
      <c r="HE381" s="1593"/>
      <c r="HF381" s="1593"/>
      <c r="HG381" s="1593"/>
      <c r="HH381" s="1593"/>
      <c r="HI381" s="1593"/>
      <c r="HJ381" s="1593"/>
      <c r="HK381" s="1593"/>
      <c r="HL381" s="1593"/>
      <c r="HM381" s="1593"/>
      <c r="HN381" s="1593"/>
      <c r="HO381" s="1593"/>
      <c r="HP381" s="1593"/>
      <c r="HQ381" s="1593"/>
      <c r="HR381" s="1593"/>
      <c r="HS381" s="1593"/>
      <c r="HT381" s="1593"/>
      <c r="HU381" s="1593"/>
      <c r="HV381" s="1593"/>
      <c r="HW381" s="1593"/>
      <c r="HX381" s="1593"/>
      <c r="HY381" s="1593"/>
      <c r="HZ381" s="1593"/>
      <c r="IA381" s="1593"/>
      <c r="IB381" s="1593"/>
      <c r="IC381" s="1593"/>
      <c r="ID381" s="1593"/>
      <c r="IE381" s="1593"/>
      <c r="IF381" s="1593"/>
      <c r="IG381" s="1593"/>
      <c r="IH381" s="1593"/>
      <c r="II381" s="1593"/>
      <c r="IJ381" s="1593"/>
      <c r="IK381" s="1593"/>
      <c r="IL381" s="1593"/>
      <c r="IM381" s="1593"/>
      <c r="IN381" s="1593"/>
      <c r="IO381" s="1593"/>
      <c r="IP381" s="1593"/>
      <c r="IQ381" s="1593"/>
      <c r="IR381" s="1593"/>
      <c r="IS381" s="1593"/>
      <c r="IT381" s="1593"/>
      <c r="IU381" s="1593"/>
      <c r="IV381" s="1593"/>
      <c r="IW381" s="1593"/>
      <c r="IX381" s="1593"/>
      <c r="IY381" s="1593"/>
      <c r="IZ381" s="1593"/>
      <c r="JA381" s="1593"/>
      <c r="JB381" s="1593"/>
      <c r="JC381" s="1593"/>
      <c r="JD381" s="1593"/>
      <c r="JE381" s="1593"/>
      <c r="JF381" s="1593"/>
      <c r="JG381" s="1593"/>
      <c r="JH381" s="1593"/>
      <c r="JI381" s="1593"/>
      <c r="JJ381" s="1593"/>
      <c r="JK381" s="1593"/>
      <c r="JL381" s="1593"/>
      <c r="JM381" s="1593"/>
      <c r="JN381" s="1593"/>
      <c r="JO381" s="1593"/>
      <c r="JP381" s="1593"/>
      <c r="JQ381" s="1593"/>
      <c r="JR381" s="1593"/>
      <c r="JS381" s="1593"/>
      <c r="JT381" s="1593"/>
      <c r="JU381" s="1593"/>
      <c r="JV381" s="1593"/>
      <c r="JW381" s="1593"/>
      <c r="JX381" s="1593"/>
      <c r="JY381" s="1593"/>
      <c r="JZ381" s="1593"/>
      <c r="KA381" s="1593"/>
      <c r="KB381" s="1598"/>
    </row>
    <row r="382" spans="2:288" ht="15" customHeight="1" x14ac:dyDescent="0.25">
      <c r="B382" s="216" t="str">
        <f t="shared" si="29"/>
        <v>Desk 63</v>
      </c>
      <c r="C382" s="218" t="str">
        <v/>
      </c>
      <c r="D382" s="218" t="str">
        <v/>
      </c>
      <c r="E382" s="218" t="str">
        <v/>
      </c>
      <c r="F382" s="218" t="str">
        <v/>
      </c>
      <c r="G382" s="402" t="str">
        <v/>
      </c>
      <c r="H382" s="1593"/>
      <c r="I382" s="1593"/>
      <c r="J382" s="1593"/>
      <c r="K382" s="1593"/>
      <c r="L382" s="1593"/>
      <c r="M382" s="1593"/>
      <c r="N382" s="1593"/>
      <c r="O382" s="1593"/>
      <c r="P382" s="1593"/>
      <c r="Q382" s="1593"/>
      <c r="R382" s="1593"/>
      <c r="S382" s="1593"/>
      <c r="T382" s="1593"/>
      <c r="U382" s="1593"/>
      <c r="V382" s="1593"/>
      <c r="W382" s="1593"/>
      <c r="X382" s="1593"/>
      <c r="Y382" s="1593"/>
      <c r="Z382" s="1593"/>
      <c r="AA382" s="1593"/>
      <c r="AB382" s="1593"/>
      <c r="AC382" s="1593"/>
      <c r="AD382" s="1593"/>
      <c r="AE382" s="1593"/>
      <c r="AF382" s="1593"/>
      <c r="AG382" s="1593"/>
      <c r="AH382" s="1593"/>
      <c r="AI382" s="1593"/>
      <c r="AJ382" s="1593"/>
      <c r="AK382" s="1593"/>
      <c r="AL382" s="1593"/>
      <c r="AM382" s="1593"/>
      <c r="AN382" s="1593"/>
      <c r="AO382" s="1593"/>
      <c r="AP382" s="1593"/>
      <c r="AQ382" s="1593"/>
      <c r="AR382" s="1593"/>
      <c r="AS382" s="1593"/>
      <c r="AT382" s="1593"/>
      <c r="AU382" s="1593"/>
      <c r="AV382" s="1593"/>
      <c r="AW382" s="1593"/>
      <c r="AX382" s="1593"/>
      <c r="AY382" s="1593"/>
      <c r="AZ382" s="1593"/>
      <c r="BA382" s="1593"/>
      <c r="BB382" s="1593"/>
      <c r="BC382" s="1593"/>
      <c r="BD382" s="1593"/>
      <c r="BE382" s="1593"/>
      <c r="BF382" s="1593"/>
      <c r="BG382" s="1593"/>
      <c r="BH382" s="1593"/>
      <c r="BI382" s="1593"/>
      <c r="BJ382" s="1593"/>
      <c r="BK382" s="1593"/>
      <c r="BL382" s="1593"/>
      <c r="BM382" s="1593"/>
      <c r="BN382" s="1593"/>
      <c r="BO382" s="1593"/>
      <c r="BP382" s="1593"/>
      <c r="BQ382" s="1593"/>
      <c r="BR382" s="1593"/>
      <c r="BS382" s="1593"/>
      <c r="BT382" s="1593"/>
      <c r="BU382" s="1593"/>
      <c r="BV382" s="1593"/>
      <c r="BW382" s="1593"/>
      <c r="BX382" s="1593"/>
      <c r="BY382" s="1593"/>
      <c r="BZ382" s="1593"/>
      <c r="CA382" s="1593"/>
      <c r="CB382" s="1593"/>
      <c r="CC382" s="1593"/>
      <c r="CD382" s="1593"/>
      <c r="CE382" s="1593"/>
      <c r="CF382" s="1593"/>
      <c r="CG382" s="1593"/>
      <c r="CH382" s="1593"/>
      <c r="CI382" s="1593"/>
      <c r="CJ382" s="1593"/>
      <c r="CK382" s="1593"/>
      <c r="CL382" s="1593"/>
      <c r="CM382" s="1593"/>
      <c r="CN382" s="1593"/>
      <c r="CO382" s="1593"/>
      <c r="CP382" s="1593"/>
      <c r="CQ382" s="1593"/>
      <c r="CR382" s="1593"/>
      <c r="CS382" s="1593"/>
      <c r="CT382" s="1593"/>
      <c r="CU382" s="1593"/>
      <c r="CV382" s="1593"/>
      <c r="CW382" s="1593"/>
      <c r="CX382" s="1593"/>
      <c r="CY382" s="1593"/>
      <c r="CZ382" s="1593"/>
      <c r="DA382" s="1593"/>
      <c r="DB382" s="1593"/>
      <c r="DC382" s="1593"/>
      <c r="DD382" s="1593"/>
      <c r="DE382" s="1593"/>
      <c r="DF382" s="1593"/>
      <c r="DG382" s="1593"/>
      <c r="DH382" s="1593"/>
      <c r="DI382" s="1593"/>
      <c r="DJ382" s="1593"/>
      <c r="DK382" s="1593"/>
      <c r="DL382" s="1593"/>
      <c r="DM382" s="1593"/>
      <c r="DN382" s="1593"/>
      <c r="DO382" s="1593"/>
      <c r="DP382" s="1593"/>
      <c r="DQ382" s="1593"/>
      <c r="DR382" s="1593"/>
      <c r="DS382" s="1593"/>
      <c r="DT382" s="1593"/>
      <c r="DU382" s="1593"/>
      <c r="DV382" s="1593"/>
      <c r="DW382" s="1593"/>
      <c r="DX382" s="1593"/>
      <c r="DY382" s="1593"/>
      <c r="DZ382" s="1593"/>
      <c r="EA382" s="1593"/>
      <c r="EB382" s="1593"/>
      <c r="EC382" s="1593"/>
      <c r="ED382" s="1593"/>
      <c r="EE382" s="1593"/>
      <c r="EF382" s="1593"/>
      <c r="EG382" s="1593"/>
      <c r="EH382" s="1593"/>
      <c r="EI382" s="1593"/>
      <c r="EJ382" s="1593"/>
      <c r="EK382" s="1593"/>
      <c r="EL382" s="1593"/>
      <c r="EM382" s="1593"/>
      <c r="EN382" s="1593"/>
      <c r="EO382" s="1593"/>
      <c r="EP382" s="1593"/>
      <c r="EQ382" s="1593"/>
      <c r="ER382" s="1593"/>
      <c r="ES382" s="1593"/>
      <c r="ET382" s="1593"/>
      <c r="EU382" s="1593"/>
      <c r="EV382" s="1593"/>
      <c r="EW382" s="1593"/>
      <c r="EX382" s="1593"/>
      <c r="EY382" s="1593"/>
      <c r="EZ382" s="1593"/>
      <c r="FA382" s="1593"/>
      <c r="FB382" s="1593"/>
      <c r="FC382" s="1593"/>
      <c r="FD382" s="1593"/>
      <c r="FE382" s="1593"/>
      <c r="FF382" s="1593"/>
      <c r="FG382" s="1593"/>
      <c r="FH382" s="1593"/>
      <c r="FI382" s="1593"/>
      <c r="FJ382" s="1593"/>
      <c r="FK382" s="1593"/>
      <c r="FL382" s="1593"/>
      <c r="FM382" s="1593"/>
      <c r="FN382" s="1593"/>
      <c r="FO382" s="1593"/>
      <c r="FP382" s="1593"/>
      <c r="FQ382" s="1593"/>
      <c r="FR382" s="1593"/>
      <c r="FS382" s="1593"/>
      <c r="FT382" s="1593"/>
      <c r="FU382" s="1593"/>
      <c r="FV382" s="1593"/>
      <c r="FW382" s="1593"/>
      <c r="FX382" s="1593"/>
      <c r="FY382" s="1593"/>
      <c r="FZ382" s="1593"/>
      <c r="GA382" s="1593"/>
      <c r="GB382" s="1593"/>
      <c r="GC382" s="1593"/>
      <c r="GD382" s="1593"/>
      <c r="GE382" s="1593"/>
      <c r="GF382" s="1593"/>
      <c r="GG382" s="1593"/>
      <c r="GH382" s="1593"/>
      <c r="GI382" s="1593"/>
      <c r="GJ382" s="1593"/>
      <c r="GK382" s="1593"/>
      <c r="GL382" s="1593"/>
      <c r="GM382" s="1593"/>
      <c r="GN382" s="1593"/>
      <c r="GO382" s="1593"/>
      <c r="GP382" s="1593"/>
      <c r="GQ382" s="1593"/>
      <c r="GR382" s="1593"/>
      <c r="GS382" s="1593"/>
      <c r="GT382" s="1593"/>
      <c r="GU382" s="1593"/>
      <c r="GV382" s="1593"/>
      <c r="GW382" s="1593"/>
      <c r="GX382" s="1593"/>
      <c r="GY382" s="1593"/>
      <c r="GZ382" s="1593"/>
      <c r="HA382" s="1593"/>
      <c r="HB382" s="1593"/>
      <c r="HC382" s="1593"/>
      <c r="HD382" s="1593"/>
      <c r="HE382" s="1593"/>
      <c r="HF382" s="1593"/>
      <c r="HG382" s="1593"/>
      <c r="HH382" s="1593"/>
      <c r="HI382" s="1593"/>
      <c r="HJ382" s="1593"/>
      <c r="HK382" s="1593"/>
      <c r="HL382" s="1593"/>
      <c r="HM382" s="1593"/>
      <c r="HN382" s="1593"/>
      <c r="HO382" s="1593"/>
      <c r="HP382" s="1593"/>
      <c r="HQ382" s="1593"/>
      <c r="HR382" s="1593"/>
      <c r="HS382" s="1593"/>
      <c r="HT382" s="1593"/>
      <c r="HU382" s="1593"/>
      <c r="HV382" s="1593"/>
      <c r="HW382" s="1593"/>
      <c r="HX382" s="1593"/>
      <c r="HY382" s="1593"/>
      <c r="HZ382" s="1593"/>
      <c r="IA382" s="1593"/>
      <c r="IB382" s="1593"/>
      <c r="IC382" s="1593"/>
      <c r="ID382" s="1593"/>
      <c r="IE382" s="1593"/>
      <c r="IF382" s="1593"/>
      <c r="IG382" s="1593"/>
      <c r="IH382" s="1593"/>
      <c r="II382" s="1593"/>
      <c r="IJ382" s="1593"/>
      <c r="IK382" s="1593"/>
      <c r="IL382" s="1593"/>
      <c r="IM382" s="1593"/>
      <c r="IN382" s="1593"/>
      <c r="IO382" s="1593"/>
      <c r="IP382" s="1593"/>
      <c r="IQ382" s="1593"/>
      <c r="IR382" s="1593"/>
      <c r="IS382" s="1593"/>
      <c r="IT382" s="1593"/>
      <c r="IU382" s="1593"/>
      <c r="IV382" s="1593"/>
      <c r="IW382" s="1593"/>
      <c r="IX382" s="1593"/>
      <c r="IY382" s="1593"/>
      <c r="IZ382" s="1593"/>
      <c r="JA382" s="1593"/>
      <c r="JB382" s="1593"/>
      <c r="JC382" s="1593"/>
      <c r="JD382" s="1593"/>
      <c r="JE382" s="1593"/>
      <c r="JF382" s="1593"/>
      <c r="JG382" s="1593"/>
      <c r="JH382" s="1593"/>
      <c r="JI382" s="1593"/>
      <c r="JJ382" s="1593"/>
      <c r="JK382" s="1593"/>
      <c r="JL382" s="1593"/>
      <c r="JM382" s="1593"/>
      <c r="JN382" s="1593"/>
      <c r="JO382" s="1593"/>
      <c r="JP382" s="1593"/>
      <c r="JQ382" s="1593"/>
      <c r="JR382" s="1593"/>
      <c r="JS382" s="1593"/>
      <c r="JT382" s="1593"/>
      <c r="JU382" s="1593"/>
      <c r="JV382" s="1593"/>
      <c r="JW382" s="1593"/>
      <c r="JX382" s="1593"/>
      <c r="JY382" s="1593"/>
      <c r="JZ382" s="1593"/>
      <c r="KA382" s="1593"/>
      <c r="KB382" s="1598"/>
    </row>
    <row r="383" spans="2:288" ht="15" customHeight="1" x14ac:dyDescent="0.25">
      <c r="B383" s="216" t="str">
        <f t="shared" si="29"/>
        <v>Desk 64</v>
      </c>
      <c r="C383" s="218" t="str">
        <v/>
      </c>
      <c r="D383" s="218" t="str">
        <v/>
      </c>
      <c r="E383" s="218" t="str">
        <v/>
      </c>
      <c r="F383" s="218" t="str">
        <v/>
      </c>
      <c r="G383" s="402" t="str">
        <v/>
      </c>
      <c r="H383" s="1593"/>
      <c r="I383" s="1593"/>
      <c r="J383" s="1593"/>
      <c r="K383" s="1593"/>
      <c r="L383" s="1593"/>
      <c r="M383" s="1593"/>
      <c r="N383" s="1593"/>
      <c r="O383" s="1593"/>
      <c r="P383" s="1593"/>
      <c r="Q383" s="1593"/>
      <c r="R383" s="1593"/>
      <c r="S383" s="1593"/>
      <c r="T383" s="1593"/>
      <c r="U383" s="1593"/>
      <c r="V383" s="1593"/>
      <c r="W383" s="1593"/>
      <c r="X383" s="1593"/>
      <c r="Y383" s="1593"/>
      <c r="Z383" s="1593"/>
      <c r="AA383" s="1593"/>
      <c r="AB383" s="1593"/>
      <c r="AC383" s="1593"/>
      <c r="AD383" s="1593"/>
      <c r="AE383" s="1593"/>
      <c r="AF383" s="1593"/>
      <c r="AG383" s="1593"/>
      <c r="AH383" s="1593"/>
      <c r="AI383" s="1593"/>
      <c r="AJ383" s="1593"/>
      <c r="AK383" s="1593"/>
      <c r="AL383" s="1593"/>
      <c r="AM383" s="1593"/>
      <c r="AN383" s="1593"/>
      <c r="AO383" s="1593"/>
      <c r="AP383" s="1593"/>
      <c r="AQ383" s="1593"/>
      <c r="AR383" s="1593"/>
      <c r="AS383" s="1593"/>
      <c r="AT383" s="1593"/>
      <c r="AU383" s="1593"/>
      <c r="AV383" s="1593"/>
      <c r="AW383" s="1593"/>
      <c r="AX383" s="1593"/>
      <c r="AY383" s="1593"/>
      <c r="AZ383" s="1593"/>
      <c r="BA383" s="1593"/>
      <c r="BB383" s="1593"/>
      <c r="BC383" s="1593"/>
      <c r="BD383" s="1593"/>
      <c r="BE383" s="1593"/>
      <c r="BF383" s="1593"/>
      <c r="BG383" s="1593"/>
      <c r="BH383" s="1593"/>
      <c r="BI383" s="1593"/>
      <c r="BJ383" s="1593"/>
      <c r="BK383" s="1593"/>
      <c r="BL383" s="1593"/>
      <c r="BM383" s="1593"/>
      <c r="BN383" s="1593"/>
      <c r="BO383" s="1593"/>
      <c r="BP383" s="1593"/>
      <c r="BQ383" s="1593"/>
      <c r="BR383" s="1593"/>
      <c r="BS383" s="1593"/>
      <c r="BT383" s="1593"/>
      <c r="BU383" s="1593"/>
      <c r="BV383" s="1593"/>
      <c r="BW383" s="1593"/>
      <c r="BX383" s="1593"/>
      <c r="BY383" s="1593"/>
      <c r="BZ383" s="1593"/>
      <c r="CA383" s="1593"/>
      <c r="CB383" s="1593"/>
      <c r="CC383" s="1593"/>
      <c r="CD383" s="1593"/>
      <c r="CE383" s="1593"/>
      <c r="CF383" s="1593"/>
      <c r="CG383" s="1593"/>
      <c r="CH383" s="1593"/>
      <c r="CI383" s="1593"/>
      <c r="CJ383" s="1593"/>
      <c r="CK383" s="1593"/>
      <c r="CL383" s="1593"/>
      <c r="CM383" s="1593"/>
      <c r="CN383" s="1593"/>
      <c r="CO383" s="1593"/>
      <c r="CP383" s="1593"/>
      <c r="CQ383" s="1593"/>
      <c r="CR383" s="1593"/>
      <c r="CS383" s="1593"/>
      <c r="CT383" s="1593"/>
      <c r="CU383" s="1593"/>
      <c r="CV383" s="1593"/>
      <c r="CW383" s="1593"/>
      <c r="CX383" s="1593"/>
      <c r="CY383" s="1593"/>
      <c r="CZ383" s="1593"/>
      <c r="DA383" s="1593"/>
      <c r="DB383" s="1593"/>
      <c r="DC383" s="1593"/>
      <c r="DD383" s="1593"/>
      <c r="DE383" s="1593"/>
      <c r="DF383" s="1593"/>
      <c r="DG383" s="1593"/>
      <c r="DH383" s="1593"/>
      <c r="DI383" s="1593"/>
      <c r="DJ383" s="1593"/>
      <c r="DK383" s="1593"/>
      <c r="DL383" s="1593"/>
      <c r="DM383" s="1593"/>
      <c r="DN383" s="1593"/>
      <c r="DO383" s="1593"/>
      <c r="DP383" s="1593"/>
      <c r="DQ383" s="1593"/>
      <c r="DR383" s="1593"/>
      <c r="DS383" s="1593"/>
      <c r="DT383" s="1593"/>
      <c r="DU383" s="1593"/>
      <c r="DV383" s="1593"/>
      <c r="DW383" s="1593"/>
      <c r="DX383" s="1593"/>
      <c r="DY383" s="1593"/>
      <c r="DZ383" s="1593"/>
      <c r="EA383" s="1593"/>
      <c r="EB383" s="1593"/>
      <c r="EC383" s="1593"/>
      <c r="ED383" s="1593"/>
      <c r="EE383" s="1593"/>
      <c r="EF383" s="1593"/>
      <c r="EG383" s="1593"/>
      <c r="EH383" s="1593"/>
      <c r="EI383" s="1593"/>
      <c r="EJ383" s="1593"/>
      <c r="EK383" s="1593"/>
      <c r="EL383" s="1593"/>
      <c r="EM383" s="1593"/>
      <c r="EN383" s="1593"/>
      <c r="EO383" s="1593"/>
      <c r="EP383" s="1593"/>
      <c r="EQ383" s="1593"/>
      <c r="ER383" s="1593"/>
      <c r="ES383" s="1593"/>
      <c r="ET383" s="1593"/>
      <c r="EU383" s="1593"/>
      <c r="EV383" s="1593"/>
      <c r="EW383" s="1593"/>
      <c r="EX383" s="1593"/>
      <c r="EY383" s="1593"/>
      <c r="EZ383" s="1593"/>
      <c r="FA383" s="1593"/>
      <c r="FB383" s="1593"/>
      <c r="FC383" s="1593"/>
      <c r="FD383" s="1593"/>
      <c r="FE383" s="1593"/>
      <c r="FF383" s="1593"/>
      <c r="FG383" s="1593"/>
      <c r="FH383" s="1593"/>
      <c r="FI383" s="1593"/>
      <c r="FJ383" s="1593"/>
      <c r="FK383" s="1593"/>
      <c r="FL383" s="1593"/>
      <c r="FM383" s="1593"/>
      <c r="FN383" s="1593"/>
      <c r="FO383" s="1593"/>
      <c r="FP383" s="1593"/>
      <c r="FQ383" s="1593"/>
      <c r="FR383" s="1593"/>
      <c r="FS383" s="1593"/>
      <c r="FT383" s="1593"/>
      <c r="FU383" s="1593"/>
      <c r="FV383" s="1593"/>
      <c r="FW383" s="1593"/>
      <c r="FX383" s="1593"/>
      <c r="FY383" s="1593"/>
      <c r="FZ383" s="1593"/>
      <c r="GA383" s="1593"/>
      <c r="GB383" s="1593"/>
      <c r="GC383" s="1593"/>
      <c r="GD383" s="1593"/>
      <c r="GE383" s="1593"/>
      <c r="GF383" s="1593"/>
      <c r="GG383" s="1593"/>
      <c r="GH383" s="1593"/>
      <c r="GI383" s="1593"/>
      <c r="GJ383" s="1593"/>
      <c r="GK383" s="1593"/>
      <c r="GL383" s="1593"/>
      <c r="GM383" s="1593"/>
      <c r="GN383" s="1593"/>
      <c r="GO383" s="1593"/>
      <c r="GP383" s="1593"/>
      <c r="GQ383" s="1593"/>
      <c r="GR383" s="1593"/>
      <c r="GS383" s="1593"/>
      <c r="GT383" s="1593"/>
      <c r="GU383" s="1593"/>
      <c r="GV383" s="1593"/>
      <c r="GW383" s="1593"/>
      <c r="GX383" s="1593"/>
      <c r="GY383" s="1593"/>
      <c r="GZ383" s="1593"/>
      <c r="HA383" s="1593"/>
      <c r="HB383" s="1593"/>
      <c r="HC383" s="1593"/>
      <c r="HD383" s="1593"/>
      <c r="HE383" s="1593"/>
      <c r="HF383" s="1593"/>
      <c r="HG383" s="1593"/>
      <c r="HH383" s="1593"/>
      <c r="HI383" s="1593"/>
      <c r="HJ383" s="1593"/>
      <c r="HK383" s="1593"/>
      <c r="HL383" s="1593"/>
      <c r="HM383" s="1593"/>
      <c r="HN383" s="1593"/>
      <c r="HO383" s="1593"/>
      <c r="HP383" s="1593"/>
      <c r="HQ383" s="1593"/>
      <c r="HR383" s="1593"/>
      <c r="HS383" s="1593"/>
      <c r="HT383" s="1593"/>
      <c r="HU383" s="1593"/>
      <c r="HV383" s="1593"/>
      <c r="HW383" s="1593"/>
      <c r="HX383" s="1593"/>
      <c r="HY383" s="1593"/>
      <c r="HZ383" s="1593"/>
      <c r="IA383" s="1593"/>
      <c r="IB383" s="1593"/>
      <c r="IC383" s="1593"/>
      <c r="ID383" s="1593"/>
      <c r="IE383" s="1593"/>
      <c r="IF383" s="1593"/>
      <c r="IG383" s="1593"/>
      <c r="IH383" s="1593"/>
      <c r="II383" s="1593"/>
      <c r="IJ383" s="1593"/>
      <c r="IK383" s="1593"/>
      <c r="IL383" s="1593"/>
      <c r="IM383" s="1593"/>
      <c r="IN383" s="1593"/>
      <c r="IO383" s="1593"/>
      <c r="IP383" s="1593"/>
      <c r="IQ383" s="1593"/>
      <c r="IR383" s="1593"/>
      <c r="IS383" s="1593"/>
      <c r="IT383" s="1593"/>
      <c r="IU383" s="1593"/>
      <c r="IV383" s="1593"/>
      <c r="IW383" s="1593"/>
      <c r="IX383" s="1593"/>
      <c r="IY383" s="1593"/>
      <c r="IZ383" s="1593"/>
      <c r="JA383" s="1593"/>
      <c r="JB383" s="1593"/>
      <c r="JC383" s="1593"/>
      <c r="JD383" s="1593"/>
      <c r="JE383" s="1593"/>
      <c r="JF383" s="1593"/>
      <c r="JG383" s="1593"/>
      <c r="JH383" s="1593"/>
      <c r="JI383" s="1593"/>
      <c r="JJ383" s="1593"/>
      <c r="JK383" s="1593"/>
      <c r="JL383" s="1593"/>
      <c r="JM383" s="1593"/>
      <c r="JN383" s="1593"/>
      <c r="JO383" s="1593"/>
      <c r="JP383" s="1593"/>
      <c r="JQ383" s="1593"/>
      <c r="JR383" s="1593"/>
      <c r="JS383" s="1593"/>
      <c r="JT383" s="1593"/>
      <c r="JU383" s="1593"/>
      <c r="JV383" s="1593"/>
      <c r="JW383" s="1593"/>
      <c r="JX383" s="1593"/>
      <c r="JY383" s="1593"/>
      <c r="JZ383" s="1593"/>
      <c r="KA383" s="1593"/>
      <c r="KB383" s="1598"/>
    </row>
    <row r="384" spans="2:288" ht="15" customHeight="1" x14ac:dyDescent="0.25">
      <c r="B384" s="216" t="str">
        <f t="shared" ref="B384:B419" si="30">B75</f>
        <v>Desk 65</v>
      </c>
      <c r="C384" s="218" t="str">
        <v/>
      </c>
      <c r="D384" s="218" t="str">
        <v/>
      </c>
      <c r="E384" s="218" t="str">
        <v/>
      </c>
      <c r="F384" s="218" t="str">
        <v/>
      </c>
      <c r="G384" s="402" t="str">
        <v/>
      </c>
      <c r="H384" s="1593"/>
      <c r="I384" s="1593"/>
      <c r="J384" s="1593"/>
      <c r="K384" s="1593"/>
      <c r="L384" s="1593"/>
      <c r="M384" s="1593"/>
      <c r="N384" s="1593"/>
      <c r="O384" s="1593"/>
      <c r="P384" s="1593"/>
      <c r="Q384" s="1593"/>
      <c r="R384" s="1593"/>
      <c r="S384" s="1593"/>
      <c r="T384" s="1593"/>
      <c r="U384" s="1593"/>
      <c r="V384" s="1593"/>
      <c r="W384" s="1593"/>
      <c r="X384" s="1593"/>
      <c r="Y384" s="1593"/>
      <c r="Z384" s="1593"/>
      <c r="AA384" s="1593"/>
      <c r="AB384" s="1593"/>
      <c r="AC384" s="1593"/>
      <c r="AD384" s="1593"/>
      <c r="AE384" s="1593"/>
      <c r="AF384" s="1593"/>
      <c r="AG384" s="1593"/>
      <c r="AH384" s="1593"/>
      <c r="AI384" s="1593"/>
      <c r="AJ384" s="1593"/>
      <c r="AK384" s="1593"/>
      <c r="AL384" s="1593"/>
      <c r="AM384" s="1593"/>
      <c r="AN384" s="1593"/>
      <c r="AO384" s="1593"/>
      <c r="AP384" s="1593"/>
      <c r="AQ384" s="1593"/>
      <c r="AR384" s="1593"/>
      <c r="AS384" s="1593"/>
      <c r="AT384" s="1593"/>
      <c r="AU384" s="1593"/>
      <c r="AV384" s="1593"/>
      <c r="AW384" s="1593"/>
      <c r="AX384" s="1593"/>
      <c r="AY384" s="1593"/>
      <c r="AZ384" s="1593"/>
      <c r="BA384" s="1593"/>
      <c r="BB384" s="1593"/>
      <c r="BC384" s="1593"/>
      <c r="BD384" s="1593"/>
      <c r="BE384" s="1593"/>
      <c r="BF384" s="1593"/>
      <c r="BG384" s="1593"/>
      <c r="BH384" s="1593"/>
      <c r="BI384" s="1593"/>
      <c r="BJ384" s="1593"/>
      <c r="BK384" s="1593"/>
      <c r="BL384" s="1593"/>
      <c r="BM384" s="1593"/>
      <c r="BN384" s="1593"/>
      <c r="BO384" s="1593"/>
      <c r="BP384" s="1593"/>
      <c r="BQ384" s="1593"/>
      <c r="BR384" s="1593"/>
      <c r="BS384" s="1593"/>
      <c r="BT384" s="1593"/>
      <c r="BU384" s="1593"/>
      <c r="BV384" s="1593"/>
      <c r="BW384" s="1593"/>
      <c r="BX384" s="1593"/>
      <c r="BY384" s="1593"/>
      <c r="BZ384" s="1593"/>
      <c r="CA384" s="1593"/>
      <c r="CB384" s="1593"/>
      <c r="CC384" s="1593"/>
      <c r="CD384" s="1593"/>
      <c r="CE384" s="1593"/>
      <c r="CF384" s="1593"/>
      <c r="CG384" s="1593"/>
      <c r="CH384" s="1593"/>
      <c r="CI384" s="1593"/>
      <c r="CJ384" s="1593"/>
      <c r="CK384" s="1593"/>
      <c r="CL384" s="1593"/>
      <c r="CM384" s="1593"/>
      <c r="CN384" s="1593"/>
      <c r="CO384" s="1593"/>
      <c r="CP384" s="1593"/>
      <c r="CQ384" s="1593"/>
      <c r="CR384" s="1593"/>
      <c r="CS384" s="1593"/>
      <c r="CT384" s="1593"/>
      <c r="CU384" s="1593"/>
      <c r="CV384" s="1593"/>
      <c r="CW384" s="1593"/>
      <c r="CX384" s="1593"/>
      <c r="CY384" s="1593"/>
      <c r="CZ384" s="1593"/>
      <c r="DA384" s="1593"/>
      <c r="DB384" s="1593"/>
      <c r="DC384" s="1593"/>
      <c r="DD384" s="1593"/>
      <c r="DE384" s="1593"/>
      <c r="DF384" s="1593"/>
      <c r="DG384" s="1593"/>
      <c r="DH384" s="1593"/>
      <c r="DI384" s="1593"/>
      <c r="DJ384" s="1593"/>
      <c r="DK384" s="1593"/>
      <c r="DL384" s="1593"/>
      <c r="DM384" s="1593"/>
      <c r="DN384" s="1593"/>
      <c r="DO384" s="1593"/>
      <c r="DP384" s="1593"/>
      <c r="DQ384" s="1593"/>
      <c r="DR384" s="1593"/>
      <c r="DS384" s="1593"/>
      <c r="DT384" s="1593"/>
      <c r="DU384" s="1593"/>
      <c r="DV384" s="1593"/>
      <c r="DW384" s="1593"/>
      <c r="DX384" s="1593"/>
      <c r="DY384" s="1593"/>
      <c r="DZ384" s="1593"/>
      <c r="EA384" s="1593"/>
      <c r="EB384" s="1593"/>
      <c r="EC384" s="1593"/>
      <c r="ED384" s="1593"/>
      <c r="EE384" s="1593"/>
      <c r="EF384" s="1593"/>
      <c r="EG384" s="1593"/>
      <c r="EH384" s="1593"/>
      <c r="EI384" s="1593"/>
      <c r="EJ384" s="1593"/>
      <c r="EK384" s="1593"/>
      <c r="EL384" s="1593"/>
      <c r="EM384" s="1593"/>
      <c r="EN384" s="1593"/>
      <c r="EO384" s="1593"/>
      <c r="EP384" s="1593"/>
      <c r="EQ384" s="1593"/>
      <c r="ER384" s="1593"/>
      <c r="ES384" s="1593"/>
      <c r="ET384" s="1593"/>
      <c r="EU384" s="1593"/>
      <c r="EV384" s="1593"/>
      <c r="EW384" s="1593"/>
      <c r="EX384" s="1593"/>
      <c r="EY384" s="1593"/>
      <c r="EZ384" s="1593"/>
      <c r="FA384" s="1593"/>
      <c r="FB384" s="1593"/>
      <c r="FC384" s="1593"/>
      <c r="FD384" s="1593"/>
      <c r="FE384" s="1593"/>
      <c r="FF384" s="1593"/>
      <c r="FG384" s="1593"/>
      <c r="FH384" s="1593"/>
      <c r="FI384" s="1593"/>
      <c r="FJ384" s="1593"/>
      <c r="FK384" s="1593"/>
      <c r="FL384" s="1593"/>
      <c r="FM384" s="1593"/>
      <c r="FN384" s="1593"/>
      <c r="FO384" s="1593"/>
      <c r="FP384" s="1593"/>
      <c r="FQ384" s="1593"/>
      <c r="FR384" s="1593"/>
      <c r="FS384" s="1593"/>
      <c r="FT384" s="1593"/>
      <c r="FU384" s="1593"/>
      <c r="FV384" s="1593"/>
      <c r="FW384" s="1593"/>
      <c r="FX384" s="1593"/>
      <c r="FY384" s="1593"/>
      <c r="FZ384" s="1593"/>
      <c r="GA384" s="1593"/>
      <c r="GB384" s="1593"/>
      <c r="GC384" s="1593"/>
      <c r="GD384" s="1593"/>
      <c r="GE384" s="1593"/>
      <c r="GF384" s="1593"/>
      <c r="GG384" s="1593"/>
      <c r="GH384" s="1593"/>
      <c r="GI384" s="1593"/>
      <c r="GJ384" s="1593"/>
      <c r="GK384" s="1593"/>
      <c r="GL384" s="1593"/>
      <c r="GM384" s="1593"/>
      <c r="GN384" s="1593"/>
      <c r="GO384" s="1593"/>
      <c r="GP384" s="1593"/>
      <c r="GQ384" s="1593"/>
      <c r="GR384" s="1593"/>
      <c r="GS384" s="1593"/>
      <c r="GT384" s="1593"/>
      <c r="GU384" s="1593"/>
      <c r="GV384" s="1593"/>
      <c r="GW384" s="1593"/>
      <c r="GX384" s="1593"/>
      <c r="GY384" s="1593"/>
      <c r="GZ384" s="1593"/>
      <c r="HA384" s="1593"/>
      <c r="HB384" s="1593"/>
      <c r="HC384" s="1593"/>
      <c r="HD384" s="1593"/>
      <c r="HE384" s="1593"/>
      <c r="HF384" s="1593"/>
      <c r="HG384" s="1593"/>
      <c r="HH384" s="1593"/>
      <c r="HI384" s="1593"/>
      <c r="HJ384" s="1593"/>
      <c r="HK384" s="1593"/>
      <c r="HL384" s="1593"/>
      <c r="HM384" s="1593"/>
      <c r="HN384" s="1593"/>
      <c r="HO384" s="1593"/>
      <c r="HP384" s="1593"/>
      <c r="HQ384" s="1593"/>
      <c r="HR384" s="1593"/>
      <c r="HS384" s="1593"/>
      <c r="HT384" s="1593"/>
      <c r="HU384" s="1593"/>
      <c r="HV384" s="1593"/>
      <c r="HW384" s="1593"/>
      <c r="HX384" s="1593"/>
      <c r="HY384" s="1593"/>
      <c r="HZ384" s="1593"/>
      <c r="IA384" s="1593"/>
      <c r="IB384" s="1593"/>
      <c r="IC384" s="1593"/>
      <c r="ID384" s="1593"/>
      <c r="IE384" s="1593"/>
      <c r="IF384" s="1593"/>
      <c r="IG384" s="1593"/>
      <c r="IH384" s="1593"/>
      <c r="II384" s="1593"/>
      <c r="IJ384" s="1593"/>
      <c r="IK384" s="1593"/>
      <c r="IL384" s="1593"/>
      <c r="IM384" s="1593"/>
      <c r="IN384" s="1593"/>
      <c r="IO384" s="1593"/>
      <c r="IP384" s="1593"/>
      <c r="IQ384" s="1593"/>
      <c r="IR384" s="1593"/>
      <c r="IS384" s="1593"/>
      <c r="IT384" s="1593"/>
      <c r="IU384" s="1593"/>
      <c r="IV384" s="1593"/>
      <c r="IW384" s="1593"/>
      <c r="IX384" s="1593"/>
      <c r="IY384" s="1593"/>
      <c r="IZ384" s="1593"/>
      <c r="JA384" s="1593"/>
      <c r="JB384" s="1593"/>
      <c r="JC384" s="1593"/>
      <c r="JD384" s="1593"/>
      <c r="JE384" s="1593"/>
      <c r="JF384" s="1593"/>
      <c r="JG384" s="1593"/>
      <c r="JH384" s="1593"/>
      <c r="JI384" s="1593"/>
      <c r="JJ384" s="1593"/>
      <c r="JK384" s="1593"/>
      <c r="JL384" s="1593"/>
      <c r="JM384" s="1593"/>
      <c r="JN384" s="1593"/>
      <c r="JO384" s="1593"/>
      <c r="JP384" s="1593"/>
      <c r="JQ384" s="1593"/>
      <c r="JR384" s="1593"/>
      <c r="JS384" s="1593"/>
      <c r="JT384" s="1593"/>
      <c r="JU384" s="1593"/>
      <c r="JV384" s="1593"/>
      <c r="JW384" s="1593"/>
      <c r="JX384" s="1593"/>
      <c r="JY384" s="1593"/>
      <c r="JZ384" s="1593"/>
      <c r="KA384" s="1593"/>
      <c r="KB384" s="1598"/>
    </row>
    <row r="385" spans="2:288" ht="15" customHeight="1" x14ac:dyDescent="0.25">
      <c r="B385" s="216" t="str">
        <f t="shared" si="30"/>
        <v>Desk 66</v>
      </c>
      <c r="C385" s="218" t="str">
        <v/>
      </c>
      <c r="D385" s="218" t="str">
        <v/>
      </c>
      <c r="E385" s="218" t="str">
        <v/>
      </c>
      <c r="F385" s="218" t="str">
        <v/>
      </c>
      <c r="G385" s="402" t="str">
        <v/>
      </c>
      <c r="H385" s="1593"/>
      <c r="I385" s="1593"/>
      <c r="J385" s="1593"/>
      <c r="K385" s="1593"/>
      <c r="L385" s="1593"/>
      <c r="M385" s="1593"/>
      <c r="N385" s="1593"/>
      <c r="O385" s="1593"/>
      <c r="P385" s="1593"/>
      <c r="Q385" s="1593"/>
      <c r="R385" s="1593"/>
      <c r="S385" s="1593"/>
      <c r="T385" s="1593"/>
      <c r="U385" s="1593"/>
      <c r="V385" s="1593"/>
      <c r="W385" s="1593"/>
      <c r="X385" s="1593"/>
      <c r="Y385" s="1593"/>
      <c r="Z385" s="1593"/>
      <c r="AA385" s="1593"/>
      <c r="AB385" s="1593"/>
      <c r="AC385" s="1593"/>
      <c r="AD385" s="1593"/>
      <c r="AE385" s="1593"/>
      <c r="AF385" s="1593"/>
      <c r="AG385" s="1593"/>
      <c r="AH385" s="1593"/>
      <c r="AI385" s="1593"/>
      <c r="AJ385" s="1593"/>
      <c r="AK385" s="1593"/>
      <c r="AL385" s="1593"/>
      <c r="AM385" s="1593"/>
      <c r="AN385" s="1593"/>
      <c r="AO385" s="1593"/>
      <c r="AP385" s="1593"/>
      <c r="AQ385" s="1593"/>
      <c r="AR385" s="1593"/>
      <c r="AS385" s="1593"/>
      <c r="AT385" s="1593"/>
      <c r="AU385" s="1593"/>
      <c r="AV385" s="1593"/>
      <c r="AW385" s="1593"/>
      <c r="AX385" s="1593"/>
      <c r="AY385" s="1593"/>
      <c r="AZ385" s="1593"/>
      <c r="BA385" s="1593"/>
      <c r="BB385" s="1593"/>
      <c r="BC385" s="1593"/>
      <c r="BD385" s="1593"/>
      <c r="BE385" s="1593"/>
      <c r="BF385" s="1593"/>
      <c r="BG385" s="1593"/>
      <c r="BH385" s="1593"/>
      <c r="BI385" s="1593"/>
      <c r="BJ385" s="1593"/>
      <c r="BK385" s="1593"/>
      <c r="BL385" s="1593"/>
      <c r="BM385" s="1593"/>
      <c r="BN385" s="1593"/>
      <c r="BO385" s="1593"/>
      <c r="BP385" s="1593"/>
      <c r="BQ385" s="1593"/>
      <c r="BR385" s="1593"/>
      <c r="BS385" s="1593"/>
      <c r="BT385" s="1593"/>
      <c r="BU385" s="1593"/>
      <c r="BV385" s="1593"/>
      <c r="BW385" s="1593"/>
      <c r="BX385" s="1593"/>
      <c r="BY385" s="1593"/>
      <c r="BZ385" s="1593"/>
      <c r="CA385" s="1593"/>
      <c r="CB385" s="1593"/>
      <c r="CC385" s="1593"/>
      <c r="CD385" s="1593"/>
      <c r="CE385" s="1593"/>
      <c r="CF385" s="1593"/>
      <c r="CG385" s="1593"/>
      <c r="CH385" s="1593"/>
      <c r="CI385" s="1593"/>
      <c r="CJ385" s="1593"/>
      <c r="CK385" s="1593"/>
      <c r="CL385" s="1593"/>
      <c r="CM385" s="1593"/>
      <c r="CN385" s="1593"/>
      <c r="CO385" s="1593"/>
      <c r="CP385" s="1593"/>
      <c r="CQ385" s="1593"/>
      <c r="CR385" s="1593"/>
      <c r="CS385" s="1593"/>
      <c r="CT385" s="1593"/>
      <c r="CU385" s="1593"/>
      <c r="CV385" s="1593"/>
      <c r="CW385" s="1593"/>
      <c r="CX385" s="1593"/>
      <c r="CY385" s="1593"/>
      <c r="CZ385" s="1593"/>
      <c r="DA385" s="1593"/>
      <c r="DB385" s="1593"/>
      <c r="DC385" s="1593"/>
      <c r="DD385" s="1593"/>
      <c r="DE385" s="1593"/>
      <c r="DF385" s="1593"/>
      <c r="DG385" s="1593"/>
      <c r="DH385" s="1593"/>
      <c r="DI385" s="1593"/>
      <c r="DJ385" s="1593"/>
      <c r="DK385" s="1593"/>
      <c r="DL385" s="1593"/>
      <c r="DM385" s="1593"/>
      <c r="DN385" s="1593"/>
      <c r="DO385" s="1593"/>
      <c r="DP385" s="1593"/>
      <c r="DQ385" s="1593"/>
      <c r="DR385" s="1593"/>
      <c r="DS385" s="1593"/>
      <c r="DT385" s="1593"/>
      <c r="DU385" s="1593"/>
      <c r="DV385" s="1593"/>
      <c r="DW385" s="1593"/>
      <c r="DX385" s="1593"/>
      <c r="DY385" s="1593"/>
      <c r="DZ385" s="1593"/>
      <c r="EA385" s="1593"/>
      <c r="EB385" s="1593"/>
      <c r="EC385" s="1593"/>
      <c r="ED385" s="1593"/>
      <c r="EE385" s="1593"/>
      <c r="EF385" s="1593"/>
      <c r="EG385" s="1593"/>
      <c r="EH385" s="1593"/>
      <c r="EI385" s="1593"/>
      <c r="EJ385" s="1593"/>
      <c r="EK385" s="1593"/>
      <c r="EL385" s="1593"/>
      <c r="EM385" s="1593"/>
      <c r="EN385" s="1593"/>
      <c r="EO385" s="1593"/>
      <c r="EP385" s="1593"/>
      <c r="EQ385" s="1593"/>
      <c r="ER385" s="1593"/>
      <c r="ES385" s="1593"/>
      <c r="ET385" s="1593"/>
      <c r="EU385" s="1593"/>
      <c r="EV385" s="1593"/>
      <c r="EW385" s="1593"/>
      <c r="EX385" s="1593"/>
      <c r="EY385" s="1593"/>
      <c r="EZ385" s="1593"/>
      <c r="FA385" s="1593"/>
      <c r="FB385" s="1593"/>
      <c r="FC385" s="1593"/>
      <c r="FD385" s="1593"/>
      <c r="FE385" s="1593"/>
      <c r="FF385" s="1593"/>
      <c r="FG385" s="1593"/>
      <c r="FH385" s="1593"/>
      <c r="FI385" s="1593"/>
      <c r="FJ385" s="1593"/>
      <c r="FK385" s="1593"/>
      <c r="FL385" s="1593"/>
      <c r="FM385" s="1593"/>
      <c r="FN385" s="1593"/>
      <c r="FO385" s="1593"/>
      <c r="FP385" s="1593"/>
      <c r="FQ385" s="1593"/>
      <c r="FR385" s="1593"/>
      <c r="FS385" s="1593"/>
      <c r="FT385" s="1593"/>
      <c r="FU385" s="1593"/>
      <c r="FV385" s="1593"/>
      <c r="FW385" s="1593"/>
      <c r="FX385" s="1593"/>
      <c r="FY385" s="1593"/>
      <c r="FZ385" s="1593"/>
      <c r="GA385" s="1593"/>
      <c r="GB385" s="1593"/>
      <c r="GC385" s="1593"/>
      <c r="GD385" s="1593"/>
      <c r="GE385" s="1593"/>
      <c r="GF385" s="1593"/>
      <c r="GG385" s="1593"/>
      <c r="GH385" s="1593"/>
      <c r="GI385" s="1593"/>
      <c r="GJ385" s="1593"/>
      <c r="GK385" s="1593"/>
      <c r="GL385" s="1593"/>
      <c r="GM385" s="1593"/>
      <c r="GN385" s="1593"/>
      <c r="GO385" s="1593"/>
      <c r="GP385" s="1593"/>
      <c r="GQ385" s="1593"/>
      <c r="GR385" s="1593"/>
      <c r="GS385" s="1593"/>
      <c r="GT385" s="1593"/>
      <c r="GU385" s="1593"/>
      <c r="GV385" s="1593"/>
      <c r="GW385" s="1593"/>
      <c r="GX385" s="1593"/>
      <c r="GY385" s="1593"/>
      <c r="GZ385" s="1593"/>
      <c r="HA385" s="1593"/>
      <c r="HB385" s="1593"/>
      <c r="HC385" s="1593"/>
      <c r="HD385" s="1593"/>
      <c r="HE385" s="1593"/>
      <c r="HF385" s="1593"/>
      <c r="HG385" s="1593"/>
      <c r="HH385" s="1593"/>
      <c r="HI385" s="1593"/>
      <c r="HJ385" s="1593"/>
      <c r="HK385" s="1593"/>
      <c r="HL385" s="1593"/>
      <c r="HM385" s="1593"/>
      <c r="HN385" s="1593"/>
      <c r="HO385" s="1593"/>
      <c r="HP385" s="1593"/>
      <c r="HQ385" s="1593"/>
      <c r="HR385" s="1593"/>
      <c r="HS385" s="1593"/>
      <c r="HT385" s="1593"/>
      <c r="HU385" s="1593"/>
      <c r="HV385" s="1593"/>
      <c r="HW385" s="1593"/>
      <c r="HX385" s="1593"/>
      <c r="HY385" s="1593"/>
      <c r="HZ385" s="1593"/>
      <c r="IA385" s="1593"/>
      <c r="IB385" s="1593"/>
      <c r="IC385" s="1593"/>
      <c r="ID385" s="1593"/>
      <c r="IE385" s="1593"/>
      <c r="IF385" s="1593"/>
      <c r="IG385" s="1593"/>
      <c r="IH385" s="1593"/>
      <c r="II385" s="1593"/>
      <c r="IJ385" s="1593"/>
      <c r="IK385" s="1593"/>
      <c r="IL385" s="1593"/>
      <c r="IM385" s="1593"/>
      <c r="IN385" s="1593"/>
      <c r="IO385" s="1593"/>
      <c r="IP385" s="1593"/>
      <c r="IQ385" s="1593"/>
      <c r="IR385" s="1593"/>
      <c r="IS385" s="1593"/>
      <c r="IT385" s="1593"/>
      <c r="IU385" s="1593"/>
      <c r="IV385" s="1593"/>
      <c r="IW385" s="1593"/>
      <c r="IX385" s="1593"/>
      <c r="IY385" s="1593"/>
      <c r="IZ385" s="1593"/>
      <c r="JA385" s="1593"/>
      <c r="JB385" s="1593"/>
      <c r="JC385" s="1593"/>
      <c r="JD385" s="1593"/>
      <c r="JE385" s="1593"/>
      <c r="JF385" s="1593"/>
      <c r="JG385" s="1593"/>
      <c r="JH385" s="1593"/>
      <c r="JI385" s="1593"/>
      <c r="JJ385" s="1593"/>
      <c r="JK385" s="1593"/>
      <c r="JL385" s="1593"/>
      <c r="JM385" s="1593"/>
      <c r="JN385" s="1593"/>
      <c r="JO385" s="1593"/>
      <c r="JP385" s="1593"/>
      <c r="JQ385" s="1593"/>
      <c r="JR385" s="1593"/>
      <c r="JS385" s="1593"/>
      <c r="JT385" s="1593"/>
      <c r="JU385" s="1593"/>
      <c r="JV385" s="1593"/>
      <c r="JW385" s="1593"/>
      <c r="JX385" s="1593"/>
      <c r="JY385" s="1593"/>
      <c r="JZ385" s="1593"/>
      <c r="KA385" s="1593"/>
      <c r="KB385" s="1598"/>
    </row>
    <row r="386" spans="2:288" ht="15" customHeight="1" x14ac:dyDescent="0.25">
      <c r="B386" s="216" t="str">
        <f t="shared" si="30"/>
        <v>Desk 67</v>
      </c>
      <c r="C386" s="218" t="str">
        <v/>
      </c>
      <c r="D386" s="218" t="str">
        <v/>
      </c>
      <c r="E386" s="218" t="str">
        <v/>
      </c>
      <c r="F386" s="218" t="str">
        <v/>
      </c>
      <c r="G386" s="402" t="str">
        <v/>
      </c>
      <c r="H386" s="1593"/>
      <c r="I386" s="1593"/>
      <c r="J386" s="1593"/>
      <c r="K386" s="1593"/>
      <c r="L386" s="1593"/>
      <c r="M386" s="1593"/>
      <c r="N386" s="1593"/>
      <c r="O386" s="1593"/>
      <c r="P386" s="1593"/>
      <c r="Q386" s="1593"/>
      <c r="R386" s="1593"/>
      <c r="S386" s="1593"/>
      <c r="T386" s="1593"/>
      <c r="U386" s="1593"/>
      <c r="V386" s="1593"/>
      <c r="W386" s="1593"/>
      <c r="X386" s="1593"/>
      <c r="Y386" s="1593"/>
      <c r="Z386" s="1593"/>
      <c r="AA386" s="1593"/>
      <c r="AB386" s="1593"/>
      <c r="AC386" s="1593"/>
      <c r="AD386" s="1593"/>
      <c r="AE386" s="1593"/>
      <c r="AF386" s="1593"/>
      <c r="AG386" s="1593"/>
      <c r="AH386" s="1593"/>
      <c r="AI386" s="1593"/>
      <c r="AJ386" s="1593"/>
      <c r="AK386" s="1593"/>
      <c r="AL386" s="1593"/>
      <c r="AM386" s="1593"/>
      <c r="AN386" s="1593"/>
      <c r="AO386" s="1593"/>
      <c r="AP386" s="1593"/>
      <c r="AQ386" s="1593"/>
      <c r="AR386" s="1593"/>
      <c r="AS386" s="1593"/>
      <c r="AT386" s="1593"/>
      <c r="AU386" s="1593"/>
      <c r="AV386" s="1593"/>
      <c r="AW386" s="1593"/>
      <c r="AX386" s="1593"/>
      <c r="AY386" s="1593"/>
      <c r="AZ386" s="1593"/>
      <c r="BA386" s="1593"/>
      <c r="BB386" s="1593"/>
      <c r="BC386" s="1593"/>
      <c r="BD386" s="1593"/>
      <c r="BE386" s="1593"/>
      <c r="BF386" s="1593"/>
      <c r="BG386" s="1593"/>
      <c r="BH386" s="1593"/>
      <c r="BI386" s="1593"/>
      <c r="BJ386" s="1593"/>
      <c r="BK386" s="1593"/>
      <c r="BL386" s="1593"/>
      <c r="BM386" s="1593"/>
      <c r="BN386" s="1593"/>
      <c r="BO386" s="1593"/>
      <c r="BP386" s="1593"/>
      <c r="BQ386" s="1593"/>
      <c r="BR386" s="1593"/>
      <c r="BS386" s="1593"/>
      <c r="BT386" s="1593"/>
      <c r="BU386" s="1593"/>
      <c r="BV386" s="1593"/>
      <c r="BW386" s="1593"/>
      <c r="BX386" s="1593"/>
      <c r="BY386" s="1593"/>
      <c r="BZ386" s="1593"/>
      <c r="CA386" s="1593"/>
      <c r="CB386" s="1593"/>
      <c r="CC386" s="1593"/>
      <c r="CD386" s="1593"/>
      <c r="CE386" s="1593"/>
      <c r="CF386" s="1593"/>
      <c r="CG386" s="1593"/>
      <c r="CH386" s="1593"/>
      <c r="CI386" s="1593"/>
      <c r="CJ386" s="1593"/>
      <c r="CK386" s="1593"/>
      <c r="CL386" s="1593"/>
      <c r="CM386" s="1593"/>
      <c r="CN386" s="1593"/>
      <c r="CO386" s="1593"/>
      <c r="CP386" s="1593"/>
      <c r="CQ386" s="1593"/>
      <c r="CR386" s="1593"/>
      <c r="CS386" s="1593"/>
      <c r="CT386" s="1593"/>
      <c r="CU386" s="1593"/>
      <c r="CV386" s="1593"/>
      <c r="CW386" s="1593"/>
      <c r="CX386" s="1593"/>
      <c r="CY386" s="1593"/>
      <c r="CZ386" s="1593"/>
      <c r="DA386" s="1593"/>
      <c r="DB386" s="1593"/>
      <c r="DC386" s="1593"/>
      <c r="DD386" s="1593"/>
      <c r="DE386" s="1593"/>
      <c r="DF386" s="1593"/>
      <c r="DG386" s="1593"/>
      <c r="DH386" s="1593"/>
      <c r="DI386" s="1593"/>
      <c r="DJ386" s="1593"/>
      <c r="DK386" s="1593"/>
      <c r="DL386" s="1593"/>
      <c r="DM386" s="1593"/>
      <c r="DN386" s="1593"/>
      <c r="DO386" s="1593"/>
      <c r="DP386" s="1593"/>
      <c r="DQ386" s="1593"/>
      <c r="DR386" s="1593"/>
      <c r="DS386" s="1593"/>
      <c r="DT386" s="1593"/>
      <c r="DU386" s="1593"/>
      <c r="DV386" s="1593"/>
      <c r="DW386" s="1593"/>
      <c r="DX386" s="1593"/>
      <c r="DY386" s="1593"/>
      <c r="DZ386" s="1593"/>
      <c r="EA386" s="1593"/>
      <c r="EB386" s="1593"/>
      <c r="EC386" s="1593"/>
      <c r="ED386" s="1593"/>
      <c r="EE386" s="1593"/>
      <c r="EF386" s="1593"/>
      <c r="EG386" s="1593"/>
      <c r="EH386" s="1593"/>
      <c r="EI386" s="1593"/>
      <c r="EJ386" s="1593"/>
      <c r="EK386" s="1593"/>
      <c r="EL386" s="1593"/>
      <c r="EM386" s="1593"/>
      <c r="EN386" s="1593"/>
      <c r="EO386" s="1593"/>
      <c r="EP386" s="1593"/>
      <c r="EQ386" s="1593"/>
      <c r="ER386" s="1593"/>
      <c r="ES386" s="1593"/>
      <c r="ET386" s="1593"/>
      <c r="EU386" s="1593"/>
      <c r="EV386" s="1593"/>
      <c r="EW386" s="1593"/>
      <c r="EX386" s="1593"/>
      <c r="EY386" s="1593"/>
      <c r="EZ386" s="1593"/>
      <c r="FA386" s="1593"/>
      <c r="FB386" s="1593"/>
      <c r="FC386" s="1593"/>
      <c r="FD386" s="1593"/>
      <c r="FE386" s="1593"/>
      <c r="FF386" s="1593"/>
      <c r="FG386" s="1593"/>
      <c r="FH386" s="1593"/>
      <c r="FI386" s="1593"/>
      <c r="FJ386" s="1593"/>
      <c r="FK386" s="1593"/>
      <c r="FL386" s="1593"/>
      <c r="FM386" s="1593"/>
      <c r="FN386" s="1593"/>
      <c r="FO386" s="1593"/>
      <c r="FP386" s="1593"/>
      <c r="FQ386" s="1593"/>
      <c r="FR386" s="1593"/>
      <c r="FS386" s="1593"/>
      <c r="FT386" s="1593"/>
      <c r="FU386" s="1593"/>
      <c r="FV386" s="1593"/>
      <c r="FW386" s="1593"/>
      <c r="FX386" s="1593"/>
      <c r="FY386" s="1593"/>
      <c r="FZ386" s="1593"/>
      <c r="GA386" s="1593"/>
      <c r="GB386" s="1593"/>
      <c r="GC386" s="1593"/>
      <c r="GD386" s="1593"/>
      <c r="GE386" s="1593"/>
      <c r="GF386" s="1593"/>
      <c r="GG386" s="1593"/>
      <c r="GH386" s="1593"/>
      <c r="GI386" s="1593"/>
      <c r="GJ386" s="1593"/>
      <c r="GK386" s="1593"/>
      <c r="GL386" s="1593"/>
      <c r="GM386" s="1593"/>
      <c r="GN386" s="1593"/>
      <c r="GO386" s="1593"/>
      <c r="GP386" s="1593"/>
      <c r="GQ386" s="1593"/>
      <c r="GR386" s="1593"/>
      <c r="GS386" s="1593"/>
      <c r="GT386" s="1593"/>
      <c r="GU386" s="1593"/>
      <c r="GV386" s="1593"/>
      <c r="GW386" s="1593"/>
      <c r="GX386" s="1593"/>
      <c r="GY386" s="1593"/>
      <c r="GZ386" s="1593"/>
      <c r="HA386" s="1593"/>
      <c r="HB386" s="1593"/>
      <c r="HC386" s="1593"/>
      <c r="HD386" s="1593"/>
      <c r="HE386" s="1593"/>
      <c r="HF386" s="1593"/>
      <c r="HG386" s="1593"/>
      <c r="HH386" s="1593"/>
      <c r="HI386" s="1593"/>
      <c r="HJ386" s="1593"/>
      <c r="HK386" s="1593"/>
      <c r="HL386" s="1593"/>
      <c r="HM386" s="1593"/>
      <c r="HN386" s="1593"/>
      <c r="HO386" s="1593"/>
      <c r="HP386" s="1593"/>
      <c r="HQ386" s="1593"/>
      <c r="HR386" s="1593"/>
      <c r="HS386" s="1593"/>
      <c r="HT386" s="1593"/>
      <c r="HU386" s="1593"/>
      <c r="HV386" s="1593"/>
      <c r="HW386" s="1593"/>
      <c r="HX386" s="1593"/>
      <c r="HY386" s="1593"/>
      <c r="HZ386" s="1593"/>
      <c r="IA386" s="1593"/>
      <c r="IB386" s="1593"/>
      <c r="IC386" s="1593"/>
      <c r="ID386" s="1593"/>
      <c r="IE386" s="1593"/>
      <c r="IF386" s="1593"/>
      <c r="IG386" s="1593"/>
      <c r="IH386" s="1593"/>
      <c r="II386" s="1593"/>
      <c r="IJ386" s="1593"/>
      <c r="IK386" s="1593"/>
      <c r="IL386" s="1593"/>
      <c r="IM386" s="1593"/>
      <c r="IN386" s="1593"/>
      <c r="IO386" s="1593"/>
      <c r="IP386" s="1593"/>
      <c r="IQ386" s="1593"/>
      <c r="IR386" s="1593"/>
      <c r="IS386" s="1593"/>
      <c r="IT386" s="1593"/>
      <c r="IU386" s="1593"/>
      <c r="IV386" s="1593"/>
      <c r="IW386" s="1593"/>
      <c r="IX386" s="1593"/>
      <c r="IY386" s="1593"/>
      <c r="IZ386" s="1593"/>
      <c r="JA386" s="1593"/>
      <c r="JB386" s="1593"/>
      <c r="JC386" s="1593"/>
      <c r="JD386" s="1593"/>
      <c r="JE386" s="1593"/>
      <c r="JF386" s="1593"/>
      <c r="JG386" s="1593"/>
      <c r="JH386" s="1593"/>
      <c r="JI386" s="1593"/>
      <c r="JJ386" s="1593"/>
      <c r="JK386" s="1593"/>
      <c r="JL386" s="1593"/>
      <c r="JM386" s="1593"/>
      <c r="JN386" s="1593"/>
      <c r="JO386" s="1593"/>
      <c r="JP386" s="1593"/>
      <c r="JQ386" s="1593"/>
      <c r="JR386" s="1593"/>
      <c r="JS386" s="1593"/>
      <c r="JT386" s="1593"/>
      <c r="JU386" s="1593"/>
      <c r="JV386" s="1593"/>
      <c r="JW386" s="1593"/>
      <c r="JX386" s="1593"/>
      <c r="JY386" s="1593"/>
      <c r="JZ386" s="1593"/>
      <c r="KA386" s="1593"/>
      <c r="KB386" s="1598"/>
    </row>
    <row r="387" spans="2:288" ht="15" customHeight="1" x14ac:dyDescent="0.25">
      <c r="B387" s="216" t="str">
        <f t="shared" si="30"/>
        <v>Desk 68</v>
      </c>
      <c r="C387" s="218" t="str">
        <v/>
      </c>
      <c r="D387" s="218" t="str">
        <v/>
      </c>
      <c r="E387" s="218" t="str">
        <v/>
      </c>
      <c r="F387" s="218" t="str">
        <v/>
      </c>
      <c r="G387" s="402" t="str">
        <v/>
      </c>
      <c r="H387" s="1593"/>
      <c r="I387" s="1593"/>
      <c r="J387" s="1593"/>
      <c r="K387" s="1593"/>
      <c r="L387" s="1593"/>
      <c r="M387" s="1593"/>
      <c r="N387" s="1593"/>
      <c r="O387" s="1593"/>
      <c r="P387" s="1593"/>
      <c r="Q387" s="1593"/>
      <c r="R387" s="1593"/>
      <c r="S387" s="1593"/>
      <c r="T387" s="1593"/>
      <c r="U387" s="1593"/>
      <c r="V387" s="1593"/>
      <c r="W387" s="1593"/>
      <c r="X387" s="1593"/>
      <c r="Y387" s="1593"/>
      <c r="Z387" s="1593"/>
      <c r="AA387" s="1593"/>
      <c r="AB387" s="1593"/>
      <c r="AC387" s="1593"/>
      <c r="AD387" s="1593"/>
      <c r="AE387" s="1593"/>
      <c r="AF387" s="1593"/>
      <c r="AG387" s="1593"/>
      <c r="AH387" s="1593"/>
      <c r="AI387" s="1593"/>
      <c r="AJ387" s="1593"/>
      <c r="AK387" s="1593"/>
      <c r="AL387" s="1593"/>
      <c r="AM387" s="1593"/>
      <c r="AN387" s="1593"/>
      <c r="AO387" s="1593"/>
      <c r="AP387" s="1593"/>
      <c r="AQ387" s="1593"/>
      <c r="AR387" s="1593"/>
      <c r="AS387" s="1593"/>
      <c r="AT387" s="1593"/>
      <c r="AU387" s="1593"/>
      <c r="AV387" s="1593"/>
      <c r="AW387" s="1593"/>
      <c r="AX387" s="1593"/>
      <c r="AY387" s="1593"/>
      <c r="AZ387" s="1593"/>
      <c r="BA387" s="1593"/>
      <c r="BB387" s="1593"/>
      <c r="BC387" s="1593"/>
      <c r="BD387" s="1593"/>
      <c r="BE387" s="1593"/>
      <c r="BF387" s="1593"/>
      <c r="BG387" s="1593"/>
      <c r="BH387" s="1593"/>
      <c r="BI387" s="1593"/>
      <c r="BJ387" s="1593"/>
      <c r="BK387" s="1593"/>
      <c r="BL387" s="1593"/>
      <c r="BM387" s="1593"/>
      <c r="BN387" s="1593"/>
      <c r="BO387" s="1593"/>
      <c r="BP387" s="1593"/>
      <c r="BQ387" s="1593"/>
      <c r="BR387" s="1593"/>
      <c r="BS387" s="1593"/>
      <c r="BT387" s="1593"/>
      <c r="BU387" s="1593"/>
      <c r="BV387" s="1593"/>
      <c r="BW387" s="1593"/>
      <c r="BX387" s="1593"/>
      <c r="BY387" s="1593"/>
      <c r="BZ387" s="1593"/>
      <c r="CA387" s="1593"/>
      <c r="CB387" s="1593"/>
      <c r="CC387" s="1593"/>
      <c r="CD387" s="1593"/>
      <c r="CE387" s="1593"/>
      <c r="CF387" s="1593"/>
      <c r="CG387" s="1593"/>
      <c r="CH387" s="1593"/>
      <c r="CI387" s="1593"/>
      <c r="CJ387" s="1593"/>
      <c r="CK387" s="1593"/>
      <c r="CL387" s="1593"/>
      <c r="CM387" s="1593"/>
      <c r="CN387" s="1593"/>
      <c r="CO387" s="1593"/>
      <c r="CP387" s="1593"/>
      <c r="CQ387" s="1593"/>
      <c r="CR387" s="1593"/>
      <c r="CS387" s="1593"/>
      <c r="CT387" s="1593"/>
      <c r="CU387" s="1593"/>
      <c r="CV387" s="1593"/>
      <c r="CW387" s="1593"/>
      <c r="CX387" s="1593"/>
      <c r="CY387" s="1593"/>
      <c r="CZ387" s="1593"/>
      <c r="DA387" s="1593"/>
      <c r="DB387" s="1593"/>
      <c r="DC387" s="1593"/>
      <c r="DD387" s="1593"/>
      <c r="DE387" s="1593"/>
      <c r="DF387" s="1593"/>
      <c r="DG387" s="1593"/>
      <c r="DH387" s="1593"/>
      <c r="DI387" s="1593"/>
      <c r="DJ387" s="1593"/>
      <c r="DK387" s="1593"/>
      <c r="DL387" s="1593"/>
      <c r="DM387" s="1593"/>
      <c r="DN387" s="1593"/>
      <c r="DO387" s="1593"/>
      <c r="DP387" s="1593"/>
      <c r="DQ387" s="1593"/>
      <c r="DR387" s="1593"/>
      <c r="DS387" s="1593"/>
      <c r="DT387" s="1593"/>
      <c r="DU387" s="1593"/>
      <c r="DV387" s="1593"/>
      <c r="DW387" s="1593"/>
      <c r="DX387" s="1593"/>
      <c r="DY387" s="1593"/>
      <c r="DZ387" s="1593"/>
      <c r="EA387" s="1593"/>
      <c r="EB387" s="1593"/>
      <c r="EC387" s="1593"/>
      <c r="ED387" s="1593"/>
      <c r="EE387" s="1593"/>
      <c r="EF387" s="1593"/>
      <c r="EG387" s="1593"/>
      <c r="EH387" s="1593"/>
      <c r="EI387" s="1593"/>
      <c r="EJ387" s="1593"/>
      <c r="EK387" s="1593"/>
      <c r="EL387" s="1593"/>
      <c r="EM387" s="1593"/>
      <c r="EN387" s="1593"/>
      <c r="EO387" s="1593"/>
      <c r="EP387" s="1593"/>
      <c r="EQ387" s="1593"/>
      <c r="ER387" s="1593"/>
      <c r="ES387" s="1593"/>
      <c r="ET387" s="1593"/>
      <c r="EU387" s="1593"/>
      <c r="EV387" s="1593"/>
      <c r="EW387" s="1593"/>
      <c r="EX387" s="1593"/>
      <c r="EY387" s="1593"/>
      <c r="EZ387" s="1593"/>
      <c r="FA387" s="1593"/>
      <c r="FB387" s="1593"/>
      <c r="FC387" s="1593"/>
      <c r="FD387" s="1593"/>
      <c r="FE387" s="1593"/>
      <c r="FF387" s="1593"/>
      <c r="FG387" s="1593"/>
      <c r="FH387" s="1593"/>
      <c r="FI387" s="1593"/>
      <c r="FJ387" s="1593"/>
      <c r="FK387" s="1593"/>
      <c r="FL387" s="1593"/>
      <c r="FM387" s="1593"/>
      <c r="FN387" s="1593"/>
      <c r="FO387" s="1593"/>
      <c r="FP387" s="1593"/>
      <c r="FQ387" s="1593"/>
      <c r="FR387" s="1593"/>
      <c r="FS387" s="1593"/>
      <c r="FT387" s="1593"/>
      <c r="FU387" s="1593"/>
      <c r="FV387" s="1593"/>
      <c r="FW387" s="1593"/>
      <c r="FX387" s="1593"/>
      <c r="FY387" s="1593"/>
      <c r="FZ387" s="1593"/>
      <c r="GA387" s="1593"/>
      <c r="GB387" s="1593"/>
      <c r="GC387" s="1593"/>
      <c r="GD387" s="1593"/>
      <c r="GE387" s="1593"/>
      <c r="GF387" s="1593"/>
      <c r="GG387" s="1593"/>
      <c r="GH387" s="1593"/>
      <c r="GI387" s="1593"/>
      <c r="GJ387" s="1593"/>
      <c r="GK387" s="1593"/>
      <c r="GL387" s="1593"/>
      <c r="GM387" s="1593"/>
      <c r="GN387" s="1593"/>
      <c r="GO387" s="1593"/>
      <c r="GP387" s="1593"/>
      <c r="GQ387" s="1593"/>
      <c r="GR387" s="1593"/>
      <c r="GS387" s="1593"/>
      <c r="GT387" s="1593"/>
      <c r="GU387" s="1593"/>
      <c r="GV387" s="1593"/>
      <c r="GW387" s="1593"/>
      <c r="GX387" s="1593"/>
      <c r="GY387" s="1593"/>
      <c r="GZ387" s="1593"/>
      <c r="HA387" s="1593"/>
      <c r="HB387" s="1593"/>
      <c r="HC387" s="1593"/>
      <c r="HD387" s="1593"/>
      <c r="HE387" s="1593"/>
      <c r="HF387" s="1593"/>
      <c r="HG387" s="1593"/>
      <c r="HH387" s="1593"/>
      <c r="HI387" s="1593"/>
      <c r="HJ387" s="1593"/>
      <c r="HK387" s="1593"/>
      <c r="HL387" s="1593"/>
      <c r="HM387" s="1593"/>
      <c r="HN387" s="1593"/>
      <c r="HO387" s="1593"/>
      <c r="HP387" s="1593"/>
      <c r="HQ387" s="1593"/>
      <c r="HR387" s="1593"/>
      <c r="HS387" s="1593"/>
      <c r="HT387" s="1593"/>
      <c r="HU387" s="1593"/>
      <c r="HV387" s="1593"/>
      <c r="HW387" s="1593"/>
      <c r="HX387" s="1593"/>
      <c r="HY387" s="1593"/>
      <c r="HZ387" s="1593"/>
      <c r="IA387" s="1593"/>
      <c r="IB387" s="1593"/>
      <c r="IC387" s="1593"/>
      <c r="ID387" s="1593"/>
      <c r="IE387" s="1593"/>
      <c r="IF387" s="1593"/>
      <c r="IG387" s="1593"/>
      <c r="IH387" s="1593"/>
      <c r="II387" s="1593"/>
      <c r="IJ387" s="1593"/>
      <c r="IK387" s="1593"/>
      <c r="IL387" s="1593"/>
      <c r="IM387" s="1593"/>
      <c r="IN387" s="1593"/>
      <c r="IO387" s="1593"/>
      <c r="IP387" s="1593"/>
      <c r="IQ387" s="1593"/>
      <c r="IR387" s="1593"/>
      <c r="IS387" s="1593"/>
      <c r="IT387" s="1593"/>
      <c r="IU387" s="1593"/>
      <c r="IV387" s="1593"/>
      <c r="IW387" s="1593"/>
      <c r="IX387" s="1593"/>
      <c r="IY387" s="1593"/>
      <c r="IZ387" s="1593"/>
      <c r="JA387" s="1593"/>
      <c r="JB387" s="1593"/>
      <c r="JC387" s="1593"/>
      <c r="JD387" s="1593"/>
      <c r="JE387" s="1593"/>
      <c r="JF387" s="1593"/>
      <c r="JG387" s="1593"/>
      <c r="JH387" s="1593"/>
      <c r="JI387" s="1593"/>
      <c r="JJ387" s="1593"/>
      <c r="JK387" s="1593"/>
      <c r="JL387" s="1593"/>
      <c r="JM387" s="1593"/>
      <c r="JN387" s="1593"/>
      <c r="JO387" s="1593"/>
      <c r="JP387" s="1593"/>
      <c r="JQ387" s="1593"/>
      <c r="JR387" s="1593"/>
      <c r="JS387" s="1593"/>
      <c r="JT387" s="1593"/>
      <c r="JU387" s="1593"/>
      <c r="JV387" s="1593"/>
      <c r="JW387" s="1593"/>
      <c r="JX387" s="1593"/>
      <c r="JY387" s="1593"/>
      <c r="JZ387" s="1593"/>
      <c r="KA387" s="1593"/>
      <c r="KB387" s="1598"/>
    </row>
    <row r="388" spans="2:288" ht="15" customHeight="1" x14ac:dyDescent="0.25">
      <c r="B388" s="216" t="str">
        <f t="shared" si="30"/>
        <v>Desk 69</v>
      </c>
      <c r="C388" s="218" t="str">
        <v/>
      </c>
      <c r="D388" s="218" t="str">
        <v/>
      </c>
      <c r="E388" s="218" t="str">
        <v/>
      </c>
      <c r="F388" s="218" t="str">
        <v/>
      </c>
      <c r="G388" s="402" t="str">
        <v/>
      </c>
      <c r="H388" s="1593"/>
      <c r="I388" s="1593"/>
      <c r="J388" s="1593"/>
      <c r="K388" s="1593"/>
      <c r="L388" s="1593"/>
      <c r="M388" s="1593"/>
      <c r="N388" s="1593"/>
      <c r="O388" s="1593"/>
      <c r="P388" s="1593"/>
      <c r="Q388" s="1593"/>
      <c r="R388" s="1593"/>
      <c r="S388" s="1593"/>
      <c r="T388" s="1593"/>
      <c r="U388" s="1593"/>
      <c r="V388" s="1593"/>
      <c r="W388" s="1593"/>
      <c r="X388" s="1593"/>
      <c r="Y388" s="1593"/>
      <c r="Z388" s="1593"/>
      <c r="AA388" s="1593"/>
      <c r="AB388" s="1593"/>
      <c r="AC388" s="1593"/>
      <c r="AD388" s="1593"/>
      <c r="AE388" s="1593"/>
      <c r="AF388" s="1593"/>
      <c r="AG388" s="1593"/>
      <c r="AH388" s="1593"/>
      <c r="AI388" s="1593"/>
      <c r="AJ388" s="1593"/>
      <c r="AK388" s="1593"/>
      <c r="AL388" s="1593"/>
      <c r="AM388" s="1593"/>
      <c r="AN388" s="1593"/>
      <c r="AO388" s="1593"/>
      <c r="AP388" s="1593"/>
      <c r="AQ388" s="1593"/>
      <c r="AR388" s="1593"/>
      <c r="AS388" s="1593"/>
      <c r="AT388" s="1593"/>
      <c r="AU388" s="1593"/>
      <c r="AV388" s="1593"/>
      <c r="AW388" s="1593"/>
      <c r="AX388" s="1593"/>
      <c r="AY388" s="1593"/>
      <c r="AZ388" s="1593"/>
      <c r="BA388" s="1593"/>
      <c r="BB388" s="1593"/>
      <c r="BC388" s="1593"/>
      <c r="BD388" s="1593"/>
      <c r="BE388" s="1593"/>
      <c r="BF388" s="1593"/>
      <c r="BG388" s="1593"/>
      <c r="BH388" s="1593"/>
      <c r="BI388" s="1593"/>
      <c r="BJ388" s="1593"/>
      <c r="BK388" s="1593"/>
      <c r="BL388" s="1593"/>
      <c r="BM388" s="1593"/>
      <c r="BN388" s="1593"/>
      <c r="BO388" s="1593"/>
      <c r="BP388" s="1593"/>
      <c r="BQ388" s="1593"/>
      <c r="BR388" s="1593"/>
      <c r="BS388" s="1593"/>
      <c r="BT388" s="1593"/>
      <c r="BU388" s="1593"/>
      <c r="BV388" s="1593"/>
      <c r="BW388" s="1593"/>
      <c r="BX388" s="1593"/>
      <c r="BY388" s="1593"/>
      <c r="BZ388" s="1593"/>
      <c r="CA388" s="1593"/>
      <c r="CB388" s="1593"/>
      <c r="CC388" s="1593"/>
      <c r="CD388" s="1593"/>
      <c r="CE388" s="1593"/>
      <c r="CF388" s="1593"/>
      <c r="CG388" s="1593"/>
      <c r="CH388" s="1593"/>
      <c r="CI388" s="1593"/>
      <c r="CJ388" s="1593"/>
      <c r="CK388" s="1593"/>
      <c r="CL388" s="1593"/>
      <c r="CM388" s="1593"/>
      <c r="CN388" s="1593"/>
      <c r="CO388" s="1593"/>
      <c r="CP388" s="1593"/>
      <c r="CQ388" s="1593"/>
      <c r="CR388" s="1593"/>
      <c r="CS388" s="1593"/>
      <c r="CT388" s="1593"/>
      <c r="CU388" s="1593"/>
      <c r="CV388" s="1593"/>
      <c r="CW388" s="1593"/>
      <c r="CX388" s="1593"/>
      <c r="CY388" s="1593"/>
      <c r="CZ388" s="1593"/>
      <c r="DA388" s="1593"/>
      <c r="DB388" s="1593"/>
      <c r="DC388" s="1593"/>
      <c r="DD388" s="1593"/>
      <c r="DE388" s="1593"/>
      <c r="DF388" s="1593"/>
      <c r="DG388" s="1593"/>
      <c r="DH388" s="1593"/>
      <c r="DI388" s="1593"/>
      <c r="DJ388" s="1593"/>
      <c r="DK388" s="1593"/>
      <c r="DL388" s="1593"/>
      <c r="DM388" s="1593"/>
      <c r="DN388" s="1593"/>
      <c r="DO388" s="1593"/>
      <c r="DP388" s="1593"/>
      <c r="DQ388" s="1593"/>
      <c r="DR388" s="1593"/>
      <c r="DS388" s="1593"/>
      <c r="DT388" s="1593"/>
      <c r="DU388" s="1593"/>
      <c r="DV388" s="1593"/>
      <c r="DW388" s="1593"/>
      <c r="DX388" s="1593"/>
      <c r="DY388" s="1593"/>
      <c r="DZ388" s="1593"/>
      <c r="EA388" s="1593"/>
      <c r="EB388" s="1593"/>
      <c r="EC388" s="1593"/>
      <c r="ED388" s="1593"/>
      <c r="EE388" s="1593"/>
      <c r="EF388" s="1593"/>
      <c r="EG388" s="1593"/>
      <c r="EH388" s="1593"/>
      <c r="EI388" s="1593"/>
      <c r="EJ388" s="1593"/>
      <c r="EK388" s="1593"/>
      <c r="EL388" s="1593"/>
      <c r="EM388" s="1593"/>
      <c r="EN388" s="1593"/>
      <c r="EO388" s="1593"/>
      <c r="EP388" s="1593"/>
      <c r="EQ388" s="1593"/>
      <c r="ER388" s="1593"/>
      <c r="ES388" s="1593"/>
      <c r="ET388" s="1593"/>
      <c r="EU388" s="1593"/>
      <c r="EV388" s="1593"/>
      <c r="EW388" s="1593"/>
      <c r="EX388" s="1593"/>
      <c r="EY388" s="1593"/>
      <c r="EZ388" s="1593"/>
      <c r="FA388" s="1593"/>
      <c r="FB388" s="1593"/>
      <c r="FC388" s="1593"/>
      <c r="FD388" s="1593"/>
      <c r="FE388" s="1593"/>
      <c r="FF388" s="1593"/>
      <c r="FG388" s="1593"/>
      <c r="FH388" s="1593"/>
      <c r="FI388" s="1593"/>
      <c r="FJ388" s="1593"/>
      <c r="FK388" s="1593"/>
      <c r="FL388" s="1593"/>
      <c r="FM388" s="1593"/>
      <c r="FN388" s="1593"/>
      <c r="FO388" s="1593"/>
      <c r="FP388" s="1593"/>
      <c r="FQ388" s="1593"/>
      <c r="FR388" s="1593"/>
      <c r="FS388" s="1593"/>
      <c r="FT388" s="1593"/>
      <c r="FU388" s="1593"/>
      <c r="FV388" s="1593"/>
      <c r="FW388" s="1593"/>
      <c r="FX388" s="1593"/>
      <c r="FY388" s="1593"/>
      <c r="FZ388" s="1593"/>
      <c r="GA388" s="1593"/>
      <c r="GB388" s="1593"/>
      <c r="GC388" s="1593"/>
      <c r="GD388" s="1593"/>
      <c r="GE388" s="1593"/>
      <c r="GF388" s="1593"/>
      <c r="GG388" s="1593"/>
      <c r="GH388" s="1593"/>
      <c r="GI388" s="1593"/>
      <c r="GJ388" s="1593"/>
      <c r="GK388" s="1593"/>
      <c r="GL388" s="1593"/>
      <c r="GM388" s="1593"/>
      <c r="GN388" s="1593"/>
      <c r="GO388" s="1593"/>
      <c r="GP388" s="1593"/>
      <c r="GQ388" s="1593"/>
      <c r="GR388" s="1593"/>
      <c r="GS388" s="1593"/>
      <c r="GT388" s="1593"/>
      <c r="GU388" s="1593"/>
      <c r="GV388" s="1593"/>
      <c r="GW388" s="1593"/>
      <c r="GX388" s="1593"/>
      <c r="GY388" s="1593"/>
      <c r="GZ388" s="1593"/>
      <c r="HA388" s="1593"/>
      <c r="HB388" s="1593"/>
      <c r="HC388" s="1593"/>
      <c r="HD388" s="1593"/>
      <c r="HE388" s="1593"/>
      <c r="HF388" s="1593"/>
      <c r="HG388" s="1593"/>
      <c r="HH388" s="1593"/>
      <c r="HI388" s="1593"/>
      <c r="HJ388" s="1593"/>
      <c r="HK388" s="1593"/>
      <c r="HL388" s="1593"/>
      <c r="HM388" s="1593"/>
      <c r="HN388" s="1593"/>
      <c r="HO388" s="1593"/>
      <c r="HP388" s="1593"/>
      <c r="HQ388" s="1593"/>
      <c r="HR388" s="1593"/>
      <c r="HS388" s="1593"/>
      <c r="HT388" s="1593"/>
      <c r="HU388" s="1593"/>
      <c r="HV388" s="1593"/>
      <c r="HW388" s="1593"/>
      <c r="HX388" s="1593"/>
      <c r="HY388" s="1593"/>
      <c r="HZ388" s="1593"/>
      <c r="IA388" s="1593"/>
      <c r="IB388" s="1593"/>
      <c r="IC388" s="1593"/>
      <c r="ID388" s="1593"/>
      <c r="IE388" s="1593"/>
      <c r="IF388" s="1593"/>
      <c r="IG388" s="1593"/>
      <c r="IH388" s="1593"/>
      <c r="II388" s="1593"/>
      <c r="IJ388" s="1593"/>
      <c r="IK388" s="1593"/>
      <c r="IL388" s="1593"/>
      <c r="IM388" s="1593"/>
      <c r="IN388" s="1593"/>
      <c r="IO388" s="1593"/>
      <c r="IP388" s="1593"/>
      <c r="IQ388" s="1593"/>
      <c r="IR388" s="1593"/>
      <c r="IS388" s="1593"/>
      <c r="IT388" s="1593"/>
      <c r="IU388" s="1593"/>
      <c r="IV388" s="1593"/>
      <c r="IW388" s="1593"/>
      <c r="IX388" s="1593"/>
      <c r="IY388" s="1593"/>
      <c r="IZ388" s="1593"/>
      <c r="JA388" s="1593"/>
      <c r="JB388" s="1593"/>
      <c r="JC388" s="1593"/>
      <c r="JD388" s="1593"/>
      <c r="JE388" s="1593"/>
      <c r="JF388" s="1593"/>
      <c r="JG388" s="1593"/>
      <c r="JH388" s="1593"/>
      <c r="JI388" s="1593"/>
      <c r="JJ388" s="1593"/>
      <c r="JK388" s="1593"/>
      <c r="JL388" s="1593"/>
      <c r="JM388" s="1593"/>
      <c r="JN388" s="1593"/>
      <c r="JO388" s="1593"/>
      <c r="JP388" s="1593"/>
      <c r="JQ388" s="1593"/>
      <c r="JR388" s="1593"/>
      <c r="JS388" s="1593"/>
      <c r="JT388" s="1593"/>
      <c r="JU388" s="1593"/>
      <c r="JV388" s="1593"/>
      <c r="JW388" s="1593"/>
      <c r="JX388" s="1593"/>
      <c r="JY388" s="1593"/>
      <c r="JZ388" s="1593"/>
      <c r="KA388" s="1593"/>
      <c r="KB388" s="1598"/>
    </row>
    <row r="389" spans="2:288" ht="15" customHeight="1" x14ac:dyDescent="0.25">
      <c r="B389" s="216" t="str">
        <f t="shared" si="30"/>
        <v>Desk 70</v>
      </c>
      <c r="C389" s="218" t="str">
        <v/>
      </c>
      <c r="D389" s="218" t="str">
        <v/>
      </c>
      <c r="E389" s="218" t="str">
        <v/>
      </c>
      <c r="F389" s="218" t="str">
        <v/>
      </c>
      <c r="G389" s="402" t="str">
        <v/>
      </c>
      <c r="H389" s="1593"/>
      <c r="I389" s="1593"/>
      <c r="J389" s="1593"/>
      <c r="K389" s="1593"/>
      <c r="L389" s="1593"/>
      <c r="M389" s="1593"/>
      <c r="N389" s="1593"/>
      <c r="O389" s="1593"/>
      <c r="P389" s="1593"/>
      <c r="Q389" s="1593"/>
      <c r="R389" s="1593"/>
      <c r="S389" s="1593"/>
      <c r="T389" s="1593"/>
      <c r="U389" s="1593"/>
      <c r="V389" s="1593"/>
      <c r="W389" s="1593"/>
      <c r="X389" s="1593"/>
      <c r="Y389" s="1593"/>
      <c r="Z389" s="1593"/>
      <c r="AA389" s="1593"/>
      <c r="AB389" s="1593"/>
      <c r="AC389" s="1593"/>
      <c r="AD389" s="1593"/>
      <c r="AE389" s="1593"/>
      <c r="AF389" s="1593"/>
      <c r="AG389" s="1593"/>
      <c r="AH389" s="1593"/>
      <c r="AI389" s="1593"/>
      <c r="AJ389" s="1593"/>
      <c r="AK389" s="1593"/>
      <c r="AL389" s="1593"/>
      <c r="AM389" s="1593"/>
      <c r="AN389" s="1593"/>
      <c r="AO389" s="1593"/>
      <c r="AP389" s="1593"/>
      <c r="AQ389" s="1593"/>
      <c r="AR389" s="1593"/>
      <c r="AS389" s="1593"/>
      <c r="AT389" s="1593"/>
      <c r="AU389" s="1593"/>
      <c r="AV389" s="1593"/>
      <c r="AW389" s="1593"/>
      <c r="AX389" s="1593"/>
      <c r="AY389" s="1593"/>
      <c r="AZ389" s="1593"/>
      <c r="BA389" s="1593"/>
      <c r="BB389" s="1593"/>
      <c r="BC389" s="1593"/>
      <c r="BD389" s="1593"/>
      <c r="BE389" s="1593"/>
      <c r="BF389" s="1593"/>
      <c r="BG389" s="1593"/>
      <c r="BH389" s="1593"/>
      <c r="BI389" s="1593"/>
      <c r="BJ389" s="1593"/>
      <c r="BK389" s="1593"/>
      <c r="BL389" s="1593"/>
      <c r="BM389" s="1593"/>
      <c r="BN389" s="1593"/>
      <c r="BO389" s="1593"/>
      <c r="BP389" s="1593"/>
      <c r="BQ389" s="1593"/>
      <c r="BR389" s="1593"/>
      <c r="BS389" s="1593"/>
      <c r="BT389" s="1593"/>
      <c r="BU389" s="1593"/>
      <c r="BV389" s="1593"/>
      <c r="BW389" s="1593"/>
      <c r="BX389" s="1593"/>
      <c r="BY389" s="1593"/>
      <c r="BZ389" s="1593"/>
      <c r="CA389" s="1593"/>
      <c r="CB389" s="1593"/>
      <c r="CC389" s="1593"/>
      <c r="CD389" s="1593"/>
      <c r="CE389" s="1593"/>
      <c r="CF389" s="1593"/>
      <c r="CG389" s="1593"/>
      <c r="CH389" s="1593"/>
      <c r="CI389" s="1593"/>
      <c r="CJ389" s="1593"/>
      <c r="CK389" s="1593"/>
      <c r="CL389" s="1593"/>
      <c r="CM389" s="1593"/>
      <c r="CN389" s="1593"/>
      <c r="CO389" s="1593"/>
      <c r="CP389" s="1593"/>
      <c r="CQ389" s="1593"/>
      <c r="CR389" s="1593"/>
      <c r="CS389" s="1593"/>
      <c r="CT389" s="1593"/>
      <c r="CU389" s="1593"/>
      <c r="CV389" s="1593"/>
      <c r="CW389" s="1593"/>
      <c r="CX389" s="1593"/>
      <c r="CY389" s="1593"/>
      <c r="CZ389" s="1593"/>
      <c r="DA389" s="1593"/>
      <c r="DB389" s="1593"/>
      <c r="DC389" s="1593"/>
      <c r="DD389" s="1593"/>
      <c r="DE389" s="1593"/>
      <c r="DF389" s="1593"/>
      <c r="DG389" s="1593"/>
      <c r="DH389" s="1593"/>
      <c r="DI389" s="1593"/>
      <c r="DJ389" s="1593"/>
      <c r="DK389" s="1593"/>
      <c r="DL389" s="1593"/>
      <c r="DM389" s="1593"/>
      <c r="DN389" s="1593"/>
      <c r="DO389" s="1593"/>
      <c r="DP389" s="1593"/>
      <c r="DQ389" s="1593"/>
      <c r="DR389" s="1593"/>
      <c r="DS389" s="1593"/>
      <c r="DT389" s="1593"/>
      <c r="DU389" s="1593"/>
      <c r="DV389" s="1593"/>
      <c r="DW389" s="1593"/>
      <c r="DX389" s="1593"/>
      <c r="DY389" s="1593"/>
      <c r="DZ389" s="1593"/>
      <c r="EA389" s="1593"/>
      <c r="EB389" s="1593"/>
      <c r="EC389" s="1593"/>
      <c r="ED389" s="1593"/>
      <c r="EE389" s="1593"/>
      <c r="EF389" s="1593"/>
      <c r="EG389" s="1593"/>
      <c r="EH389" s="1593"/>
      <c r="EI389" s="1593"/>
      <c r="EJ389" s="1593"/>
      <c r="EK389" s="1593"/>
      <c r="EL389" s="1593"/>
      <c r="EM389" s="1593"/>
      <c r="EN389" s="1593"/>
      <c r="EO389" s="1593"/>
      <c r="EP389" s="1593"/>
      <c r="EQ389" s="1593"/>
      <c r="ER389" s="1593"/>
      <c r="ES389" s="1593"/>
      <c r="ET389" s="1593"/>
      <c r="EU389" s="1593"/>
      <c r="EV389" s="1593"/>
      <c r="EW389" s="1593"/>
      <c r="EX389" s="1593"/>
      <c r="EY389" s="1593"/>
      <c r="EZ389" s="1593"/>
      <c r="FA389" s="1593"/>
      <c r="FB389" s="1593"/>
      <c r="FC389" s="1593"/>
      <c r="FD389" s="1593"/>
      <c r="FE389" s="1593"/>
      <c r="FF389" s="1593"/>
      <c r="FG389" s="1593"/>
      <c r="FH389" s="1593"/>
      <c r="FI389" s="1593"/>
      <c r="FJ389" s="1593"/>
      <c r="FK389" s="1593"/>
      <c r="FL389" s="1593"/>
      <c r="FM389" s="1593"/>
      <c r="FN389" s="1593"/>
      <c r="FO389" s="1593"/>
      <c r="FP389" s="1593"/>
      <c r="FQ389" s="1593"/>
      <c r="FR389" s="1593"/>
      <c r="FS389" s="1593"/>
      <c r="FT389" s="1593"/>
      <c r="FU389" s="1593"/>
      <c r="FV389" s="1593"/>
      <c r="FW389" s="1593"/>
      <c r="FX389" s="1593"/>
      <c r="FY389" s="1593"/>
      <c r="FZ389" s="1593"/>
      <c r="GA389" s="1593"/>
      <c r="GB389" s="1593"/>
      <c r="GC389" s="1593"/>
      <c r="GD389" s="1593"/>
      <c r="GE389" s="1593"/>
      <c r="GF389" s="1593"/>
      <c r="GG389" s="1593"/>
      <c r="GH389" s="1593"/>
      <c r="GI389" s="1593"/>
      <c r="GJ389" s="1593"/>
      <c r="GK389" s="1593"/>
      <c r="GL389" s="1593"/>
      <c r="GM389" s="1593"/>
      <c r="GN389" s="1593"/>
      <c r="GO389" s="1593"/>
      <c r="GP389" s="1593"/>
      <c r="GQ389" s="1593"/>
      <c r="GR389" s="1593"/>
      <c r="GS389" s="1593"/>
      <c r="GT389" s="1593"/>
      <c r="GU389" s="1593"/>
      <c r="GV389" s="1593"/>
      <c r="GW389" s="1593"/>
      <c r="GX389" s="1593"/>
      <c r="GY389" s="1593"/>
      <c r="GZ389" s="1593"/>
      <c r="HA389" s="1593"/>
      <c r="HB389" s="1593"/>
      <c r="HC389" s="1593"/>
      <c r="HD389" s="1593"/>
      <c r="HE389" s="1593"/>
      <c r="HF389" s="1593"/>
      <c r="HG389" s="1593"/>
      <c r="HH389" s="1593"/>
      <c r="HI389" s="1593"/>
      <c r="HJ389" s="1593"/>
      <c r="HK389" s="1593"/>
      <c r="HL389" s="1593"/>
      <c r="HM389" s="1593"/>
      <c r="HN389" s="1593"/>
      <c r="HO389" s="1593"/>
      <c r="HP389" s="1593"/>
      <c r="HQ389" s="1593"/>
      <c r="HR389" s="1593"/>
      <c r="HS389" s="1593"/>
      <c r="HT389" s="1593"/>
      <c r="HU389" s="1593"/>
      <c r="HV389" s="1593"/>
      <c r="HW389" s="1593"/>
      <c r="HX389" s="1593"/>
      <c r="HY389" s="1593"/>
      <c r="HZ389" s="1593"/>
      <c r="IA389" s="1593"/>
      <c r="IB389" s="1593"/>
      <c r="IC389" s="1593"/>
      <c r="ID389" s="1593"/>
      <c r="IE389" s="1593"/>
      <c r="IF389" s="1593"/>
      <c r="IG389" s="1593"/>
      <c r="IH389" s="1593"/>
      <c r="II389" s="1593"/>
      <c r="IJ389" s="1593"/>
      <c r="IK389" s="1593"/>
      <c r="IL389" s="1593"/>
      <c r="IM389" s="1593"/>
      <c r="IN389" s="1593"/>
      <c r="IO389" s="1593"/>
      <c r="IP389" s="1593"/>
      <c r="IQ389" s="1593"/>
      <c r="IR389" s="1593"/>
      <c r="IS389" s="1593"/>
      <c r="IT389" s="1593"/>
      <c r="IU389" s="1593"/>
      <c r="IV389" s="1593"/>
      <c r="IW389" s="1593"/>
      <c r="IX389" s="1593"/>
      <c r="IY389" s="1593"/>
      <c r="IZ389" s="1593"/>
      <c r="JA389" s="1593"/>
      <c r="JB389" s="1593"/>
      <c r="JC389" s="1593"/>
      <c r="JD389" s="1593"/>
      <c r="JE389" s="1593"/>
      <c r="JF389" s="1593"/>
      <c r="JG389" s="1593"/>
      <c r="JH389" s="1593"/>
      <c r="JI389" s="1593"/>
      <c r="JJ389" s="1593"/>
      <c r="JK389" s="1593"/>
      <c r="JL389" s="1593"/>
      <c r="JM389" s="1593"/>
      <c r="JN389" s="1593"/>
      <c r="JO389" s="1593"/>
      <c r="JP389" s="1593"/>
      <c r="JQ389" s="1593"/>
      <c r="JR389" s="1593"/>
      <c r="JS389" s="1593"/>
      <c r="JT389" s="1593"/>
      <c r="JU389" s="1593"/>
      <c r="JV389" s="1593"/>
      <c r="JW389" s="1593"/>
      <c r="JX389" s="1593"/>
      <c r="JY389" s="1593"/>
      <c r="JZ389" s="1593"/>
      <c r="KA389" s="1593"/>
      <c r="KB389" s="1598"/>
    </row>
    <row r="390" spans="2:288" ht="15" customHeight="1" x14ac:dyDescent="0.25">
      <c r="B390" s="216" t="str">
        <f t="shared" si="30"/>
        <v>Desk 71</v>
      </c>
      <c r="C390" s="218" t="str">
        <v/>
      </c>
      <c r="D390" s="218" t="str">
        <v/>
      </c>
      <c r="E390" s="218" t="str">
        <v/>
      </c>
      <c r="F390" s="218" t="str">
        <v/>
      </c>
      <c r="G390" s="402" t="str">
        <v/>
      </c>
      <c r="H390" s="1593"/>
      <c r="I390" s="1593"/>
      <c r="J390" s="1593"/>
      <c r="K390" s="1593"/>
      <c r="L390" s="1593"/>
      <c r="M390" s="1593"/>
      <c r="N390" s="1593"/>
      <c r="O390" s="1593"/>
      <c r="P390" s="1593"/>
      <c r="Q390" s="1593"/>
      <c r="R390" s="1593"/>
      <c r="S390" s="1593"/>
      <c r="T390" s="1593"/>
      <c r="U390" s="1593"/>
      <c r="V390" s="1593"/>
      <c r="W390" s="1593"/>
      <c r="X390" s="1593"/>
      <c r="Y390" s="1593"/>
      <c r="Z390" s="1593"/>
      <c r="AA390" s="1593"/>
      <c r="AB390" s="1593"/>
      <c r="AC390" s="1593"/>
      <c r="AD390" s="1593"/>
      <c r="AE390" s="1593"/>
      <c r="AF390" s="1593"/>
      <c r="AG390" s="1593"/>
      <c r="AH390" s="1593"/>
      <c r="AI390" s="1593"/>
      <c r="AJ390" s="1593"/>
      <c r="AK390" s="1593"/>
      <c r="AL390" s="1593"/>
      <c r="AM390" s="1593"/>
      <c r="AN390" s="1593"/>
      <c r="AO390" s="1593"/>
      <c r="AP390" s="1593"/>
      <c r="AQ390" s="1593"/>
      <c r="AR390" s="1593"/>
      <c r="AS390" s="1593"/>
      <c r="AT390" s="1593"/>
      <c r="AU390" s="1593"/>
      <c r="AV390" s="1593"/>
      <c r="AW390" s="1593"/>
      <c r="AX390" s="1593"/>
      <c r="AY390" s="1593"/>
      <c r="AZ390" s="1593"/>
      <c r="BA390" s="1593"/>
      <c r="BB390" s="1593"/>
      <c r="BC390" s="1593"/>
      <c r="BD390" s="1593"/>
      <c r="BE390" s="1593"/>
      <c r="BF390" s="1593"/>
      <c r="BG390" s="1593"/>
      <c r="BH390" s="1593"/>
      <c r="BI390" s="1593"/>
      <c r="BJ390" s="1593"/>
      <c r="BK390" s="1593"/>
      <c r="BL390" s="1593"/>
      <c r="BM390" s="1593"/>
      <c r="BN390" s="1593"/>
      <c r="BO390" s="1593"/>
      <c r="BP390" s="1593"/>
      <c r="BQ390" s="1593"/>
      <c r="BR390" s="1593"/>
      <c r="BS390" s="1593"/>
      <c r="BT390" s="1593"/>
      <c r="BU390" s="1593"/>
      <c r="BV390" s="1593"/>
      <c r="BW390" s="1593"/>
      <c r="BX390" s="1593"/>
      <c r="BY390" s="1593"/>
      <c r="BZ390" s="1593"/>
      <c r="CA390" s="1593"/>
      <c r="CB390" s="1593"/>
      <c r="CC390" s="1593"/>
      <c r="CD390" s="1593"/>
      <c r="CE390" s="1593"/>
      <c r="CF390" s="1593"/>
      <c r="CG390" s="1593"/>
      <c r="CH390" s="1593"/>
      <c r="CI390" s="1593"/>
      <c r="CJ390" s="1593"/>
      <c r="CK390" s="1593"/>
      <c r="CL390" s="1593"/>
      <c r="CM390" s="1593"/>
      <c r="CN390" s="1593"/>
      <c r="CO390" s="1593"/>
      <c r="CP390" s="1593"/>
      <c r="CQ390" s="1593"/>
      <c r="CR390" s="1593"/>
      <c r="CS390" s="1593"/>
      <c r="CT390" s="1593"/>
      <c r="CU390" s="1593"/>
      <c r="CV390" s="1593"/>
      <c r="CW390" s="1593"/>
      <c r="CX390" s="1593"/>
      <c r="CY390" s="1593"/>
      <c r="CZ390" s="1593"/>
      <c r="DA390" s="1593"/>
      <c r="DB390" s="1593"/>
      <c r="DC390" s="1593"/>
      <c r="DD390" s="1593"/>
      <c r="DE390" s="1593"/>
      <c r="DF390" s="1593"/>
      <c r="DG390" s="1593"/>
      <c r="DH390" s="1593"/>
      <c r="DI390" s="1593"/>
      <c r="DJ390" s="1593"/>
      <c r="DK390" s="1593"/>
      <c r="DL390" s="1593"/>
      <c r="DM390" s="1593"/>
      <c r="DN390" s="1593"/>
      <c r="DO390" s="1593"/>
      <c r="DP390" s="1593"/>
      <c r="DQ390" s="1593"/>
      <c r="DR390" s="1593"/>
      <c r="DS390" s="1593"/>
      <c r="DT390" s="1593"/>
      <c r="DU390" s="1593"/>
      <c r="DV390" s="1593"/>
      <c r="DW390" s="1593"/>
      <c r="DX390" s="1593"/>
      <c r="DY390" s="1593"/>
      <c r="DZ390" s="1593"/>
      <c r="EA390" s="1593"/>
      <c r="EB390" s="1593"/>
      <c r="EC390" s="1593"/>
      <c r="ED390" s="1593"/>
      <c r="EE390" s="1593"/>
      <c r="EF390" s="1593"/>
      <c r="EG390" s="1593"/>
      <c r="EH390" s="1593"/>
      <c r="EI390" s="1593"/>
      <c r="EJ390" s="1593"/>
      <c r="EK390" s="1593"/>
      <c r="EL390" s="1593"/>
      <c r="EM390" s="1593"/>
      <c r="EN390" s="1593"/>
      <c r="EO390" s="1593"/>
      <c r="EP390" s="1593"/>
      <c r="EQ390" s="1593"/>
      <c r="ER390" s="1593"/>
      <c r="ES390" s="1593"/>
      <c r="ET390" s="1593"/>
      <c r="EU390" s="1593"/>
      <c r="EV390" s="1593"/>
      <c r="EW390" s="1593"/>
      <c r="EX390" s="1593"/>
      <c r="EY390" s="1593"/>
      <c r="EZ390" s="1593"/>
      <c r="FA390" s="1593"/>
      <c r="FB390" s="1593"/>
      <c r="FC390" s="1593"/>
      <c r="FD390" s="1593"/>
      <c r="FE390" s="1593"/>
      <c r="FF390" s="1593"/>
      <c r="FG390" s="1593"/>
      <c r="FH390" s="1593"/>
      <c r="FI390" s="1593"/>
      <c r="FJ390" s="1593"/>
      <c r="FK390" s="1593"/>
      <c r="FL390" s="1593"/>
      <c r="FM390" s="1593"/>
      <c r="FN390" s="1593"/>
      <c r="FO390" s="1593"/>
      <c r="FP390" s="1593"/>
      <c r="FQ390" s="1593"/>
      <c r="FR390" s="1593"/>
      <c r="FS390" s="1593"/>
      <c r="FT390" s="1593"/>
      <c r="FU390" s="1593"/>
      <c r="FV390" s="1593"/>
      <c r="FW390" s="1593"/>
      <c r="FX390" s="1593"/>
      <c r="FY390" s="1593"/>
      <c r="FZ390" s="1593"/>
      <c r="GA390" s="1593"/>
      <c r="GB390" s="1593"/>
      <c r="GC390" s="1593"/>
      <c r="GD390" s="1593"/>
      <c r="GE390" s="1593"/>
      <c r="GF390" s="1593"/>
      <c r="GG390" s="1593"/>
      <c r="GH390" s="1593"/>
      <c r="GI390" s="1593"/>
      <c r="GJ390" s="1593"/>
      <c r="GK390" s="1593"/>
      <c r="GL390" s="1593"/>
      <c r="GM390" s="1593"/>
      <c r="GN390" s="1593"/>
      <c r="GO390" s="1593"/>
      <c r="GP390" s="1593"/>
      <c r="GQ390" s="1593"/>
      <c r="GR390" s="1593"/>
      <c r="GS390" s="1593"/>
      <c r="GT390" s="1593"/>
      <c r="GU390" s="1593"/>
      <c r="GV390" s="1593"/>
      <c r="GW390" s="1593"/>
      <c r="GX390" s="1593"/>
      <c r="GY390" s="1593"/>
      <c r="GZ390" s="1593"/>
      <c r="HA390" s="1593"/>
      <c r="HB390" s="1593"/>
      <c r="HC390" s="1593"/>
      <c r="HD390" s="1593"/>
      <c r="HE390" s="1593"/>
      <c r="HF390" s="1593"/>
      <c r="HG390" s="1593"/>
      <c r="HH390" s="1593"/>
      <c r="HI390" s="1593"/>
      <c r="HJ390" s="1593"/>
      <c r="HK390" s="1593"/>
      <c r="HL390" s="1593"/>
      <c r="HM390" s="1593"/>
      <c r="HN390" s="1593"/>
      <c r="HO390" s="1593"/>
      <c r="HP390" s="1593"/>
      <c r="HQ390" s="1593"/>
      <c r="HR390" s="1593"/>
      <c r="HS390" s="1593"/>
      <c r="HT390" s="1593"/>
      <c r="HU390" s="1593"/>
      <c r="HV390" s="1593"/>
      <c r="HW390" s="1593"/>
      <c r="HX390" s="1593"/>
      <c r="HY390" s="1593"/>
      <c r="HZ390" s="1593"/>
      <c r="IA390" s="1593"/>
      <c r="IB390" s="1593"/>
      <c r="IC390" s="1593"/>
      <c r="ID390" s="1593"/>
      <c r="IE390" s="1593"/>
      <c r="IF390" s="1593"/>
      <c r="IG390" s="1593"/>
      <c r="IH390" s="1593"/>
      <c r="II390" s="1593"/>
      <c r="IJ390" s="1593"/>
      <c r="IK390" s="1593"/>
      <c r="IL390" s="1593"/>
      <c r="IM390" s="1593"/>
      <c r="IN390" s="1593"/>
      <c r="IO390" s="1593"/>
      <c r="IP390" s="1593"/>
      <c r="IQ390" s="1593"/>
      <c r="IR390" s="1593"/>
      <c r="IS390" s="1593"/>
      <c r="IT390" s="1593"/>
      <c r="IU390" s="1593"/>
      <c r="IV390" s="1593"/>
      <c r="IW390" s="1593"/>
      <c r="IX390" s="1593"/>
      <c r="IY390" s="1593"/>
      <c r="IZ390" s="1593"/>
      <c r="JA390" s="1593"/>
      <c r="JB390" s="1593"/>
      <c r="JC390" s="1593"/>
      <c r="JD390" s="1593"/>
      <c r="JE390" s="1593"/>
      <c r="JF390" s="1593"/>
      <c r="JG390" s="1593"/>
      <c r="JH390" s="1593"/>
      <c r="JI390" s="1593"/>
      <c r="JJ390" s="1593"/>
      <c r="JK390" s="1593"/>
      <c r="JL390" s="1593"/>
      <c r="JM390" s="1593"/>
      <c r="JN390" s="1593"/>
      <c r="JO390" s="1593"/>
      <c r="JP390" s="1593"/>
      <c r="JQ390" s="1593"/>
      <c r="JR390" s="1593"/>
      <c r="JS390" s="1593"/>
      <c r="JT390" s="1593"/>
      <c r="JU390" s="1593"/>
      <c r="JV390" s="1593"/>
      <c r="JW390" s="1593"/>
      <c r="JX390" s="1593"/>
      <c r="JY390" s="1593"/>
      <c r="JZ390" s="1593"/>
      <c r="KA390" s="1593"/>
      <c r="KB390" s="1598"/>
    </row>
    <row r="391" spans="2:288" ht="15" customHeight="1" x14ac:dyDescent="0.25">
      <c r="B391" s="216" t="str">
        <f t="shared" si="30"/>
        <v>Desk 72</v>
      </c>
      <c r="C391" s="218" t="str">
        <v/>
      </c>
      <c r="D391" s="218" t="str">
        <v/>
      </c>
      <c r="E391" s="218" t="str">
        <v/>
      </c>
      <c r="F391" s="218" t="str">
        <v/>
      </c>
      <c r="G391" s="402" t="str">
        <v/>
      </c>
      <c r="H391" s="1593"/>
      <c r="I391" s="1593"/>
      <c r="J391" s="1593"/>
      <c r="K391" s="1593"/>
      <c r="L391" s="1593"/>
      <c r="M391" s="1593"/>
      <c r="N391" s="1593"/>
      <c r="O391" s="1593"/>
      <c r="P391" s="1593"/>
      <c r="Q391" s="1593"/>
      <c r="R391" s="1593"/>
      <c r="S391" s="1593"/>
      <c r="T391" s="1593"/>
      <c r="U391" s="1593"/>
      <c r="V391" s="1593"/>
      <c r="W391" s="1593"/>
      <c r="X391" s="1593"/>
      <c r="Y391" s="1593"/>
      <c r="Z391" s="1593"/>
      <c r="AA391" s="1593"/>
      <c r="AB391" s="1593"/>
      <c r="AC391" s="1593"/>
      <c r="AD391" s="1593"/>
      <c r="AE391" s="1593"/>
      <c r="AF391" s="1593"/>
      <c r="AG391" s="1593"/>
      <c r="AH391" s="1593"/>
      <c r="AI391" s="1593"/>
      <c r="AJ391" s="1593"/>
      <c r="AK391" s="1593"/>
      <c r="AL391" s="1593"/>
      <c r="AM391" s="1593"/>
      <c r="AN391" s="1593"/>
      <c r="AO391" s="1593"/>
      <c r="AP391" s="1593"/>
      <c r="AQ391" s="1593"/>
      <c r="AR391" s="1593"/>
      <c r="AS391" s="1593"/>
      <c r="AT391" s="1593"/>
      <c r="AU391" s="1593"/>
      <c r="AV391" s="1593"/>
      <c r="AW391" s="1593"/>
      <c r="AX391" s="1593"/>
      <c r="AY391" s="1593"/>
      <c r="AZ391" s="1593"/>
      <c r="BA391" s="1593"/>
      <c r="BB391" s="1593"/>
      <c r="BC391" s="1593"/>
      <c r="BD391" s="1593"/>
      <c r="BE391" s="1593"/>
      <c r="BF391" s="1593"/>
      <c r="BG391" s="1593"/>
      <c r="BH391" s="1593"/>
      <c r="BI391" s="1593"/>
      <c r="BJ391" s="1593"/>
      <c r="BK391" s="1593"/>
      <c r="BL391" s="1593"/>
      <c r="BM391" s="1593"/>
      <c r="BN391" s="1593"/>
      <c r="BO391" s="1593"/>
      <c r="BP391" s="1593"/>
      <c r="BQ391" s="1593"/>
      <c r="BR391" s="1593"/>
      <c r="BS391" s="1593"/>
      <c r="BT391" s="1593"/>
      <c r="BU391" s="1593"/>
      <c r="BV391" s="1593"/>
      <c r="BW391" s="1593"/>
      <c r="BX391" s="1593"/>
      <c r="BY391" s="1593"/>
      <c r="BZ391" s="1593"/>
      <c r="CA391" s="1593"/>
      <c r="CB391" s="1593"/>
      <c r="CC391" s="1593"/>
      <c r="CD391" s="1593"/>
      <c r="CE391" s="1593"/>
      <c r="CF391" s="1593"/>
      <c r="CG391" s="1593"/>
      <c r="CH391" s="1593"/>
      <c r="CI391" s="1593"/>
      <c r="CJ391" s="1593"/>
      <c r="CK391" s="1593"/>
      <c r="CL391" s="1593"/>
      <c r="CM391" s="1593"/>
      <c r="CN391" s="1593"/>
      <c r="CO391" s="1593"/>
      <c r="CP391" s="1593"/>
      <c r="CQ391" s="1593"/>
      <c r="CR391" s="1593"/>
      <c r="CS391" s="1593"/>
      <c r="CT391" s="1593"/>
      <c r="CU391" s="1593"/>
      <c r="CV391" s="1593"/>
      <c r="CW391" s="1593"/>
      <c r="CX391" s="1593"/>
      <c r="CY391" s="1593"/>
      <c r="CZ391" s="1593"/>
      <c r="DA391" s="1593"/>
      <c r="DB391" s="1593"/>
      <c r="DC391" s="1593"/>
      <c r="DD391" s="1593"/>
      <c r="DE391" s="1593"/>
      <c r="DF391" s="1593"/>
      <c r="DG391" s="1593"/>
      <c r="DH391" s="1593"/>
      <c r="DI391" s="1593"/>
      <c r="DJ391" s="1593"/>
      <c r="DK391" s="1593"/>
      <c r="DL391" s="1593"/>
      <c r="DM391" s="1593"/>
      <c r="DN391" s="1593"/>
      <c r="DO391" s="1593"/>
      <c r="DP391" s="1593"/>
      <c r="DQ391" s="1593"/>
      <c r="DR391" s="1593"/>
      <c r="DS391" s="1593"/>
      <c r="DT391" s="1593"/>
      <c r="DU391" s="1593"/>
      <c r="DV391" s="1593"/>
      <c r="DW391" s="1593"/>
      <c r="DX391" s="1593"/>
      <c r="DY391" s="1593"/>
      <c r="DZ391" s="1593"/>
      <c r="EA391" s="1593"/>
      <c r="EB391" s="1593"/>
      <c r="EC391" s="1593"/>
      <c r="ED391" s="1593"/>
      <c r="EE391" s="1593"/>
      <c r="EF391" s="1593"/>
      <c r="EG391" s="1593"/>
      <c r="EH391" s="1593"/>
      <c r="EI391" s="1593"/>
      <c r="EJ391" s="1593"/>
      <c r="EK391" s="1593"/>
      <c r="EL391" s="1593"/>
      <c r="EM391" s="1593"/>
      <c r="EN391" s="1593"/>
      <c r="EO391" s="1593"/>
      <c r="EP391" s="1593"/>
      <c r="EQ391" s="1593"/>
      <c r="ER391" s="1593"/>
      <c r="ES391" s="1593"/>
      <c r="ET391" s="1593"/>
      <c r="EU391" s="1593"/>
      <c r="EV391" s="1593"/>
      <c r="EW391" s="1593"/>
      <c r="EX391" s="1593"/>
      <c r="EY391" s="1593"/>
      <c r="EZ391" s="1593"/>
      <c r="FA391" s="1593"/>
      <c r="FB391" s="1593"/>
      <c r="FC391" s="1593"/>
      <c r="FD391" s="1593"/>
      <c r="FE391" s="1593"/>
      <c r="FF391" s="1593"/>
      <c r="FG391" s="1593"/>
      <c r="FH391" s="1593"/>
      <c r="FI391" s="1593"/>
      <c r="FJ391" s="1593"/>
      <c r="FK391" s="1593"/>
      <c r="FL391" s="1593"/>
      <c r="FM391" s="1593"/>
      <c r="FN391" s="1593"/>
      <c r="FO391" s="1593"/>
      <c r="FP391" s="1593"/>
      <c r="FQ391" s="1593"/>
      <c r="FR391" s="1593"/>
      <c r="FS391" s="1593"/>
      <c r="FT391" s="1593"/>
      <c r="FU391" s="1593"/>
      <c r="FV391" s="1593"/>
      <c r="FW391" s="1593"/>
      <c r="FX391" s="1593"/>
      <c r="FY391" s="1593"/>
      <c r="FZ391" s="1593"/>
      <c r="GA391" s="1593"/>
      <c r="GB391" s="1593"/>
      <c r="GC391" s="1593"/>
      <c r="GD391" s="1593"/>
      <c r="GE391" s="1593"/>
      <c r="GF391" s="1593"/>
      <c r="GG391" s="1593"/>
      <c r="GH391" s="1593"/>
      <c r="GI391" s="1593"/>
      <c r="GJ391" s="1593"/>
      <c r="GK391" s="1593"/>
      <c r="GL391" s="1593"/>
      <c r="GM391" s="1593"/>
      <c r="GN391" s="1593"/>
      <c r="GO391" s="1593"/>
      <c r="GP391" s="1593"/>
      <c r="GQ391" s="1593"/>
      <c r="GR391" s="1593"/>
      <c r="GS391" s="1593"/>
      <c r="GT391" s="1593"/>
      <c r="GU391" s="1593"/>
      <c r="GV391" s="1593"/>
      <c r="GW391" s="1593"/>
      <c r="GX391" s="1593"/>
      <c r="GY391" s="1593"/>
      <c r="GZ391" s="1593"/>
      <c r="HA391" s="1593"/>
      <c r="HB391" s="1593"/>
      <c r="HC391" s="1593"/>
      <c r="HD391" s="1593"/>
      <c r="HE391" s="1593"/>
      <c r="HF391" s="1593"/>
      <c r="HG391" s="1593"/>
      <c r="HH391" s="1593"/>
      <c r="HI391" s="1593"/>
      <c r="HJ391" s="1593"/>
      <c r="HK391" s="1593"/>
      <c r="HL391" s="1593"/>
      <c r="HM391" s="1593"/>
      <c r="HN391" s="1593"/>
      <c r="HO391" s="1593"/>
      <c r="HP391" s="1593"/>
      <c r="HQ391" s="1593"/>
      <c r="HR391" s="1593"/>
      <c r="HS391" s="1593"/>
      <c r="HT391" s="1593"/>
      <c r="HU391" s="1593"/>
      <c r="HV391" s="1593"/>
      <c r="HW391" s="1593"/>
      <c r="HX391" s="1593"/>
      <c r="HY391" s="1593"/>
      <c r="HZ391" s="1593"/>
      <c r="IA391" s="1593"/>
      <c r="IB391" s="1593"/>
      <c r="IC391" s="1593"/>
      <c r="ID391" s="1593"/>
      <c r="IE391" s="1593"/>
      <c r="IF391" s="1593"/>
      <c r="IG391" s="1593"/>
      <c r="IH391" s="1593"/>
      <c r="II391" s="1593"/>
      <c r="IJ391" s="1593"/>
      <c r="IK391" s="1593"/>
      <c r="IL391" s="1593"/>
      <c r="IM391" s="1593"/>
      <c r="IN391" s="1593"/>
      <c r="IO391" s="1593"/>
      <c r="IP391" s="1593"/>
      <c r="IQ391" s="1593"/>
      <c r="IR391" s="1593"/>
      <c r="IS391" s="1593"/>
      <c r="IT391" s="1593"/>
      <c r="IU391" s="1593"/>
      <c r="IV391" s="1593"/>
      <c r="IW391" s="1593"/>
      <c r="IX391" s="1593"/>
      <c r="IY391" s="1593"/>
      <c r="IZ391" s="1593"/>
      <c r="JA391" s="1593"/>
      <c r="JB391" s="1593"/>
      <c r="JC391" s="1593"/>
      <c r="JD391" s="1593"/>
      <c r="JE391" s="1593"/>
      <c r="JF391" s="1593"/>
      <c r="JG391" s="1593"/>
      <c r="JH391" s="1593"/>
      <c r="JI391" s="1593"/>
      <c r="JJ391" s="1593"/>
      <c r="JK391" s="1593"/>
      <c r="JL391" s="1593"/>
      <c r="JM391" s="1593"/>
      <c r="JN391" s="1593"/>
      <c r="JO391" s="1593"/>
      <c r="JP391" s="1593"/>
      <c r="JQ391" s="1593"/>
      <c r="JR391" s="1593"/>
      <c r="JS391" s="1593"/>
      <c r="JT391" s="1593"/>
      <c r="JU391" s="1593"/>
      <c r="JV391" s="1593"/>
      <c r="JW391" s="1593"/>
      <c r="JX391" s="1593"/>
      <c r="JY391" s="1593"/>
      <c r="JZ391" s="1593"/>
      <c r="KA391" s="1593"/>
      <c r="KB391" s="1598"/>
    </row>
    <row r="392" spans="2:288" ht="15" customHeight="1" x14ac:dyDescent="0.25">
      <c r="B392" s="216" t="str">
        <f t="shared" si="30"/>
        <v>Desk 73</v>
      </c>
      <c r="C392" s="218" t="str">
        <v/>
      </c>
      <c r="D392" s="218" t="str">
        <v/>
      </c>
      <c r="E392" s="218" t="str">
        <v/>
      </c>
      <c r="F392" s="218" t="str">
        <v/>
      </c>
      <c r="G392" s="402" t="str">
        <v/>
      </c>
      <c r="H392" s="1593"/>
      <c r="I392" s="1593"/>
      <c r="J392" s="1593"/>
      <c r="K392" s="1593"/>
      <c r="L392" s="1593"/>
      <c r="M392" s="1593"/>
      <c r="N392" s="1593"/>
      <c r="O392" s="1593"/>
      <c r="P392" s="1593"/>
      <c r="Q392" s="1593"/>
      <c r="R392" s="1593"/>
      <c r="S392" s="1593"/>
      <c r="T392" s="1593"/>
      <c r="U392" s="1593"/>
      <c r="V392" s="1593"/>
      <c r="W392" s="1593"/>
      <c r="X392" s="1593"/>
      <c r="Y392" s="1593"/>
      <c r="Z392" s="1593"/>
      <c r="AA392" s="1593"/>
      <c r="AB392" s="1593"/>
      <c r="AC392" s="1593"/>
      <c r="AD392" s="1593"/>
      <c r="AE392" s="1593"/>
      <c r="AF392" s="1593"/>
      <c r="AG392" s="1593"/>
      <c r="AH392" s="1593"/>
      <c r="AI392" s="1593"/>
      <c r="AJ392" s="1593"/>
      <c r="AK392" s="1593"/>
      <c r="AL392" s="1593"/>
      <c r="AM392" s="1593"/>
      <c r="AN392" s="1593"/>
      <c r="AO392" s="1593"/>
      <c r="AP392" s="1593"/>
      <c r="AQ392" s="1593"/>
      <c r="AR392" s="1593"/>
      <c r="AS392" s="1593"/>
      <c r="AT392" s="1593"/>
      <c r="AU392" s="1593"/>
      <c r="AV392" s="1593"/>
      <c r="AW392" s="1593"/>
      <c r="AX392" s="1593"/>
      <c r="AY392" s="1593"/>
      <c r="AZ392" s="1593"/>
      <c r="BA392" s="1593"/>
      <c r="BB392" s="1593"/>
      <c r="BC392" s="1593"/>
      <c r="BD392" s="1593"/>
      <c r="BE392" s="1593"/>
      <c r="BF392" s="1593"/>
      <c r="BG392" s="1593"/>
      <c r="BH392" s="1593"/>
      <c r="BI392" s="1593"/>
      <c r="BJ392" s="1593"/>
      <c r="BK392" s="1593"/>
      <c r="BL392" s="1593"/>
      <c r="BM392" s="1593"/>
      <c r="BN392" s="1593"/>
      <c r="BO392" s="1593"/>
      <c r="BP392" s="1593"/>
      <c r="BQ392" s="1593"/>
      <c r="BR392" s="1593"/>
      <c r="BS392" s="1593"/>
      <c r="BT392" s="1593"/>
      <c r="BU392" s="1593"/>
      <c r="BV392" s="1593"/>
      <c r="BW392" s="1593"/>
      <c r="BX392" s="1593"/>
      <c r="BY392" s="1593"/>
      <c r="BZ392" s="1593"/>
      <c r="CA392" s="1593"/>
      <c r="CB392" s="1593"/>
      <c r="CC392" s="1593"/>
      <c r="CD392" s="1593"/>
      <c r="CE392" s="1593"/>
      <c r="CF392" s="1593"/>
      <c r="CG392" s="1593"/>
      <c r="CH392" s="1593"/>
      <c r="CI392" s="1593"/>
      <c r="CJ392" s="1593"/>
      <c r="CK392" s="1593"/>
      <c r="CL392" s="1593"/>
      <c r="CM392" s="1593"/>
      <c r="CN392" s="1593"/>
      <c r="CO392" s="1593"/>
      <c r="CP392" s="1593"/>
      <c r="CQ392" s="1593"/>
      <c r="CR392" s="1593"/>
      <c r="CS392" s="1593"/>
      <c r="CT392" s="1593"/>
      <c r="CU392" s="1593"/>
      <c r="CV392" s="1593"/>
      <c r="CW392" s="1593"/>
      <c r="CX392" s="1593"/>
      <c r="CY392" s="1593"/>
      <c r="CZ392" s="1593"/>
      <c r="DA392" s="1593"/>
      <c r="DB392" s="1593"/>
      <c r="DC392" s="1593"/>
      <c r="DD392" s="1593"/>
      <c r="DE392" s="1593"/>
      <c r="DF392" s="1593"/>
      <c r="DG392" s="1593"/>
      <c r="DH392" s="1593"/>
      <c r="DI392" s="1593"/>
      <c r="DJ392" s="1593"/>
      <c r="DK392" s="1593"/>
      <c r="DL392" s="1593"/>
      <c r="DM392" s="1593"/>
      <c r="DN392" s="1593"/>
      <c r="DO392" s="1593"/>
      <c r="DP392" s="1593"/>
      <c r="DQ392" s="1593"/>
      <c r="DR392" s="1593"/>
      <c r="DS392" s="1593"/>
      <c r="DT392" s="1593"/>
      <c r="DU392" s="1593"/>
      <c r="DV392" s="1593"/>
      <c r="DW392" s="1593"/>
      <c r="DX392" s="1593"/>
      <c r="DY392" s="1593"/>
      <c r="DZ392" s="1593"/>
      <c r="EA392" s="1593"/>
      <c r="EB392" s="1593"/>
      <c r="EC392" s="1593"/>
      <c r="ED392" s="1593"/>
      <c r="EE392" s="1593"/>
      <c r="EF392" s="1593"/>
      <c r="EG392" s="1593"/>
      <c r="EH392" s="1593"/>
      <c r="EI392" s="1593"/>
      <c r="EJ392" s="1593"/>
      <c r="EK392" s="1593"/>
      <c r="EL392" s="1593"/>
      <c r="EM392" s="1593"/>
      <c r="EN392" s="1593"/>
      <c r="EO392" s="1593"/>
      <c r="EP392" s="1593"/>
      <c r="EQ392" s="1593"/>
      <c r="ER392" s="1593"/>
      <c r="ES392" s="1593"/>
      <c r="ET392" s="1593"/>
      <c r="EU392" s="1593"/>
      <c r="EV392" s="1593"/>
      <c r="EW392" s="1593"/>
      <c r="EX392" s="1593"/>
      <c r="EY392" s="1593"/>
      <c r="EZ392" s="1593"/>
      <c r="FA392" s="1593"/>
      <c r="FB392" s="1593"/>
      <c r="FC392" s="1593"/>
      <c r="FD392" s="1593"/>
      <c r="FE392" s="1593"/>
      <c r="FF392" s="1593"/>
      <c r="FG392" s="1593"/>
      <c r="FH392" s="1593"/>
      <c r="FI392" s="1593"/>
      <c r="FJ392" s="1593"/>
      <c r="FK392" s="1593"/>
      <c r="FL392" s="1593"/>
      <c r="FM392" s="1593"/>
      <c r="FN392" s="1593"/>
      <c r="FO392" s="1593"/>
      <c r="FP392" s="1593"/>
      <c r="FQ392" s="1593"/>
      <c r="FR392" s="1593"/>
      <c r="FS392" s="1593"/>
      <c r="FT392" s="1593"/>
      <c r="FU392" s="1593"/>
      <c r="FV392" s="1593"/>
      <c r="FW392" s="1593"/>
      <c r="FX392" s="1593"/>
      <c r="FY392" s="1593"/>
      <c r="FZ392" s="1593"/>
      <c r="GA392" s="1593"/>
      <c r="GB392" s="1593"/>
      <c r="GC392" s="1593"/>
      <c r="GD392" s="1593"/>
      <c r="GE392" s="1593"/>
      <c r="GF392" s="1593"/>
      <c r="GG392" s="1593"/>
      <c r="GH392" s="1593"/>
      <c r="GI392" s="1593"/>
      <c r="GJ392" s="1593"/>
      <c r="GK392" s="1593"/>
      <c r="GL392" s="1593"/>
      <c r="GM392" s="1593"/>
      <c r="GN392" s="1593"/>
      <c r="GO392" s="1593"/>
      <c r="GP392" s="1593"/>
      <c r="GQ392" s="1593"/>
      <c r="GR392" s="1593"/>
      <c r="GS392" s="1593"/>
      <c r="GT392" s="1593"/>
      <c r="GU392" s="1593"/>
      <c r="GV392" s="1593"/>
      <c r="GW392" s="1593"/>
      <c r="GX392" s="1593"/>
      <c r="GY392" s="1593"/>
      <c r="GZ392" s="1593"/>
      <c r="HA392" s="1593"/>
      <c r="HB392" s="1593"/>
      <c r="HC392" s="1593"/>
      <c r="HD392" s="1593"/>
      <c r="HE392" s="1593"/>
      <c r="HF392" s="1593"/>
      <c r="HG392" s="1593"/>
      <c r="HH392" s="1593"/>
      <c r="HI392" s="1593"/>
      <c r="HJ392" s="1593"/>
      <c r="HK392" s="1593"/>
      <c r="HL392" s="1593"/>
      <c r="HM392" s="1593"/>
      <c r="HN392" s="1593"/>
      <c r="HO392" s="1593"/>
      <c r="HP392" s="1593"/>
      <c r="HQ392" s="1593"/>
      <c r="HR392" s="1593"/>
      <c r="HS392" s="1593"/>
      <c r="HT392" s="1593"/>
      <c r="HU392" s="1593"/>
      <c r="HV392" s="1593"/>
      <c r="HW392" s="1593"/>
      <c r="HX392" s="1593"/>
      <c r="HY392" s="1593"/>
      <c r="HZ392" s="1593"/>
      <c r="IA392" s="1593"/>
      <c r="IB392" s="1593"/>
      <c r="IC392" s="1593"/>
      <c r="ID392" s="1593"/>
      <c r="IE392" s="1593"/>
      <c r="IF392" s="1593"/>
      <c r="IG392" s="1593"/>
      <c r="IH392" s="1593"/>
      <c r="II392" s="1593"/>
      <c r="IJ392" s="1593"/>
      <c r="IK392" s="1593"/>
      <c r="IL392" s="1593"/>
      <c r="IM392" s="1593"/>
      <c r="IN392" s="1593"/>
      <c r="IO392" s="1593"/>
      <c r="IP392" s="1593"/>
      <c r="IQ392" s="1593"/>
      <c r="IR392" s="1593"/>
      <c r="IS392" s="1593"/>
      <c r="IT392" s="1593"/>
      <c r="IU392" s="1593"/>
      <c r="IV392" s="1593"/>
      <c r="IW392" s="1593"/>
      <c r="IX392" s="1593"/>
      <c r="IY392" s="1593"/>
      <c r="IZ392" s="1593"/>
      <c r="JA392" s="1593"/>
      <c r="JB392" s="1593"/>
      <c r="JC392" s="1593"/>
      <c r="JD392" s="1593"/>
      <c r="JE392" s="1593"/>
      <c r="JF392" s="1593"/>
      <c r="JG392" s="1593"/>
      <c r="JH392" s="1593"/>
      <c r="JI392" s="1593"/>
      <c r="JJ392" s="1593"/>
      <c r="JK392" s="1593"/>
      <c r="JL392" s="1593"/>
      <c r="JM392" s="1593"/>
      <c r="JN392" s="1593"/>
      <c r="JO392" s="1593"/>
      <c r="JP392" s="1593"/>
      <c r="JQ392" s="1593"/>
      <c r="JR392" s="1593"/>
      <c r="JS392" s="1593"/>
      <c r="JT392" s="1593"/>
      <c r="JU392" s="1593"/>
      <c r="JV392" s="1593"/>
      <c r="JW392" s="1593"/>
      <c r="JX392" s="1593"/>
      <c r="JY392" s="1593"/>
      <c r="JZ392" s="1593"/>
      <c r="KA392" s="1593"/>
      <c r="KB392" s="1598"/>
    </row>
    <row r="393" spans="2:288" ht="15" customHeight="1" x14ac:dyDescent="0.25">
      <c r="B393" s="216" t="str">
        <f t="shared" si="30"/>
        <v>Desk 74</v>
      </c>
      <c r="C393" s="218" t="str">
        <v/>
      </c>
      <c r="D393" s="218" t="str">
        <v/>
      </c>
      <c r="E393" s="218" t="str">
        <v/>
      </c>
      <c r="F393" s="218" t="str">
        <v/>
      </c>
      <c r="G393" s="402" t="str">
        <v/>
      </c>
      <c r="H393" s="1593"/>
      <c r="I393" s="1593"/>
      <c r="J393" s="1593"/>
      <c r="K393" s="1593"/>
      <c r="L393" s="1593"/>
      <c r="M393" s="1593"/>
      <c r="N393" s="1593"/>
      <c r="O393" s="1593"/>
      <c r="P393" s="1593"/>
      <c r="Q393" s="1593"/>
      <c r="R393" s="1593"/>
      <c r="S393" s="1593"/>
      <c r="T393" s="1593"/>
      <c r="U393" s="1593"/>
      <c r="V393" s="1593"/>
      <c r="W393" s="1593"/>
      <c r="X393" s="1593"/>
      <c r="Y393" s="1593"/>
      <c r="Z393" s="1593"/>
      <c r="AA393" s="1593"/>
      <c r="AB393" s="1593"/>
      <c r="AC393" s="1593"/>
      <c r="AD393" s="1593"/>
      <c r="AE393" s="1593"/>
      <c r="AF393" s="1593"/>
      <c r="AG393" s="1593"/>
      <c r="AH393" s="1593"/>
      <c r="AI393" s="1593"/>
      <c r="AJ393" s="1593"/>
      <c r="AK393" s="1593"/>
      <c r="AL393" s="1593"/>
      <c r="AM393" s="1593"/>
      <c r="AN393" s="1593"/>
      <c r="AO393" s="1593"/>
      <c r="AP393" s="1593"/>
      <c r="AQ393" s="1593"/>
      <c r="AR393" s="1593"/>
      <c r="AS393" s="1593"/>
      <c r="AT393" s="1593"/>
      <c r="AU393" s="1593"/>
      <c r="AV393" s="1593"/>
      <c r="AW393" s="1593"/>
      <c r="AX393" s="1593"/>
      <c r="AY393" s="1593"/>
      <c r="AZ393" s="1593"/>
      <c r="BA393" s="1593"/>
      <c r="BB393" s="1593"/>
      <c r="BC393" s="1593"/>
      <c r="BD393" s="1593"/>
      <c r="BE393" s="1593"/>
      <c r="BF393" s="1593"/>
      <c r="BG393" s="1593"/>
      <c r="BH393" s="1593"/>
      <c r="BI393" s="1593"/>
      <c r="BJ393" s="1593"/>
      <c r="BK393" s="1593"/>
      <c r="BL393" s="1593"/>
      <c r="BM393" s="1593"/>
      <c r="BN393" s="1593"/>
      <c r="BO393" s="1593"/>
      <c r="BP393" s="1593"/>
      <c r="BQ393" s="1593"/>
      <c r="BR393" s="1593"/>
      <c r="BS393" s="1593"/>
      <c r="BT393" s="1593"/>
      <c r="BU393" s="1593"/>
      <c r="BV393" s="1593"/>
      <c r="BW393" s="1593"/>
      <c r="BX393" s="1593"/>
      <c r="BY393" s="1593"/>
      <c r="BZ393" s="1593"/>
      <c r="CA393" s="1593"/>
      <c r="CB393" s="1593"/>
      <c r="CC393" s="1593"/>
      <c r="CD393" s="1593"/>
      <c r="CE393" s="1593"/>
      <c r="CF393" s="1593"/>
      <c r="CG393" s="1593"/>
      <c r="CH393" s="1593"/>
      <c r="CI393" s="1593"/>
      <c r="CJ393" s="1593"/>
      <c r="CK393" s="1593"/>
      <c r="CL393" s="1593"/>
      <c r="CM393" s="1593"/>
      <c r="CN393" s="1593"/>
      <c r="CO393" s="1593"/>
      <c r="CP393" s="1593"/>
      <c r="CQ393" s="1593"/>
      <c r="CR393" s="1593"/>
      <c r="CS393" s="1593"/>
      <c r="CT393" s="1593"/>
      <c r="CU393" s="1593"/>
      <c r="CV393" s="1593"/>
      <c r="CW393" s="1593"/>
      <c r="CX393" s="1593"/>
      <c r="CY393" s="1593"/>
      <c r="CZ393" s="1593"/>
      <c r="DA393" s="1593"/>
      <c r="DB393" s="1593"/>
      <c r="DC393" s="1593"/>
      <c r="DD393" s="1593"/>
      <c r="DE393" s="1593"/>
      <c r="DF393" s="1593"/>
      <c r="DG393" s="1593"/>
      <c r="DH393" s="1593"/>
      <c r="DI393" s="1593"/>
      <c r="DJ393" s="1593"/>
      <c r="DK393" s="1593"/>
      <c r="DL393" s="1593"/>
      <c r="DM393" s="1593"/>
      <c r="DN393" s="1593"/>
      <c r="DO393" s="1593"/>
      <c r="DP393" s="1593"/>
      <c r="DQ393" s="1593"/>
      <c r="DR393" s="1593"/>
      <c r="DS393" s="1593"/>
      <c r="DT393" s="1593"/>
      <c r="DU393" s="1593"/>
      <c r="DV393" s="1593"/>
      <c r="DW393" s="1593"/>
      <c r="DX393" s="1593"/>
      <c r="DY393" s="1593"/>
      <c r="DZ393" s="1593"/>
      <c r="EA393" s="1593"/>
      <c r="EB393" s="1593"/>
      <c r="EC393" s="1593"/>
      <c r="ED393" s="1593"/>
      <c r="EE393" s="1593"/>
      <c r="EF393" s="1593"/>
      <c r="EG393" s="1593"/>
      <c r="EH393" s="1593"/>
      <c r="EI393" s="1593"/>
      <c r="EJ393" s="1593"/>
      <c r="EK393" s="1593"/>
      <c r="EL393" s="1593"/>
      <c r="EM393" s="1593"/>
      <c r="EN393" s="1593"/>
      <c r="EO393" s="1593"/>
      <c r="EP393" s="1593"/>
      <c r="EQ393" s="1593"/>
      <c r="ER393" s="1593"/>
      <c r="ES393" s="1593"/>
      <c r="ET393" s="1593"/>
      <c r="EU393" s="1593"/>
      <c r="EV393" s="1593"/>
      <c r="EW393" s="1593"/>
      <c r="EX393" s="1593"/>
      <c r="EY393" s="1593"/>
      <c r="EZ393" s="1593"/>
      <c r="FA393" s="1593"/>
      <c r="FB393" s="1593"/>
      <c r="FC393" s="1593"/>
      <c r="FD393" s="1593"/>
      <c r="FE393" s="1593"/>
      <c r="FF393" s="1593"/>
      <c r="FG393" s="1593"/>
      <c r="FH393" s="1593"/>
      <c r="FI393" s="1593"/>
      <c r="FJ393" s="1593"/>
      <c r="FK393" s="1593"/>
      <c r="FL393" s="1593"/>
      <c r="FM393" s="1593"/>
      <c r="FN393" s="1593"/>
      <c r="FO393" s="1593"/>
      <c r="FP393" s="1593"/>
      <c r="FQ393" s="1593"/>
      <c r="FR393" s="1593"/>
      <c r="FS393" s="1593"/>
      <c r="FT393" s="1593"/>
      <c r="FU393" s="1593"/>
      <c r="FV393" s="1593"/>
      <c r="FW393" s="1593"/>
      <c r="FX393" s="1593"/>
      <c r="FY393" s="1593"/>
      <c r="FZ393" s="1593"/>
      <c r="GA393" s="1593"/>
      <c r="GB393" s="1593"/>
      <c r="GC393" s="1593"/>
      <c r="GD393" s="1593"/>
      <c r="GE393" s="1593"/>
      <c r="GF393" s="1593"/>
      <c r="GG393" s="1593"/>
      <c r="GH393" s="1593"/>
      <c r="GI393" s="1593"/>
      <c r="GJ393" s="1593"/>
      <c r="GK393" s="1593"/>
      <c r="GL393" s="1593"/>
      <c r="GM393" s="1593"/>
      <c r="GN393" s="1593"/>
      <c r="GO393" s="1593"/>
      <c r="GP393" s="1593"/>
      <c r="GQ393" s="1593"/>
      <c r="GR393" s="1593"/>
      <c r="GS393" s="1593"/>
      <c r="GT393" s="1593"/>
      <c r="GU393" s="1593"/>
      <c r="GV393" s="1593"/>
      <c r="GW393" s="1593"/>
      <c r="GX393" s="1593"/>
      <c r="GY393" s="1593"/>
      <c r="GZ393" s="1593"/>
      <c r="HA393" s="1593"/>
      <c r="HB393" s="1593"/>
      <c r="HC393" s="1593"/>
      <c r="HD393" s="1593"/>
      <c r="HE393" s="1593"/>
      <c r="HF393" s="1593"/>
      <c r="HG393" s="1593"/>
      <c r="HH393" s="1593"/>
      <c r="HI393" s="1593"/>
      <c r="HJ393" s="1593"/>
      <c r="HK393" s="1593"/>
      <c r="HL393" s="1593"/>
      <c r="HM393" s="1593"/>
      <c r="HN393" s="1593"/>
      <c r="HO393" s="1593"/>
      <c r="HP393" s="1593"/>
      <c r="HQ393" s="1593"/>
      <c r="HR393" s="1593"/>
      <c r="HS393" s="1593"/>
      <c r="HT393" s="1593"/>
      <c r="HU393" s="1593"/>
      <c r="HV393" s="1593"/>
      <c r="HW393" s="1593"/>
      <c r="HX393" s="1593"/>
      <c r="HY393" s="1593"/>
      <c r="HZ393" s="1593"/>
      <c r="IA393" s="1593"/>
      <c r="IB393" s="1593"/>
      <c r="IC393" s="1593"/>
      <c r="ID393" s="1593"/>
      <c r="IE393" s="1593"/>
      <c r="IF393" s="1593"/>
      <c r="IG393" s="1593"/>
      <c r="IH393" s="1593"/>
      <c r="II393" s="1593"/>
      <c r="IJ393" s="1593"/>
      <c r="IK393" s="1593"/>
      <c r="IL393" s="1593"/>
      <c r="IM393" s="1593"/>
      <c r="IN393" s="1593"/>
      <c r="IO393" s="1593"/>
      <c r="IP393" s="1593"/>
      <c r="IQ393" s="1593"/>
      <c r="IR393" s="1593"/>
      <c r="IS393" s="1593"/>
      <c r="IT393" s="1593"/>
      <c r="IU393" s="1593"/>
      <c r="IV393" s="1593"/>
      <c r="IW393" s="1593"/>
      <c r="IX393" s="1593"/>
      <c r="IY393" s="1593"/>
      <c r="IZ393" s="1593"/>
      <c r="JA393" s="1593"/>
      <c r="JB393" s="1593"/>
      <c r="JC393" s="1593"/>
      <c r="JD393" s="1593"/>
      <c r="JE393" s="1593"/>
      <c r="JF393" s="1593"/>
      <c r="JG393" s="1593"/>
      <c r="JH393" s="1593"/>
      <c r="JI393" s="1593"/>
      <c r="JJ393" s="1593"/>
      <c r="JK393" s="1593"/>
      <c r="JL393" s="1593"/>
      <c r="JM393" s="1593"/>
      <c r="JN393" s="1593"/>
      <c r="JO393" s="1593"/>
      <c r="JP393" s="1593"/>
      <c r="JQ393" s="1593"/>
      <c r="JR393" s="1593"/>
      <c r="JS393" s="1593"/>
      <c r="JT393" s="1593"/>
      <c r="JU393" s="1593"/>
      <c r="JV393" s="1593"/>
      <c r="JW393" s="1593"/>
      <c r="JX393" s="1593"/>
      <c r="JY393" s="1593"/>
      <c r="JZ393" s="1593"/>
      <c r="KA393" s="1593"/>
      <c r="KB393" s="1598"/>
    </row>
    <row r="394" spans="2:288" ht="15" customHeight="1" x14ac:dyDescent="0.25">
      <c r="B394" s="216" t="str">
        <f t="shared" si="30"/>
        <v>Desk 75</v>
      </c>
      <c r="C394" s="218" t="str">
        <v/>
      </c>
      <c r="D394" s="218" t="str">
        <v/>
      </c>
      <c r="E394" s="218" t="str">
        <v/>
      </c>
      <c r="F394" s="218" t="str">
        <v/>
      </c>
      <c r="G394" s="402" t="str">
        <v/>
      </c>
      <c r="H394" s="1593"/>
      <c r="I394" s="1593"/>
      <c r="J394" s="1593"/>
      <c r="K394" s="1593"/>
      <c r="L394" s="1593"/>
      <c r="M394" s="1593"/>
      <c r="N394" s="1593"/>
      <c r="O394" s="1593"/>
      <c r="P394" s="1593"/>
      <c r="Q394" s="1593"/>
      <c r="R394" s="1593"/>
      <c r="S394" s="1593"/>
      <c r="T394" s="1593"/>
      <c r="U394" s="1593"/>
      <c r="V394" s="1593"/>
      <c r="W394" s="1593"/>
      <c r="X394" s="1593"/>
      <c r="Y394" s="1593"/>
      <c r="Z394" s="1593"/>
      <c r="AA394" s="1593"/>
      <c r="AB394" s="1593"/>
      <c r="AC394" s="1593"/>
      <c r="AD394" s="1593"/>
      <c r="AE394" s="1593"/>
      <c r="AF394" s="1593"/>
      <c r="AG394" s="1593"/>
      <c r="AH394" s="1593"/>
      <c r="AI394" s="1593"/>
      <c r="AJ394" s="1593"/>
      <c r="AK394" s="1593"/>
      <c r="AL394" s="1593"/>
      <c r="AM394" s="1593"/>
      <c r="AN394" s="1593"/>
      <c r="AO394" s="1593"/>
      <c r="AP394" s="1593"/>
      <c r="AQ394" s="1593"/>
      <c r="AR394" s="1593"/>
      <c r="AS394" s="1593"/>
      <c r="AT394" s="1593"/>
      <c r="AU394" s="1593"/>
      <c r="AV394" s="1593"/>
      <c r="AW394" s="1593"/>
      <c r="AX394" s="1593"/>
      <c r="AY394" s="1593"/>
      <c r="AZ394" s="1593"/>
      <c r="BA394" s="1593"/>
      <c r="BB394" s="1593"/>
      <c r="BC394" s="1593"/>
      <c r="BD394" s="1593"/>
      <c r="BE394" s="1593"/>
      <c r="BF394" s="1593"/>
      <c r="BG394" s="1593"/>
      <c r="BH394" s="1593"/>
      <c r="BI394" s="1593"/>
      <c r="BJ394" s="1593"/>
      <c r="BK394" s="1593"/>
      <c r="BL394" s="1593"/>
      <c r="BM394" s="1593"/>
      <c r="BN394" s="1593"/>
      <c r="BO394" s="1593"/>
      <c r="BP394" s="1593"/>
      <c r="BQ394" s="1593"/>
      <c r="BR394" s="1593"/>
      <c r="BS394" s="1593"/>
      <c r="BT394" s="1593"/>
      <c r="BU394" s="1593"/>
      <c r="BV394" s="1593"/>
      <c r="BW394" s="1593"/>
      <c r="BX394" s="1593"/>
      <c r="BY394" s="1593"/>
      <c r="BZ394" s="1593"/>
      <c r="CA394" s="1593"/>
      <c r="CB394" s="1593"/>
      <c r="CC394" s="1593"/>
      <c r="CD394" s="1593"/>
      <c r="CE394" s="1593"/>
      <c r="CF394" s="1593"/>
      <c r="CG394" s="1593"/>
      <c r="CH394" s="1593"/>
      <c r="CI394" s="1593"/>
      <c r="CJ394" s="1593"/>
      <c r="CK394" s="1593"/>
      <c r="CL394" s="1593"/>
      <c r="CM394" s="1593"/>
      <c r="CN394" s="1593"/>
      <c r="CO394" s="1593"/>
      <c r="CP394" s="1593"/>
      <c r="CQ394" s="1593"/>
      <c r="CR394" s="1593"/>
      <c r="CS394" s="1593"/>
      <c r="CT394" s="1593"/>
      <c r="CU394" s="1593"/>
      <c r="CV394" s="1593"/>
      <c r="CW394" s="1593"/>
      <c r="CX394" s="1593"/>
      <c r="CY394" s="1593"/>
      <c r="CZ394" s="1593"/>
      <c r="DA394" s="1593"/>
      <c r="DB394" s="1593"/>
      <c r="DC394" s="1593"/>
      <c r="DD394" s="1593"/>
      <c r="DE394" s="1593"/>
      <c r="DF394" s="1593"/>
      <c r="DG394" s="1593"/>
      <c r="DH394" s="1593"/>
      <c r="DI394" s="1593"/>
      <c r="DJ394" s="1593"/>
      <c r="DK394" s="1593"/>
      <c r="DL394" s="1593"/>
      <c r="DM394" s="1593"/>
      <c r="DN394" s="1593"/>
      <c r="DO394" s="1593"/>
      <c r="DP394" s="1593"/>
      <c r="DQ394" s="1593"/>
      <c r="DR394" s="1593"/>
      <c r="DS394" s="1593"/>
      <c r="DT394" s="1593"/>
      <c r="DU394" s="1593"/>
      <c r="DV394" s="1593"/>
      <c r="DW394" s="1593"/>
      <c r="DX394" s="1593"/>
      <c r="DY394" s="1593"/>
      <c r="DZ394" s="1593"/>
      <c r="EA394" s="1593"/>
      <c r="EB394" s="1593"/>
      <c r="EC394" s="1593"/>
      <c r="ED394" s="1593"/>
      <c r="EE394" s="1593"/>
      <c r="EF394" s="1593"/>
      <c r="EG394" s="1593"/>
      <c r="EH394" s="1593"/>
      <c r="EI394" s="1593"/>
      <c r="EJ394" s="1593"/>
      <c r="EK394" s="1593"/>
      <c r="EL394" s="1593"/>
      <c r="EM394" s="1593"/>
      <c r="EN394" s="1593"/>
      <c r="EO394" s="1593"/>
      <c r="EP394" s="1593"/>
      <c r="EQ394" s="1593"/>
      <c r="ER394" s="1593"/>
      <c r="ES394" s="1593"/>
      <c r="ET394" s="1593"/>
      <c r="EU394" s="1593"/>
      <c r="EV394" s="1593"/>
      <c r="EW394" s="1593"/>
      <c r="EX394" s="1593"/>
      <c r="EY394" s="1593"/>
      <c r="EZ394" s="1593"/>
      <c r="FA394" s="1593"/>
      <c r="FB394" s="1593"/>
      <c r="FC394" s="1593"/>
      <c r="FD394" s="1593"/>
      <c r="FE394" s="1593"/>
      <c r="FF394" s="1593"/>
      <c r="FG394" s="1593"/>
      <c r="FH394" s="1593"/>
      <c r="FI394" s="1593"/>
      <c r="FJ394" s="1593"/>
      <c r="FK394" s="1593"/>
      <c r="FL394" s="1593"/>
      <c r="FM394" s="1593"/>
      <c r="FN394" s="1593"/>
      <c r="FO394" s="1593"/>
      <c r="FP394" s="1593"/>
      <c r="FQ394" s="1593"/>
      <c r="FR394" s="1593"/>
      <c r="FS394" s="1593"/>
      <c r="FT394" s="1593"/>
      <c r="FU394" s="1593"/>
      <c r="FV394" s="1593"/>
      <c r="FW394" s="1593"/>
      <c r="FX394" s="1593"/>
      <c r="FY394" s="1593"/>
      <c r="FZ394" s="1593"/>
      <c r="GA394" s="1593"/>
      <c r="GB394" s="1593"/>
      <c r="GC394" s="1593"/>
      <c r="GD394" s="1593"/>
      <c r="GE394" s="1593"/>
      <c r="GF394" s="1593"/>
      <c r="GG394" s="1593"/>
      <c r="GH394" s="1593"/>
      <c r="GI394" s="1593"/>
      <c r="GJ394" s="1593"/>
      <c r="GK394" s="1593"/>
      <c r="GL394" s="1593"/>
      <c r="GM394" s="1593"/>
      <c r="GN394" s="1593"/>
      <c r="GO394" s="1593"/>
      <c r="GP394" s="1593"/>
      <c r="GQ394" s="1593"/>
      <c r="GR394" s="1593"/>
      <c r="GS394" s="1593"/>
      <c r="GT394" s="1593"/>
      <c r="GU394" s="1593"/>
      <c r="GV394" s="1593"/>
      <c r="GW394" s="1593"/>
      <c r="GX394" s="1593"/>
      <c r="GY394" s="1593"/>
      <c r="GZ394" s="1593"/>
      <c r="HA394" s="1593"/>
      <c r="HB394" s="1593"/>
      <c r="HC394" s="1593"/>
      <c r="HD394" s="1593"/>
      <c r="HE394" s="1593"/>
      <c r="HF394" s="1593"/>
      <c r="HG394" s="1593"/>
      <c r="HH394" s="1593"/>
      <c r="HI394" s="1593"/>
      <c r="HJ394" s="1593"/>
      <c r="HK394" s="1593"/>
      <c r="HL394" s="1593"/>
      <c r="HM394" s="1593"/>
      <c r="HN394" s="1593"/>
      <c r="HO394" s="1593"/>
      <c r="HP394" s="1593"/>
      <c r="HQ394" s="1593"/>
      <c r="HR394" s="1593"/>
      <c r="HS394" s="1593"/>
      <c r="HT394" s="1593"/>
      <c r="HU394" s="1593"/>
      <c r="HV394" s="1593"/>
      <c r="HW394" s="1593"/>
      <c r="HX394" s="1593"/>
      <c r="HY394" s="1593"/>
      <c r="HZ394" s="1593"/>
      <c r="IA394" s="1593"/>
      <c r="IB394" s="1593"/>
      <c r="IC394" s="1593"/>
      <c r="ID394" s="1593"/>
      <c r="IE394" s="1593"/>
      <c r="IF394" s="1593"/>
      <c r="IG394" s="1593"/>
      <c r="IH394" s="1593"/>
      <c r="II394" s="1593"/>
      <c r="IJ394" s="1593"/>
      <c r="IK394" s="1593"/>
      <c r="IL394" s="1593"/>
      <c r="IM394" s="1593"/>
      <c r="IN394" s="1593"/>
      <c r="IO394" s="1593"/>
      <c r="IP394" s="1593"/>
      <c r="IQ394" s="1593"/>
      <c r="IR394" s="1593"/>
      <c r="IS394" s="1593"/>
      <c r="IT394" s="1593"/>
      <c r="IU394" s="1593"/>
      <c r="IV394" s="1593"/>
      <c r="IW394" s="1593"/>
      <c r="IX394" s="1593"/>
      <c r="IY394" s="1593"/>
      <c r="IZ394" s="1593"/>
      <c r="JA394" s="1593"/>
      <c r="JB394" s="1593"/>
      <c r="JC394" s="1593"/>
      <c r="JD394" s="1593"/>
      <c r="JE394" s="1593"/>
      <c r="JF394" s="1593"/>
      <c r="JG394" s="1593"/>
      <c r="JH394" s="1593"/>
      <c r="JI394" s="1593"/>
      <c r="JJ394" s="1593"/>
      <c r="JK394" s="1593"/>
      <c r="JL394" s="1593"/>
      <c r="JM394" s="1593"/>
      <c r="JN394" s="1593"/>
      <c r="JO394" s="1593"/>
      <c r="JP394" s="1593"/>
      <c r="JQ394" s="1593"/>
      <c r="JR394" s="1593"/>
      <c r="JS394" s="1593"/>
      <c r="JT394" s="1593"/>
      <c r="JU394" s="1593"/>
      <c r="JV394" s="1593"/>
      <c r="JW394" s="1593"/>
      <c r="JX394" s="1593"/>
      <c r="JY394" s="1593"/>
      <c r="JZ394" s="1593"/>
      <c r="KA394" s="1593"/>
      <c r="KB394" s="1598"/>
    </row>
    <row r="395" spans="2:288" ht="15" customHeight="1" x14ac:dyDescent="0.25">
      <c r="B395" s="216" t="str">
        <f t="shared" si="30"/>
        <v>Desk 76</v>
      </c>
      <c r="C395" s="218" t="str">
        <v/>
      </c>
      <c r="D395" s="218" t="str">
        <v/>
      </c>
      <c r="E395" s="218" t="str">
        <v/>
      </c>
      <c r="F395" s="218" t="str">
        <v/>
      </c>
      <c r="G395" s="402" t="str">
        <v/>
      </c>
      <c r="H395" s="1593"/>
      <c r="I395" s="1593"/>
      <c r="J395" s="1593"/>
      <c r="K395" s="1593"/>
      <c r="L395" s="1593"/>
      <c r="M395" s="1593"/>
      <c r="N395" s="1593"/>
      <c r="O395" s="1593"/>
      <c r="P395" s="1593"/>
      <c r="Q395" s="1593"/>
      <c r="R395" s="1593"/>
      <c r="S395" s="1593"/>
      <c r="T395" s="1593"/>
      <c r="U395" s="1593"/>
      <c r="V395" s="1593"/>
      <c r="W395" s="1593"/>
      <c r="X395" s="1593"/>
      <c r="Y395" s="1593"/>
      <c r="Z395" s="1593"/>
      <c r="AA395" s="1593"/>
      <c r="AB395" s="1593"/>
      <c r="AC395" s="1593"/>
      <c r="AD395" s="1593"/>
      <c r="AE395" s="1593"/>
      <c r="AF395" s="1593"/>
      <c r="AG395" s="1593"/>
      <c r="AH395" s="1593"/>
      <c r="AI395" s="1593"/>
      <c r="AJ395" s="1593"/>
      <c r="AK395" s="1593"/>
      <c r="AL395" s="1593"/>
      <c r="AM395" s="1593"/>
      <c r="AN395" s="1593"/>
      <c r="AO395" s="1593"/>
      <c r="AP395" s="1593"/>
      <c r="AQ395" s="1593"/>
      <c r="AR395" s="1593"/>
      <c r="AS395" s="1593"/>
      <c r="AT395" s="1593"/>
      <c r="AU395" s="1593"/>
      <c r="AV395" s="1593"/>
      <c r="AW395" s="1593"/>
      <c r="AX395" s="1593"/>
      <c r="AY395" s="1593"/>
      <c r="AZ395" s="1593"/>
      <c r="BA395" s="1593"/>
      <c r="BB395" s="1593"/>
      <c r="BC395" s="1593"/>
      <c r="BD395" s="1593"/>
      <c r="BE395" s="1593"/>
      <c r="BF395" s="1593"/>
      <c r="BG395" s="1593"/>
      <c r="BH395" s="1593"/>
      <c r="BI395" s="1593"/>
      <c r="BJ395" s="1593"/>
      <c r="BK395" s="1593"/>
      <c r="BL395" s="1593"/>
      <c r="BM395" s="1593"/>
      <c r="BN395" s="1593"/>
      <c r="BO395" s="1593"/>
      <c r="BP395" s="1593"/>
      <c r="BQ395" s="1593"/>
      <c r="BR395" s="1593"/>
      <c r="BS395" s="1593"/>
      <c r="BT395" s="1593"/>
      <c r="BU395" s="1593"/>
      <c r="BV395" s="1593"/>
      <c r="BW395" s="1593"/>
      <c r="BX395" s="1593"/>
      <c r="BY395" s="1593"/>
      <c r="BZ395" s="1593"/>
      <c r="CA395" s="1593"/>
      <c r="CB395" s="1593"/>
      <c r="CC395" s="1593"/>
      <c r="CD395" s="1593"/>
      <c r="CE395" s="1593"/>
      <c r="CF395" s="1593"/>
      <c r="CG395" s="1593"/>
      <c r="CH395" s="1593"/>
      <c r="CI395" s="1593"/>
      <c r="CJ395" s="1593"/>
      <c r="CK395" s="1593"/>
      <c r="CL395" s="1593"/>
      <c r="CM395" s="1593"/>
      <c r="CN395" s="1593"/>
      <c r="CO395" s="1593"/>
      <c r="CP395" s="1593"/>
      <c r="CQ395" s="1593"/>
      <c r="CR395" s="1593"/>
      <c r="CS395" s="1593"/>
      <c r="CT395" s="1593"/>
      <c r="CU395" s="1593"/>
      <c r="CV395" s="1593"/>
      <c r="CW395" s="1593"/>
      <c r="CX395" s="1593"/>
      <c r="CY395" s="1593"/>
      <c r="CZ395" s="1593"/>
      <c r="DA395" s="1593"/>
      <c r="DB395" s="1593"/>
      <c r="DC395" s="1593"/>
      <c r="DD395" s="1593"/>
      <c r="DE395" s="1593"/>
      <c r="DF395" s="1593"/>
      <c r="DG395" s="1593"/>
      <c r="DH395" s="1593"/>
      <c r="DI395" s="1593"/>
      <c r="DJ395" s="1593"/>
      <c r="DK395" s="1593"/>
      <c r="DL395" s="1593"/>
      <c r="DM395" s="1593"/>
      <c r="DN395" s="1593"/>
      <c r="DO395" s="1593"/>
      <c r="DP395" s="1593"/>
      <c r="DQ395" s="1593"/>
      <c r="DR395" s="1593"/>
      <c r="DS395" s="1593"/>
      <c r="DT395" s="1593"/>
      <c r="DU395" s="1593"/>
      <c r="DV395" s="1593"/>
      <c r="DW395" s="1593"/>
      <c r="DX395" s="1593"/>
      <c r="DY395" s="1593"/>
      <c r="DZ395" s="1593"/>
      <c r="EA395" s="1593"/>
      <c r="EB395" s="1593"/>
      <c r="EC395" s="1593"/>
      <c r="ED395" s="1593"/>
      <c r="EE395" s="1593"/>
      <c r="EF395" s="1593"/>
      <c r="EG395" s="1593"/>
      <c r="EH395" s="1593"/>
      <c r="EI395" s="1593"/>
      <c r="EJ395" s="1593"/>
      <c r="EK395" s="1593"/>
      <c r="EL395" s="1593"/>
      <c r="EM395" s="1593"/>
      <c r="EN395" s="1593"/>
      <c r="EO395" s="1593"/>
      <c r="EP395" s="1593"/>
      <c r="EQ395" s="1593"/>
      <c r="ER395" s="1593"/>
      <c r="ES395" s="1593"/>
      <c r="ET395" s="1593"/>
      <c r="EU395" s="1593"/>
      <c r="EV395" s="1593"/>
      <c r="EW395" s="1593"/>
      <c r="EX395" s="1593"/>
      <c r="EY395" s="1593"/>
      <c r="EZ395" s="1593"/>
      <c r="FA395" s="1593"/>
      <c r="FB395" s="1593"/>
      <c r="FC395" s="1593"/>
      <c r="FD395" s="1593"/>
      <c r="FE395" s="1593"/>
      <c r="FF395" s="1593"/>
      <c r="FG395" s="1593"/>
      <c r="FH395" s="1593"/>
      <c r="FI395" s="1593"/>
      <c r="FJ395" s="1593"/>
      <c r="FK395" s="1593"/>
      <c r="FL395" s="1593"/>
      <c r="FM395" s="1593"/>
      <c r="FN395" s="1593"/>
      <c r="FO395" s="1593"/>
      <c r="FP395" s="1593"/>
      <c r="FQ395" s="1593"/>
      <c r="FR395" s="1593"/>
      <c r="FS395" s="1593"/>
      <c r="FT395" s="1593"/>
      <c r="FU395" s="1593"/>
      <c r="FV395" s="1593"/>
      <c r="FW395" s="1593"/>
      <c r="FX395" s="1593"/>
      <c r="FY395" s="1593"/>
      <c r="FZ395" s="1593"/>
      <c r="GA395" s="1593"/>
      <c r="GB395" s="1593"/>
      <c r="GC395" s="1593"/>
      <c r="GD395" s="1593"/>
      <c r="GE395" s="1593"/>
      <c r="GF395" s="1593"/>
      <c r="GG395" s="1593"/>
      <c r="GH395" s="1593"/>
      <c r="GI395" s="1593"/>
      <c r="GJ395" s="1593"/>
      <c r="GK395" s="1593"/>
      <c r="GL395" s="1593"/>
      <c r="GM395" s="1593"/>
      <c r="GN395" s="1593"/>
      <c r="GO395" s="1593"/>
      <c r="GP395" s="1593"/>
      <c r="GQ395" s="1593"/>
      <c r="GR395" s="1593"/>
      <c r="GS395" s="1593"/>
      <c r="GT395" s="1593"/>
      <c r="GU395" s="1593"/>
      <c r="GV395" s="1593"/>
      <c r="GW395" s="1593"/>
      <c r="GX395" s="1593"/>
      <c r="GY395" s="1593"/>
      <c r="GZ395" s="1593"/>
      <c r="HA395" s="1593"/>
      <c r="HB395" s="1593"/>
      <c r="HC395" s="1593"/>
      <c r="HD395" s="1593"/>
      <c r="HE395" s="1593"/>
      <c r="HF395" s="1593"/>
      <c r="HG395" s="1593"/>
      <c r="HH395" s="1593"/>
      <c r="HI395" s="1593"/>
      <c r="HJ395" s="1593"/>
      <c r="HK395" s="1593"/>
      <c r="HL395" s="1593"/>
      <c r="HM395" s="1593"/>
      <c r="HN395" s="1593"/>
      <c r="HO395" s="1593"/>
      <c r="HP395" s="1593"/>
      <c r="HQ395" s="1593"/>
      <c r="HR395" s="1593"/>
      <c r="HS395" s="1593"/>
      <c r="HT395" s="1593"/>
      <c r="HU395" s="1593"/>
      <c r="HV395" s="1593"/>
      <c r="HW395" s="1593"/>
      <c r="HX395" s="1593"/>
      <c r="HY395" s="1593"/>
      <c r="HZ395" s="1593"/>
      <c r="IA395" s="1593"/>
      <c r="IB395" s="1593"/>
      <c r="IC395" s="1593"/>
      <c r="ID395" s="1593"/>
      <c r="IE395" s="1593"/>
      <c r="IF395" s="1593"/>
      <c r="IG395" s="1593"/>
      <c r="IH395" s="1593"/>
      <c r="II395" s="1593"/>
      <c r="IJ395" s="1593"/>
      <c r="IK395" s="1593"/>
      <c r="IL395" s="1593"/>
      <c r="IM395" s="1593"/>
      <c r="IN395" s="1593"/>
      <c r="IO395" s="1593"/>
      <c r="IP395" s="1593"/>
      <c r="IQ395" s="1593"/>
      <c r="IR395" s="1593"/>
      <c r="IS395" s="1593"/>
      <c r="IT395" s="1593"/>
      <c r="IU395" s="1593"/>
      <c r="IV395" s="1593"/>
      <c r="IW395" s="1593"/>
      <c r="IX395" s="1593"/>
      <c r="IY395" s="1593"/>
      <c r="IZ395" s="1593"/>
      <c r="JA395" s="1593"/>
      <c r="JB395" s="1593"/>
      <c r="JC395" s="1593"/>
      <c r="JD395" s="1593"/>
      <c r="JE395" s="1593"/>
      <c r="JF395" s="1593"/>
      <c r="JG395" s="1593"/>
      <c r="JH395" s="1593"/>
      <c r="JI395" s="1593"/>
      <c r="JJ395" s="1593"/>
      <c r="JK395" s="1593"/>
      <c r="JL395" s="1593"/>
      <c r="JM395" s="1593"/>
      <c r="JN395" s="1593"/>
      <c r="JO395" s="1593"/>
      <c r="JP395" s="1593"/>
      <c r="JQ395" s="1593"/>
      <c r="JR395" s="1593"/>
      <c r="JS395" s="1593"/>
      <c r="JT395" s="1593"/>
      <c r="JU395" s="1593"/>
      <c r="JV395" s="1593"/>
      <c r="JW395" s="1593"/>
      <c r="JX395" s="1593"/>
      <c r="JY395" s="1593"/>
      <c r="JZ395" s="1593"/>
      <c r="KA395" s="1593"/>
      <c r="KB395" s="1598"/>
    </row>
    <row r="396" spans="2:288" ht="15" customHeight="1" x14ac:dyDescent="0.25">
      <c r="B396" s="216" t="str">
        <f t="shared" si="30"/>
        <v>Desk 77</v>
      </c>
      <c r="C396" s="218" t="str">
        <v/>
      </c>
      <c r="D396" s="218" t="str">
        <v/>
      </c>
      <c r="E396" s="218" t="str">
        <v/>
      </c>
      <c r="F396" s="218" t="str">
        <v/>
      </c>
      <c r="G396" s="402" t="str">
        <v/>
      </c>
      <c r="H396" s="1593"/>
      <c r="I396" s="1593"/>
      <c r="J396" s="1593"/>
      <c r="K396" s="1593"/>
      <c r="L396" s="1593"/>
      <c r="M396" s="1593"/>
      <c r="N396" s="1593"/>
      <c r="O396" s="1593"/>
      <c r="P396" s="1593"/>
      <c r="Q396" s="1593"/>
      <c r="R396" s="1593"/>
      <c r="S396" s="1593"/>
      <c r="T396" s="1593"/>
      <c r="U396" s="1593"/>
      <c r="V396" s="1593"/>
      <c r="W396" s="1593"/>
      <c r="X396" s="1593"/>
      <c r="Y396" s="1593"/>
      <c r="Z396" s="1593"/>
      <c r="AA396" s="1593"/>
      <c r="AB396" s="1593"/>
      <c r="AC396" s="1593"/>
      <c r="AD396" s="1593"/>
      <c r="AE396" s="1593"/>
      <c r="AF396" s="1593"/>
      <c r="AG396" s="1593"/>
      <c r="AH396" s="1593"/>
      <c r="AI396" s="1593"/>
      <c r="AJ396" s="1593"/>
      <c r="AK396" s="1593"/>
      <c r="AL396" s="1593"/>
      <c r="AM396" s="1593"/>
      <c r="AN396" s="1593"/>
      <c r="AO396" s="1593"/>
      <c r="AP396" s="1593"/>
      <c r="AQ396" s="1593"/>
      <c r="AR396" s="1593"/>
      <c r="AS396" s="1593"/>
      <c r="AT396" s="1593"/>
      <c r="AU396" s="1593"/>
      <c r="AV396" s="1593"/>
      <c r="AW396" s="1593"/>
      <c r="AX396" s="1593"/>
      <c r="AY396" s="1593"/>
      <c r="AZ396" s="1593"/>
      <c r="BA396" s="1593"/>
      <c r="BB396" s="1593"/>
      <c r="BC396" s="1593"/>
      <c r="BD396" s="1593"/>
      <c r="BE396" s="1593"/>
      <c r="BF396" s="1593"/>
      <c r="BG396" s="1593"/>
      <c r="BH396" s="1593"/>
      <c r="BI396" s="1593"/>
      <c r="BJ396" s="1593"/>
      <c r="BK396" s="1593"/>
      <c r="BL396" s="1593"/>
      <c r="BM396" s="1593"/>
      <c r="BN396" s="1593"/>
      <c r="BO396" s="1593"/>
      <c r="BP396" s="1593"/>
      <c r="BQ396" s="1593"/>
      <c r="BR396" s="1593"/>
      <c r="BS396" s="1593"/>
      <c r="BT396" s="1593"/>
      <c r="BU396" s="1593"/>
      <c r="BV396" s="1593"/>
      <c r="BW396" s="1593"/>
      <c r="BX396" s="1593"/>
      <c r="BY396" s="1593"/>
      <c r="BZ396" s="1593"/>
      <c r="CA396" s="1593"/>
      <c r="CB396" s="1593"/>
      <c r="CC396" s="1593"/>
      <c r="CD396" s="1593"/>
      <c r="CE396" s="1593"/>
      <c r="CF396" s="1593"/>
      <c r="CG396" s="1593"/>
      <c r="CH396" s="1593"/>
      <c r="CI396" s="1593"/>
      <c r="CJ396" s="1593"/>
      <c r="CK396" s="1593"/>
      <c r="CL396" s="1593"/>
      <c r="CM396" s="1593"/>
      <c r="CN396" s="1593"/>
      <c r="CO396" s="1593"/>
      <c r="CP396" s="1593"/>
      <c r="CQ396" s="1593"/>
      <c r="CR396" s="1593"/>
      <c r="CS396" s="1593"/>
      <c r="CT396" s="1593"/>
      <c r="CU396" s="1593"/>
      <c r="CV396" s="1593"/>
      <c r="CW396" s="1593"/>
      <c r="CX396" s="1593"/>
      <c r="CY396" s="1593"/>
      <c r="CZ396" s="1593"/>
      <c r="DA396" s="1593"/>
      <c r="DB396" s="1593"/>
      <c r="DC396" s="1593"/>
      <c r="DD396" s="1593"/>
      <c r="DE396" s="1593"/>
      <c r="DF396" s="1593"/>
      <c r="DG396" s="1593"/>
      <c r="DH396" s="1593"/>
      <c r="DI396" s="1593"/>
      <c r="DJ396" s="1593"/>
      <c r="DK396" s="1593"/>
      <c r="DL396" s="1593"/>
      <c r="DM396" s="1593"/>
      <c r="DN396" s="1593"/>
      <c r="DO396" s="1593"/>
      <c r="DP396" s="1593"/>
      <c r="DQ396" s="1593"/>
      <c r="DR396" s="1593"/>
      <c r="DS396" s="1593"/>
      <c r="DT396" s="1593"/>
      <c r="DU396" s="1593"/>
      <c r="DV396" s="1593"/>
      <c r="DW396" s="1593"/>
      <c r="DX396" s="1593"/>
      <c r="DY396" s="1593"/>
      <c r="DZ396" s="1593"/>
      <c r="EA396" s="1593"/>
      <c r="EB396" s="1593"/>
      <c r="EC396" s="1593"/>
      <c r="ED396" s="1593"/>
      <c r="EE396" s="1593"/>
      <c r="EF396" s="1593"/>
      <c r="EG396" s="1593"/>
      <c r="EH396" s="1593"/>
      <c r="EI396" s="1593"/>
      <c r="EJ396" s="1593"/>
      <c r="EK396" s="1593"/>
      <c r="EL396" s="1593"/>
      <c r="EM396" s="1593"/>
      <c r="EN396" s="1593"/>
      <c r="EO396" s="1593"/>
      <c r="EP396" s="1593"/>
      <c r="EQ396" s="1593"/>
      <c r="ER396" s="1593"/>
      <c r="ES396" s="1593"/>
      <c r="ET396" s="1593"/>
      <c r="EU396" s="1593"/>
      <c r="EV396" s="1593"/>
      <c r="EW396" s="1593"/>
      <c r="EX396" s="1593"/>
      <c r="EY396" s="1593"/>
      <c r="EZ396" s="1593"/>
      <c r="FA396" s="1593"/>
      <c r="FB396" s="1593"/>
      <c r="FC396" s="1593"/>
      <c r="FD396" s="1593"/>
      <c r="FE396" s="1593"/>
      <c r="FF396" s="1593"/>
      <c r="FG396" s="1593"/>
      <c r="FH396" s="1593"/>
      <c r="FI396" s="1593"/>
      <c r="FJ396" s="1593"/>
      <c r="FK396" s="1593"/>
      <c r="FL396" s="1593"/>
      <c r="FM396" s="1593"/>
      <c r="FN396" s="1593"/>
      <c r="FO396" s="1593"/>
      <c r="FP396" s="1593"/>
      <c r="FQ396" s="1593"/>
      <c r="FR396" s="1593"/>
      <c r="FS396" s="1593"/>
      <c r="FT396" s="1593"/>
      <c r="FU396" s="1593"/>
      <c r="FV396" s="1593"/>
      <c r="FW396" s="1593"/>
      <c r="FX396" s="1593"/>
      <c r="FY396" s="1593"/>
      <c r="FZ396" s="1593"/>
      <c r="GA396" s="1593"/>
      <c r="GB396" s="1593"/>
      <c r="GC396" s="1593"/>
      <c r="GD396" s="1593"/>
      <c r="GE396" s="1593"/>
      <c r="GF396" s="1593"/>
      <c r="GG396" s="1593"/>
      <c r="GH396" s="1593"/>
      <c r="GI396" s="1593"/>
      <c r="GJ396" s="1593"/>
      <c r="GK396" s="1593"/>
      <c r="GL396" s="1593"/>
      <c r="GM396" s="1593"/>
      <c r="GN396" s="1593"/>
      <c r="GO396" s="1593"/>
      <c r="GP396" s="1593"/>
      <c r="GQ396" s="1593"/>
      <c r="GR396" s="1593"/>
      <c r="GS396" s="1593"/>
      <c r="GT396" s="1593"/>
      <c r="GU396" s="1593"/>
      <c r="GV396" s="1593"/>
      <c r="GW396" s="1593"/>
      <c r="GX396" s="1593"/>
      <c r="GY396" s="1593"/>
      <c r="GZ396" s="1593"/>
      <c r="HA396" s="1593"/>
      <c r="HB396" s="1593"/>
      <c r="HC396" s="1593"/>
      <c r="HD396" s="1593"/>
      <c r="HE396" s="1593"/>
      <c r="HF396" s="1593"/>
      <c r="HG396" s="1593"/>
      <c r="HH396" s="1593"/>
      <c r="HI396" s="1593"/>
      <c r="HJ396" s="1593"/>
      <c r="HK396" s="1593"/>
      <c r="HL396" s="1593"/>
      <c r="HM396" s="1593"/>
      <c r="HN396" s="1593"/>
      <c r="HO396" s="1593"/>
      <c r="HP396" s="1593"/>
      <c r="HQ396" s="1593"/>
      <c r="HR396" s="1593"/>
      <c r="HS396" s="1593"/>
      <c r="HT396" s="1593"/>
      <c r="HU396" s="1593"/>
      <c r="HV396" s="1593"/>
      <c r="HW396" s="1593"/>
      <c r="HX396" s="1593"/>
      <c r="HY396" s="1593"/>
      <c r="HZ396" s="1593"/>
      <c r="IA396" s="1593"/>
      <c r="IB396" s="1593"/>
      <c r="IC396" s="1593"/>
      <c r="ID396" s="1593"/>
      <c r="IE396" s="1593"/>
      <c r="IF396" s="1593"/>
      <c r="IG396" s="1593"/>
      <c r="IH396" s="1593"/>
      <c r="II396" s="1593"/>
      <c r="IJ396" s="1593"/>
      <c r="IK396" s="1593"/>
      <c r="IL396" s="1593"/>
      <c r="IM396" s="1593"/>
      <c r="IN396" s="1593"/>
      <c r="IO396" s="1593"/>
      <c r="IP396" s="1593"/>
      <c r="IQ396" s="1593"/>
      <c r="IR396" s="1593"/>
      <c r="IS396" s="1593"/>
      <c r="IT396" s="1593"/>
      <c r="IU396" s="1593"/>
      <c r="IV396" s="1593"/>
      <c r="IW396" s="1593"/>
      <c r="IX396" s="1593"/>
      <c r="IY396" s="1593"/>
      <c r="IZ396" s="1593"/>
      <c r="JA396" s="1593"/>
      <c r="JB396" s="1593"/>
      <c r="JC396" s="1593"/>
      <c r="JD396" s="1593"/>
      <c r="JE396" s="1593"/>
      <c r="JF396" s="1593"/>
      <c r="JG396" s="1593"/>
      <c r="JH396" s="1593"/>
      <c r="JI396" s="1593"/>
      <c r="JJ396" s="1593"/>
      <c r="JK396" s="1593"/>
      <c r="JL396" s="1593"/>
      <c r="JM396" s="1593"/>
      <c r="JN396" s="1593"/>
      <c r="JO396" s="1593"/>
      <c r="JP396" s="1593"/>
      <c r="JQ396" s="1593"/>
      <c r="JR396" s="1593"/>
      <c r="JS396" s="1593"/>
      <c r="JT396" s="1593"/>
      <c r="JU396" s="1593"/>
      <c r="JV396" s="1593"/>
      <c r="JW396" s="1593"/>
      <c r="JX396" s="1593"/>
      <c r="JY396" s="1593"/>
      <c r="JZ396" s="1593"/>
      <c r="KA396" s="1593"/>
      <c r="KB396" s="1598"/>
    </row>
    <row r="397" spans="2:288" ht="15" customHeight="1" x14ac:dyDescent="0.25">
      <c r="B397" s="216" t="str">
        <f t="shared" si="30"/>
        <v>Desk 78</v>
      </c>
      <c r="C397" s="218" t="str">
        <v/>
      </c>
      <c r="D397" s="218" t="str">
        <v/>
      </c>
      <c r="E397" s="218" t="str">
        <v/>
      </c>
      <c r="F397" s="218" t="str">
        <v/>
      </c>
      <c r="G397" s="402" t="str">
        <v/>
      </c>
      <c r="H397" s="1593"/>
      <c r="I397" s="1593"/>
      <c r="J397" s="1593"/>
      <c r="K397" s="1593"/>
      <c r="L397" s="1593"/>
      <c r="M397" s="1593"/>
      <c r="N397" s="1593"/>
      <c r="O397" s="1593"/>
      <c r="P397" s="1593"/>
      <c r="Q397" s="1593"/>
      <c r="R397" s="1593"/>
      <c r="S397" s="1593"/>
      <c r="T397" s="1593"/>
      <c r="U397" s="1593"/>
      <c r="V397" s="1593"/>
      <c r="W397" s="1593"/>
      <c r="X397" s="1593"/>
      <c r="Y397" s="1593"/>
      <c r="Z397" s="1593"/>
      <c r="AA397" s="1593"/>
      <c r="AB397" s="1593"/>
      <c r="AC397" s="1593"/>
      <c r="AD397" s="1593"/>
      <c r="AE397" s="1593"/>
      <c r="AF397" s="1593"/>
      <c r="AG397" s="1593"/>
      <c r="AH397" s="1593"/>
      <c r="AI397" s="1593"/>
      <c r="AJ397" s="1593"/>
      <c r="AK397" s="1593"/>
      <c r="AL397" s="1593"/>
      <c r="AM397" s="1593"/>
      <c r="AN397" s="1593"/>
      <c r="AO397" s="1593"/>
      <c r="AP397" s="1593"/>
      <c r="AQ397" s="1593"/>
      <c r="AR397" s="1593"/>
      <c r="AS397" s="1593"/>
      <c r="AT397" s="1593"/>
      <c r="AU397" s="1593"/>
      <c r="AV397" s="1593"/>
      <c r="AW397" s="1593"/>
      <c r="AX397" s="1593"/>
      <c r="AY397" s="1593"/>
      <c r="AZ397" s="1593"/>
      <c r="BA397" s="1593"/>
      <c r="BB397" s="1593"/>
      <c r="BC397" s="1593"/>
      <c r="BD397" s="1593"/>
      <c r="BE397" s="1593"/>
      <c r="BF397" s="1593"/>
      <c r="BG397" s="1593"/>
      <c r="BH397" s="1593"/>
      <c r="BI397" s="1593"/>
      <c r="BJ397" s="1593"/>
      <c r="BK397" s="1593"/>
      <c r="BL397" s="1593"/>
      <c r="BM397" s="1593"/>
      <c r="BN397" s="1593"/>
      <c r="BO397" s="1593"/>
      <c r="BP397" s="1593"/>
      <c r="BQ397" s="1593"/>
      <c r="BR397" s="1593"/>
      <c r="BS397" s="1593"/>
      <c r="BT397" s="1593"/>
      <c r="BU397" s="1593"/>
      <c r="BV397" s="1593"/>
      <c r="BW397" s="1593"/>
      <c r="BX397" s="1593"/>
      <c r="BY397" s="1593"/>
      <c r="BZ397" s="1593"/>
      <c r="CA397" s="1593"/>
      <c r="CB397" s="1593"/>
      <c r="CC397" s="1593"/>
      <c r="CD397" s="1593"/>
      <c r="CE397" s="1593"/>
      <c r="CF397" s="1593"/>
      <c r="CG397" s="1593"/>
      <c r="CH397" s="1593"/>
      <c r="CI397" s="1593"/>
      <c r="CJ397" s="1593"/>
      <c r="CK397" s="1593"/>
      <c r="CL397" s="1593"/>
      <c r="CM397" s="1593"/>
      <c r="CN397" s="1593"/>
      <c r="CO397" s="1593"/>
      <c r="CP397" s="1593"/>
      <c r="CQ397" s="1593"/>
      <c r="CR397" s="1593"/>
      <c r="CS397" s="1593"/>
      <c r="CT397" s="1593"/>
      <c r="CU397" s="1593"/>
      <c r="CV397" s="1593"/>
      <c r="CW397" s="1593"/>
      <c r="CX397" s="1593"/>
      <c r="CY397" s="1593"/>
      <c r="CZ397" s="1593"/>
      <c r="DA397" s="1593"/>
      <c r="DB397" s="1593"/>
      <c r="DC397" s="1593"/>
      <c r="DD397" s="1593"/>
      <c r="DE397" s="1593"/>
      <c r="DF397" s="1593"/>
      <c r="DG397" s="1593"/>
      <c r="DH397" s="1593"/>
      <c r="DI397" s="1593"/>
      <c r="DJ397" s="1593"/>
      <c r="DK397" s="1593"/>
      <c r="DL397" s="1593"/>
      <c r="DM397" s="1593"/>
      <c r="DN397" s="1593"/>
      <c r="DO397" s="1593"/>
      <c r="DP397" s="1593"/>
      <c r="DQ397" s="1593"/>
      <c r="DR397" s="1593"/>
      <c r="DS397" s="1593"/>
      <c r="DT397" s="1593"/>
      <c r="DU397" s="1593"/>
      <c r="DV397" s="1593"/>
      <c r="DW397" s="1593"/>
      <c r="DX397" s="1593"/>
      <c r="DY397" s="1593"/>
      <c r="DZ397" s="1593"/>
      <c r="EA397" s="1593"/>
      <c r="EB397" s="1593"/>
      <c r="EC397" s="1593"/>
      <c r="ED397" s="1593"/>
      <c r="EE397" s="1593"/>
      <c r="EF397" s="1593"/>
      <c r="EG397" s="1593"/>
      <c r="EH397" s="1593"/>
      <c r="EI397" s="1593"/>
      <c r="EJ397" s="1593"/>
      <c r="EK397" s="1593"/>
      <c r="EL397" s="1593"/>
      <c r="EM397" s="1593"/>
      <c r="EN397" s="1593"/>
      <c r="EO397" s="1593"/>
      <c r="EP397" s="1593"/>
      <c r="EQ397" s="1593"/>
      <c r="ER397" s="1593"/>
      <c r="ES397" s="1593"/>
      <c r="ET397" s="1593"/>
      <c r="EU397" s="1593"/>
      <c r="EV397" s="1593"/>
      <c r="EW397" s="1593"/>
      <c r="EX397" s="1593"/>
      <c r="EY397" s="1593"/>
      <c r="EZ397" s="1593"/>
      <c r="FA397" s="1593"/>
      <c r="FB397" s="1593"/>
      <c r="FC397" s="1593"/>
      <c r="FD397" s="1593"/>
      <c r="FE397" s="1593"/>
      <c r="FF397" s="1593"/>
      <c r="FG397" s="1593"/>
      <c r="FH397" s="1593"/>
      <c r="FI397" s="1593"/>
      <c r="FJ397" s="1593"/>
      <c r="FK397" s="1593"/>
      <c r="FL397" s="1593"/>
      <c r="FM397" s="1593"/>
      <c r="FN397" s="1593"/>
      <c r="FO397" s="1593"/>
      <c r="FP397" s="1593"/>
      <c r="FQ397" s="1593"/>
      <c r="FR397" s="1593"/>
      <c r="FS397" s="1593"/>
      <c r="FT397" s="1593"/>
      <c r="FU397" s="1593"/>
      <c r="FV397" s="1593"/>
      <c r="FW397" s="1593"/>
      <c r="FX397" s="1593"/>
      <c r="FY397" s="1593"/>
      <c r="FZ397" s="1593"/>
      <c r="GA397" s="1593"/>
      <c r="GB397" s="1593"/>
      <c r="GC397" s="1593"/>
      <c r="GD397" s="1593"/>
      <c r="GE397" s="1593"/>
      <c r="GF397" s="1593"/>
      <c r="GG397" s="1593"/>
      <c r="GH397" s="1593"/>
      <c r="GI397" s="1593"/>
      <c r="GJ397" s="1593"/>
      <c r="GK397" s="1593"/>
      <c r="GL397" s="1593"/>
      <c r="GM397" s="1593"/>
      <c r="GN397" s="1593"/>
      <c r="GO397" s="1593"/>
      <c r="GP397" s="1593"/>
      <c r="GQ397" s="1593"/>
      <c r="GR397" s="1593"/>
      <c r="GS397" s="1593"/>
      <c r="GT397" s="1593"/>
      <c r="GU397" s="1593"/>
      <c r="GV397" s="1593"/>
      <c r="GW397" s="1593"/>
      <c r="GX397" s="1593"/>
      <c r="GY397" s="1593"/>
      <c r="GZ397" s="1593"/>
      <c r="HA397" s="1593"/>
      <c r="HB397" s="1593"/>
      <c r="HC397" s="1593"/>
      <c r="HD397" s="1593"/>
      <c r="HE397" s="1593"/>
      <c r="HF397" s="1593"/>
      <c r="HG397" s="1593"/>
      <c r="HH397" s="1593"/>
      <c r="HI397" s="1593"/>
      <c r="HJ397" s="1593"/>
      <c r="HK397" s="1593"/>
      <c r="HL397" s="1593"/>
      <c r="HM397" s="1593"/>
      <c r="HN397" s="1593"/>
      <c r="HO397" s="1593"/>
      <c r="HP397" s="1593"/>
      <c r="HQ397" s="1593"/>
      <c r="HR397" s="1593"/>
      <c r="HS397" s="1593"/>
      <c r="HT397" s="1593"/>
      <c r="HU397" s="1593"/>
      <c r="HV397" s="1593"/>
      <c r="HW397" s="1593"/>
      <c r="HX397" s="1593"/>
      <c r="HY397" s="1593"/>
      <c r="HZ397" s="1593"/>
      <c r="IA397" s="1593"/>
      <c r="IB397" s="1593"/>
      <c r="IC397" s="1593"/>
      <c r="ID397" s="1593"/>
      <c r="IE397" s="1593"/>
      <c r="IF397" s="1593"/>
      <c r="IG397" s="1593"/>
      <c r="IH397" s="1593"/>
      <c r="II397" s="1593"/>
      <c r="IJ397" s="1593"/>
      <c r="IK397" s="1593"/>
      <c r="IL397" s="1593"/>
      <c r="IM397" s="1593"/>
      <c r="IN397" s="1593"/>
      <c r="IO397" s="1593"/>
      <c r="IP397" s="1593"/>
      <c r="IQ397" s="1593"/>
      <c r="IR397" s="1593"/>
      <c r="IS397" s="1593"/>
      <c r="IT397" s="1593"/>
      <c r="IU397" s="1593"/>
      <c r="IV397" s="1593"/>
      <c r="IW397" s="1593"/>
      <c r="IX397" s="1593"/>
      <c r="IY397" s="1593"/>
      <c r="IZ397" s="1593"/>
      <c r="JA397" s="1593"/>
      <c r="JB397" s="1593"/>
      <c r="JC397" s="1593"/>
      <c r="JD397" s="1593"/>
      <c r="JE397" s="1593"/>
      <c r="JF397" s="1593"/>
      <c r="JG397" s="1593"/>
      <c r="JH397" s="1593"/>
      <c r="JI397" s="1593"/>
      <c r="JJ397" s="1593"/>
      <c r="JK397" s="1593"/>
      <c r="JL397" s="1593"/>
      <c r="JM397" s="1593"/>
      <c r="JN397" s="1593"/>
      <c r="JO397" s="1593"/>
      <c r="JP397" s="1593"/>
      <c r="JQ397" s="1593"/>
      <c r="JR397" s="1593"/>
      <c r="JS397" s="1593"/>
      <c r="JT397" s="1593"/>
      <c r="JU397" s="1593"/>
      <c r="JV397" s="1593"/>
      <c r="JW397" s="1593"/>
      <c r="JX397" s="1593"/>
      <c r="JY397" s="1593"/>
      <c r="JZ397" s="1593"/>
      <c r="KA397" s="1593"/>
      <c r="KB397" s="1598"/>
    </row>
    <row r="398" spans="2:288" ht="15" customHeight="1" x14ac:dyDescent="0.25">
      <c r="B398" s="216" t="str">
        <f t="shared" si="30"/>
        <v>Desk 79</v>
      </c>
      <c r="C398" s="218" t="str">
        <v/>
      </c>
      <c r="D398" s="218" t="str">
        <v/>
      </c>
      <c r="E398" s="218" t="str">
        <v/>
      </c>
      <c r="F398" s="218" t="str">
        <v/>
      </c>
      <c r="G398" s="402" t="str">
        <v/>
      </c>
      <c r="H398" s="1593"/>
      <c r="I398" s="1593"/>
      <c r="J398" s="1593"/>
      <c r="K398" s="1593"/>
      <c r="L398" s="1593"/>
      <c r="M398" s="1593"/>
      <c r="N398" s="1593"/>
      <c r="O398" s="1593"/>
      <c r="P398" s="1593"/>
      <c r="Q398" s="1593"/>
      <c r="R398" s="1593"/>
      <c r="S398" s="1593"/>
      <c r="T398" s="1593"/>
      <c r="U398" s="1593"/>
      <c r="V398" s="1593"/>
      <c r="W398" s="1593"/>
      <c r="X398" s="1593"/>
      <c r="Y398" s="1593"/>
      <c r="Z398" s="1593"/>
      <c r="AA398" s="1593"/>
      <c r="AB398" s="1593"/>
      <c r="AC398" s="1593"/>
      <c r="AD398" s="1593"/>
      <c r="AE398" s="1593"/>
      <c r="AF398" s="1593"/>
      <c r="AG398" s="1593"/>
      <c r="AH398" s="1593"/>
      <c r="AI398" s="1593"/>
      <c r="AJ398" s="1593"/>
      <c r="AK398" s="1593"/>
      <c r="AL398" s="1593"/>
      <c r="AM398" s="1593"/>
      <c r="AN398" s="1593"/>
      <c r="AO398" s="1593"/>
      <c r="AP398" s="1593"/>
      <c r="AQ398" s="1593"/>
      <c r="AR398" s="1593"/>
      <c r="AS398" s="1593"/>
      <c r="AT398" s="1593"/>
      <c r="AU398" s="1593"/>
      <c r="AV398" s="1593"/>
      <c r="AW398" s="1593"/>
      <c r="AX398" s="1593"/>
      <c r="AY398" s="1593"/>
      <c r="AZ398" s="1593"/>
      <c r="BA398" s="1593"/>
      <c r="BB398" s="1593"/>
      <c r="BC398" s="1593"/>
      <c r="BD398" s="1593"/>
      <c r="BE398" s="1593"/>
      <c r="BF398" s="1593"/>
      <c r="BG398" s="1593"/>
      <c r="BH398" s="1593"/>
      <c r="BI398" s="1593"/>
      <c r="BJ398" s="1593"/>
      <c r="BK398" s="1593"/>
      <c r="BL398" s="1593"/>
      <c r="BM398" s="1593"/>
      <c r="BN398" s="1593"/>
      <c r="BO398" s="1593"/>
      <c r="BP398" s="1593"/>
      <c r="BQ398" s="1593"/>
      <c r="BR398" s="1593"/>
      <c r="BS398" s="1593"/>
      <c r="BT398" s="1593"/>
      <c r="BU398" s="1593"/>
      <c r="BV398" s="1593"/>
      <c r="BW398" s="1593"/>
      <c r="BX398" s="1593"/>
      <c r="BY398" s="1593"/>
      <c r="BZ398" s="1593"/>
      <c r="CA398" s="1593"/>
      <c r="CB398" s="1593"/>
      <c r="CC398" s="1593"/>
      <c r="CD398" s="1593"/>
      <c r="CE398" s="1593"/>
      <c r="CF398" s="1593"/>
      <c r="CG398" s="1593"/>
      <c r="CH398" s="1593"/>
      <c r="CI398" s="1593"/>
      <c r="CJ398" s="1593"/>
      <c r="CK398" s="1593"/>
      <c r="CL398" s="1593"/>
      <c r="CM398" s="1593"/>
      <c r="CN398" s="1593"/>
      <c r="CO398" s="1593"/>
      <c r="CP398" s="1593"/>
      <c r="CQ398" s="1593"/>
      <c r="CR398" s="1593"/>
      <c r="CS398" s="1593"/>
      <c r="CT398" s="1593"/>
      <c r="CU398" s="1593"/>
      <c r="CV398" s="1593"/>
      <c r="CW398" s="1593"/>
      <c r="CX398" s="1593"/>
      <c r="CY398" s="1593"/>
      <c r="CZ398" s="1593"/>
      <c r="DA398" s="1593"/>
      <c r="DB398" s="1593"/>
      <c r="DC398" s="1593"/>
      <c r="DD398" s="1593"/>
      <c r="DE398" s="1593"/>
      <c r="DF398" s="1593"/>
      <c r="DG398" s="1593"/>
      <c r="DH398" s="1593"/>
      <c r="DI398" s="1593"/>
      <c r="DJ398" s="1593"/>
      <c r="DK398" s="1593"/>
      <c r="DL398" s="1593"/>
      <c r="DM398" s="1593"/>
      <c r="DN398" s="1593"/>
      <c r="DO398" s="1593"/>
      <c r="DP398" s="1593"/>
      <c r="DQ398" s="1593"/>
      <c r="DR398" s="1593"/>
      <c r="DS398" s="1593"/>
      <c r="DT398" s="1593"/>
      <c r="DU398" s="1593"/>
      <c r="DV398" s="1593"/>
      <c r="DW398" s="1593"/>
      <c r="DX398" s="1593"/>
      <c r="DY398" s="1593"/>
      <c r="DZ398" s="1593"/>
      <c r="EA398" s="1593"/>
      <c r="EB398" s="1593"/>
      <c r="EC398" s="1593"/>
      <c r="ED398" s="1593"/>
      <c r="EE398" s="1593"/>
      <c r="EF398" s="1593"/>
      <c r="EG398" s="1593"/>
      <c r="EH398" s="1593"/>
      <c r="EI398" s="1593"/>
      <c r="EJ398" s="1593"/>
      <c r="EK398" s="1593"/>
      <c r="EL398" s="1593"/>
      <c r="EM398" s="1593"/>
      <c r="EN398" s="1593"/>
      <c r="EO398" s="1593"/>
      <c r="EP398" s="1593"/>
      <c r="EQ398" s="1593"/>
      <c r="ER398" s="1593"/>
      <c r="ES398" s="1593"/>
      <c r="ET398" s="1593"/>
      <c r="EU398" s="1593"/>
      <c r="EV398" s="1593"/>
      <c r="EW398" s="1593"/>
      <c r="EX398" s="1593"/>
      <c r="EY398" s="1593"/>
      <c r="EZ398" s="1593"/>
      <c r="FA398" s="1593"/>
      <c r="FB398" s="1593"/>
      <c r="FC398" s="1593"/>
      <c r="FD398" s="1593"/>
      <c r="FE398" s="1593"/>
      <c r="FF398" s="1593"/>
      <c r="FG398" s="1593"/>
      <c r="FH398" s="1593"/>
      <c r="FI398" s="1593"/>
      <c r="FJ398" s="1593"/>
      <c r="FK398" s="1593"/>
      <c r="FL398" s="1593"/>
      <c r="FM398" s="1593"/>
      <c r="FN398" s="1593"/>
      <c r="FO398" s="1593"/>
      <c r="FP398" s="1593"/>
      <c r="FQ398" s="1593"/>
      <c r="FR398" s="1593"/>
      <c r="FS398" s="1593"/>
      <c r="FT398" s="1593"/>
      <c r="FU398" s="1593"/>
      <c r="FV398" s="1593"/>
      <c r="FW398" s="1593"/>
      <c r="FX398" s="1593"/>
      <c r="FY398" s="1593"/>
      <c r="FZ398" s="1593"/>
      <c r="GA398" s="1593"/>
      <c r="GB398" s="1593"/>
      <c r="GC398" s="1593"/>
      <c r="GD398" s="1593"/>
      <c r="GE398" s="1593"/>
      <c r="GF398" s="1593"/>
      <c r="GG398" s="1593"/>
      <c r="GH398" s="1593"/>
      <c r="GI398" s="1593"/>
      <c r="GJ398" s="1593"/>
      <c r="GK398" s="1593"/>
      <c r="GL398" s="1593"/>
      <c r="GM398" s="1593"/>
      <c r="GN398" s="1593"/>
      <c r="GO398" s="1593"/>
      <c r="GP398" s="1593"/>
      <c r="GQ398" s="1593"/>
      <c r="GR398" s="1593"/>
      <c r="GS398" s="1593"/>
      <c r="GT398" s="1593"/>
      <c r="GU398" s="1593"/>
      <c r="GV398" s="1593"/>
      <c r="GW398" s="1593"/>
      <c r="GX398" s="1593"/>
      <c r="GY398" s="1593"/>
      <c r="GZ398" s="1593"/>
      <c r="HA398" s="1593"/>
      <c r="HB398" s="1593"/>
      <c r="HC398" s="1593"/>
      <c r="HD398" s="1593"/>
      <c r="HE398" s="1593"/>
      <c r="HF398" s="1593"/>
      <c r="HG398" s="1593"/>
      <c r="HH398" s="1593"/>
      <c r="HI398" s="1593"/>
      <c r="HJ398" s="1593"/>
      <c r="HK398" s="1593"/>
      <c r="HL398" s="1593"/>
      <c r="HM398" s="1593"/>
      <c r="HN398" s="1593"/>
      <c r="HO398" s="1593"/>
      <c r="HP398" s="1593"/>
      <c r="HQ398" s="1593"/>
      <c r="HR398" s="1593"/>
      <c r="HS398" s="1593"/>
      <c r="HT398" s="1593"/>
      <c r="HU398" s="1593"/>
      <c r="HV398" s="1593"/>
      <c r="HW398" s="1593"/>
      <c r="HX398" s="1593"/>
      <c r="HY398" s="1593"/>
      <c r="HZ398" s="1593"/>
      <c r="IA398" s="1593"/>
      <c r="IB398" s="1593"/>
      <c r="IC398" s="1593"/>
      <c r="ID398" s="1593"/>
      <c r="IE398" s="1593"/>
      <c r="IF398" s="1593"/>
      <c r="IG398" s="1593"/>
      <c r="IH398" s="1593"/>
      <c r="II398" s="1593"/>
      <c r="IJ398" s="1593"/>
      <c r="IK398" s="1593"/>
      <c r="IL398" s="1593"/>
      <c r="IM398" s="1593"/>
      <c r="IN398" s="1593"/>
      <c r="IO398" s="1593"/>
      <c r="IP398" s="1593"/>
      <c r="IQ398" s="1593"/>
      <c r="IR398" s="1593"/>
      <c r="IS398" s="1593"/>
      <c r="IT398" s="1593"/>
      <c r="IU398" s="1593"/>
      <c r="IV398" s="1593"/>
      <c r="IW398" s="1593"/>
      <c r="IX398" s="1593"/>
      <c r="IY398" s="1593"/>
      <c r="IZ398" s="1593"/>
      <c r="JA398" s="1593"/>
      <c r="JB398" s="1593"/>
      <c r="JC398" s="1593"/>
      <c r="JD398" s="1593"/>
      <c r="JE398" s="1593"/>
      <c r="JF398" s="1593"/>
      <c r="JG398" s="1593"/>
      <c r="JH398" s="1593"/>
      <c r="JI398" s="1593"/>
      <c r="JJ398" s="1593"/>
      <c r="JK398" s="1593"/>
      <c r="JL398" s="1593"/>
      <c r="JM398" s="1593"/>
      <c r="JN398" s="1593"/>
      <c r="JO398" s="1593"/>
      <c r="JP398" s="1593"/>
      <c r="JQ398" s="1593"/>
      <c r="JR398" s="1593"/>
      <c r="JS398" s="1593"/>
      <c r="JT398" s="1593"/>
      <c r="JU398" s="1593"/>
      <c r="JV398" s="1593"/>
      <c r="JW398" s="1593"/>
      <c r="JX398" s="1593"/>
      <c r="JY398" s="1593"/>
      <c r="JZ398" s="1593"/>
      <c r="KA398" s="1593"/>
      <c r="KB398" s="1598"/>
    </row>
    <row r="399" spans="2:288" ht="15" customHeight="1" x14ac:dyDescent="0.25">
      <c r="B399" s="216" t="str">
        <f t="shared" si="30"/>
        <v>Desk 80</v>
      </c>
      <c r="C399" s="218" t="str">
        <v/>
      </c>
      <c r="D399" s="218" t="str">
        <v/>
      </c>
      <c r="E399" s="218" t="str">
        <v/>
      </c>
      <c r="F399" s="218" t="str">
        <v/>
      </c>
      <c r="G399" s="402" t="str">
        <v/>
      </c>
      <c r="H399" s="1593"/>
      <c r="I399" s="1593"/>
      <c r="J399" s="1593"/>
      <c r="K399" s="1593"/>
      <c r="L399" s="1593"/>
      <c r="M399" s="1593"/>
      <c r="N399" s="1593"/>
      <c r="O399" s="1593"/>
      <c r="P399" s="1593"/>
      <c r="Q399" s="1593"/>
      <c r="R399" s="1593"/>
      <c r="S399" s="1593"/>
      <c r="T399" s="1593"/>
      <c r="U399" s="1593"/>
      <c r="V399" s="1593"/>
      <c r="W399" s="1593"/>
      <c r="X399" s="1593"/>
      <c r="Y399" s="1593"/>
      <c r="Z399" s="1593"/>
      <c r="AA399" s="1593"/>
      <c r="AB399" s="1593"/>
      <c r="AC399" s="1593"/>
      <c r="AD399" s="1593"/>
      <c r="AE399" s="1593"/>
      <c r="AF399" s="1593"/>
      <c r="AG399" s="1593"/>
      <c r="AH399" s="1593"/>
      <c r="AI399" s="1593"/>
      <c r="AJ399" s="1593"/>
      <c r="AK399" s="1593"/>
      <c r="AL399" s="1593"/>
      <c r="AM399" s="1593"/>
      <c r="AN399" s="1593"/>
      <c r="AO399" s="1593"/>
      <c r="AP399" s="1593"/>
      <c r="AQ399" s="1593"/>
      <c r="AR399" s="1593"/>
      <c r="AS399" s="1593"/>
      <c r="AT399" s="1593"/>
      <c r="AU399" s="1593"/>
      <c r="AV399" s="1593"/>
      <c r="AW399" s="1593"/>
      <c r="AX399" s="1593"/>
      <c r="AY399" s="1593"/>
      <c r="AZ399" s="1593"/>
      <c r="BA399" s="1593"/>
      <c r="BB399" s="1593"/>
      <c r="BC399" s="1593"/>
      <c r="BD399" s="1593"/>
      <c r="BE399" s="1593"/>
      <c r="BF399" s="1593"/>
      <c r="BG399" s="1593"/>
      <c r="BH399" s="1593"/>
      <c r="BI399" s="1593"/>
      <c r="BJ399" s="1593"/>
      <c r="BK399" s="1593"/>
      <c r="BL399" s="1593"/>
      <c r="BM399" s="1593"/>
      <c r="BN399" s="1593"/>
      <c r="BO399" s="1593"/>
      <c r="BP399" s="1593"/>
      <c r="BQ399" s="1593"/>
      <c r="BR399" s="1593"/>
      <c r="BS399" s="1593"/>
      <c r="BT399" s="1593"/>
      <c r="BU399" s="1593"/>
      <c r="BV399" s="1593"/>
      <c r="BW399" s="1593"/>
      <c r="BX399" s="1593"/>
      <c r="BY399" s="1593"/>
      <c r="BZ399" s="1593"/>
      <c r="CA399" s="1593"/>
      <c r="CB399" s="1593"/>
      <c r="CC399" s="1593"/>
      <c r="CD399" s="1593"/>
      <c r="CE399" s="1593"/>
      <c r="CF399" s="1593"/>
      <c r="CG399" s="1593"/>
      <c r="CH399" s="1593"/>
      <c r="CI399" s="1593"/>
      <c r="CJ399" s="1593"/>
      <c r="CK399" s="1593"/>
      <c r="CL399" s="1593"/>
      <c r="CM399" s="1593"/>
      <c r="CN399" s="1593"/>
      <c r="CO399" s="1593"/>
      <c r="CP399" s="1593"/>
      <c r="CQ399" s="1593"/>
      <c r="CR399" s="1593"/>
      <c r="CS399" s="1593"/>
      <c r="CT399" s="1593"/>
      <c r="CU399" s="1593"/>
      <c r="CV399" s="1593"/>
      <c r="CW399" s="1593"/>
      <c r="CX399" s="1593"/>
      <c r="CY399" s="1593"/>
      <c r="CZ399" s="1593"/>
      <c r="DA399" s="1593"/>
      <c r="DB399" s="1593"/>
      <c r="DC399" s="1593"/>
      <c r="DD399" s="1593"/>
      <c r="DE399" s="1593"/>
      <c r="DF399" s="1593"/>
      <c r="DG399" s="1593"/>
      <c r="DH399" s="1593"/>
      <c r="DI399" s="1593"/>
      <c r="DJ399" s="1593"/>
      <c r="DK399" s="1593"/>
      <c r="DL399" s="1593"/>
      <c r="DM399" s="1593"/>
      <c r="DN399" s="1593"/>
      <c r="DO399" s="1593"/>
      <c r="DP399" s="1593"/>
      <c r="DQ399" s="1593"/>
      <c r="DR399" s="1593"/>
      <c r="DS399" s="1593"/>
      <c r="DT399" s="1593"/>
      <c r="DU399" s="1593"/>
      <c r="DV399" s="1593"/>
      <c r="DW399" s="1593"/>
      <c r="DX399" s="1593"/>
      <c r="DY399" s="1593"/>
      <c r="DZ399" s="1593"/>
      <c r="EA399" s="1593"/>
      <c r="EB399" s="1593"/>
      <c r="EC399" s="1593"/>
      <c r="ED399" s="1593"/>
      <c r="EE399" s="1593"/>
      <c r="EF399" s="1593"/>
      <c r="EG399" s="1593"/>
      <c r="EH399" s="1593"/>
      <c r="EI399" s="1593"/>
      <c r="EJ399" s="1593"/>
      <c r="EK399" s="1593"/>
      <c r="EL399" s="1593"/>
      <c r="EM399" s="1593"/>
      <c r="EN399" s="1593"/>
      <c r="EO399" s="1593"/>
      <c r="EP399" s="1593"/>
      <c r="EQ399" s="1593"/>
      <c r="ER399" s="1593"/>
      <c r="ES399" s="1593"/>
      <c r="ET399" s="1593"/>
      <c r="EU399" s="1593"/>
      <c r="EV399" s="1593"/>
      <c r="EW399" s="1593"/>
      <c r="EX399" s="1593"/>
      <c r="EY399" s="1593"/>
      <c r="EZ399" s="1593"/>
      <c r="FA399" s="1593"/>
      <c r="FB399" s="1593"/>
      <c r="FC399" s="1593"/>
      <c r="FD399" s="1593"/>
      <c r="FE399" s="1593"/>
      <c r="FF399" s="1593"/>
      <c r="FG399" s="1593"/>
      <c r="FH399" s="1593"/>
      <c r="FI399" s="1593"/>
      <c r="FJ399" s="1593"/>
      <c r="FK399" s="1593"/>
      <c r="FL399" s="1593"/>
      <c r="FM399" s="1593"/>
      <c r="FN399" s="1593"/>
      <c r="FO399" s="1593"/>
      <c r="FP399" s="1593"/>
      <c r="FQ399" s="1593"/>
      <c r="FR399" s="1593"/>
      <c r="FS399" s="1593"/>
      <c r="FT399" s="1593"/>
      <c r="FU399" s="1593"/>
      <c r="FV399" s="1593"/>
      <c r="FW399" s="1593"/>
      <c r="FX399" s="1593"/>
      <c r="FY399" s="1593"/>
      <c r="FZ399" s="1593"/>
      <c r="GA399" s="1593"/>
      <c r="GB399" s="1593"/>
      <c r="GC399" s="1593"/>
      <c r="GD399" s="1593"/>
      <c r="GE399" s="1593"/>
      <c r="GF399" s="1593"/>
      <c r="GG399" s="1593"/>
      <c r="GH399" s="1593"/>
      <c r="GI399" s="1593"/>
      <c r="GJ399" s="1593"/>
      <c r="GK399" s="1593"/>
      <c r="GL399" s="1593"/>
      <c r="GM399" s="1593"/>
      <c r="GN399" s="1593"/>
      <c r="GO399" s="1593"/>
      <c r="GP399" s="1593"/>
      <c r="GQ399" s="1593"/>
      <c r="GR399" s="1593"/>
      <c r="GS399" s="1593"/>
      <c r="GT399" s="1593"/>
      <c r="GU399" s="1593"/>
      <c r="GV399" s="1593"/>
      <c r="GW399" s="1593"/>
      <c r="GX399" s="1593"/>
      <c r="GY399" s="1593"/>
      <c r="GZ399" s="1593"/>
      <c r="HA399" s="1593"/>
      <c r="HB399" s="1593"/>
      <c r="HC399" s="1593"/>
      <c r="HD399" s="1593"/>
      <c r="HE399" s="1593"/>
      <c r="HF399" s="1593"/>
      <c r="HG399" s="1593"/>
      <c r="HH399" s="1593"/>
      <c r="HI399" s="1593"/>
      <c r="HJ399" s="1593"/>
      <c r="HK399" s="1593"/>
      <c r="HL399" s="1593"/>
      <c r="HM399" s="1593"/>
      <c r="HN399" s="1593"/>
      <c r="HO399" s="1593"/>
      <c r="HP399" s="1593"/>
      <c r="HQ399" s="1593"/>
      <c r="HR399" s="1593"/>
      <c r="HS399" s="1593"/>
      <c r="HT399" s="1593"/>
      <c r="HU399" s="1593"/>
      <c r="HV399" s="1593"/>
      <c r="HW399" s="1593"/>
      <c r="HX399" s="1593"/>
      <c r="HY399" s="1593"/>
      <c r="HZ399" s="1593"/>
      <c r="IA399" s="1593"/>
      <c r="IB399" s="1593"/>
      <c r="IC399" s="1593"/>
      <c r="ID399" s="1593"/>
      <c r="IE399" s="1593"/>
      <c r="IF399" s="1593"/>
      <c r="IG399" s="1593"/>
      <c r="IH399" s="1593"/>
      <c r="II399" s="1593"/>
      <c r="IJ399" s="1593"/>
      <c r="IK399" s="1593"/>
      <c r="IL399" s="1593"/>
      <c r="IM399" s="1593"/>
      <c r="IN399" s="1593"/>
      <c r="IO399" s="1593"/>
      <c r="IP399" s="1593"/>
      <c r="IQ399" s="1593"/>
      <c r="IR399" s="1593"/>
      <c r="IS399" s="1593"/>
      <c r="IT399" s="1593"/>
      <c r="IU399" s="1593"/>
      <c r="IV399" s="1593"/>
      <c r="IW399" s="1593"/>
      <c r="IX399" s="1593"/>
      <c r="IY399" s="1593"/>
      <c r="IZ399" s="1593"/>
      <c r="JA399" s="1593"/>
      <c r="JB399" s="1593"/>
      <c r="JC399" s="1593"/>
      <c r="JD399" s="1593"/>
      <c r="JE399" s="1593"/>
      <c r="JF399" s="1593"/>
      <c r="JG399" s="1593"/>
      <c r="JH399" s="1593"/>
      <c r="JI399" s="1593"/>
      <c r="JJ399" s="1593"/>
      <c r="JK399" s="1593"/>
      <c r="JL399" s="1593"/>
      <c r="JM399" s="1593"/>
      <c r="JN399" s="1593"/>
      <c r="JO399" s="1593"/>
      <c r="JP399" s="1593"/>
      <c r="JQ399" s="1593"/>
      <c r="JR399" s="1593"/>
      <c r="JS399" s="1593"/>
      <c r="JT399" s="1593"/>
      <c r="JU399" s="1593"/>
      <c r="JV399" s="1593"/>
      <c r="JW399" s="1593"/>
      <c r="JX399" s="1593"/>
      <c r="JY399" s="1593"/>
      <c r="JZ399" s="1593"/>
      <c r="KA399" s="1593"/>
      <c r="KB399" s="1598"/>
    </row>
    <row r="400" spans="2:288" ht="15" customHeight="1" x14ac:dyDescent="0.25">
      <c r="B400" s="216" t="str">
        <f t="shared" si="30"/>
        <v>Desk 81</v>
      </c>
      <c r="C400" s="218" t="str">
        <v/>
      </c>
      <c r="D400" s="218" t="str">
        <v/>
      </c>
      <c r="E400" s="218" t="str">
        <v/>
      </c>
      <c r="F400" s="218" t="str">
        <v/>
      </c>
      <c r="G400" s="402" t="str">
        <v/>
      </c>
      <c r="H400" s="1593"/>
      <c r="I400" s="1593"/>
      <c r="J400" s="1593"/>
      <c r="K400" s="1593"/>
      <c r="L400" s="1593"/>
      <c r="M400" s="1593"/>
      <c r="N400" s="1593"/>
      <c r="O400" s="1593"/>
      <c r="P400" s="1593"/>
      <c r="Q400" s="1593"/>
      <c r="R400" s="1593"/>
      <c r="S400" s="1593"/>
      <c r="T400" s="1593"/>
      <c r="U400" s="1593"/>
      <c r="V400" s="1593"/>
      <c r="W400" s="1593"/>
      <c r="X400" s="1593"/>
      <c r="Y400" s="1593"/>
      <c r="Z400" s="1593"/>
      <c r="AA400" s="1593"/>
      <c r="AB400" s="1593"/>
      <c r="AC400" s="1593"/>
      <c r="AD400" s="1593"/>
      <c r="AE400" s="1593"/>
      <c r="AF400" s="1593"/>
      <c r="AG400" s="1593"/>
      <c r="AH400" s="1593"/>
      <c r="AI400" s="1593"/>
      <c r="AJ400" s="1593"/>
      <c r="AK400" s="1593"/>
      <c r="AL400" s="1593"/>
      <c r="AM400" s="1593"/>
      <c r="AN400" s="1593"/>
      <c r="AO400" s="1593"/>
      <c r="AP400" s="1593"/>
      <c r="AQ400" s="1593"/>
      <c r="AR400" s="1593"/>
      <c r="AS400" s="1593"/>
      <c r="AT400" s="1593"/>
      <c r="AU400" s="1593"/>
      <c r="AV400" s="1593"/>
      <c r="AW400" s="1593"/>
      <c r="AX400" s="1593"/>
      <c r="AY400" s="1593"/>
      <c r="AZ400" s="1593"/>
      <c r="BA400" s="1593"/>
      <c r="BB400" s="1593"/>
      <c r="BC400" s="1593"/>
      <c r="BD400" s="1593"/>
      <c r="BE400" s="1593"/>
      <c r="BF400" s="1593"/>
      <c r="BG400" s="1593"/>
      <c r="BH400" s="1593"/>
      <c r="BI400" s="1593"/>
      <c r="BJ400" s="1593"/>
      <c r="BK400" s="1593"/>
      <c r="BL400" s="1593"/>
      <c r="BM400" s="1593"/>
      <c r="BN400" s="1593"/>
      <c r="BO400" s="1593"/>
      <c r="BP400" s="1593"/>
      <c r="BQ400" s="1593"/>
      <c r="BR400" s="1593"/>
      <c r="BS400" s="1593"/>
      <c r="BT400" s="1593"/>
      <c r="BU400" s="1593"/>
      <c r="BV400" s="1593"/>
      <c r="BW400" s="1593"/>
      <c r="BX400" s="1593"/>
      <c r="BY400" s="1593"/>
      <c r="BZ400" s="1593"/>
      <c r="CA400" s="1593"/>
      <c r="CB400" s="1593"/>
      <c r="CC400" s="1593"/>
      <c r="CD400" s="1593"/>
      <c r="CE400" s="1593"/>
      <c r="CF400" s="1593"/>
      <c r="CG400" s="1593"/>
      <c r="CH400" s="1593"/>
      <c r="CI400" s="1593"/>
      <c r="CJ400" s="1593"/>
      <c r="CK400" s="1593"/>
      <c r="CL400" s="1593"/>
      <c r="CM400" s="1593"/>
      <c r="CN400" s="1593"/>
      <c r="CO400" s="1593"/>
      <c r="CP400" s="1593"/>
      <c r="CQ400" s="1593"/>
      <c r="CR400" s="1593"/>
      <c r="CS400" s="1593"/>
      <c r="CT400" s="1593"/>
      <c r="CU400" s="1593"/>
      <c r="CV400" s="1593"/>
      <c r="CW400" s="1593"/>
      <c r="CX400" s="1593"/>
      <c r="CY400" s="1593"/>
      <c r="CZ400" s="1593"/>
      <c r="DA400" s="1593"/>
      <c r="DB400" s="1593"/>
      <c r="DC400" s="1593"/>
      <c r="DD400" s="1593"/>
      <c r="DE400" s="1593"/>
      <c r="DF400" s="1593"/>
      <c r="DG400" s="1593"/>
      <c r="DH400" s="1593"/>
      <c r="DI400" s="1593"/>
      <c r="DJ400" s="1593"/>
      <c r="DK400" s="1593"/>
      <c r="DL400" s="1593"/>
      <c r="DM400" s="1593"/>
      <c r="DN400" s="1593"/>
      <c r="DO400" s="1593"/>
      <c r="DP400" s="1593"/>
      <c r="DQ400" s="1593"/>
      <c r="DR400" s="1593"/>
      <c r="DS400" s="1593"/>
      <c r="DT400" s="1593"/>
      <c r="DU400" s="1593"/>
      <c r="DV400" s="1593"/>
      <c r="DW400" s="1593"/>
      <c r="DX400" s="1593"/>
      <c r="DY400" s="1593"/>
      <c r="DZ400" s="1593"/>
      <c r="EA400" s="1593"/>
      <c r="EB400" s="1593"/>
      <c r="EC400" s="1593"/>
      <c r="ED400" s="1593"/>
      <c r="EE400" s="1593"/>
      <c r="EF400" s="1593"/>
      <c r="EG400" s="1593"/>
      <c r="EH400" s="1593"/>
      <c r="EI400" s="1593"/>
      <c r="EJ400" s="1593"/>
      <c r="EK400" s="1593"/>
      <c r="EL400" s="1593"/>
      <c r="EM400" s="1593"/>
      <c r="EN400" s="1593"/>
      <c r="EO400" s="1593"/>
      <c r="EP400" s="1593"/>
      <c r="EQ400" s="1593"/>
      <c r="ER400" s="1593"/>
      <c r="ES400" s="1593"/>
      <c r="ET400" s="1593"/>
      <c r="EU400" s="1593"/>
      <c r="EV400" s="1593"/>
      <c r="EW400" s="1593"/>
      <c r="EX400" s="1593"/>
      <c r="EY400" s="1593"/>
      <c r="EZ400" s="1593"/>
      <c r="FA400" s="1593"/>
      <c r="FB400" s="1593"/>
      <c r="FC400" s="1593"/>
      <c r="FD400" s="1593"/>
      <c r="FE400" s="1593"/>
      <c r="FF400" s="1593"/>
      <c r="FG400" s="1593"/>
      <c r="FH400" s="1593"/>
      <c r="FI400" s="1593"/>
      <c r="FJ400" s="1593"/>
      <c r="FK400" s="1593"/>
      <c r="FL400" s="1593"/>
      <c r="FM400" s="1593"/>
      <c r="FN400" s="1593"/>
      <c r="FO400" s="1593"/>
      <c r="FP400" s="1593"/>
      <c r="FQ400" s="1593"/>
      <c r="FR400" s="1593"/>
      <c r="FS400" s="1593"/>
      <c r="FT400" s="1593"/>
      <c r="FU400" s="1593"/>
      <c r="FV400" s="1593"/>
      <c r="FW400" s="1593"/>
      <c r="FX400" s="1593"/>
      <c r="FY400" s="1593"/>
      <c r="FZ400" s="1593"/>
      <c r="GA400" s="1593"/>
      <c r="GB400" s="1593"/>
      <c r="GC400" s="1593"/>
      <c r="GD400" s="1593"/>
      <c r="GE400" s="1593"/>
      <c r="GF400" s="1593"/>
      <c r="GG400" s="1593"/>
      <c r="GH400" s="1593"/>
      <c r="GI400" s="1593"/>
      <c r="GJ400" s="1593"/>
      <c r="GK400" s="1593"/>
      <c r="GL400" s="1593"/>
      <c r="GM400" s="1593"/>
      <c r="GN400" s="1593"/>
      <c r="GO400" s="1593"/>
      <c r="GP400" s="1593"/>
      <c r="GQ400" s="1593"/>
      <c r="GR400" s="1593"/>
      <c r="GS400" s="1593"/>
      <c r="GT400" s="1593"/>
      <c r="GU400" s="1593"/>
      <c r="GV400" s="1593"/>
      <c r="GW400" s="1593"/>
      <c r="GX400" s="1593"/>
      <c r="GY400" s="1593"/>
      <c r="GZ400" s="1593"/>
      <c r="HA400" s="1593"/>
      <c r="HB400" s="1593"/>
      <c r="HC400" s="1593"/>
      <c r="HD400" s="1593"/>
      <c r="HE400" s="1593"/>
      <c r="HF400" s="1593"/>
      <c r="HG400" s="1593"/>
      <c r="HH400" s="1593"/>
      <c r="HI400" s="1593"/>
      <c r="HJ400" s="1593"/>
      <c r="HK400" s="1593"/>
      <c r="HL400" s="1593"/>
      <c r="HM400" s="1593"/>
      <c r="HN400" s="1593"/>
      <c r="HO400" s="1593"/>
      <c r="HP400" s="1593"/>
      <c r="HQ400" s="1593"/>
      <c r="HR400" s="1593"/>
      <c r="HS400" s="1593"/>
      <c r="HT400" s="1593"/>
      <c r="HU400" s="1593"/>
      <c r="HV400" s="1593"/>
      <c r="HW400" s="1593"/>
      <c r="HX400" s="1593"/>
      <c r="HY400" s="1593"/>
      <c r="HZ400" s="1593"/>
      <c r="IA400" s="1593"/>
      <c r="IB400" s="1593"/>
      <c r="IC400" s="1593"/>
      <c r="ID400" s="1593"/>
      <c r="IE400" s="1593"/>
      <c r="IF400" s="1593"/>
      <c r="IG400" s="1593"/>
      <c r="IH400" s="1593"/>
      <c r="II400" s="1593"/>
      <c r="IJ400" s="1593"/>
      <c r="IK400" s="1593"/>
      <c r="IL400" s="1593"/>
      <c r="IM400" s="1593"/>
      <c r="IN400" s="1593"/>
      <c r="IO400" s="1593"/>
      <c r="IP400" s="1593"/>
      <c r="IQ400" s="1593"/>
      <c r="IR400" s="1593"/>
      <c r="IS400" s="1593"/>
      <c r="IT400" s="1593"/>
      <c r="IU400" s="1593"/>
      <c r="IV400" s="1593"/>
      <c r="IW400" s="1593"/>
      <c r="IX400" s="1593"/>
      <c r="IY400" s="1593"/>
      <c r="IZ400" s="1593"/>
      <c r="JA400" s="1593"/>
      <c r="JB400" s="1593"/>
      <c r="JC400" s="1593"/>
      <c r="JD400" s="1593"/>
      <c r="JE400" s="1593"/>
      <c r="JF400" s="1593"/>
      <c r="JG400" s="1593"/>
      <c r="JH400" s="1593"/>
      <c r="JI400" s="1593"/>
      <c r="JJ400" s="1593"/>
      <c r="JK400" s="1593"/>
      <c r="JL400" s="1593"/>
      <c r="JM400" s="1593"/>
      <c r="JN400" s="1593"/>
      <c r="JO400" s="1593"/>
      <c r="JP400" s="1593"/>
      <c r="JQ400" s="1593"/>
      <c r="JR400" s="1593"/>
      <c r="JS400" s="1593"/>
      <c r="JT400" s="1593"/>
      <c r="JU400" s="1593"/>
      <c r="JV400" s="1593"/>
      <c r="JW400" s="1593"/>
      <c r="JX400" s="1593"/>
      <c r="JY400" s="1593"/>
      <c r="JZ400" s="1593"/>
      <c r="KA400" s="1593"/>
      <c r="KB400" s="1598"/>
    </row>
    <row r="401" spans="2:288" ht="15" customHeight="1" x14ac:dyDescent="0.25">
      <c r="B401" s="216" t="str">
        <f t="shared" si="30"/>
        <v>Desk 82</v>
      </c>
      <c r="C401" s="218" t="str">
        <v/>
      </c>
      <c r="D401" s="218" t="str">
        <v/>
      </c>
      <c r="E401" s="218" t="str">
        <v/>
      </c>
      <c r="F401" s="218" t="str">
        <v/>
      </c>
      <c r="G401" s="402" t="str">
        <v/>
      </c>
      <c r="H401" s="1593"/>
      <c r="I401" s="1593"/>
      <c r="J401" s="1593"/>
      <c r="K401" s="1593"/>
      <c r="L401" s="1593"/>
      <c r="M401" s="1593"/>
      <c r="N401" s="1593"/>
      <c r="O401" s="1593"/>
      <c r="P401" s="1593"/>
      <c r="Q401" s="1593"/>
      <c r="R401" s="1593"/>
      <c r="S401" s="1593"/>
      <c r="T401" s="1593"/>
      <c r="U401" s="1593"/>
      <c r="V401" s="1593"/>
      <c r="W401" s="1593"/>
      <c r="X401" s="1593"/>
      <c r="Y401" s="1593"/>
      <c r="Z401" s="1593"/>
      <c r="AA401" s="1593"/>
      <c r="AB401" s="1593"/>
      <c r="AC401" s="1593"/>
      <c r="AD401" s="1593"/>
      <c r="AE401" s="1593"/>
      <c r="AF401" s="1593"/>
      <c r="AG401" s="1593"/>
      <c r="AH401" s="1593"/>
      <c r="AI401" s="1593"/>
      <c r="AJ401" s="1593"/>
      <c r="AK401" s="1593"/>
      <c r="AL401" s="1593"/>
      <c r="AM401" s="1593"/>
      <c r="AN401" s="1593"/>
      <c r="AO401" s="1593"/>
      <c r="AP401" s="1593"/>
      <c r="AQ401" s="1593"/>
      <c r="AR401" s="1593"/>
      <c r="AS401" s="1593"/>
      <c r="AT401" s="1593"/>
      <c r="AU401" s="1593"/>
      <c r="AV401" s="1593"/>
      <c r="AW401" s="1593"/>
      <c r="AX401" s="1593"/>
      <c r="AY401" s="1593"/>
      <c r="AZ401" s="1593"/>
      <c r="BA401" s="1593"/>
      <c r="BB401" s="1593"/>
      <c r="BC401" s="1593"/>
      <c r="BD401" s="1593"/>
      <c r="BE401" s="1593"/>
      <c r="BF401" s="1593"/>
      <c r="BG401" s="1593"/>
      <c r="BH401" s="1593"/>
      <c r="BI401" s="1593"/>
      <c r="BJ401" s="1593"/>
      <c r="BK401" s="1593"/>
      <c r="BL401" s="1593"/>
      <c r="BM401" s="1593"/>
      <c r="BN401" s="1593"/>
      <c r="BO401" s="1593"/>
      <c r="BP401" s="1593"/>
      <c r="BQ401" s="1593"/>
      <c r="BR401" s="1593"/>
      <c r="BS401" s="1593"/>
      <c r="BT401" s="1593"/>
      <c r="BU401" s="1593"/>
      <c r="BV401" s="1593"/>
      <c r="BW401" s="1593"/>
      <c r="BX401" s="1593"/>
      <c r="BY401" s="1593"/>
      <c r="BZ401" s="1593"/>
      <c r="CA401" s="1593"/>
      <c r="CB401" s="1593"/>
      <c r="CC401" s="1593"/>
      <c r="CD401" s="1593"/>
      <c r="CE401" s="1593"/>
      <c r="CF401" s="1593"/>
      <c r="CG401" s="1593"/>
      <c r="CH401" s="1593"/>
      <c r="CI401" s="1593"/>
      <c r="CJ401" s="1593"/>
      <c r="CK401" s="1593"/>
      <c r="CL401" s="1593"/>
      <c r="CM401" s="1593"/>
      <c r="CN401" s="1593"/>
      <c r="CO401" s="1593"/>
      <c r="CP401" s="1593"/>
      <c r="CQ401" s="1593"/>
      <c r="CR401" s="1593"/>
      <c r="CS401" s="1593"/>
      <c r="CT401" s="1593"/>
      <c r="CU401" s="1593"/>
      <c r="CV401" s="1593"/>
      <c r="CW401" s="1593"/>
      <c r="CX401" s="1593"/>
      <c r="CY401" s="1593"/>
      <c r="CZ401" s="1593"/>
      <c r="DA401" s="1593"/>
      <c r="DB401" s="1593"/>
      <c r="DC401" s="1593"/>
      <c r="DD401" s="1593"/>
      <c r="DE401" s="1593"/>
      <c r="DF401" s="1593"/>
      <c r="DG401" s="1593"/>
      <c r="DH401" s="1593"/>
      <c r="DI401" s="1593"/>
      <c r="DJ401" s="1593"/>
      <c r="DK401" s="1593"/>
      <c r="DL401" s="1593"/>
      <c r="DM401" s="1593"/>
      <c r="DN401" s="1593"/>
      <c r="DO401" s="1593"/>
      <c r="DP401" s="1593"/>
      <c r="DQ401" s="1593"/>
      <c r="DR401" s="1593"/>
      <c r="DS401" s="1593"/>
      <c r="DT401" s="1593"/>
      <c r="DU401" s="1593"/>
      <c r="DV401" s="1593"/>
      <c r="DW401" s="1593"/>
      <c r="DX401" s="1593"/>
      <c r="DY401" s="1593"/>
      <c r="DZ401" s="1593"/>
      <c r="EA401" s="1593"/>
      <c r="EB401" s="1593"/>
      <c r="EC401" s="1593"/>
      <c r="ED401" s="1593"/>
      <c r="EE401" s="1593"/>
      <c r="EF401" s="1593"/>
      <c r="EG401" s="1593"/>
      <c r="EH401" s="1593"/>
      <c r="EI401" s="1593"/>
      <c r="EJ401" s="1593"/>
      <c r="EK401" s="1593"/>
      <c r="EL401" s="1593"/>
      <c r="EM401" s="1593"/>
      <c r="EN401" s="1593"/>
      <c r="EO401" s="1593"/>
      <c r="EP401" s="1593"/>
      <c r="EQ401" s="1593"/>
      <c r="ER401" s="1593"/>
      <c r="ES401" s="1593"/>
      <c r="ET401" s="1593"/>
      <c r="EU401" s="1593"/>
      <c r="EV401" s="1593"/>
      <c r="EW401" s="1593"/>
      <c r="EX401" s="1593"/>
      <c r="EY401" s="1593"/>
      <c r="EZ401" s="1593"/>
      <c r="FA401" s="1593"/>
      <c r="FB401" s="1593"/>
      <c r="FC401" s="1593"/>
      <c r="FD401" s="1593"/>
      <c r="FE401" s="1593"/>
      <c r="FF401" s="1593"/>
      <c r="FG401" s="1593"/>
      <c r="FH401" s="1593"/>
      <c r="FI401" s="1593"/>
      <c r="FJ401" s="1593"/>
      <c r="FK401" s="1593"/>
      <c r="FL401" s="1593"/>
      <c r="FM401" s="1593"/>
      <c r="FN401" s="1593"/>
      <c r="FO401" s="1593"/>
      <c r="FP401" s="1593"/>
      <c r="FQ401" s="1593"/>
      <c r="FR401" s="1593"/>
      <c r="FS401" s="1593"/>
      <c r="FT401" s="1593"/>
      <c r="FU401" s="1593"/>
      <c r="FV401" s="1593"/>
      <c r="FW401" s="1593"/>
      <c r="FX401" s="1593"/>
      <c r="FY401" s="1593"/>
      <c r="FZ401" s="1593"/>
      <c r="GA401" s="1593"/>
      <c r="GB401" s="1593"/>
      <c r="GC401" s="1593"/>
      <c r="GD401" s="1593"/>
      <c r="GE401" s="1593"/>
      <c r="GF401" s="1593"/>
      <c r="GG401" s="1593"/>
      <c r="GH401" s="1593"/>
      <c r="GI401" s="1593"/>
      <c r="GJ401" s="1593"/>
      <c r="GK401" s="1593"/>
      <c r="GL401" s="1593"/>
      <c r="GM401" s="1593"/>
      <c r="GN401" s="1593"/>
      <c r="GO401" s="1593"/>
      <c r="GP401" s="1593"/>
      <c r="GQ401" s="1593"/>
      <c r="GR401" s="1593"/>
      <c r="GS401" s="1593"/>
      <c r="GT401" s="1593"/>
      <c r="GU401" s="1593"/>
      <c r="GV401" s="1593"/>
      <c r="GW401" s="1593"/>
      <c r="GX401" s="1593"/>
      <c r="GY401" s="1593"/>
      <c r="GZ401" s="1593"/>
      <c r="HA401" s="1593"/>
      <c r="HB401" s="1593"/>
      <c r="HC401" s="1593"/>
      <c r="HD401" s="1593"/>
      <c r="HE401" s="1593"/>
      <c r="HF401" s="1593"/>
      <c r="HG401" s="1593"/>
      <c r="HH401" s="1593"/>
      <c r="HI401" s="1593"/>
      <c r="HJ401" s="1593"/>
      <c r="HK401" s="1593"/>
      <c r="HL401" s="1593"/>
      <c r="HM401" s="1593"/>
      <c r="HN401" s="1593"/>
      <c r="HO401" s="1593"/>
      <c r="HP401" s="1593"/>
      <c r="HQ401" s="1593"/>
      <c r="HR401" s="1593"/>
      <c r="HS401" s="1593"/>
      <c r="HT401" s="1593"/>
      <c r="HU401" s="1593"/>
      <c r="HV401" s="1593"/>
      <c r="HW401" s="1593"/>
      <c r="HX401" s="1593"/>
      <c r="HY401" s="1593"/>
      <c r="HZ401" s="1593"/>
      <c r="IA401" s="1593"/>
      <c r="IB401" s="1593"/>
      <c r="IC401" s="1593"/>
      <c r="ID401" s="1593"/>
      <c r="IE401" s="1593"/>
      <c r="IF401" s="1593"/>
      <c r="IG401" s="1593"/>
      <c r="IH401" s="1593"/>
      <c r="II401" s="1593"/>
      <c r="IJ401" s="1593"/>
      <c r="IK401" s="1593"/>
      <c r="IL401" s="1593"/>
      <c r="IM401" s="1593"/>
      <c r="IN401" s="1593"/>
      <c r="IO401" s="1593"/>
      <c r="IP401" s="1593"/>
      <c r="IQ401" s="1593"/>
      <c r="IR401" s="1593"/>
      <c r="IS401" s="1593"/>
      <c r="IT401" s="1593"/>
      <c r="IU401" s="1593"/>
      <c r="IV401" s="1593"/>
      <c r="IW401" s="1593"/>
      <c r="IX401" s="1593"/>
      <c r="IY401" s="1593"/>
      <c r="IZ401" s="1593"/>
      <c r="JA401" s="1593"/>
      <c r="JB401" s="1593"/>
      <c r="JC401" s="1593"/>
      <c r="JD401" s="1593"/>
      <c r="JE401" s="1593"/>
      <c r="JF401" s="1593"/>
      <c r="JG401" s="1593"/>
      <c r="JH401" s="1593"/>
      <c r="JI401" s="1593"/>
      <c r="JJ401" s="1593"/>
      <c r="JK401" s="1593"/>
      <c r="JL401" s="1593"/>
      <c r="JM401" s="1593"/>
      <c r="JN401" s="1593"/>
      <c r="JO401" s="1593"/>
      <c r="JP401" s="1593"/>
      <c r="JQ401" s="1593"/>
      <c r="JR401" s="1593"/>
      <c r="JS401" s="1593"/>
      <c r="JT401" s="1593"/>
      <c r="JU401" s="1593"/>
      <c r="JV401" s="1593"/>
      <c r="JW401" s="1593"/>
      <c r="JX401" s="1593"/>
      <c r="JY401" s="1593"/>
      <c r="JZ401" s="1593"/>
      <c r="KA401" s="1593"/>
      <c r="KB401" s="1598"/>
    </row>
    <row r="402" spans="2:288" ht="15" customHeight="1" x14ac:dyDescent="0.25">
      <c r="B402" s="216" t="str">
        <f t="shared" si="30"/>
        <v>Desk 83</v>
      </c>
      <c r="C402" s="218" t="str">
        <v/>
      </c>
      <c r="D402" s="218" t="str">
        <v/>
      </c>
      <c r="E402" s="218" t="str">
        <v/>
      </c>
      <c r="F402" s="218" t="str">
        <v/>
      </c>
      <c r="G402" s="402" t="str">
        <v/>
      </c>
      <c r="H402" s="1593"/>
      <c r="I402" s="1593"/>
      <c r="J402" s="1593"/>
      <c r="K402" s="1593"/>
      <c r="L402" s="1593"/>
      <c r="M402" s="1593"/>
      <c r="N402" s="1593"/>
      <c r="O402" s="1593"/>
      <c r="P402" s="1593"/>
      <c r="Q402" s="1593"/>
      <c r="R402" s="1593"/>
      <c r="S402" s="1593"/>
      <c r="T402" s="1593"/>
      <c r="U402" s="1593"/>
      <c r="V402" s="1593"/>
      <c r="W402" s="1593"/>
      <c r="X402" s="1593"/>
      <c r="Y402" s="1593"/>
      <c r="Z402" s="1593"/>
      <c r="AA402" s="1593"/>
      <c r="AB402" s="1593"/>
      <c r="AC402" s="1593"/>
      <c r="AD402" s="1593"/>
      <c r="AE402" s="1593"/>
      <c r="AF402" s="1593"/>
      <c r="AG402" s="1593"/>
      <c r="AH402" s="1593"/>
      <c r="AI402" s="1593"/>
      <c r="AJ402" s="1593"/>
      <c r="AK402" s="1593"/>
      <c r="AL402" s="1593"/>
      <c r="AM402" s="1593"/>
      <c r="AN402" s="1593"/>
      <c r="AO402" s="1593"/>
      <c r="AP402" s="1593"/>
      <c r="AQ402" s="1593"/>
      <c r="AR402" s="1593"/>
      <c r="AS402" s="1593"/>
      <c r="AT402" s="1593"/>
      <c r="AU402" s="1593"/>
      <c r="AV402" s="1593"/>
      <c r="AW402" s="1593"/>
      <c r="AX402" s="1593"/>
      <c r="AY402" s="1593"/>
      <c r="AZ402" s="1593"/>
      <c r="BA402" s="1593"/>
      <c r="BB402" s="1593"/>
      <c r="BC402" s="1593"/>
      <c r="BD402" s="1593"/>
      <c r="BE402" s="1593"/>
      <c r="BF402" s="1593"/>
      <c r="BG402" s="1593"/>
      <c r="BH402" s="1593"/>
      <c r="BI402" s="1593"/>
      <c r="BJ402" s="1593"/>
      <c r="BK402" s="1593"/>
      <c r="BL402" s="1593"/>
      <c r="BM402" s="1593"/>
      <c r="BN402" s="1593"/>
      <c r="BO402" s="1593"/>
      <c r="BP402" s="1593"/>
      <c r="BQ402" s="1593"/>
      <c r="BR402" s="1593"/>
      <c r="BS402" s="1593"/>
      <c r="BT402" s="1593"/>
      <c r="BU402" s="1593"/>
      <c r="BV402" s="1593"/>
      <c r="BW402" s="1593"/>
      <c r="BX402" s="1593"/>
      <c r="BY402" s="1593"/>
      <c r="BZ402" s="1593"/>
      <c r="CA402" s="1593"/>
      <c r="CB402" s="1593"/>
      <c r="CC402" s="1593"/>
      <c r="CD402" s="1593"/>
      <c r="CE402" s="1593"/>
      <c r="CF402" s="1593"/>
      <c r="CG402" s="1593"/>
      <c r="CH402" s="1593"/>
      <c r="CI402" s="1593"/>
      <c r="CJ402" s="1593"/>
      <c r="CK402" s="1593"/>
      <c r="CL402" s="1593"/>
      <c r="CM402" s="1593"/>
      <c r="CN402" s="1593"/>
      <c r="CO402" s="1593"/>
      <c r="CP402" s="1593"/>
      <c r="CQ402" s="1593"/>
      <c r="CR402" s="1593"/>
      <c r="CS402" s="1593"/>
      <c r="CT402" s="1593"/>
      <c r="CU402" s="1593"/>
      <c r="CV402" s="1593"/>
      <c r="CW402" s="1593"/>
      <c r="CX402" s="1593"/>
      <c r="CY402" s="1593"/>
      <c r="CZ402" s="1593"/>
      <c r="DA402" s="1593"/>
      <c r="DB402" s="1593"/>
      <c r="DC402" s="1593"/>
      <c r="DD402" s="1593"/>
      <c r="DE402" s="1593"/>
      <c r="DF402" s="1593"/>
      <c r="DG402" s="1593"/>
      <c r="DH402" s="1593"/>
      <c r="DI402" s="1593"/>
      <c r="DJ402" s="1593"/>
      <c r="DK402" s="1593"/>
      <c r="DL402" s="1593"/>
      <c r="DM402" s="1593"/>
      <c r="DN402" s="1593"/>
      <c r="DO402" s="1593"/>
      <c r="DP402" s="1593"/>
      <c r="DQ402" s="1593"/>
      <c r="DR402" s="1593"/>
      <c r="DS402" s="1593"/>
      <c r="DT402" s="1593"/>
      <c r="DU402" s="1593"/>
      <c r="DV402" s="1593"/>
      <c r="DW402" s="1593"/>
      <c r="DX402" s="1593"/>
      <c r="DY402" s="1593"/>
      <c r="DZ402" s="1593"/>
      <c r="EA402" s="1593"/>
      <c r="EB402" s="1593"/>
      <c r="EC402" s="1593"/>
      <c r="ED402" s="1593"/>
      <c r="EE402" s="1593"/>
      <c r="EF402" s="1593"/>
      <c r="EG402" s="1593"/>
      <c r="EH402" s="1593"/>
      <c r="EI402" s="1593"/>
      <c r="EJ402" s="1593"/>
      <c r="EK402" s="1593"/>
      <c r="EL402" s="1593"/>
      <c r="EM402" s="1593"/>
      <c r="EN402" s="1593"/>
      <c r="EO402" s="1593"/>
      <c r="EP402" s="1593"/>
      <c r="EQ402" s="1593"/>
      <c r="ER402" s="1593"/>
      <c r="ES402" s="1593"/>
      <c r="ET402" s="1593"/>
      <c r="EU402" s="1593"/>
      <c r="EV402" s="1593"/>
      <c r="EW402" s="1593"/>
      <c r="EX402" s="1593"/>
      <c r="EY402" s="1593"/>
      <c r="EZ402" s="1593"/>
      <c r="FA402" s="1593"/>
      <c r="FB402" s="1593"/>
      <c r="FC402" s="1593"/>
      <c r="FD402" s="1593"/>
      <c r="FE402" s="1593"/>
      <c r="FF402" s="1593"/>
      <c r="FG402" s="1593"/>
      <c r="FH402" s="1593"/>
      <c r="FI402" s="1593"/>
      <c r="FJ402" s="1593"/>
      <c r="FK402" s="1593"/>
      <c r="FL402" s="1593"/>
      <c r="FM402" s="1593"/>
      <c r="FN402" s="1593"/>
      <c r="FO402" s="1593"/>
      <c r="FP402" s="1593"/>
      <c r="FQ402" s="1593"/>
      <c r="FR402" s="1593"/>
      <c r="FS402" s="1593"/>
      <c r="FT402" s="1593"/>
      <c r="FU402" s="1593"/>
      <c r="FV402" s="1593"/>
      <c r="FW402" s="1593"/>
      <c r="FX402" s="1593"/>
      <c r="FY402" s="1593"/>
      <c r="FZ402" s="1593"/>
      <c r="GA402" s="1593"/>
      <c r="GB402" s="1593"/>
      <c r="GC402" s="1593"/>
      <c r="GD402" s="1593"/>
      <c r="GE402" s="1593"/>
      <c r="GF402" s="1593"/>
      <c r="GG402" s="1593"/>
      <c r="GH402" s="1593"/>
      <c r="GI402" s="1593"/>
      <c r="GJ402" s="1593"/>
      <c r="GK402" s="1593"/>
      <c r="GL402" s="1593"/>
      <c r="GM402" s="1593"/>
      <c r="GN402" s="1593"/>
      <c r="GO402" s="1593"/>
      <c r="GP402" s="1593"/>
      <c r="GQ402" s="1593"/>
      <c r="GR402" s="1593"/>
      <c r="GS402" s="1593"/>
      <c r="GT402" s="1593"/>
      <c r="GU402" s="1593"/>
      <c r="GV402" s="1593"/>
      <c r="GW402" s="1593"/>
      <c r="GX402" s="1593"/>
      <c r="GY402" s="1593"/>
      <c r="GZ402" s="1593"/>
      <c r="HA402" s="1593"/>
      <c r="HB402" s="1593"/>
      <c r="HC402" s="1593"/>
      <c r="HD402" s="1593"/>
      <c r="HE402" s="1593"/>
      <c r="HF402" s="1593"/>
      <c r="HG402" s="1593"/>
      <c r="HH402" s="1593"/>
      <c r="HI402" s="1593"/>
      <c r="HJ402" s="1593"/>
      <c r="HK402" s="1593"/>
      <c r="HL402" s="1593"/>
      <c r="HM402" s="1593"/>
      <c r="HN402" s="1593"/>
      <c r="HO402" s="1593"/>
      <c r="HP402" s="1593"/>
      <c r="HQ402" s="1593"/>
      <c r="HR402" s="1593"/>
      <c r="HS402" s="1593"/>
      <c r="HT402" s="1593"/>
      <c r="HU402" s="1593"/>
      <c r="HV402" s="1593"/>
      <c r="HW402" s="1593"/>
      <c r="HX402" s="1593"/>
      <c r="HY402" s="1593"/>
      <c r="HZ402" s="1593"/>
      <c r="IA402" s="1593"/>
      <c r="IB402" s="1593"/>
      <c r="IC402" s="1593"/>
      <c r="ID402" s="1593"/>
      <c r="IE402" s="1593"/>
      <c r="IF402" s="1593"/>
      <c r="IG402" s="1593"/>
      <c r="IH402" s="1593"/>
      <c r="II402" s="1593"/>
      <c r="IJ402" s="1593"/>
      <c r="IK402" s="1593"/>
      <c r="IL402" s="1593"/>
      <c r="IM402" s="1593"/>
      <c r="IN402" s="1593"/>
      <c r="IO402" s="1593"/>
      <c r="IP402" s="1593"/>
      <c r="IQ402" s="1593"/>
      <c r="IR402" s="1593"/>
      <c r="IS402" s="1593"/>
      <c r="IT402" s="1593"/>
      <c r="IU402" s="1593"/>
      <c r="IV402" s="1593"/>
      <c r="IW402" s="1593"/>
      <c r="IX402" s="1593"/>
      <c r="IY402" s="1593"/>
      <c r="IZ402" s="1593"/>
      <c r="JA402" s="1593"/>
      <c r="JB402" s="1593"/>
      <c r="JC402" s="1593"/>
      <c r="JD402" s="1593"/>
      <c r="JE402" s="1593"/>
      <c r="JF402" s="1593"/>
      <c r="JG402" s="1593"/>
      <c r="JH402" s="1593"/>
      <c r="JI402" s="1593"/>
      <c r="JJ402" s="1593"/>
      <c r="JK402" s="1593"/>
      <c r="JL402" s="1593"/>
      <c r="JM402" s="1593"/>
      <c r="JN402" s="1593"/>
      <c r="JO402" s="1593"/>
      <c r="JP402" s="1593"/>
      <c r="JQ402" s="1593"/>
      <c r="JR402" s="1593"/>
      <c r="JS402" s="1593"/>
      <c r="JT402" s="1593"/>
      <c r="JU402" s="1593"/>
      <c r="JV402" s="1593"/>
      <c r="JW402" s="1593"/>
      <c r="JX402" s="1593"/>
      <c r="JY402" s="1593"/>
      <c r="JZ402" s="1593"/>
      <c r="KA402" s="1593"/>
      <c r="KB402" s="1598"/>
    </row>
    <row r="403" spans="2:288" ht="15" customHeight="1" x14ac:dyDescent="0.25">
      <c r="B403" s="216" t="str">
        <f t="shared" si="30"/>
        <v>Desk 84</v>
      </c>
      <c r="C403" s="218" t="str">
        <v/>
      </c>
      <c r="D403" s="218" t="str">
        <v/>
      </c>
      <c r="E403" s="218" t="str">
        <v/>
      </c>
      <c r="F403" s="218" t="str">
        <v/>
      </c>
      <c r="G403" s="402" t="str">
        <v/>
      </c>
      <c r="H403" s="1593"/>
      <c r="I403" s="1593"/>
      <c r="J403" s="1593"/>
      <c r="K403" s="1593"/>
      <c r="L403" s="1593"/>
      <c r="M403" s="1593"/>
      <c r="N403" s="1593"/>
      <c r="O403" s="1593"/>
      <c r="P403" s="1593"/>
      <c r="Q403" s="1593"/>
      <c r="R403" s="1593"/>
      <c r="S403" s="1593"/>
      <c r="T403" s="1593"/>
      <c r="U403" s="1593"/>
      <c r="V403" s="1593"/>
      <c r="W403" s="1593"/>
      <c r="X403" s="1593"/>
      <c r="Y403" s="1593"/>
      <c r="Z403" s="1593"/>
      <c r="AA403" s="1593"/>
      <c r="AB403" s="1593"/>
      <c r="AC403" s="1593"/>
      <c r="AD403" s="1593"/>
      <c r="AE403" s="1593"/>
      <c r="AF403" s="1593"/>
      <c r="AG403" s="1593"/>
      <c r="AH403" s="1593"/>
      <c r="AI403" s="1593"/>
      <c r="AJ403" s="1593"/>
      <c r="AK403" s="1593"/>
      <c r="AL403" s="1593"/>
      <c r="AM403" s="1593"/>
      <c r="AN403" s="1593"/>
      <c r="AO403" s="1593"/>
      <c r="AP403" s="1593"/>
      <c r="AQ403" s="1593"/>
      <c r="AR403" s="1593"/>
      <c r="AS403" s="1593"/>
      <c r="AT403" s="1593"/>
      <c r="AU403" s="1593"/>
      <c r="AV403" s="1593"/>
      <c r="AW403" s="1593"/>
      <c r="AX403" s="1593"/>
      <c r="AY403" s="1593"/>
      <c r="AZ403" s="1593"/>
      <c r="BA403" s="1593"/>
      <c r="BB403" s="1593"/>
      <c r="BC403" s="1593"/>
      <c r="BD403" s="1593"/>
      <c r="BE403" s="1593"/>
      <c r="BF403" s="1593"/>
      <c r="BG403" s="1593"/>
      <c r="BH403" s="1593"/>
      <c r="BI403" s="1593"/>
      <c r="BJ403" s="1593"/>
      <c r="BK403" s="1593"/>
      <c r="BL403" s="1593"/>
      <c r="BM403" s="1593"/>
      <c r="BN403" s="1593"/>
      <c r="BO403" s="1593"/>
      <c r="BP403" s="1593"/>
      <c r="BQ403" s="1593"/>
      <c r="BR403" s="1593"/>
      <c r="BS403" s="1593"/>
      <c r="BT403" s="1593"/>
      <c r="BU403" s="1593"/>
      <c r="BV403" s="1593"/>
      <c r="BW403" s="1593"/>
      <c r="BX403" s="1593"/>
      <c r="BY403" s="1593"/>
      <c r="BZ403" s="1593"/>
      <c r="CA403" s="1593"/>
      <c r="CB403" s="1593"/>
      <c r="CC403" s="1593"/>
      <c r="CD403" s="1593"/>
      <c r="CE403" s="1593"/>
      <c r="CF403" s="1593"/>
      <c r="CG403" s="1593"/>
      <c r="CH403" s="1593"/>
      <c r="CI403" s="1593"/>
      <c r="CJ403" s="1593"/>
      <c r="CK403" s="1593"/>
      <c r="CL403" s="1593"/>
      <c r="CM403" s="1593"/>
      <c r="CN403" s="1593"/>
      <c r="CO403" s="1593"/>
      <c r="CP403" s="1593"/>
      <c r="CQ403" s="1593"/>
      <c r="CR403" s="1593"/>
      <c r="CS403" s="1593"/>
      <c r="CT403" s="1593"/>
      <c r="CU403" s="1593"/>
      <c r="CV403" s="1593"/>
      <c r="CW403" s="1593"/>
      <c r="CX403" s="1593"/>
      <c r="CY403" s="1593"/>
      <c r="CZ403" s="1593"/>
      <c r="DA403" s="1593"/>
      <c r="DB403" s="1593"/>
      <c r="DC403" s="1593"/>
      <c r="DD403" s="1593"/>
      <c r="DE403" s="1593"/>
      <c r="DF403" s="1593"/>
      <c r="DG403" s="1593"/>
      <c r="DH403" s="1593"/>
      <c r="DI403" s="1593"/>
      <c r="DJ403" s="1593"/>
      <c r="DK403" s="1593"/>
      <c r="DL403" s="1593"/>
      <c r="DM403" s="1593"/>
      <c r="DN403" s="1593"/>
      <c r="DO403" s="1593"/>
      <c r="DP403" s="1593"/>
      <c r="DQ403" s="1593"/>
      <c r="DR403" s="1593"/>
      <c r="DS403" s="1593"/>
      <c r="DT403" s="1593"/>
      <c r="DU403" s="1593"/>
      <c r="DV403" s="1593"/>
      <c r="DW403" s="1593"/>
      <c r="DX403" s="1593"/>
      <c r="DY403" s="1593"/>
      <c r="DZ403" s="1593"/>
      <c r="EA403" s="1593"/>
      <c r="EB403" s="1593"/>
      <c r="EC403" s="1593"/>
      <c r="ED403" s="1593"/>
      <c r="EE403" s="1593"/>
      <c r="EF403" s="1593"/>
      <c r="EG403" s="1593"/>
      <c r="EH403" s="1593"/>
      <c r="EI403" s="1593"/>
      <c r="EJ403" s="1593"/>
      <c r="EK403" s="1593"/>
      <c r="EL403" s="1593"/>
      <c r="EM403" s="1593"/>
      <c r="EN403" s="1593"/>
      <c r="EO403" s="1593"/>
      <c r="EP403" s="1593"/>
      <c r="EQ403" s="1593"/>
      <c r="ER403" s="1593"/>
      <c r="ES403" s="1593"/>
      <c r="ET403" s="1593"/>
      <c r="EU403" s="1593"/>
      <c r="EV403" s="1593"/>
      <c r="EW403" s="1593"/>
      <c r="EX403" s="1593"/>
      <c r="EY403" s="1593"/>
      <c r="EZ403" s="1593"/>
      <c r="FA403" s="1593"/>
      <c r="FB403" s="1593"/>
      <c r="FC403" s="1593"/>
      <c r="FD403" s="1593"/>
      <c r="FE403" s="1593"/>
      <c r="FF403" s="1593"/>
      <c r="FG403" s="1593"/>
      <c r="FH403" s="1593"/>
      <c r="FI403" s="1593"/>
      <c r="FJ403" s="1593"/>
      <c r="FK403" s="1593"/>
      <c r="FL403" s="1593"/>
      <c r="FM403" s="1593"/>
      <c r="FN403" s="1593"/>
      <c r="FO403" s="1593"/>
      <c r="FP403" s="1593"/>
      <c r="FQ403" s="1593"/>
      <c r="FR403" s="1593"/>
      <c r="FS403" s="1593"/>
      <c r="FT403" s="1593"/>
      <c r="FU403" s="1593"/>
      <c r="FV403" s="1593"/>
      <c r="FW403" s="1593"/>
      <c r="FX403" s="1593"/>
      <c r="FY403" s="1593"/>
      <c r="FZ403" s="1593"/>
      <c r="GA403" s="1593"/>
      <c r="GB403" s="1593"/>
      <c r="GC403" s="1593"/>
      <c r="GD403" s="1593"/>
      <c r="GE403" s="1593"/>
      <c r="GF403" s="1593"/>
      <c r="GG403" s="1593"/>
      <c r="GH403" s="1593"/>
      <c r="GI403" s="1593"/>
      <c r="GJ403" s="1593"/>
      <c r="GK403" s="1593"/>
      <c r="GL403" s="1593"/>
      <c r="GM403" s="1593"/>
      <c r="GN403" s="1593"/>
      <c r="GO403" s="1593"/>
      <c r="GP403" s="1593"/>
      <c r="GQ403" s="1593"/>
      <c r="GR403" s="1593"/>
      <c r="GS403" s="1593"/>
      <c r="GT403" s="1593"/>
      <c r="GU403" s="1593"/>
      <c r="GV403" s="1593"/>
      <c r="GW403" s="1593"/>
      <c r="GX403" s="1593"/>
      <c r="GY403" s="1593"/>
      <c r="GZ403" s="1593"/>
      <c r="HA403" s="1593"/>
      <c r="HB403" s="1593"/>
      <c r="HC403" s="1593"/>
      <c r="HD403" s="1593"/>
      <c r="HE403" s="1593"/>
      <c r="HF403" s="1593"/>
      <c r="HG403" s="1593"/>
      <c r="HH403" s="1593"/>
      <c r="HI403" s="1593"/>
      <c r="HJ403" s="1593"/>
      <c r="HK403" s="1593"/>
      <c r="HL403" s="1593"/>
      <c r="HM403" s="1593"/>
      <c r="HN403" s="1593"/>
      <c r="HO403" s="1593"/>
      <c r="HP403" s="1593"/>
      <c r="HQ403" s="1593"/>
      <c r="HR403" s="1593"/>
      <c r="HS403" s="1593"/>
      <c r="HT403" s="1593"/>
      <c r="HU403" s="1593"/>
      <c r="HV403" s="1593"/>
      <c r="HW403" s="1593"/>
      <c r="HX403" s="1593"/>
      <c r="HY403" s="1593"/>
      <c r="HZ403" s="1593"/>
      <c r="IA403" s="1593"/>
      <c r="IB403" s="1593"/>
      <c r="IC403" s="1593"/>
      <c r="ID403" s="1593"/>
      <c r="IE403" s="1593"/>
      <c r="IF403" s="1593"/>
      <c r="IG403" s="1593"/>
      <c r="IH403" s="1593"/>
      <c r="II403" s="1593"/>
      <c r="IJ403" s="1593"/>
      <c r="IK403" s="1593"/>
      <c r="IL403" s="1593"/>
      <c r="IM403" s="1593"/>
      <c r="IN403" s="1593"/>
      <c r="IO403" s="1593"/>
      <c r="IP403" s="1593"/>
      <c r="IQ403" s="1593"/>
      <c r="IR403" s="1593"/>
      <c r="IS403" s="1593"/>
      <c r="IT403" s="1593"/>
      <c r="IU403" s="1593"/>
      <c r="IV403" s="1593"/>
      <c r="IW403" s="1593"/>
      <c r="IX403" s="1593"/>
      <c r="IY403" s="1593"/>
      <c r="IZ403" s="1593"/>
      <c r="JA403" s="1593"/>
      <c r="JB403" s="1593"/>
      <c r="JC403" s="1593"/>
      <c r="JD403" s="1593"/>
      <c r="JE403" s="1593"/>
      <c r="JF403" s="1593"/>
      <c r="JG403" s="1593"/>
      <c r="JH403" s="1593"/>
      <c r="JI403" s="1593"/>
      <c r="JJ403" s="1593"/>
      <c r="JK403" s="1593"/>
      <c r="JL403" s="1593"/>
      <c r="JM403" s="1593"/>
      <c r="JN403" s="1593"/>
      <c r="JO403" s="1593"/>
      <c r="JP403" s="1593"/>
      <c r="JQ403" s="1593"/>
      <c r="JR403" s="1593"/>
      <c r="JS403" s="1593"/>
      <c r="JT403" s="1593"/>
      <c r="JU403" s="1593"/>
      <c r="JV403" s="1593"/>
      <c r="JW403" s="1593"/>
      <c r="JX403" s="1593"/>
      <c r="JY403" s="1593"/>
      <c r="JZ403" s="1593"/>
      <c r="KA403" s="1593"/>
      <c r="KB403" s="1598"/>
    </row>
    <row r="404" spans="2:288" ht="15" customHeight="1" x14ac:dyDescent="0.25">
      <c r="B404" s="216" t="str">
        <f t="shared" si="30"/>
        <v>Desk 85</v>
      </c>
      <c r="C404" s="218" t="str">
        <v/>
      </c>
      <c r="D404" s="218" t="str">
        <v/>
      </c>
      <c r="E404" s="218" t="str">
        <v/>
      </c>
      <c r="F404" s="218" t="str">
        <v/>
      </c>
      <c r="G404" s="402" t="str">
        <v/>
      </c>
      <c r="H404" s="1593"/>
      <c r="I404" s="1593"/>
      <c r="J404" s="1593"/>
      <c r="K404" s="1593"/>
      <c r="L404" s="1593"/>
      <c r="M404" s="1593"/>
      <c r="N404" s="1593"/>
      <c r="O404" s="1593"/>
      <c r="P404" s="1593"/>
      <c r="Q404" s="1593"/>
      <c r="R404" s="1593"/>
      <c r="S404" s="1593"/>
      <c r="T404" s="1593"/>
      <c r="U404" s="1593"/>
      <c r="V404" s="1593"/>
      <c r="W404" s="1593"/>
      <c r="X404" s="1593"/>
      <c r="Y404" s="1593"/>
      <c r="Z404" s="1593"/>
      <c r="AA404" s="1593"/>
      <c r="AB404" s="1593"/>
      <c r="AC404" s="1593"/>
      <c r="AD404" s="1593"/>
      <c r="AE404" s="1593"/>
      <c r="AF404" s="1593"/>
      <c r="AG404" s="1593"/>
      <c r="AH404" s="1593"/>
      <c r="AI404" s="1593"/>
      <c r="AJ404" s="1593"/>
      <c r="AK404" s="1593"/>
      <c r="AL404" s="1593"/>
      <c r="AM404" s="1593"/>
      <c r="AN404" s="1593"/>
      <c r="AO404" s="1593"/>
      <c r="AP404" s="1593"/>
      <c r="AQ404" s="1593"/>
      <c r="AR404" s="1593"/>
      <c r="AS404" s="1593"/>
      <c r="AT404" s="1593"/>
      <c r="AU404" s="1593"/>
      <c r="AV404" s="1593"/>
      <c r="AW404" s="1593"/>
      <c r="AX404" s="1593"/>
      <c r="AY404" s="1593"/>
      <c r="AZ404" s="1593"/>
      <c r="BA404" s="1593"/>
      <c r="BB404" s="1593"/>
      <c r="BC404" s="1593"/>
      <c r="BD404" s="1593"/>
      <c r="BE404" s="1593"/>
      <c r="BF404" s="1593"/>
      <c r="BG404" s="1593"/>
      <c r="BH404" s="1593"/>
      <c r="BI404" s="1593"/>
      <c r="BJ404" s="1593"/>
      <c r="BK404" s="1593"/>
      <c r="BL404" s="1593"/>
      <c r="BM404" s="1593"/>
      <c r="BN404" s="1593"/>
      <c r="BO404" s="1593"/>
      <c r="BP404" s="1593"/>
      <c r="BQ404" s="1593"/>
      <c r="BR404" s="1593"/>
      <c r="BS404" s="1593"/>
      <c r="BT404" s="1593"/>
      <c r="BU404" s="1593"/>
      <c r="BV404" s="1593"/>
      <c r="BW404" s="1593"/>
      <c r="BX404" s="1593"/>
      <c r="BY404" s="1593"/>
      <c r="BZ404" s="1593"/>
      <c r="CA404" s="1593"/>
      <c r="CB404" s="1593"/>
      <c r="CC404" s="1593"/>
      <c r="CD404" s="1593"/>
      <c r="CE404" s="1593"/>
      <c r="CF404" s="1593"/>
      <c r="CG404" s="1593"/>
      <c r="CH404" s="1593"/>
      <c r="CI404" s="1593"/>
      <c r="CJ404" s="1593"/>
      <c r="CK404" s="1593"/>
      <c r="CL404" s="1593"/>
      <c r="CM404" s="1593"/>
      <c r="CN404" s="1593"/>
      <c r="CO404" s="1593"/>
      <c r="CP404" s="1593"/>
      <c r="CQ404" s="1593"/>
      <c r="CR404" s="1593"/>
      <c r="CS404" s="1593"/>
      <c r="CT404" s="1593"/>
      <c r="CU404" s="1593"/>
      <c r="CV404" s="1593"/>
      <c r="CW404" s="1593"/>
      <c r="CX404" s="1593"/>
      <c r="CY404" s="1593"/>
      <c r="CZ404" s="1593"/>
      <c r="DA404" s="1593"/>
      <c r="DB404" s="1593"/>
      <c r="DC404" s="1593"/>
      <c r="DD404" s="1593"/>
      <c r="DE404" s="1593"/>
      <c r="DF404" s="1593"/>
      <c r="DG404" s="1593"/>
      <c r="DH404" s="1593"/>
      <c r="DI404" s="1593"/>
      <c r="DJ404" s="1593"/>
      <c r="DK404" s="1593"/>
      <c r="DL404" s="1593"/>
      <c r="DM404" s="1593"/>
      <c r="DN404" s="1593"/>
      <c r="DO404" s="1593"/>
      <c r="DP404" s="1593"/>
      <c r="DQ404" s="1593"/>
      <c r="DR404" s="1593"/>
      <c r="DS404" s="1593"/>
      <c r="DT404" s="1593"/>
      <c r="DU404" s="1593"/>
      <c r="DV404" s="1593"/>
      <c r="DW404" s="1593"/>
      <c r="DX404" s="1593"/>
      <c r="DY404" s="1593"/>
      <c r="DZ404" s="1593"/>
      <c r="EA404" s="1593"/>
      <c r="EB404" s="1593"/>
      <c r="EC404" s="1593"/>
      <c r="ED404" s="1593"/>
      <c r="EE404" s="1593"/>
      <c r="EF404" s="1593"/>
      <c r="EG404" s="1593"/>
      <c r="EH404" s="1593"/>
      <c r="EI404" s="1593"/>
      <c r="EJ404" s="1593"/>
      <c r="EK404" s="1593"/>
      <c r="EL404" s="1593"/>
      <c r="EM404" s="1593"/>
      <c r="EN404" s="1593"/>
      <c r="EO404" s="1593"/>
      <c r="EP404" s="1593"/>
      <c r="EQ404" s="1593"/>
      <c r="ER404" s="1593"/>
      <c r="ES404" s="1593"/>
      <c r="ET404" s="1593"/>
      <c r="EU404" s="1593"/>
      <c r="EV404" s="1593"/>
      <c r="EW404" s="1593"/>
      <c r="EX404" s="1593"/>
      <c r="EY404" s="1593"/>
      <c r="EZ404" s="1593"/>
      <c r="FA404" s="1593"/>
      <c r="FB404" s="1593"/>
      <c r="FC404" s="1593"/>
      <c r="FD404" s="1593"/>
      <c r="FE404" s="1593"/>
      <c r="FF404" s="1593"/>
      <c r="FG404" s="1593"/>
      <c r="FH404" s="1593"/>
      <c r="FI404" s="1593"/>
      <c r="FJ404" s="1593"/>
      <c r="FK404" s="1593"/>
      <c r="FL404" s="1593"/>
      <c r="FM404" s="1593"/>
      <c r="FN404" s="1593"/>
      <c r="FO404" s="1593"/>
      <c r="FP404" s="1593"/>
      <c r="FQ404" s="1593"/>
      <c r="FR404" s="1593"/>
      <c r="FS404" s="1593"/>
      <c r="FT404" s="1593"/>
      <c r="FU404" s="1593"/>
      <c r="FV404" s="1593"/>
      <c r="FW404" s="1593"/>
      <c r="FX404" s="1593"/>
      <c r="FY404" s="1593"/>
      <c r="FZ404" s="1593"/>
      <c r="GA404" s="1593"/>
      <c r="GB404" s="1593"/>
      <c r="GC404" s="1593"/>
      <c r="GD404" s="1593"/>
      <c r="GE404" s="1593"/>
      <c r="GF404" s="1593"/>
      <c r="GG404" s="1593"/>
      <c r="GH404" s="1593"/>
      <c r="GI404" s="1593"/>
      <c r="GJ404" s="1593"/>
      <c r="GK404" s="1593"/>
      <c r="GL404" s="1593"/>
      <c r="GM404" s="1593"/>
      <c r="GN404" s="1593"/>
      <c r="GO404" s="1593"/>
      <c r="GP404" s="1593"/>
      <c r="GQ404" s="1593"/>
      <c r="GR404" s="1593"/>
      <c r="GS404" s="1593"/>
      <c r="GT404" s="1593"/>
      <c r="GU404" s="1593"/>
      <c r="GV404" s="1593"/>
      <c r="GW404" s="1593"/>
      <c r="GX404" s="1593"/>
      <c r="GY404" s="1593"/>
      <c r="GZ404" s="1593"/>
      <c r="HA404" s="1593"/>
      <c r="HB404" s="1593"/>
      <c r="HC404" s="1593"/>
      <c r="HD404" s="1593"/>
      <c r="HE404" s="1593"/>
      <c r="HF404" s="1593"/>
      <c r="HG404" s="1593"/>
      <c r="HH404" s="1593"/>
      <c r="HI404" s="1593"/>
      <c r="HJ404" s="1593"/>
      <c r="HK404" s="1593"/>
      <c r="HL404" s="1593"/>
      <c r="HM404" s="1593"/>
      <c r="HN404" s="1593"/>
      <c r="HO404" s="1593"/>
      <c r="HP404" s="1593"/>
      <c r="HQ404" s="1593"/>
      <c r="HR404" s="1593"/>
      <c r="HS404" s="1593"/>
      <c r="HT404" s="1593"/>
      <c r="HU404" s="1593"/>
      <c r="HV404" s="1593"/>
      <c r="HW404" s="1593"/>
      <c r="HX404" s="1593"/>
      <c r="HY404" s="1593"/>
      <c r="HZ404" s="1593"/>
      <c r="IA404" s="1593"/>
      <c r="IB404" s="1593"/>
      <c r="IC404" s="1593"/>
      <c r="ID404" s="1593"/>
      <c r="IE404" s="1593"/>
      <c r="IF404" s="1593"/>
      <c r="IG404" s="1593"/>
      <c r="IH404" s="1593"/>
      <c r="II404" s="1593"/>
      <c r="IJ404" s="1593"/>
      <c r="IK404" s="1593"/>
      <c r="IL404" s="1593"/>
      <c r="IM404" s="1593"/>
      <c r="IN404" s="1593"/>
      <c r="IO404" s="1593"/>
      <c r="IP404" s="1593"/>
      <c r="IQ404" s="1593"/>
      <c r="IR404" s="1593"/>
      <c r="IS404" s="1593"/>
      <c r="IT404" s="1593"/>
      <c r="IU404" s="1593"/>
      <c r="IV404" s="1593"/>
      <c r="IW404" s="1593"/>
      <c r="IX404" s="1593"/>
      <c r="IY404" s="1593"/>
      <c r="IZ404" s="1593"/>
      <c r="JA404" s="1593"/>
      <c r="JB404" s="1593"/>
      <c r="JC404" s="1593"/>
      <c r="JD404" s="1593"/>
      <c r="JE404" s="1593"/>
      <c r="JF404" s="1593"/>
      <c r="JG404" s="1593"/>
      <c r="JH404" s="1593"/>
      <c r="JI404" s="1593"/>
      <c r="JJ404" s="1593"/>
      <c r="JK404" s="1593"/>
      <c r="JL404" s="1593"/>
      <c r="JM404" s="1593"/>
      <c r="JN404" s="1593"/>
      <c r="JO404" s="1593"/>
      <c r="JP404" s="1593"/>
      <c r="JQ404" s="1593"/>
      <c r="JR404" s="1593"/>
      <c r="JS404" s="1593"/>
      <c r="JT404" s="1593"/>
      <c r="JU404" s="1593"/>
      <c r="JV404" s="1593"/>
      <c r="JW404" s="1593"/>
      <c r="JX404" s="1593"/>
      <c r="JY404" s="1593"/>
      <c r="JZ404" s="1593"/>
      <c r="KA404" s="1593"/>
      <c r="KB404" s="1598"/>
    </row>
    <row r="405" spans="2:288" ht="15" customHeight="1" x14ac:dyDescent="0.25">
      <c r="B405" s="216" t="str">
        <f t="shared" si="30"/>
        <v>Desk 86</v>
      </c>
      <c r="C405" s="218" t="str">
        <v/>
      </c>
      <c r="D405" s="218" t="str">
        <v/>
      </c>
      <c r="E405" s="218" t="str">
        <v/>
      </c>
      <c r="F405" s="218" t="str">
        <v/>
      </c>
      <c r="G405" s="402" t="str">
        <v/>
      </c>
      <c r="H405" s="1593"/>
      <c r="I405" s="1593"/>
      <c r="J405" s="1593"/>
      <c r="K405" s="1593"/>
      <c r="L405" s="1593"/>
      <c r="M405" s="1593"/>
      <c r="N405" s="1593"/>
      <c r="O405" s="1593"/>
      <c r="P405" s="1593"/>
      <c r="Q405" s="1593"/>
      <c r="R405" s="1593"/>
      <c r="S405" s="1593"/>
      <c r="T405" s="1593"/>
      <c r="U405" s="1593"/>
      <c r="V405" s="1593"/>
      <c r="W405" s="1593"/>
      <c r="X405" s="1593"/>
      <c r="Y405" s="1593"/>
      <c r="Z405" s="1593"/>
      <c r="AA405" s="1593"/>
      <c r="AB405" s="1593"/>
      <c r="AC405" s="1593"/>
      <c r="AD405" s="1593"/>
      <c r="AE405" s="1593"/>
      <c r="AF405" s="1593"/>
      <c r="AG405" s="1593"/>
      <c r="AH405" s="1593"/>
      <c r="AI405" s="1593"/>
      <c r="AJ405" s="1593"/>
      <c r="AK405" s="1593"/>
      <c r="AL405" s="1593"/>
      <c r="AM405" s="1593"/>
      <c r="AN405" s="1593"/>
      <c r="AO405" s="1593"/>
      <c r="AP405" s="1593"/>
      <c r="AQ405" s="1593"/>
      <c r="AR405" s="1593"/>
      <c r="AS405" s="1593"/>
      <c r="AT405" s="1593"/>
      <c r="AU405" s="1593"/>
      <c r="AV405" s="1593"/>
      <c r="AW405" s="1593"/>
      <c r="AX405" s="1593"/>
      <c r="AY405" s="1593"/>
      <c r="AZ405" s="1593"/>
      <c r="BA405" s="1593"/>
      <c r="BB405" s="1593"/>
      <c r="BC405" s="1593"/>
      <c r="BD405" s="1593"/>
      <c r="BE405" s="1593"/>
      <c r="BF405" s="1593"/>
      <c r="BG405" s="1593"/>
      <c r="BH405" s="1593"/>
      <c r="BI405" s="1593"/>
      <c r="BJ405" s="1593"/>
      <c r="BK405" s="1593"/>
      <c r="BL405" s="1593"/>
      <c r="BM405" s="1593"/>
      <c r="BN405" s="1593"/>
      <c r="BO405" s="1593"/>
      <c r="BP405" s="1593"/>
      <c r="BQ405" s="1593"/>
      <c r="BR405" s="1593"/>
      <c r="BS405" s="1593"/>
      <c r="BT405" s="1593"/>
      <c r="BU405" s="1593"/>
      <c r="BV405" s="1593"/>
      <c r="BW405" s="1593"/>
      <c r="BX405" s="1593"/>
      <c r="BY405" s="1593"/>
      <c r="BZ405" s="1593"/>
      <c r="CA405" s="1593"/>
      <c r="CB405" s="1593"/>
      <c r="CC405" s="1593"/>
      <c r="CD405" s="1593"/>
      <c r="CE405" s="1593"/>
      <c r="CF405" s="1593"/>
      <c r="CG405" s="1593"/>
      <c r="CH405" s="1593"/>
      <c r="CI405" s="1593"/>
      <c r="CJ405" s="1593"/>
      <c r="CK405" s="1593"/>
      <c r="CL405" s="1593"/>
      <c r="CM405" s="1593"/>
      <c r="CN405" s="1593"/>
      <c r="CO405" s="1593"/>
      <c r="CP405" s="1593"/>
      <c r="CQ405" s="1593"/>
      <c r="CR405" s="1593"/>
      <c r="CS405" s="1593"/>
      <c r="CT405" s="1593"/>
      <c r="CU405" s="1593"/>
      <c r="CV405" s="1593"/>
      <c r="CW405" s="1593"/>
      <c r="CX405" s="1593"/>
      <c r="CY405" s="1593"/>
      <c r="CZ405" s="1593"/>
      <c r="DA405" s="1593"/>
      <c r="DB405" s="1593"/>
      <c r="DC405" s="1593"/>
      <c r="DD405" s="1593"/>
      <c r="DE405" s="1593"/>
      <c r="DF405" s="1593"/>
      <c r="DG405" s="1593"/>
      <c r="DH405" s="1593"/>
      <c r="DI405" s="1593"/>
      <c r="DJ405" s="1593"/>
      <c r="DK405" s="1593"/>
      <c r="DL405" s="1593"/>
      <c r="DM405" s="1593"/>
      <c r="DN405" s="1593"/>
      <c r="DO405" s="1593"/>
      <c r="DP405" s="1593"/>
      <c r="DQ405" s="1593"/>
      <c r="DR405" s="1593"/>
      <c r="DS405" s="1593"/>
      <c r="DT405" s="1593"/>
      <c r="DU405" s="1593"/>
      <c r="DV405" s="1593"/>
      <c r="DW405" s="1593"/>
      <c r="DX405" s="1593"/>
      <c r="DY405" s="1593"/>
      <c r="DZ405" s="1593"/>
      <c r="EA405" s="1593"/>
      <c r="EB405" s="1593"/>
      <c r="EC405" s="1593"/>
      <c r="ED405" s="1593"/>
      <c r="EE405" s="1593"/>
      <c r="EF405" s="1593"/>
      <c r="EG405" s="1593"/>
      <c r="EH405" s="1593"/>
      <c r="EI405" s="1593"/>
      <c r="EJ405" s="1593"/>
      <c r="EK405" s="1593"/>
      <c r="EL405" s="1593"/>
      <c r="EM405" s="1593"/>
      <c r="EN405" s="1593"/>
      <c r="EO405" s="1593"/>
      <c r="EP405" s="1593"/>
      <c r="EQ405" s="1593"/>
      <c r="ER405" s="1593"/>
      <c r="ES405" s="1593"/>
      <c r="ET405" s="1593"/>
      <c r="EU405" s="1593"/>
      <c r="EV405" s="1593"/>
      <c r="EW405" s="1593"/>
      <c r="EX405" s="1593"/>
      <c r="EY405" s="1593"/>
      <c r="EZ405" s="1593"/>
      <c r="FA405" s="1593"/>
      <c r="FB405" s="1593"/>
      <c r="FC405" s="1593"/>
      <c r="FD405" s="1593"/>
      <c r="FE405" s="1593"/>
      <c r="FF405" s="1593"/>
      <c r="FG405" s="1593"/>
      <c r="FH405" s="1593"/>
      <c r="FI405" s="1593"/>
      <c r="FJ405" s="1593"/>
      <c r="FK405" s="1593"/>
      <c r="FL405" s="1593"/>
      <c r="FM405" s="1593"/>
      <c r="FN405" s="1593"/>
      <c r="FO405" s="1593"/>
      <c r="FP405" s="1593"/>
      <c r="FQ405" s="1593"/>
      <c r="FR405" s="1593"/>
      <c r="FS405" s="1593"/>
      <c r="FT405" s="1593"/>
      <c r="FU405" s="1593"/>
      <c r="FV405" s="1593"/>
      <c r="FW405" s="1593"/>
      <c r="FX405" s="1593"/>
      <c r="FY405" s="1593"/>
      <c r="FZ405" s="1593"/>
      <c r="GA405" s="1593"/>
      <c r="GB405" s="1593"/>
      <c r="GC405" s="1593"/>
      <c r="GD405" s="1593"/>
      <c r="GE405" s="1593"/>
      <c r="GF405" s="1593"/>
      <c r="GG405" s="1593"/>
      <c r="GH405" s="1593"/>
      <c r="GI405" s="1593"/>
      <c r="GJ405" s="1593"/>
      <c r="GK405" s="1593"/>
      <c r="GL405" s="1593"/>
      <c r="GM405" s="1593"/>
      <c r="GN405" s="1593"/>
      <c r="GO405" s="1593"/>
      <c r="GP405" s="1593"/>
      <c r="GQ405" s="1593"/>
      <c r="GR405" s="1593"/>
      <c r="GS405" s="1593"/>
      <c r="GT405" s="1593"/>
      <c r="GU405" s="1593"/>
      <c r="GV405" s="1593"/>
      <c r="GW405" s="1593"/>
      <c r="GX405" s="1593"/>
      <c r="GY405" s="1593"/>
      <c r="GZ405" s="1593"/>
      <c r="HA405" s="1593"/>
      <c r="HB405" s="1593"/>
      <c r="HC405" s="1593"/>
      <c r="HD405" s="1593"/>
      <c r="HE405" s="1593"/>
      <c r="HF405" s="1593"/>
      <c r="HG405" s="1593"/>
      <c r="HH405" s="1593"/>
      <c r="HI405" s="1593"/>
      <c r="HJ405" s="1593"/>
      <c r="HK405" s="1593"/>
      <c r="HL405" s="1593"/>
      <c r="HM405" s="1593"/>
      <c r="HN405" s="1593"/>
      <c r="HO405" s="1593"/>
      <c r="HP405" s="1593"/>
      <c r="HQ405" s="1593"/>
      <c r="HR405" s="1593"/>
      <c r="HS405" s="1593"/>
      <c r="HT405" s="1593"/>
      <c r="HU405" s="1593"/>
      <c r="HV405" s="1593"/>
      <c r="HW405" s="1593"/>
      <c r="HX405" s="1593"/>
      <c r="HY405" s="1593"/>
      <c r="HZ405" s="1593"/>
      <c r="IA405" s="1593"/>
      <c r="IB405" s="1593"/>
      <c r="IC405" s="1593"/>
      <c r="ID405" s="1593"/>
      <c r="IE405" s="1593"/>
      <c r="IF405" s="1593"/>
      <c r="IG405" s="1593"/>
      <c r="IH405" s="1593"/>
      <c r="II405" s="1593"/>
      <c r="IJ405" s="1593"/>
      <c r="IK405" s="1593"/>
      <c r="IL405" s="1593"/>
      <c r="IM405" s="1593"/>
      <c r="IN405" s="1593"/>
      <c r="IO405" s="1593"/>
      <c r="IP405" s="1593"/>
      <c r="IQ405" s="1593"/>
      <c r="IR405" s="1593"/>
      <c r="IS405" s="1593"/>
      <c r="IT405" s="1593"/>
      <c r="IU405" s="1593"/>
      <c r="IV405" s="1593"/>
      <c r="IW405" s="1593"/>
      <c r="IX405" s="1593"/>
      <c r="IY405" s="1593"/>
      <c r="IZ405" s="1593"/>
      <c r="JA405" s="1593"/>
      <c r="JB405" s="1593"/>
      <c r="JC405" s="1593"/>
      <c r="JD405" s="1593"/>
      <c r="JE405" s="1593"/>
      <c r="JF405" s="1593"/>
      <c r="JG405" s="1593"/>
      <c r="JH405" s="1593"/>
      <c r="JI405" s="1593"/>
      <c r="JJ405" s="1593"/>
      <c r="JK405" s="1593"/>
      <c r="JL405" s="1593"/>
      <c r="JM405" s="1593"/>
      <c r="JN405" s="1593"/>
      <c r="JO405" s="1593"/>
      <c r="JP405" s="1593"/>
      <c r="JQ405" s="1593"/>
      <c r="JR405" s="1593"/>
      <c r="JS405" s="1593"/>
      <c r="JT405" s="1593"/>
      <c r="JU405" s="1593"/>
      <c r="JV405" s="1593"/>
      <c r="JW405" s="1593"/>
      <c r="JX405" s="1593"/>
      <c r="JY405" s="1593"/>
      <c r="JZ405" s="1593"/>
      <c r="KA405" s="1593"/>
      <c r="KB405" s="1598"/>
    </row>
    <row r="406" spans="2:288" ht="15" customHeight="1" x14ac:dyDescent="0.25">
      <c r="B406" s="216" t="str">
        <f t="shared" si="30"/>
        <v>Desk 87</v>
      </c>
      <c r="C406" s="218" t="str">
        <v/>
      </c>
      <c r="D406" s="218" t="str">
        <v/>
      </c>
      <c r="E406" s="218" t="str">
        <v/>
      </c>
      <c r="F406" s="218" t="str">
        <v/>
      </c>
      <c r="G406" s="402" t="str">
        <v/>
      </c>
      <c r="H406" s="1593"/>
      <c r="I406" s="1593"/>
      <c r="J406" s="1593"/>
      <c r="K406" s="1593"/>
      <c r="L406" s="1593"/>
      <c r="M406" s="1593"/>
      <c r="N406" s="1593"/>
      <c r="O406" s="1593"/>
      <c r="P406" s="1593"/>
      <c r="Q406" s="1593"/>
      <c r="R406" s="1593"/>
      <c r="S406" s="1593"/>
      <c r="T406" s="1593"/>
      <c r="U406" s="1593"/>
      <c r="V406" s="1593"/>
      <c r="W406" s="1593"/>
      <c r="X406" s="1593"/>
      <c r="Y406" s="1593"/>
      <c r="Z406" s="1593"/>
      <c r="AA406" s="1593"/>
      <c r="AB406" s="1593"/>
      <c r="AC406" s="1593"/>
      <c r="AD406" s="1593"/>
      <c r="AE406" s="1593"/>
      <c r="AF406" s="1593"/>
      <c r="AG406" s="1593"/>
      <c r="AH406" s="1593"/>
      <c r="AI406" s="1593"/>
      <c r="AJ406" s="1593"/>
      <c r="AK406" s="1593"/>
      <c r="AL406" s="1593"/>
      <c r="AM406" s="1593"/>
      <c r="AN406" s="1593"/>
      <c r="AO406" s="1593"/>
      <c r="AP406" s="1593"/>
      <c r="AQ406" s="1593"/>
      <c r="AR406" s="1593"/>
      <c r="AS406" s="1593"/>
      <c r="AT406" s="1593"/>
      <c r="AU406" s="1593"/>
      <c r="AV406" s="1593"/>
      <c r="AW406" s="1593"/>
      <c r="AX406" s="1593"/>
      <c r="AY406" s="1593"/>
      <c r="AZ406" s="1593"/>
      <c r="BA406" s="1593"/>
      <c r="BB406" s="1593"/>
      <c r="BC406" s="1593"/>
      <c r="BD406" s="1593"/>
      <c r="BE406" s="1593"/>
      <c r="BF406" s="1593"/>
      <c r="BG406" s="1593"/>
      <c r="BH406" s="1593"/>
      <c r="BI406" s="1593"/>
      <c r="BJ406" s="1593"/>
      <c r="BK406" s="1593"/>
      <c r="BL406" s="1593"/>
      <c r="BM406" s="1593"/>
      <c r="BN406" s="1593"/>
      <c r="BO406" s="1593"/>
      <c r="BP406" s="1593"/>
      <c r="BQ406" s="1593"/>
      <c r="BR406" s="1593"/>
      <c r="BS406" s="1593"/>
      <c r="BT406" s="1593"/>
      <c r="BU406" s="1593"/>
      <c r="BV406" s="1593"/>
      <c r="BW406" s="1593"/>
      <c r="BX406" s="1593"/>
      <c r="BY406" s="1593"/>
      <c r="BZ406" s="1593"/>
      <c r="CA406" s="1593"/>
      <c r="CB406" s="1593"/>
      <c r="CC406" s="1593"/>
      <c r="CD406" s="1593"/>
      <c r="CE406" s="1593"/>
      <c r="CF406" s="1593"/>
      <c r="CG406" s="1593"/>
      <c r="CH406" s="1593"/>
      <c r="CI406" s="1593"/>
      <c r="CJ406" s="1593"/>
      <c r="CK406" s="1593"/>
      <c r="CL406" s="1593"/>
      <c r="CM406" s="1593"/>
      <c r="CN406" s="1593"/>
      <c r="CO406" s="1593"/>
      <c r="CP406" s="1593"/>
      <c r="CQ406" s="1593"/>
      <c r="CR406" s="1593"/>
      <c r="CS406" s="1593"/>
      <c r="CT406" s="1593"/>
      <c r="CU406" s="1593"/>
      <c r="CV406" s="1593"/>
      <c r="CW406" s="1593"/>
      <c r="CX406" s="1593"/>
      <c r="CY406" s="1593"/>
      <c r="CZ406" s="1593"/>
      <c r="DA406" s="1593"/>
      <c r="DB406" s="1593"/>
      <c r="DC406" s="1593"/>
      <c r="DD406" s="1593"/>
      <c r="DE406" s="1593"/>
      <c r="DF406" s="1593"/>
      <c r="DG406" s="1593"/>
      <c r="DH406" s="1593"/>
      <c r="DI406" s="1593"/>
      <c r="DJ406" s="1593"/>
      <c r="DK406" s="1593"/>
      <c r="DL406" s="1593"/>
      <c r="DM406" s="1593"/>
      <c r="DN406" s="1593"/>
      <c r="DO406" s="1593"/>
      <c r="DP406" s="1593"/>
      <c r="DQ406" s="1593"/>
      <c r="DR406" s="1593"/>
      <c r="DS406" s="1593"/>
      <c r="DT406" s="1593"/>
      <c r="DU406" s="1593"/>
      <c r="DV406" s="1593"/>
      <c r="DW406" s="1593"/>
      <c r="DX406" s="1593"/>
      <c r="DY406" s="1593"/>
      <c r="DZ406" s="1593"/>
      <c r="EA406" s="1593"/>
      <c r="EB406" s="1593"/>
      <c r="EC406" s="1593"/>
      <c r="ED406" s="1593"/>
      <c r="EE406" s="1593"/>
      <c r="EF406" s="1593"/>
      <c r="EG406" s="1593"/>
      <c r="EH406" s="1593"/>
      <c r="EI406" s="1593"/>
      <c r="EJ406" s="1593"/>
      <c r="EK406" s="1593"/>
      <c r="EL406" s="1593"/>
      <c r="EM406" s="1593"/>
      <c r="EN406" s="1593"/>
      <c r="EO406" s="1593"/>
      <c r="EP406" s="1593"/>
      <c r="EQ406" s="1593"/>
      <c r="ER406" s="1593"/>
      <c r="ES406" s="1593"/>
      <c r="ET406" s="1593"/>
      <c r="EU406" s="1593"/>
      <c r="EV406" s="1593"/>
      <c r="EW406" s="1593"/>
      <c r="EX406" s="1593"/>
      <c r="EY406" s="1593"/>
      <c r="EZ406" s="1593"/>
      <c r="FA406" s="1593"/>
      <c r="FB406" s="1593"/>
      <c r="FC406" s="1593"/>
      <c r="FD406" s="1593"/>
      <c r="FE406" s="1593"/>
      <c r="FF406" s="1593"/>
      <c r="FG406" s="1593"/>
      <c r="FH406" s="1593"/>
      <c r="FI406" s="1593"/>
      <c r="FJ406" s="1593"/>
      <c r="FK406" s="1593"/>
      <c r="FL406" s="1593"/>
      <c r="FM406" s="1593"/>
      <c r="FN406" s="1593"/>
      <c r="FO406" s="1593"/>
      <c r="FP406" s="1593"/>
      <c r="FQ406" s="1593"/>
      <c r="FR406" s="1593"/>
      <c r="FS406" s="1593"/>
      <c r="FT406" s="1593"/>
      <c r="FU406" s="1593"/>
      <c r="FV406" s="1593"/>
      <c r="FW406" s="1593"/>
      <c r="FX406" s="1593"/>
      <c r="FY406" s="1593"/>
      <c r="FZ406" s="1593"/>
      <c r="GA406" s="1593"/>
      <c r="GB406" s="1593"/>
      <c r="GC406" s="1593"/>
      <c r="GD406" s="1593"/>
      <c r="GE406" s="1593"/>
      <c r="GF406" s="1593"/>
      <c r="GG406" s="1593"/>
      <c r="GH406" s="1593"/>
      <c r="GI406" s="1593"/>
      <c r="GJ406" s="1593"/>
      <c r="GK406" s="1593"/>
      <c r="GL406" s="1593"/>
      <c r="GM406" s="1593"/>
      <c r="GN406" s="1593"/>
      <c r="GO406" s="1593"/>
      <c r="GP406" s="1593"/>
      <c r="GQ406" s="1593"/>
      <c r="GR406" s="1593"/>
      <c r="GS406" s="1593"/>
      <c r="GT406" s="1593"/>
      <c r="GU406" s="1593"/>
      <c r="GV406" s="1593"/>
      <c r="GW406" s="1593"/>
      <c r="GX406" s="1593"/>
      <c r="GY406" s="1593"/>
      <c r="GZ406" s="1593"/>
      <c r="HA406" s="1593"/>
      <c r="HB406" s="1593"/>
      <c r="HC406" s="1593"/>
      <c r="HD406" s="1593"/>
      <c r="HE406" s="1593"/>
      <c r="HF406" s="1593"/>
      <c r="HG406" s="1593"/>
      <c r="HH406" s="1593"/>
      <c r="HI406" s="1593"/>
      <c r="HJ406" s="1593"/>
      <c r="HK406" s="1593"/>
      <c r="HL406" s="1593"/>
      <c r="HM406" s="1593"/>
      <c r="HN406" s="1593"/>
      <c r="HO406" s="1593"/>
      <c r="HP406" s="1593"/>
      <c r="HQ406" s="1593"/>
      <c r="HR406" s="1593"/>
      <c r="HS406" s="1593"/>
      <c r="HT406" s="1593"/>
      <c r="HU406" s="1593"/>
      <c r="HV406" s="1593"/>
      <c r="HW406" s="1593"/>
      <c r="HX406" s="1593"/>
      <c r="HY406" s="1593"/>
      <c r="HZ406" s="1593"/>
      <c r="IA406" s="1593"/>
      <c r="IB406" s="1593"/>
      <c r="IC406" s="1593"/>
      <c r="ID406" s="1593"/>
      <c r="IE406" s="1593"/>
      <c r="IF406" s="1593"/>
      <c r="IG406" s="1593"/>
      <c r="IH406" s="1593"/>
      <c r="II406" s="1593"/>
      <c r="IJ406" s="1593"/>
      <c r="IK406" s="1593"/>
      <c r="IL406" s="1593"/>
      <c r="IM406" s="1593"/>
      <c r="IN406" s="1593"/>
      <c r="IO406" s="1593"/>
      <c r="IP406" s="1593"/>
      <c r="IQ406" s="1593"/>
      <c r="IR406" s="1593"/>
      <c r="IS406" s="1593"/>
      <c r="IT406" s="1593"/>
      <c r="IU406" s="1593"/>
      <c r="IV406" s="1593"/>
      <c r="IW406" s="1593"/>
      <c r="IX406" s="1593"/>
      <c r="IY406" s="1593"/>
      <c r="IZ406" s="1593"/>
      <c r="JA406" s="1593"/>
      <c r="JB406" s="1593"/>
      <c r="JC406" s="1593"/>
      <c r="JD406" s="1593"/>
      <c r="JE406" s="1593"/>
      <c r="JF406" s="1593"/>
      <c r="JG406" s="1593"/>
      <c r="JH406" s="1593"/>
      <c r="JI406" s="1593"/>
      <c r="JJ406" s="1593"/>
      <c r="JK406" s="1593"/>
      <c r="JL406" s="1593"/>
      <c r="JM406" s="1593"/>
      <c r="JN406" s="1593"/>
      <c r="JO406" s="1593"/>
      <c r="JP406" s="1593"/>
      <c r="JQ406" s="1593"/>
      <c r="JR406" s="1593"/>
      <c r="JS406" s="1593"/>
      <c r="JT406" s="1593"/>
      <c r="JU406" s="1593"/>
      <c r="JV406" s="1593"/>
      <c r="JW406" s="1593"/>
      <c r="JX406" s="1593"/>
      <c r="JY406" s="1593"/>
      <c r="JZ406" s="1593"/>
      <c r="KA406" s="1593"/>
      <c r="KB406" s="1598"/>
    </row>
    <row r="407" spans="2:288" ht="15" customHeight="1" x14ac:dyDescent="0.25">
      <c r="B407" s="216" t="str">
        <f t="shared" si="30"/>
        <v>Desk 88</v>
      </c>
      <c r="C407" s="218" t="str">
        <v/>
      </c>
      <c r="D407" s="218" t="str">
        <v/>
      </c>
      <c r="E407" s="218" t="str">
        <v/>
      </c>
      <c r="F407" s="218" t="str">
        <v/>
      </c>
      <c r="G407" s="402" t="str">
        <v/>
      </c>
      <c r="H407" s="1593"/>
      <c r="I407" s="1593"/>
      <c r="J407" s="1593"/>
      <c r="K407" s="1593"/>
      <c r="L407" s="1593"/>
      <c r="M407" s="1593"/>
      <c r="N407" s="1593"/>
      <c r="O407" s="1593"/>
      <c r="P407" s="1593"/>
      <c r="Q407" s="1593"/>
      <c r="R407" s="1593"/>
      <c r="S407" s="1593"/>
      <c r="T407" s="1593"/>
      <c r="U407" s="1593"/>
      <c r="V407" s="1593"/>
      <c r="W407" s="1593"/>
      <c r="X407" s="1593"/>
      <c r="Y407" s="1593"/>
      <c r="Z407" s="1593"/>
      <c r="AA407" s="1593"/>
      <c r="AB407" s="1593"/>
      <c r="AC407" s="1593"/>
      <c r="AD407" s="1593"/>
      <c r="AE407" s="1593"/>
      <c r="AF407" s="1593"/>
      <c r="AG407" s="1593"/>
      <c r="AH407" s="1593"/>
      <c r="AI407" s="1593"/>
      <c r="AJ407" s="1593"/>
      <c r="AK407" s="1593"/>
      <c r="AL407" s="1593"/>
      <c r="AM407" s="1593"/>
      <c r="AN407" s="1593"/>
      <c r="AO407" s="1593"/>
      <c r="AP407" s="1593"/>
      <c r="AQ407" s="1593"/>
      <c r="AR407" s="1593"/>
      <c r="AS407" s="1593"/>
      <c r="AT407" s="1593"/>
      <c r="AU407" s="1593"/>
      <c r="AV407" s="1593"/>
      <c r="AW407" s="1593"/>
      <c r="AX407" s="1593"/>
      <c r="AY407" s="1593"/>
      <c r="AZ407" s="1593"/>
      <c r="BA407" s="1593"/>
      <c r="BB407" s="1593"/>
      <c r="BC407" s="1593"/>
      <c r="BD407" s="1593"/>
      <c r="BE407" s="1593"/>
      <c r="BF407" s="1593"/>
      <c r="BG407" s="1593"/>
      <c r="BH407" s="1593"/>
      <c r="BI407" s="1593"/>
      <c r="BJ407" s="1593"/>
      <c r="BK407" s="1593"/>
      <c r="BL407" s="1593"/>
      <c r="BM407" s="1593"/>
      <c r="BN407" s="1593"/>
      <c r="BO407" s="1593"/>
      <c r="BP407" s="1593"/>
      <c r="BQ407" s="1593"/>
      <c r="BR407" s="1593"/>
      <c r="BS407" s="1593"/>
      <c r="BT407" s="1593"/>
      <c r="BU407" s="1593"/>
      <c r="BV407" s="1593"/>
      <c r="BW407" s="1593"/>
      <c r="BX407" s="1593"/>
      <c r="BY407" s="1593"/>
      <c r="BZ407" s="1593"/>
      <c r="CA407" s="1593"/>
      <c r="CB407" s="1593"/>
      <c r="CC407" s="1593"/>
      <c r="CD407" s="1593"/>
      <c r="CE407" s="1593"/>
      <c r="CF407" s="1593"/>
      <c r="CG407" s="1593"/>
      <c r="CH407" s="1593"/>
      <c r="CI407" s="1593"/>
      <c r="CJ407" s="1593"/>
      <c r="CK407" s="1593"/>
      <c r="CL407" s="1593"/>
      <c r="CM407" s="1593"/>
      <c r="CN407" s="1593"/>
      <c r="CO407" s="1593"/>
      <c r="CP407" s="1593"/>
      <c r="CQ407" s="1593"/>
      <c r="CR407" s="1593"/>
      <c r="CS407" s="1593"/>
      <c r="CT407" s="1593"/>
      <c r="CU407" s="1593"/>
      <c r="CV407" s="1593"/>
      <c r="CW407" s="1593"/>
      <c r="CX407" s="1593"/>
      <c r="CY407" s="1593"/>
      <c r="CZ407" s="1593"/>
      <c r="DA407" s="1593"/>
      <c r="DB407" s="1593"/>
      <c r="DC407" s="1593"/>
      <c r="DD407" s="1593"/>
      <c r="DE407" s="1593"/>
      <c r="DF407" s="1593"/>
      <c r="DG407" s="1593"/>
      <c r="DH407" s="1593"/>
      <c r="DI407" s="1593"/>
      <c r="DJ407" s="1593"/>
      <c r="DK407" s="1593"/>
      <c r="DL407" s="1593"/>
      <c r="DM407" s="1593"/>
      <c r="DN407" s="1593"/>
      <c r="DO407" s="1593"/>
      <c r="DP407" s="1593"/>
      <c r="DQ407" s="1593"/>
      <c r="DR407" s="1593"/>
      <c r="DS407" s="1593"/>
      <c r="DT407" s="1593"/>
      <c r="DU407" s="1593"/>
      <c r="DV407" s="1593"/>
      <c r="DW407" s="1593"/>
      <c r="DX407" s="1593"/>
      <c r="DY407" s="1593"/>
      <c r="DZ407" s="1593"/>
      <c r="EA407" s="1593"/>
      <c r="EB407" s="1593"/>
      <c r="EC407" s="1593"/>
      <c r="ED407" s="1593"/>
      <c r="EE407" s="1593"/>
      <c r="EF407" s="1593"/>
      <c r="EG407" s="1593"/>
      <c r="EH407" s="1593"/>
      <c r="EI407" s="1593"/>
      <c r="EJ407" s="1593"/>
      <c r="EK407" s="1593"/>
      <c r="EL407" s="1593"/>
      <c r="EM407" s="1593"/>
      <c r="EN407" s="1593"/>
      <c r="EO407" s="1593"/>
      <c r="EP407" s="1593"/>
      <c r="EQ407" s="1593"/>
      <c r="ER407" s="1593"/>
      <c r="ES407" s="1593"/>
      <c r="ET407" s="1593"/>
      <c r="EU407" s="1593"/>
      <c r="EV407" s="1593"/>
      <c r="EW407" s="1593"/>
      <c r="EX407" s="1593"/>
      <c r="EY407" s="1593"/>
      <c r="EZ407" s="1593"/>
      <c r="FA407" s="1593"/>
      <c r="FB407" s="1593"/>
      <c r="FC407" s="1593"/>
      <c r="FD407" s="1593"/>
      <c r="FE407" s="1593"/>
      <c r="FF407" s="1593"/>
      <c r="FG407" s="1593"/>
      <c r="FH407" s="1593"/>
      <c r="FI407" s="1593"/>
      <c r="FJ407" s="1593"/>
      <c r="FK407" s="1593"/>
      <c r="FL407" s="1593"/>
      <c r="FM407" s="1593"/>
      <c r="FN407" s="1593"/>
      <c r="FO407" s="1593"/>
      <c r="FP407" s="1593"/>
      <c r="FQ407" s="1593"/>
      <c r="FR407" s="1593"/>
      <c r="FS407" s="1593"/>
      <c r="FT407" s="1593"/>
      <c r="FU407" s="1593"/>
      <c r="FV407" s="1593"/>
      <c r="FW407" s="1593"/>
      <c r="FX407" s="1593"/>
      <c r="FY407" s="1593"/>
      <c r="FZ407" s="1593"/>
      <c r="GA407" s="1593"/>
      <c r="GB407" s="1593"/>
      <c r="GC407" s="1593"/>
      <c r="GD407" s="1593"/>
      <c r="GE407" s="1593"/>
      <c r="GF407" s="1593"/>
      <c r="GG407" s="1593"/>
      <c r="GH407" s="1593"/>
      <c r="GI407" s="1593"/>
      <c r="GJ407" s="1593"/>
      <c r="GK407" s="1593"/>
      <c r="GL407" s="1593"/>
      <c r="GM407" s="1593"/>
      <c r="GN407" s="1593"/>
      <c r="GO407" s="1593"/>
      <c r="GP407" s="1593"/>
      <c r="GQ407" s="1593"/>
      <c r="GR407" s="1593"/>
      <c r="GS407" s="1593"/>
      <c r="GT407" s="1593"/>
      <c r="GU407" s="1593"/>
      <c r="GV407" s="1593"/>
      <c r="GW407" s="1593"/>
      <c r="GX407" s="1593"/>
      <c r="GY407" s="1593"/>
      <c r="GZ407" s="1593"/>
      <c r="HA407" s="1593"/>
      <c r="HB407" s="1593"/>
      <c r="HC407" s="1593"/>
      <c r="HD407" s="1593"/>
      <c r="HE407" s="1593"/>
      <c r="HF407" s="1593"/>
      <c r="HG407" s="1593"/>
      <c r="HH407" s="1593"/>
      <c r="HI407" s="1593"/>
      <c r="HJ407" s="1593"/>
      <c r="HK407" s="1593"/>
      <c r="HL407" s="1593"/>
      <c r="HM407" s="1593"/>
      <c r="HN407" s="1593"/>
      <c r="HO407" s="1593"/>
      <c r="HP407" s="1593"/>
      <c r="HQ407" s="1593"/>
      <c r="HR407" s="1593"/>
      <c r="HS407" s="1593"/>
      <c r="HT407" s="1593"/>
      <c r="HU407" s="1593"/>
      <c r="HV407" s="1593"/>
      <c r="HW407" s="1593"/>
      <c r="HX407" s="1593"/>
      <c r="HY407" s="1593"/>
      <c r="HZ407" s="1593"/>
      <c r="IA407" s="1593"/>
      <c r="IB407" s="1593"/>
      <c r="IC407" s="1593"/>
      <c r="ID407" s="1593"/>
      <c r="IE407" s="1593"/>
      <c r="IF407" s="1593"/>
      <c r="IG407" s="1593"/>
      <c r="IH407" s="1593"/>
      <c r="II407" s="1593"/>
      <c r="IJ407" s="1593"/>
      <c r="IK407" s="1593"/>
      <c r="IL407" s="1593"/>
      <c r="IM407" s="1593"/>
      <c r="IN407" s="1593"/>
      <c r="IO407" s="1593"/>
      <c r="IP407" s="1593"/>
      <c r="IQ407" s="1593"/>
      <c r="IR407" s="1593"/>
      <c r="IS407" s="1593"/>
      <c r="IT407" s="1593"/>
      <c r="IU407" s="1593"/>
      <c r="IV407" s="1593"/>
      <c r="IW407" s="1593"/>
      <c r="IX407" s="1593"/>
      <c r="IY407" s="1593"/>
      <c r="IZ407" s="1593"/>
      <c r="JA407" s="1593"/>
      <c r="JB407" s="1593"/>
      <c r="JC407" s="1593"/>
      <c r="JD407" s="1593"/>
      <c r="JE407" s="1593"/>
      <c r="JF407" s="1593"/>
      <c r="JG407" s="1593"/>
      <c r="JH407" s="1593"/>
      <c r="JI407" s="1593"/>
      <c r="JJ407" s="1593"/>
      <c r="JK407" s="1593"/>
      <c r="JL407" s="1593"/>
      <c r="JM407" s="1593"/>
      <c r="JN407" s="1593"/>
      <c r="JO407" s="1593"/>
      <c r="JP407" s="1593"/>
      <c r="JQ407" s="1593"/>
      <c r="JR407" s="1593"/>
      <c r="JS407" s="1593"/>
      <c r="JT407" s="1593"/>
      <c r="JU407" s="1593"/>
      <c r="JV407" s="1593"/>
      <c r="JW407" s="1593"/>
      <c r="JX407" s="1593"/>
      <c r="JY407" s="1593"/>
      <c r="JZ407" s="1593"/>
      <c r="KA407" s="1593"/>
      <c r="KB407" s="1598"/>
    </row>
    <row r="408" spans="2:288" ht="15" customHeight="1" x14ac:dyDescent="0.25">
      <c r="B408" s="216" t="str">
        <f t="shared" si="30"/>
        <v>Desk 89</v>
      </c>
      <c r="C408" s="218" t="str">
        <v/>
      </c>
      <c r="D408" s="218" t="str">
        <v/>
      </c>
      <c r="E408" s="218" t="str">
        <v/>
      </c>
      <c r="F408" s="218" t="str">
        <v/>
      </c>
      <c r="G408" s="402" t="str">
        <v/>
      </c>
      <c r="H408" s="1593"/>
      <c r="I408" s="1593"/>
      <c r="J408" s="1593"/>
      <c r="K408" s="1593"/>
      <c r="L408" s="1593"/>
      <c r="M408" s="1593"/>
      <c r="N408" s="1593"/>
      <c r="O408" s="1593"/>
      <c r="P408" s="1593"/>
      <c r="Q408" s="1593"/>
      <c r="R408" s="1593"/>
      <c r="S408" s="1593"/>
      <c r="T408" s="1593"/>
      <c r="U408" s="1593"/>
      <c r="V408" s="1593"/>
      <c r="W408" s="1593"/>
      <c r="X408" s="1593"/>
      <c r="Y408" s="1593"/>
      <c r="Z408" s="1593"/>
      <c r="AA408" s="1593"/>
      <c r="AB408" s="1593"/>
      <c r="AC408" s="1593"/>
      <c r="AD408" s="1593"/>
      <c r="AE408" s="1593"/>
      <c r="AF408" s="1593"/>
      <c r="AG408" s="1593"/>
      <c r="AH408" s="1593"/>
      <c r="AI408" s="1593"/>
      <c r="AJ408" s="1593"/>
      <c r="AK408" s="1593"/>
      <c r="AL408" s="1593"/>
      <c r="AM408" s="1593"/>
      <c r="AN408" s="1593"/>
      <c r="AO408" s="1593"/>
      <c r="AP408" s="1593"/>
      <c r="AQ408" s="1593"/>
      <c r="AR408" s="1593"/>
      <c r="AS408" s="1593"/>
      <c r="AT408" s="1593"/>
      <c r="AU408" s="1593"/>
      <c r="AV408" s="1593"/>
      <c r="AW408" s="1593"/>
      <c r="AX408" s="1593"/>
      <c r="AY408" s="1593"/>
      <c r="AZ408" s="1593"/>
      <c r="BA408" s="1593"/>
      <c r="BB408" s="1593"/>
      <c r="BC408" s="1593"/>
      <c r="BD408" s="1593"/>
      <c r="BE408" s="1593"/>
      <c r="BF408" s="1593"/>
      <c r="BG408" s="1593"/>
      <c r="BH408" s="1593"/>
      <c r="BI408" s="1593"/>
      <c r="BJ408" s="1593"/>
      <c r="BK408" s="1593"/>
      <c r="BL408" s="1593"/>
      <c r="BM408" s="1593"/>
      <c r="BN408" s="1593"/>
      <c r="BO408" s="1593"/>
      <c r="BP408" s="1593"/>
      <c r="BQ408" s="1593"/>
      <c r="BR408" s="1593"/>
      <c r="BS408" s="1593"/>
      <c r="BT408" s="1593"/>
      <c r="BU408" s="1593"/>
      <c r="BV408" s="1593"/>
      <c r="BW408" s="1593"/>
      <c r="BX408" s="1593"/>
      <c r="BY408" s="1593"/>
      <c r="BZ408" s="1593"/>
      <c r="CA408" s="1593"/>
      <c r="CB408" s="1593"/>
      <c r="CC408" s="1593"/>
      <c r="CD408" s="1593"/>
      <c r="CE408" s="1593"/>
      <c r="CF408" s="1593"/>
      <c r="CG408" s="1593"/>
      <c r="CH408" s="1593"/>
      <c r="CI408" s="1593"/>
      <c r="CJ408" s="1593"/>
      <c r="CK408" s="1593"/>
      <c r="CL408" s="1593"/>
      <c r="CM408" s="1593"/>
      <c r="CN408" s="1593"/>
      <c r="CO408" s="1593"/>
      <c r="CP408" s="1593"/>
      <c r="CQ408" s="1593"/>
      <c r="CR408" s="1593"/>
      <c r="CS408" s="1593"/>
      <c r="CT408" s="1593"/>
      <c r="CU408" s="1593"/>
      <c r="CV408" s="1593"/>
      <c r="CW408" s="1593"/>
      <c r="CX408" s="1593"/>
      <c r="CY408" s="1593"/>
      <c r="CZ408" s="1593"/>
      <c r="DA408" s="1593"/>
      <c r="DB408" s="1593"/>
      <c r="DC408" s="1593"/>
      <c r="DD408" s="1593"/>
      <c r="DE408" s="1593"/>
      <c r="DF408" s="1593"/>
      <c r="DG408" s="1593"/>
      <c r="DH408" s="1593"/>
      <c r="DI408" s="1593"/>
      <c r="DJ408" s="1593"/>
      <c r="DK408" s="1593"/>
      <c r="DL408" s="1593"/>
      <c r="DM408" s="1593"/>
      <c r="DN408" s="1593"/>
      <c r="DO408" s="1593"/>
      <c r="DP408" s="1593"/>
      <c r="DQ408" s="1593"/>
      <c r="DR408" s="1593"/>
      <c r="DS408" s="1593"/>
      <c r="DT408" s="1593"/>
      <c r="DU408" s="1593"/>
      <c r="DV408" s="1593"/>
      <c r="DW408" s="1593"/>
      <c r="DX408" s="1593"/>
      <c r="DY408" s="1593"/>
      <c r="DZ408" s="1593"/>
      <c r="EA408" s="1593"/>
      <c r="EB408" s="1593"/>
      <c r="EC408" s="1593"/>
      <c r="ED408" s="1593"/>
      <c r="EE408" s="1593"/>
      <c r="EF408" s="1593"/>
      <c r="EG408" s="1593"/>
      <c r="EH408" s="1593"/>
      <c r="EI408" s="1593"/>
      <c r="EJ408" s="1593"/>
      <c r="EK408" s="1593"/>
      <c r="EL408" s="1593"/>
      <c r="EM408" s="1593"/>
      <c r="EN408" s="1593"/>
      <c r="EO408" s="1593"/>
      <c r="EP408" s="1593"/>
      <c r="EQ408" s="1593"/>
      <c r="ER408" s="1593"/>
      <c r="ES408" s="1593"/>
      <c r="ET408" s="1593"/>
      <c r="EU408" s="1593"/>
      <c r="EV408" s="1593"/>
      <c r="EW408" s="1593"/>
      <c r="EX408" s="1593"/>
      <c r="EY408" s="1593"/>
      <c r="EZ408" s="1593"/>
      <c r="FA408" s="1593"/>
      <c r="FB408" s="1593"/>
      <c r="FC408" s="1593"/>
      <c r="FD408" s="1593"/>
      <c r="FE408" s="1593"/>
      <c r="FF408" s="1593"/>
      <c r="FG408" s="1593"/>
      <c r="FH408" s="1593"/>
      <c r="FI408" s="1593"/>
      <c r="FJ408" s="1593"/>
      <c r="FK408" s="1593"/>
      <c r="FL408" s="1593"/>
      <c r="FM408" s="1593"/>
      <c r="FN408" s="1593"/>
      <c r="FO408" s="1593"/>
      <c r="FP408" s="1593"/>
      <c r="FQ408" s="1593"/>
      <c r="FR408" s="1593"/>
      <c r="FS408" s="1593"/>
      <c r="FT408" s="1593"/>
      <c r="FU408" s="1593"/>
      <c r="FV408" s="1593"/>
      <c r="FW408" s="1593"/>
      <c r="FX408" s="1593"/>
      <c r="FY408" s="1593"/>
      <c r="FZ408" s="1593"/>
      <c r="GA408" s="1593"/>
      <c r="GB408" s="1593"/>
      <c r="GC408" s="1593"/>
      <c r="GD408" s="1593"/>
      <c r="GE408" s="1593"/>
      <c r="GF408" s="1593"/>
      <c r="GG408" s="1593"/>
      <c r="GH408" s="1593"/>
      <c r="GI408" s="1593"/>
      <c r="GJ408" s="1593"/>
      <c r="GK408" s="1593"/>
      <c r="GL408" s="1593"/>
      <c r="GM408" s="1593"/>
      <c r="GN408" s="1593"/>
      <c r="GO408" s="1593"/>
      <c r="GP408" s="1593"/>
      <c r="GQ408" s="1593"/>
      <c r="GR408" s="1593"/>
      <c r="GS408" s="1593"/>
      <c r="GT408" s="1593"/>
      <c r="GU408" s="1593"/>
      <c r="GV408" s="1593"/>
      <c r="GW408" s="1593"/>
      <c r="GX408" s="1593"/>
      <c r="GY408" s="1593"/>
      <c r="GZ408" s="1593"/>
      <c r="HA408" s="1593"/>
      <c r="HB408" s="1593"/>
      <c r="HC408" s="1593"/>
      <c r="HD408" s="1593"/>
      <c r="HE408" s="1593"/>
      <c r="HF408" s="1593"/>
      <c r="HG408" s="1593"/>
      <c r="HH408" s="1593"/>
      <c r="HI408" s="1593"/>
      <c r="HJ408" s="1593"/>
      <c r="HK408" s="1593"/>
      <c r="HL408" s="1593"/>
      <c r="HM408" s="1593"/>
      <c r="HN408" s="1593"/>
      <c r="HO408" s="1593"/>
      <c r="HP408" s="1593"/>
      <c r="HQ408" s="1593"/>
      <c r="HR408" s="1593"/>
      <c r="HS408" s="1593"/>
      <c r="HT408" s="1593"/>
      <c r="HU408" s="1593"/>
      <c r="HV408" s="1593"/>
      <c r="HW408" s="1593"/>
      <c r="HX408" s="1593"/>
      <c r="HY408" s="1593"/>
      <c r="HZ408" s="1593"/>
      <c r="IA408" s="1593"/>
      <c r="IB408" s="1593"/>
      <c r="IC408" s="1593"/>
      <c r="ID408" s="1593"/>
      <c r="IE408" s="1593"/>
      <c r="IF408" s="1593"/>
      <c r="IG408" s="1593"/>
      <c r="IH408" s="1593"/>
      <c r="II408" s="1593"/>
      <c r="IJ408" s="1593"/>
      <c r="IK408" s="1593"/>
      <c r="IL408" s="1593"/>
      <c r="IM408" s="1593"/>
      <c r="IN408" s="1593"/>
      <c r="IO408" s="1593"/>
      <c r="IP408" s="1593"/>
      <c r="IQ408" s="1593"/>
      <c r="IR408" s="1593"/>
      <c r="IS408" s="1593"/>
      <c r="IT408" s="1593"/>
      <c r="IU408" s="1593"/>
      <c r="IV408" s="1593"/>
      <c r="IW408" s="1593"/>
      <c r="IX408" s="1593"/>
      <c r="IY408" s="1593"/>
      <c r="IZ408" s="1593"/>
      <c r="JA408" s="1593"/>
      <c r="JB408" s="1593"/>
      <c r="JC408" s="1593"/>
      <c r="JD408" s="1593"/>
      <c r="JE408" s="1593"/>
      <c r="JF408" s="1593"/>
      <c r="JG408" s="1593"/>
      <c r="JH408" s="1593"/>
      <c r="JI408" s="1593"/>
      <c r="JJ408" s="1593"/>
      <c r="JK408" s="1593"/>
      <c r="JL408" s="1593"/>
      <c r="JM408" s="1593"/>
      <c r="JN408" s="1593"/>
      <c r="JO408" s="1593"/>
      <c r="JP408" s="1593"/>
      <c r="JQ408" s="1593"/>
      <c r="JR408" s="1593"/>
      <c r="JS408" s="1593"/>
      <c r="JT408" s="1593"/>
      <c r="JU408" s="1593"/>
      <c r="JV408" s="1593"/>
      <c r="JW408" s="1593"/>
      <c r="JX408" s="1593"/>
      <c r="JY408" s="1593"/>
      <c r="JZ408" s="1593"/>
      <c r="KA408" s="1593"/>
      <c r="KB408" s="1598"/>
    </row>
    <row r="409" spans="2:288" ht="15" customHeight="1" x14ac:dyDescent="0.25">
      <c r="B409" s="216" t="str">
        <f t="shared" si="30"/>
        <v>Desk 90</v>
      </c>
      <c r="C409" s="218" t="str">
        <v/>
      </c>
      <c r="D409" s="218" t="str">
        <v/>
      </c>
      <c r="E409" s="218" t="str">
        <v/>
      </c>
      <c r="F409" s="218" t="str">
        <v/>
      </c>
      <c r="G409" s="402" t="str">
        <v/>
      </c>
      <c r="H409" s="1593"/>
      <c r="I409" s="1593"/>
      <c r="J409" s="1593"/>
      <c r="K409" s="1593"/>
      <c r="L409" s="1593"/>
      <c r="M409" s="1593"/>
      <c r="N409" s="1593"/>
      <c r="O409" s="1593"/>
      <c r="P409" s="1593"/>
      <c r="Q409" s="1593"/>
      <c r="R409" s="1593"/>
      <c r="S409" s="1593"/>
      <c r="T409" s="1593"/>
      <c r="U409" s="1593"/>
      <c r="V409" s="1593"/>
      <c r="W409" s="1593"/>
      <c r="X409" s="1593"/>
      <c r="Y409" s="1593"/>
      <c r="Z409" s="1593"/>
      <c r="AA409" s="1593"/>
      <c r="AB409" s="1593"/>
      <c r="AC409" s="1593"/>
      <c r="AD409" s="1593"/>
      <c r="AE409" s="1593"/>
      <c r="AF409" s="1593"/>
      <c r="AG409" s="1593"/>
      <c r="AH409" s="1593"/>
      <c r="AI409" s="1593"/>
      <c r="AJ409" s="1593"/>
      <c r="AK409" s="1593"/>
      <c r="AL409" s="1593"/>
      <c r="AM409" s="1593"/>
      <c r="AN409" s="1593"/>
      <c r="AO409" s="1593"/>
      <c r="AP409" s="1593"/>
      <c r="AQ409" s="1593"/>
      <c r="AR409" s="1593"/>
      <c r="AS409" s="1593"/>
      <c r="AT409" s="1593"/>
      <c r="AU409" s="1593"/>
      <c r="AV409" s="1593"/>
      <c r="AW409" s="1593"/>
      <c r="AX409" s="1593"/>
      <c r="AY409" s="1593"/>
      <c r="AZ409" s="1593"/>
      <c r="BA409" s="1593"/>
      <c r="BB409" s="1593"/>
      <c r="BC409" s="1593"/>
      <c r="BD409" s="1593"/>
      <c r="BE409" s="1593"/>
      <c r="BF409" s="1593"/>
      <c r="BG409" s="1593"/>
      <c r="BH409" s="1593"/>
      <c r="BI409" s="1593"/>
      <c r="BJ409" s="1593"/>
      <c r="BK409" s="1593"/>
      <c r="BL409" s="1593"/>
      <c r="BM409" s="1593"/>
      <c r="BN409" s="1593"/>
      <c r="BO409" s="1593"/>
      <c r="BP409" s="1593"/>
      <c r="BQ409" s="1593"/>
      <c r="BR409" s="1593"/>
      <c r="BS409" s="1593"/>
      <c r="BT409" s="1593"/>
      <c r="BU409" s="1593"/>
      <c r="BV409" s="1593"/>
      <c r="BW409" s="1593"/>
      <c r="BX409" s="1593"/>
      <c r="BY409" s="1593"/>
      <c r="BZ409" s="1593"/>
      <c r="CA409" s="1593"/>
      <c r="CB409" s="1593"/>
      <c r="CC409" s="1593"/>
      <c r="CD409" s="1593"/>
      <c r="CE409" s="1593"/>
      <c r="CF409" s="1593"/>
      <c r="CG409" s="1593"/>
      <c r="CH409" s="1593"/>
      <c r="CI409" s="1593"/>
      <c r="CJ409" s="1593"/>
      <c r="CK409" s="1593"/>
      <c r="CL409" s="1593"/>
      <c r="CM409" s="1593"/>
      <c r="CN409" s="1593"/>
      <c r="CO409" s="1593"/>
      <c r="CP409" s="1593"/>
      <c r="CQ409" s="1593"/>
      <c r="CR409" s="1593"/>
      <c r="CS409" s="1593"/>
      <c r="CT409" s="1593"/>
      <c r="CU409" s="1593"/>
      <c r="CV409" s="1593"/>
      <c r="CW409" s="1593"/>
      <c r="CX409" s="1593"/>
      <c r="CY409" s="1593"/>
      <c r="CZ409" s="1593"/>
      <c r="DA409" s="1593"/>
      <c r="DB409" s="1593"/>
      <c r="DC409" s="1593"/>
      <c r="DD409" s="1593"/>
      <c r="DE409" s="1593"/>
      <c r="DF409" s="1593"/>
      <c r="DG409" s="1593"/>
      <c r="DH409" s="1593"/>
      <c r="DI409" s="1593"/>
      <c r="DJ409" s="1593"/>
      <c r="DK409" s="1593"/>
      <c r="DL409" s="1593"/>
      <c r="DM409" s="1593"/>
      <c r="DN409" s="1593"/>
      <c r="DO409" s="1593"/>
      <c r="DP409" s="1593"/>
      <c r="DQ409" s="1593"/>
      <c r="DR409" s="1593"/>
      <c r="DS409" s="1593"/>
      <c r="DT409" s="1593"/>
      <c r="DU409" s="1593"/>
      <c r="DV409" s="1593"/>
      <c r="DW409" s="1593"/>
      <c r="DX409" s="1593"/>
      <c r="DY409" s="1593"/>
      <c r="DZ409" s="1593"/>
      <c r="EA409" s="1593"/>
      <c r="EB409" s="1593"/>
      <c r="EC409" s="1593"/>
      <c r="ED409" s="1593"/>
      <c r="EE409" s="1593"/>
      <c r="EF409" s="1593"/>
      <c r="EG409" s="1593"/>
      <c r="EH409" s="1593"/>
      <c r="EI409" s="1593"/>
      <c r="EJ409" s="1593"/>
      <c r="EK409" s="1593"/>
      <c r="EL409" s="1593"/>
      <c r="EM409" s="1593"/>
      <c r="EN409" s="1593"/>
      <c r="EO409" s="1593"/>
      <c r="EP409" s="1593"/>
      <c r="EQ409" s="1593"/>
      <c r="ER409" s="1593"/>
      <c r="ES409" s="1593"/>
      <c r="ET409" s="1593"/>
      <c r="EU409" s="1593"/>
      <c r="EV409" s="1593"/>
      <c r="EW409" s="1593"/>
      <c r="EX409" s="1593"/>
      <c r="EY409" s="1593"/>
      <c r="EZ409" s="1593"/>
      <c r="FA409" s="1593"/>
      <c r="FB409" s="1593"/>
      <c r="FC409" s="1593"/>
      <c r="FD409" s="1593"/>
      <c r="FE409" s="1593"/>
      <c r="FF409" s="1593"/>
      <c r="FG409" s="1593"/>
      <c r="FH409" s="1593"/>
      <c r="FI409" s="1593"/>
      <c r="FJ409" s="1593"/>
      <c r="FK409" s="1593"/>
      <c r="FL409" s="1593"/>
      <c r="FM409" s="1593"/>
      <c r="FN409" s="1593"/>
      <c r="FO409" s="1593"/>
      <c r="FP409" s="1593"/>
      <c r="FQ409" s="1593"/>
      <c r="FR409" s="1593"/>
      <c r="FS409" s="1593"/>
      <c r="FT409" s="1593"/>
      <c r="FU409" s="1593"/>
      <c r="FV409" s="1593"/>
      <c r="FW409" s="1593"/>
      <c r="FX409" s="1593"/>
      <c r="FY409" s="1593"/>
      <c r="FZ409" s="1593"/>
      <c r="GA409" s="1593"/>
      <c r="GB409" s="1593"/>
      <c r="GC409" s="1593"/>
      <c r="GD409" s="1593"/>
      <c r="GE409" s="1593"/>
      <c r="GF409" s="1593"/>
      <c r="GG409" s="1593"/>
      <c r="GH409" s="1593"/>
      <c r="GI409" s="1593"/>
      <c r="GJ409" s="1593"/>
      <c r="GK409" s="1593"/>
      <c r="GL409" s="1593"/>
      <c r="GM409" s="1593"/>
      <c r="GN409" s="1593"/>
      <c r="GO409" s="1593"/>
      <c r="GP409" s="1593"/>
      <c r="GQ409" s="1593"/>
      <c r="GR409" s="1593"/>
      <c r="GS409" s="1593"/>
      <c r="GT409" s="1593"/>
      <c r="GU409" s="1593"/>
      <c r="GV409" s="1593"/>
      <c r="GW409" s="1593"/>
      <c r="GX409" s="1593"/>
      <c r="GY409" s="1593"/>
      <c r="GZ409" s="1593"/>
      <c r="HA409" s="1593"/>
      <c r="HB409" s="1593"/>
      <c r="HC409" s="1593"/>
      <c r="HD409" s="1593"/>
      <c r="HE409" s="1593"/>
      <c r="HF409" s="1593"/>
      <c r="HG409" s="1593"/>
      <c r="HH409" s="1593"/>
      <c r="HI409" s="1593"/>
      <c r="HJ409" s="1593"/>
      <c r="HK409" s="1593"/>
      <c r="HL409" s="1593"/>
      <c r="HM409" s="1593"/>
      <c r="HN409" s="1593"/>
      <c r="HO409" s="1593"/>
      <c r="HP409" s="1593"/>
      <c r="HQ409" s="1593"/>
      <c r="HR409" s="1593"/>
      <c r="HS409" s="1593"/>
      <c r="HT409" s="1593"/>
      <c r="HU409" s="1593"/>
      <c r="HV409" s="1593"/>
      <c r="HW409" s="1593"/>
      <c r="HX409" s="1593"/>
      <c r="HY409" s="1593"/>
      <c r="HZ409" s="1593"/>
      <c r="IA409" s="1593"/>
      <c r="IB409" s="1593"/>
      <c r="IC409" s="1593"/>
      <c r="ID409" s="1593"/>
      <c r="IE409" s="1593"/>
      <c r="IF409" s="1593"/>
      <c r="IG409" s="1593"/>
      <c r="IH409" s="1593"/>
      <c r="II409" s="1593"/>
      <c r="IJ409" s="1593"/>
      <c r="IK409" s="1593"/>
      <c r="IL409" s="1593"/>
      <c r="IM409" s="1593"/>
      <c r="IN409" s="1593"/>
      <c r="IO409" s="1593"/>
      <c r="IP409" s="1593"/>
      <c r="IQ409" s="1593"/>
      <c r="IR409" s="1593"/>
      <c r="IS409" s="1593"/>
      <c r="IT409" s="1593"/>
      <c r="IU409" s="1593"/>
      <c r="IV409" s="1593"/>
      <c r="IW409" s="1593"/>
      <c r="IX409" s="1593"/>
      <c r="IY409" s="1593"/>
      <c r="IZ409" s="1593"/>
      <c r="JA409" s="1593"/>
      <c r="JB409" s="1593"/>
      <c r="JC409" s="1593"/>
      <c r="JD409" s="1593"/>
      <c r="JE409" s="1593"/>
      <c r="JF409" s="1593"/>
      <c r="JG409" s="1593"/>
      <c r="JH409" s="1593"/>
      <c r="JI409" s="1593"/>
      <c r="JJ409" s="1593"/>
      <c r="JK409" s="1593"/>
      <c r="JL409" s="1593"/>
      <c r="JM409" s="1593"/>
      <c r="JN409" s="1593"/>
      <c r="JO409" s="1593"/>
      <c r="JP409" s="1593"/>
      <c r="JQ409" s="1593"/>
      <c r="JR409" s="1593"/>
      <c r="JS409" s="1593"/>
      <c r="JT409" s="1593"/>
      <c r="JU409" s="1593"/>
      <c r="JV409" s="1593"/>
      <c r="JW409" s="1593"/>
      <c r="JX409" s="1593"/>
      <c r="JY409" s="1593"/>
      <c r="JZ409" s="1593"/>
      <c r="KA409" s="1593"/>
      <c r="KB409" s="1598"/>
    </row>
    <row r="410" spans="2:288" ht="15" customHeight="1" x14ac:dyDescent="0.25">
      <c r="B410" s="216" t="str">
        <f t="shared" si="30"/>
        <v>Desk 91</v>
      </c>
      <c r="C410" s="218" t="str">
        <v/>
      </c>
      <c r="D410" s="218" t="str">
        <v/>
      </c>
      <c r="E410" s="218" t="str">
        <v/>
      </c>
      <c r="F410" s="218" t="str">
        <v/>
      </c>
      <c r="G410" s="402" t="str">
        <v/>
      </c>
      <c r="H410" s="1593"/>
      <c r="I410" s="1593"/>
      <c r="J410" s="1593"/>
      <c r="K410" s="1593"/>
      <c r="L410" s="1593"/>
      <c r="M410" s="1593"/>
      <c r="N410" s="1593"/>
      <c r="O410" s="1593"/>
      <c r="P410" s="1593"/>
      <c r="Q410" s="1593"/>
      <c r="R410" s="1593"/>
      <c r="S410" s="1593"/>
      <c r="T410" s="1593"/>
      <c r="U410" s="1593"/>
      <c r="V410" s="1593"/>
      <c r="W410" s="1593"/>
      <c r="X410" s="1593"/>
      <c r="Y410" s="1593"/>
      <c r="Z410" s="1593"/>
      <c r="AA410" s="1593"/>
      <c r="AB410" s="1593"/>
      <c r="AC410" s="1593"/>
      <c r="AD410" s="1593"/>
      <c r="AE410" s="1593"/>
      <c r="AF410" s="1593"/>
      <c r="AG410" s="1593"/>
      <c r="AH410" s="1593"/>
      <c r="AI410" s="1593"/>
      <c r="AJ410" s="1593"/>
      <c r="AK410" s="1593"/>
      <c r="AL410" s="1593"/>
      <c r="AM410" s="1593"/>
      <c r="AN410" s="1593"/>
      <c r="AO410" s="1593"/>
      <c r="AP410" s="1593"/>
      <c r="AQ410" s="1593"/>
      <c r="AR410" s="1593"/>
      <c r="AS410" s="1593"/>
      <c r="AT410" s="1593"/>
      <c r="AU410" s="1593"/>
      <c r="AV410" s="1593"/>
      <c r="AW410" s="1593"/>
      <c r="AX410" s="1593"/>
      <c r="AY410" s="1593"/>
      <c r="AZ410" s="1593"/>
      <c r="BA410" s="1593"/>
      <c r="BB410" s="1593"/>
      <c r="BC410" s="1593"/>
      <c r="BD410" s="1593"/>
      <c r="BE410" s="1593"/>
      <c r="BF410" s="1593"/>
      <c r="BG410" s="1593"/>
      <c r="BH410" s="1593"/>
      <c r="BI410" s="1593"/>
      <c r="BJ410" s="1593"/>
      <c r="BK410" s="1593"/>
      <c r="BL410" s="1593"/>
      <c r="BM410" s="1593"/>
      <c r="BN410" s="1593"/>
      <c r="BO410" s="1593"/>
      <c r="BP410" s="1593"/>
      <c r="BQ410" s="1593"/>
      <c r="BR410" s="1593"/>
      <c r="BS410" s="1593"/>
      <c r="BT410" s="1593"/>
      <c r="BU410" s="1593"/>
      <c r="BV410" s="1593"/>
      <c r="BW410" s="1593"/>
      <c r="BX410" s="1593"/>
      <c r="BY410" s="1593"/>
      <c r="BZ410" s="1593"/>
      <c r="CA410" s="1593"/>
      <c r="CB410" s="1593"/>
      <c r="CC410" s="1593"/>
      <c r="CD410" s="1593"/>
      <c r="CE410" s="1593"/>
      <c r="CF410" s="1593"/>
      <c r="CG410" s="1593"/>
      <c r="CH410" s="1593"/>
      <c r="CI410" s="1593"/>
      <c r="CJ410" s="1593"/>
      <c r="CK410" s="1593"/>
      <c r="CL410" s="1593"/>
      <c r="CM410" s="1593"/>
      <c r="CN410" s="1593"/>
      <c r="CO410" s="1593"/>
      <c r="CP410" s="1593"/>
      <c r="CQ410" s="1593"/>
      <c r="CR410" s="1593"/>
      <c r="CS410" s="1593"/>
      <c r="CT410" s="1593"/>
      <c r="CU410" s="1593"/>
      <c r="CV410" s="1593"/>
      <c r="CW410" s="1593"/>
      <c r="CX410" s="1593"/>
      <c r="CY410" s="1593"/>
      <c r="CZ410" s="1593"/>
      <c r="DA410" s="1593"/>
      <c r="DB410" s="1593"/>
      <c r="DC410" s="1593"/>
      <c r="DD410" s="1593"/>
      <c r="DE410" s="1593"/>
      <c r="DF410" s="1593"/>
      <c r="DG410" s="1593"/>
      <c r="DH410" s="1593"/>
      <c r="DI410" s="1593"/>
      <c r="DJ410" s="1593"/>
      <c r="DK410" s="1593"/>
      <c r="DL410" s="1593"/>
      <c r="DM410" s="1593"/>
      <c r="DN410" s="1593"/>
      <c r="DO410" s="1593"/>
      <c r="DP410" s="1593"/>
      <c r="DQ410" s="1593"/>
      <c r="DR410" s="1593"/>
      <c r="DS410" s="1593"/>
      <c r="DT410" s="1593"/>
      <c r="DU410" s="1593"/>
      <c r="DV410" s="1593"/>
      <c r="DW410" s="1593"/>
      <c r="DX410" s="1593"/>
      <c r="DY410" s="1593"/>
      <c r="DZ410" s="1593"/>
      <c r="EA410" s="1593"/>
      <c r="EB410" s="1593"/>
      <c r="EC410" s="1593"/>
      <c r="ED410" s="1593"/>
      <c r="EE410" s="1593"/>
      <c r="EF410" s="1593"/>
      <c r="EG410" s="1593"/>
      <c r="EH410" s="1593"/>
      <c r="EI410" s="1593"/>
      <c r="EJ410" s="1593"/>
      <c r="EK410" s="1593"/>
      <c r="EL410" s="1593"/>
      <c r="EM410" s="1593"/>
      <c r="EN410" s="1593"/>
      <c r="EO410" s="1593"/>
      <c r="EP410" s="1593"/>
      <c r="EQ410" s="1593"/>
      <c r="ER410" s="1593"/>
      <c r="ES410" s="1593"/>
      <c r="ET410" s="1593"/>
      <c r="EU410" s="1593"/>
      <c r="EV410" s="1593"/>
      <c r="EW410" s="1593"/>
      <c r="EX410" s="1593"/>
      <c r="EY410" s="1593"/>
      <c r="EZ410" s="1593"/>
      <c r="FA410" s="1593"/>
      <c r="FB410" s="1593"/>
      <c r="FC410" s="1593"/>
      <c r="FD410" s="1593"/>
      <c r="FE410" s="1593"/>
      <c r="FF410" s="1593"/>
      <c r="FG410" s="1593"/>
      <c r="FH410" s="1593"/>
      <c r="FI410" s="1593"/>
      <c r="FJ410" s="1593"/>
      <c r="FK410" s="1593"/>
      <c r="FL410" s="1593"/>
      <c r="FM410" s="1593"/>
      <c r="FN410" s="1593"/>
      <c r="FO410" s="1593"/>
      <c r="FP410" s="1593"/>
      <c r="FQ410" s="1593"/>
      <c r="FR410" s="1593"/>
      <c r="FS410" s="1593"/>
      <c r="FT410" s="1593"/>
      <c r="FU410" s="1593"/>
      <c r="FV410" s="1593"/>
      <c r="FW410" s="1593"/>
      <c r="FX410" s="1593"/>
      <c r="FY410" s="1593"/>
      <c r="FZ410" s="1593"/>
      <c r="GA410" s="1593"/>
      <c r="GB410" s="1593"/>
      <c r="GC410" s="1593"/>
      <c r="GD410" s="1593"/>
      <c r="GE410" s="1593"/>
      <c r="GF410" s="1593"/>
      <c r="GG410" s="1593"/>
      <c r="GH410" s="1593"/>
      <c r="GI410" s="1593"/>
      <c r="GJ410" s="1593"/>
      <c r="GK410" s="1593"/>
      <c r="GL410" s="1593"/>
      <c r="GM410" s="1593"/>
      <c r="GN410" s="1593"/>
      <c r="GO410" s="1593"/>
      <c r="GP410" s="1593"/>
      <c r="GQ410" s="1593"/>
      <c r="GR410" s="1593"/>
      <c r="GS410" s="1593"/>
      <c r="GT410" s="1593"/>
      <c r="GU410" s="1593"/>
      <c r="GV410" s="1593"/>
      <c r="GW410" s="1593"/>
      <c r="GX410" s="1593"/>
      <c r="GY410" s="1593"/>
      <c r="GZ410" s="1593"/>
      <c r="HA410" s="1593"/>
      <c r="HB410" s="1593"/>
      <c r="HC410" s="1593"/>
      <c r="HD410" s="1593"/>
      <c r="HE410" s="1593"/>
      <c r="HF410" s="1593"/>
      <c r="HG410" s="1593"/>
      <c r="HH410" s="1593"/>
      <c r="HI410" s="1593"/>
      <c r="HJ410" s="1593"/>
      <c r="HK410" s="1593"/>
      <c r="HL410" s="1593"/>
      <c r="HM410" s="1593"/>
      <c r="HN410" s="1593"/>
      <c r="HO410" s="1593"/>
      <c r="HP410" s="1593"/>
      <c r="HQ410" s="1593"/>
      <c r="HR410" s="1593"/>
      <c r="HS410" s="1593"/>
      <c r="HT410" s="1593"/>
      <c r="HU410" s="1593"/>
      <c r="HV410" s="1593"/>
      <c r="HW410" s="1593"/>
      <c r="HX410" s="1593"/>
      <c r="HY410" s="1593"/>
      <c r="HZ410" s="1593"/>
      <c r="IA410" s="1593"/>
      <c r="IB410" s="1593"/>
      <c r="IC410" s="1593"/>
      <c r="ID410" s="1593"/>
      <c r="IE410" s="1593"/>
      <c r="IF410" s="1593"/>
      <c r="IG410" s="1593"/>
      <c r="IH410" s="1593"/>
      <c r="II410" s="1593"/>
      <c r="IJ410" s="1593"/>
      <c r="IK410" s="1593"/>
      <c r="IL410" s="1593"/>
      <c r="IM410" s="1593"/>
      <c r="IN410" s="1593"/>
      <c r="IO410" s="1593"/>
      <c r="IP410" s="1593"/>
      <c r="IQ410" s="1593"/>
      <c r="IR410" s="1593"/>
      <c r="IS410" s="1593"/>
      <c r="IT410" s="1593"/>
      <c r="IU410" s="1593"/>
      <c r="IV410" s="1593"/>
      <c r="IW410" s="1593"/>
      <c r="IX410" s="1593"/>
      <c r="IY410" s="1593"/>
      <c r="IZ410" s="1593"/>
      <c r="JA410" s="1593"/>
      <c r="JB410" s="1593"/>
      <c r="JC410" s="1593"/>
      <c r="JD410" s="1593"/>
      <c r="JE410" s="1593"/>
      <c r="JF410" s="1593"/>
      <c r="JG410" s="1593"/>
      <c r="JH410" s="1593"/>
      <c r="JI410" s="1593"/>
      <c r="JJ410" s="1593"/>
      <c r="JK410" s="1593"/>
      <c r="JL410" s="1593"/>
      <c r="JM410" s="1593"/>
      <c r="JN410" s="1593"/>
      <c r="JO410" s="1593"/>
      <c r="JP410" s="1593"/>
      <c r="JQ410" s="1593"/>
      <c r="JR410" s="1593"/>
      <c r="JS410" s="1593"/>
      <c r="JT410" s="1593"/>
      <c r="JU410" s="1593"/>
      <c r="JV410" s="1593"/>
      <c r="JW410" s="1593"/>
      <c r="JX410" s="1593"/>
      <c r="JY410" s="1593"/>
      <c r="JZ410" s="1593"/>
      <c r="KA410" s="1593"/>
      <c r="KB410" s="1598"/>
    </row>
    <row r="411" spans="2:288" ht="15" customHeight="1" x14ac:dyDescent="0.25">
      <c r="B411" s="216" t="str">
        <f t="shared" si="30"/>
        <v>Desk 92</v>
      </c>
      <c r="C411" s="218" t="str">
        <v/>
      </c>
      <c r="D411" s="218" t="str">
        <v/>
      </c>
      <c r="E411" s="218" t="str">
        <v/>
      </c>
      <c r="F411" s="218" t="str">
        <v/>
      </c>
      <c r="G411" s="402" t="str">
        <v/>
      </c>
      <c r="H411" s="1593"/>
      <c r="I411" s="1593"/>
      <c r="J411" s="1593"/>
      <c r="K411" s="1593"/>
      <c r="L411" s="1593"/>
      <c r="M411" s="1593"/>
      <c r="N411" s="1593"/>
      <c r="O411" s="1593"/>
      <c r="P411" s="1593"/>
      <c r="Q411" s="1593"/>
      <c r="R411" s="1593"/>
      <c r="S411" s="1593"/>
      <c r="T411" s="1593"/>
      <c r="U411" s="1593"/>
      <c r="V411" s="1593"/>
      <c r="W411" s="1593"/>
      <c r="X411" s="1593"/>
      <c r="Y411" s="1593"/>
      <c r="Z411" s="1593"/>
      <c r="AA411" s="1593"/>
      <c r="AB411" s="1593"/>
      <c r="AC411" s="1593"/>
      <c r="AD411" s="1593"/>
      <c r="AE411" s="1593"/>
      <c r="AF411" s="1593"/>
      <c r="AG411" s="1593"/>
      <c r="AH411" s="1593"/>
      <c r="AI411" s="1593"/>
      <c r="AJ411" s="1593"/>
      <c r="AK411" s="1593"/>
      <c r="AL411" s="1593"/>
      <c r="AM411" s="1593"/>
      <c r="AN411" s="1593"/>
      <c r="AO411" s="1593"/>
      <c r="AP411" s="1593"/>
      <c r="AQ411" s="1593"/>
      <c r="AR411" s="1593"/>
      <c r="AS411" s="1593"/>
      <c r="AT411" s="1593"/>
      <c r="AU411" s="1593"/>
      <c r="AV411" s="1593"/>
      <c r="AW411" s="1593"/>
      <c r="AX411" s="1593"/>
      <c r="AY411" s="1593"/>
      <c r="AZ411" s="1593"/>
      <c r="BA411" s="1593"/>
      <c r="BB411" s="1593"/>
      <c r="BC411" s="1593"/>
      <c r="BD411" s="1593"/>
      <c r="BE411" s="1593"/>
      <c r="BF411" s="1593"/>
      <c r="BG411" s="1593"/>
      <c r="BH411" s="1593"/>
      <c r="BI411" s="1593"/>
      <c r="BJ411" s="1593"/>
      <c r="BK411" s="1593"/>
      <c r="BL411" s="1593"/>
      <c r="BM411" s="1593"/>
      <c r="BN411" s="1593"/>
      <c r="BO411" s="1593"/>
      <c r="BP411" s="1593"/>
      <c r="BQ411" s="1593"/>
      <c r="BR411" s="1593"/>
      <c r="BS411" s="1593"/>
      <c r="BT411" s="1593"/>
      <c r="BU411" s="1593"/>
      <c r="BV411" s="1593"/>
      <c r="BW411" s="1593"/>
      <c r="BX411" s="1593"/>
      <c r="BY411" s="1593"/>
      <c r="BZ411" s="1593"/>
      <c r="CA411" s="1593"/>
      <c r="CB411" s="1593"/>
      <c r="CC411" s="1593"/>
      <c r="CD411" s="1593"/>
      <c r="CE411" s="1593"/>
      <c r="CF411" s="1593"/>
      <c r="CG411" s="1593"/>
      <c r="CH411" s="1593"/>
      <c r="CI411" s="1593"/>
      <c r="CJ411" s="1593"/>
      <c r="CK411" s="1593"/>
      <c r="CL411" s="1593"/>
      <c r="CM411" s="1593"/>
      <c r="CN411" s="1593"/>
      <c r="CO411" s="1593"/>
      <c r="CP411" s="1593"/>
      <c r="CQ411" s="1593"/>
      <c r="CR411" s="1593"/>
      <c r="CS411" s="1593"/>
      <c r="CT411" s="1593"/>
      <c r="CU411" s="1593"/>
      <c r="CV411" s="1593"/>
      <c r="CW411" s="1593"/>
      <c r="CX411" s="1593"/>
      <c r="CY411" s="1593"/>
      <c r="CZ411" s="1593"/>
      <c r="DA411" s="1593"/>
      <c r="DB411" s="1593"/>
      <c r="DC411" s="1593"/>
      <c r="DD411" s="1593"/>
      <c r="DE411" s="1593"/>
      <c r="DF411" s="1593"/>
      <c r="DG411" s="1593"/>
      <c r="DH411" s="1593"/>
      <c r="DI411" s="1593"/>
      <c r="DJ411" s="1593"/>
      <c r="DK411" s="1593"/>
      <c r="DL411" s="1593"/>
      <c r="DM411" s="1593"/>
      <c r="DN411" s="1593"/>
      <c r="DO411" s="1593"/>
      <c r="DP411" s="1593"/>
      <c r="DQ411" s="1593"/>
      <c r="DR411" s="1593"/>
      <c r="DS411" s="1593"/>
      <c r="DT411" s="1593"/>
      <c r="DU411" s="1593"/>
      <c r="DV411" s="1593"/>
      <c r="DW411" s="1593"/>
      <c r="DX411" s="1593"/>
      <c r="DY411" s="1593"/>
      <c r="DZ411" s="1593"/>
      <c r="EA411" s="1593"/>
      <c r="EB411" s="1593"/>
      <c r="EC411" s="1593"/>
      <c r="ED411" s="1593"/>
      <c r="EE411" s="1593"/>
      <c r="EF411" s="1593"/>
      <c r="EG411" s="1593"/>
      <c r="EH411" s="1593"/>
      <c r="EI411" s="1593"/>
      <c r="EJ411" s="1593"/>
      <c r="EK411" s="1593"/>
      <c r="EL411" s="1593"/>
      <c r="EM411" s="1593"/>
      <c r="EN411" s="1593"/>
      <c r="EO411" s="1593"/>
      <c r="EP411" s="1593"/>
      <c r="EQ411" s="1593"/>
      <c r="ER411" s="1593"/>
      <c r="ES411" s="1593"/>
      <c r="ET411" s="1593"/>
      <c r="EU411" s="1593"/>
      <c r="EV411" s="1593"/>
      <c r="EW411" s="1593"/>
      <c r="EX411" s="1593"/>
      <c r="EY411" s="1593"/>
      <c r="EZ411" s="1593"/>
      <c r="FA411" s="1593"/>
      <c r="FB411" s="1593"/>
      <c r="FC411" s="1593"/>
      <c r="FD411" s="1593"/>
      <c r="FE411" s="1593"/>
      <c r="FF411" s="1593"/>
      <c r="FG411" s="1593"/>
      <c r="FH411" s="1593"/>
      <c r="FI411" s="1593"/>
      <c r="FJ411" s="1593"/>
      <c r="FK411" s="1593"/>
      <c r="FL411" s="1593"/>
      <c r="FM411" s="1593"/>
      <c r="FN411" s="1593"/>
      <c r="FO411" s="1593"/>
      <c r="FP411" s="1593"/>
      <c r="FQ411" s="1593"/>
      <c r="FR411" s="1593"/>
      <c r="FS411" s="1593"/>
      <c r="FT411" s="1593"/>
      <c r="FU411" s="1593"/>
      <c r="FV411" s="1593"/>
      <c r="FW411" s="1593"/>
      <c r="FX411" s="1593"/>
      <c r="FY411" s="1593"/>
      <c r="FZ411" s="1593"/>
      <c r="GA411" s="1593"/>
      <c r="GB411" s="1593"/>
      <c r="GC411" s="1593"/>
      <c r="GD411" s="1593"/>
      <c r="GE411" s="1593"/>
      <c r="GF411" s="1593"/>
      <c r="GG411" s="1593"/>
      <c r="GH411" s="1593"/>
      <c r="GI411" s="1593"/>
      <c r="GJ411" s="1593"/>
      <c r="GK411" s="1593"/>
      <c r="GL411" s="1593"/>
      <c r="GM411" s="1593"/>
      <c r="GN411" s="1593"/>
      <c r="GO411" s="1593"/>
      <c r="GP411" s="1593"/>
      <c r="GQ411" s="1593"/>
      <c r="GR411" s="1593"/>
      <c r="GS411" s="1593"/>
      <c r="GT411" s="1593"/>
      <c r="GU411" s="1593"/>
      <c r="GV411" s="1593"/>
      <c r="GW411" s="1593"/>
      <c r="GX411" s="1593"/>
      <c r="GY411" s="1593"/>
      <c r="GZ411" s="1593"/>
      <c r="HA411" s="1593"/>
      <c r="HB411" s="1593"/>
      <c r="HC411" s="1593"/>
      <c r="HD411" s="1593"/>
      <c r="HE411" s="1593"/>
      <c r="HF411" s="1593"/>
      <c r="HG411" s="1593"/>
      <c r="HH411" s="1593"/>
      <c r="HI411" s="1593"/>
      <c r="HJ411" s="1593"/>
      <c r="HK411" s="1593"/>
      <c r="HL411" s="1593"/>
      <c r="HM411" s="1593"/>
      <c r="HN411" s="1593"/>
      <c r="HO411" s="1593"/>
      <c r="HP411" s="1593"/>
      <c r="HQ411" s="1593"/>
      <c r="HR411" s="1593"/>
      <c r="HS411" s="1593"/>
      <c r="HT411" s="1593"/>
      <c r="HU411" s="1593"/>
      <c r="HV411" s="1593"/>
      <c r="HW411" s="1593"/>
      <c r="HX411" s="1593"/>
      <c r="HY411" s="1593"/>
      <c r="HZ411" s="1593"/>
      <c r="IA411" s="1593"/>
      <c r="IB411" s="1593"/>
      <c r="IC411" s="1593"/>
      <c r="ID411" s="1593"/>
      <c r="IE411" s="1593"/>
      <c r="IF411" s="1593"/>
      <c r="IG411" s="1593"/>
      <c r="IH411" s="1593"/>
      <c r="II411" s="1593"/>
      <c r="IJ411" s="1593"/>
      <c r="IK411" s="1593"/>
      <c r="IL411" s="1593"/>
      <c r="IM411" s="1593"/>
      <c r="IN411" s="1593"/>
      <c r="IO411" s="1593"/>
      <c r="IP411" s="1593"/>
      <c r="IQ411" s="1593"/>
      <c r="IR411" s="1593"/>
      <c r="IS411" s="1593"/>
      <c r="IT411" s="1593"/>
      <c r="IU411" s="1593"/>
      <c r="IV411" s="1593"/>
      <c r="IW411" s="1593"/>
      <c r="IX411" s="1593"/>
      <c r="IY411" s="1593"/>
      <c r="IZ411" s="1593"/>
      <c r="JA411" s="1593"/>
      <c r="JB411" s="1593"/>
      <c r="JC411" s="1593"/>
      <c r="JD411" s="1593"/>
      <c r="JE411" s="1593"/>
      <c r="JF411" s="1593"/>
      <c r="JG411" s="1593"/>
      <c r="JH411" s="1593"/>
      <c r="JI411" s="1593"/>
      <c r="JJ411" s="1593"/>
      <c r="JK411" s="1593"/>
      <c r="JL411" s="1593"/>
      <c r="JM411" s="1593"/>
      <c r="JN411" s="1593"/>
      <c r="JO411" s="1593"/>
      <c r="JP411" s="1593"/>
      <c r="JQ411" s="1593"/>
      <c r="JR411" s="1593"/>
      <c r="JS411" s="1593"/>
      <c r="JT411" s="1593"/>
      <c r="JU411" s="1593"/>
      <c r="JV411" s="1593"/>
      <c r="JW411" s="1593"/>
      <c r="JX411" s="1593"/>
      <c r="JY411" s="1593"/>
      <c r="JZ411" s="1593"/>
      <c r="KA411" s="1593"/>
      <c r="KB411" s="1598"/>
    </row>
    <row r="412" spans="2:288" ht="15" customHeight="1" x14ac:dyDescent="0.25">
      <c r="B412" s="216" t="str">
        <f t="shared" si="30"/>
        <v>Desk 93</v>
      </c>
      <c r="C412" s="218" t="str">
        <v/>
      </c>
      <c r="D412" s="218" t="str">
        <v/>
      </c>
      <c r="E412" s="218" t="str">
        <v/>
      </c>
      <c r="F412" s="218" t="str">
        <v/>
      </c>
      <c r="G412" s="402" t="str">
        <v/>
      </c>
      <c r="H412" s="1593"/>
      <c r="I412" s="1593"/>
      <c r="J412" s="1593"/>
      <c r="K412" s="1593"/>
      <c r="L412" s="1593"/>
      <c r="M412" s="1593"/>
      <c r="N412" s="1593"/>
      <c r="O412" s="1593"/>
      <c r="P412" s="1593"/>
      <c r="Q412" s="1593"/>
      <c r="R412" s="1593"/>
      <c r="S412" s="1593"/>
      <c r="T412" s="1593"/>
      <c r="U412" s="1593"/>
      <c r="V412" s="1593"/>
      <c r="W412" s="1593"/>
      <c r="X412" s="1593"/>
      <c r="Y412" s="1593"/>
      <c r="Z412" s="1593"/>
      <c r="AA412" s="1593"/>
      <c r="AB412" s="1593"/>
      <c r="AC412" s="1593"/>
      <c r="AD412" s="1593"/>
      <c r="AE412" s="1593"/>
      <c r="AF412" s="1593"/>
      <c r="AG412" s="1593"/>
      <c r="AH412" s="1593"/>
      <c r="AI412" s="1593"/>
      <c r="AJ412" s="1593"/>
      <c r="AK412" s="1593"/>
      <c r="AL412" s="1593"/>
      <c r="AM412" s="1593"/>
      <c r="AN412" s="1593"/>
      <c r="AO412" s="1593"/>
      <c r="AP412" s="1593"/>
      <c r="AQ412" s="1593"/>
      <c r="AR412" s="1593"/>
      <c r="AS412" s="1593"/>
      <c r="AT412" s="1593"/>
      <c r="AU412" s="1593"/>
      <c r="AV412" s="1593"/>
      <c r="AW412" s="1593"/>
      <c r="AX412" s="1593"/>
      <c r="AY412" s="1593"/>
      <c r="AZ412" s="1593"/>
      <c r="BA412" s="1593"/>
      <c r="BB412" s="1593"/>
      <c r="BC412" s="1593"/>
      <c r="BD412" s="1593"/>
      <c r="BE412" s="1593"/>
      <c r="BF412" s="1593"/>
      <c r="BG412" s="1593"/>
      <c r="BH412" s="1593"/>
      <c r="BI412" s="1593"/>
      <c r="BJ412" s="1593"/>
      <c r="BK412" s="1593"/>
      <c r="BL412" s="1593"/>
      <c r="BM412" s="1593"/>
      <c r="BN412" s="1593"/>
      <c r="BO412" s="1593"/>
      <c r="BP412" s="1593"/>
      <c r="BQ412" s="1593"/>
      <c r="BR412" s="1593"/>
      <c r="BS412" s="1593"/>
      <c r="BT412" s="1593"/>
      <c r="BU412" s="1593"/>
      <c r="BV412" s="1593"/>
      <c r="BW412" s="1593"/>
      <c r="BX412" s="1593"/>
      <c r="BY412" s="1593"/>
      <c r="BZ412" s="1593"/>
      <c r="CA412" s="1593"/>
      <c r="CB412" s="1593"/>
      <c r="CC412" s="1593"/>
      <c r="CD412" s="1593"/>
      <c r="CE412" s="1593"/>
      <c r="CF412" s="1593"/>
      <c r="CG412" s="1593"/>
      <c r="CH412" s="1593"/>
      <c r="CI412" s="1593"/>
      <c r="CJ412" s="1593"/>
      <c r="CK412" s="1593"/>
      <c r="CL412" s="1593"/>
      <c r="CM412" s="1593"/>
      <c r="CN412" s="1593"/>
      <c r="CO412" s="1593"/>
      <c r="CP412" s="1593"/>
      <c r="CQ412" s="1593"/>
      <c r="CR412" s="1593"/>
      <c r="CS412" s="1593"/>
      <c r="CT412" s="1593"/>
      <c r="CU412" s="1593"/>
      <c r="CV412" s="1593"/>
      <c r="CW412" s="1593"/>
      <c r="CX412" s="1593"/>
      <c r="CY412" s="1593"/>
      <c r="CZ412" s="1593"/>
      <c r="DA412" s="1593"/>
      <c r="DB412" s="1593"/>
      <c r="DC412" s="1593"/>
      <c r="DD412" s="1593"/>
      <c r="DE412" s="1593"/>
      <c r="DF412" s="1593"/>
      <c r="DG412" s="1593"/>
      <c r="DH412" s="1593"/>
      <c r="DI412" s="1593"/>
      <c r="DJ412" s="1593"/>
      <c r="DK412" s="1593"/>
      <c r="DL412" s="1593"/>
      <c r="DM412" s="1593"/>
      <c r="DN412" s="1593"/>
      <c r="DO412" s="1593"/>
      <c r="DP412" s="1593"/>
      <c r="DQ412" s="1593"/>
      <c r="DR412" s="1593"/>
      <c r="DS412" s="1593"/>
      <c r="DT412" s="1593"/>
      <c r="DU412" s="1593"/>
      <c r="DV412" s="1593"/>
      <c r="DW412" s="1593"/>
      <c r="DX412" s="1593"/>
      <c r="DY412" s="1593"/>
      <c r="DZ412" s="1593"/>
      <c r="EA412" s="1593"/>
      <c r="EB412" s="1593"/>
      <c r="EC412" s="1593"/>
      <c r="ED412" s="1593"/>
      <c r="EE412" s="1593"/>
      <c r="EF412" s="1593"/>
      <c r="EG412" s="1593"/>
      <c r="EH412" s="1593"/>
      <c r="EI412" s="1593"/>
      <c r="EJ412" s="1593"/>
      <c r="EK412" s="1593"/>
      <c r="EL412" s="1593"/>
      <c r="EM412" s="1593"/>
      <c r="EN412" s="1593"/>
      <c r="EO412" s="1593"/>
      <c r="EP412" s="1593"/>
      <c r="EQ412" s="1593"/>
      <c r="ER412" s="1593"/>
      <c r="ES412" s="1593"/>
      <c r="ET412" s="1593"/>
      <c r="EU412" s="1593"/>
      <c r="EV412" s="1593"/>
      <c r="EW412" s="1593"/>
      <c r="EX412" s="1593"/>
      <c r="EY412" s="1593"/>
      <c r="EZ412" s="1593"/>
      <c r="FA412" s="1593"/>
      <c r="FB412" s="1593"/>
      <c r="FC412" s="1593"/>
      <c r="FD412" s="1593"/>
      <c r="FE412" s="1593"/>
      <c r="FF412" s="1593"/>
      <c r="FG412" s="1593"/>
      <c r="FH412" s="1593"/>
      <c r="FI412" s="1593"/>
      <c r="FJ412" s="1593"/>
      <c r="FK412" s="1593"/>
      <c r="FL412" s="1593"/>
      <c r="FM412" s="1593"/>
      <c r="FN412" s="1593"/>
      <c r="FO412" s="1593"/>
      <c r="FP412" s="1593"/>
      <c r="FQ412" s="1593"/>
      <c r="FR412" s="1593"/>
      <c r="FS412" s="1593"/>
      <c r="FT412" s="1593"/>
      <c r="FU412" s="1593"/>
      <c r="FV412" s="1593"/>
      <c r="FW412" s="1593"/>
      <c r="FX412" s="1593"/>
      <c r="FY412" s="1593"/>
      <c r="FZ412" s="1593"/>
      <c r="GA412" s="1593"/>
      <c r="GB412" s="1593"/>
      <c r="GC412" s="1593"/>
      <c r="GD412" s="1593"/>
      <c r="GE412" s="1593"/>
      <c r="GF412" s="1593"/>
      <c r="GG412" s="1593"/>
      <c r="GH412" s="1593"/>
      <c r="GI412" s="1593"/>
      <c r="GJ412" s="1593"/>
      <c r="GK412" s="1593"/>
      <c r="GL412" s="1593"/>
      <c r="GM412" s="1593"/>
      <c r="GN412" s="1593"/>
      <c r="GO412" s="1593"/>
      <c r="GP412" s="1593"/>
      <c r="GQ412" s="1593"/>
      <c r="GR412" s="1593"/>
      <c r="GS412" s="1593"/>
      <c r="GT412" s="1593"/>
      <c r="GU412" s="1593"/>
      <c r="GV412" s="1593"/>
      <c r="GW412" s="1593"/>
      <c r="GX412" s="1593"/>
      <c r="GY412" s="1593"/>
      <c r="GZ412" s="1593"/>
      <c r="HA412" s="1593"/>
      <c r="HB412" s="1593"/>
      <c r="HC412" s="1593"/>
      <c r="HD412" s="1593"/>
      <c r="HE412" s="1593"/>
      <c r="HF412" s="1593"/>
      <c r="HG412" s="1593"/>
      <c r="HH412" s="1593"/>
      <c r="HI412" s="1593"/>
      <c r="HJ412" s="1593"/>
      <c r="HK412" s="1593"/>
      <c r="HL412" s="1593"/>
      <c r="HM412" s="1593"/>
      <c r="HN412" s="1593"/>
      <c r="HO412" s="1593"/>
      <c r="HP412" s="1593"/>
      <c r="HQ412" s="1593"/>
      <c r="HR412" s="1593"/>
      <c r="HS412" s="1593"/>
      <c r="HT412" s="1593"/>
      <c r="HU412" s="1593"/>
      <c r="HV412" s="1593"/>
      <c r="HW412" s="1593"/>
      <c r="HX412" s="1593"/>
      <c r="HY412" s="1593"/>
      <c r="HZ412" s="1593"/>
      <c r="IA412" s="1593"/>
      <c r="IB412" s="1593"/>
      <c r="IC412" s="1593"/>
      <c r="ID412" s="1593"/>
      <c r="IE412" s="1593"/>
      <c r="IF412" s="1593"/>
      <c r="IG412" s="1593"/>
      <c r="IH412" s="1593"/>
      <c r="II412" s="1593"/>
      <c r="IJ412" s="1593"/>
      <c r="IK412" s="1593"/>
      <c r="IL412" s="1593"/>
      <c r="IM412" s="1593"/>
      <c r="IN412" s="1593"/>
      <c r="IO412" s="1593"/>
      <c r="IP412" s="1593"/>
      <c r="IQ412" s="1593"/>
      <c r="IR412" s="1593"/>
      <c r="IS412" s="1593"/>
      <c r="IT412" s="1593"/>
      <c r="IU412" s="1593"/>
      <c r="IV412" s="1593"/>
      <c r="IW412" s="1593"/>
      <c r="IX412" s="1593"/>
      <c r="IY412" s="1593"/>
      <c r="IZ412" s="1593"/>
      <c r="JA412" s="1593"/>
      <c r="JB412" s="1593"/>
      <c r="JC412" s="1593"/>
      <c r="JD412" s="1593"/>
      <c r="JE412" s="1593"/>
      <c r="JF412" s="1593"/>
      <c r="JG412" s="1593"/>
      <c r="JH412" s="1593"/>
      <c r="JI412" s="1593"/>
      <c r="JJ412" s="1593"/>
      <c r="JK412" s="1593"/>
      <c r="JL412" s="1593"/>
      <c r="JM412" s="1593"/>
      <c r="JN412" s="1593"/>
      <c r="JO412" s="1593"/>
      <c r="JP412" s="1593"/>
      <c r="JQ412" s="1593"/>
      <c r="JR412" s="1593"/>
      <c r="JS412" s="1593"/>
      <c r="JT412" s="1593"/>
      <c r="JU412" s="1593"/>
      <c r="JV412" s="1593"/>
      <c r="JW412" s="1593"/>
      <c r="JX412" s="1593"/>
      <c r="JY412" s="1593"/>
      <c r="JZ412" s="1593"/>
      <c r="KA412" s="1593"/>
      <c r="KB412" s="1598"/>
    </row>
    <row r="413" spans="2:288" ht="15" customHeight="1" x14ac:dyDescent="0.25">
      <c r="B413" s="216" t="str">
        <f t="shared" si="30"/>
        <v>Desk 94</v>
      </c>
      <c r="C413" s="218" t="str">
        <v/>
      </c>
      <c r="D413" s="218" t="str">
        <v/>
      </c>
      <c r="E413" s="218" t="str">
        <v/>
      </c>
      <c r="F413" s="218" t="str">
        <v/>
      </c>
      <c r="G413" s="402" t="str">
        <v/>
      </c>
      <c r="H413" s="1593"/>
      <c r="I413" s="1593"/>
      <c r="J413" s="1593"/>
      <c r="K413" s="1593"/>
      <c r="L413" s="1593"/>
      <c r="M413" s="1593"/>
      <c r="N413" s="1593"/>
      <c r="O413" s="1593"/>
      <c r="P413" s="1593"/>
      <c r="Q413" s="1593"/>
      <c r="R413" s="1593"/>
      <c r="S413" s="1593"/>
      <c r="T413" s="1593"/>
      <c r="U413" s="1593"/>
      <c r="V413" s="1593"/>
      <c r="W413" s="1593"/>
      <c r="X413" s="1593"/>
      <c r="Y413" s="1593"/>
      <c r="Z413" s="1593"/>
      <c r="AA413" s="1593"/>
      <c r="AB413" s="1593"/>
      <c r="AC413" s="1593"/>
      <c r="AD413" s="1593"/>
      <c r="AE413" s="1593"/>
      <c r="AF413" s="1593"/>
      <c r="AG413" s="1593"/>
      <c r="AH413" s="1593"/>
      <c r="AI413" s="1593"/>
      <c r="AJ413" s="1593"/>
      <c r="AK413" s="1593"/>
      <c r="AL413" s="1593"/>
      <c r="AM413" s="1593"/>
      <c r="AN413" s="1593"/>
      <c r="AO413" s="1593"/>
      <c r="AP413" s="1593"/>
      <c r="AQ413" s="1593"/>
      <c r="AR413" s="1593"/>
      <c r="AS413" s="1593"/>
      <c r="AT413" s="1593"/>
      <c r="AU413" s="1593"/>
      <c r="AV413" s="1593"/>
      <c r="AW413" s="1593"/>
      <c r="AX413" s="1593"/>
      <c r="AY413" s="1593"/>
      <c r="AZ413" s="1593"/>
      <c r="BA413" s="1593"/>
      <c r="BB413" s="1593"/>
      <c r="BC413" s="1593"/>
      <c r="BD413" s="1593"/>
      <c r="BE413" s="1593"/>
      <c r="BF413" s="1593"/>
      <c r="BG413" s="1593"/>
      <c r="BH413" s="1593"/>
      <c r="BI413" s="1593"/>
      <c r="BJ413" s="1593"/>
      <c r="BK413" s="1593"/>
      <c r="BL413" s="1593"/>
      <c r="BM413" s="1593"/>
      <c r="BN413" s="1593"/>
      <c r="BO413" s="1593"/>
      <c r="BP413" s="1593"/>
      <c r="BQ413" s="1593"/>
      <c r="BR413" s="1593"/>
      <c r="BS413" s="1593"/>
      <c r="BT413" s="1593"/>
      <c r="BU413" s="1593"/>
      <c r="BV413" s="1593"/>
      <c r="BW413" s="1593"/>
      <c r="BX413" s="1593"/>
      <c r="BY413" s="1593"/>
      <c r="BZ413" s="1593"/>
      <c r="CA413" s="1593"/>
      <c r="CB413" s="1593"/>
      <c r="CC413" s="1593"/>
      <c r="CD413" s="1593"/>
      <c r="CE413" s="1593"/>
      <c r="CF413" s="1593"/>
      <c r="CG413" s="1593"/>
      <c r="CH413" s="1593"/>
      <c r="CI413" s="1593"/>
      <c r="CJ413" s="1593"/>
      <c r="CK413" s="1593"/>
      <c r="CL413" s="1593"/>
      <c r="CM413" s="1593"/>
      <c r="CN413" s="1593"/>
      <c r="CO413" s="1593"/>
      <c r="CP413" s="1593"/>
      <c r="CQ413" s="1593"/>
      <c r="CR413" s="1593"/>
      <c r="CS413" s="1593"/>
      <c r="CT413" s="1593"/>
      <c r="CU413" s="1593"/>
      <c r="CV413" s="1593"/>
      <c r="CW413" s="1593"/>
      <c r="CX413" s="1593"/>
      <c r="CY413" s="1593"/>
      <c r="CZ413" s="1593"/>
      <c r="DA413" s="1593"/>
      <c r="DB413" s="1593"/>
      <c r="DC413" s="1593"/>
      <c r="DD413" s="1593"/>
      <c r="DE413" s="1593"/>
      <c r="DF413" s="1593"/>
      <c r="DG413" s="1593"/>
      <c r="DH413" s="1593"/>
      <c r="DI413" s="1593"/>
      <c r="DJ413" s="1593"/>
      <c r="DK413" s="1593"/>
      <c r="DL413" s="1593"/>
      <c r="DM413" s="1593"/>
      <c r="DN413" s="1593"/>
      <c r="DO413" s="1593"/>
      <c r="DP413" s="1593"/>
      <c r="DQ413" s="1593"/>
      <c r="DR413" s="1593"/>
      <c r="DS413" s="1593"/>
      <c r="DT413" s="1593"/>
      <c r="DU413" s="1593"/>
      <c r="DV413" s="1593"/>
      <c r="DW413" s="1593"/>
      <c r="DX413" s="1593"/>
      <c r="DY413" s="1593"/>
      <c r="DZ413" s="1593"/>
      <c r="EA413" s="1593"/>
      <c r="EB413" s="1593"/>
      <c r="EC413" s="1593"/>
      <c r="ED413" s="1593"/>
      <c r="EE413" s="1593"/>
      <c r="EF413" s="1593"/>
      <c r="EG413" s="1593"/>
      <c r="EH413" s="1593"/>
      <c r="EI413" s="1593"/>
      <c r="EJ413" s="1593"/>
      <c r="EK413" s="1593"/>
      <c r="EL413" s="1593"/>
      <c r="EM413" s="1593"/>
      <c r="EN413" s="1593"/>
      <c r="EO413" s="1593"/>
      <c r="EP413" s="1593"/>
      <c r="EQ413" s="1593"/>
      <c r="ER413" s="1593"/>
      <c r="ES413" s="1593"/>
      <c r="ET413" s="1593"/>
      <c r="EU413" s="1593"/>
      <c r="EV413" s="1593"/>
      <c r="EW413" s="1593"/>
      <c r="EX413" s="1593"/>
      <c r="EY413" s="1593"/>
      <c r="EZ413" s="1593"/>
      <c r="FA413" s="1593"/>
      <c r="FB413" s="1593"/>
      <c r="FC413" s="1593"/>
      <c r="FD413" s="1593"/>
      <c r="FE413" s="1593"/>
      <c r="FF413" s="1593"/>
      <c r="FG413" s="1593"/>
      <c r="FH413" s="1593"/>
      <c r="FI413" s="1593"/>
      <c r="FJ413" s="1593"/>
      <c r="FK413" s="1593"/>
      <c r="FL413" s="1593"/>
      <c r="FM413" s="1593"/>
      <c r="FN413" s="1593"/>
      <c r="FO413" s="1593"/>
      <c r="FP413" s="1593"/>
      <c r="FQ413" s="1593"/>
      <c r="FR413" s="1593"/>
      <c r="FS413" s="1593"/>
      <c r="FT413" s="1593"/>
      <c r="FU413" s="1593"/>
      <c r="FV413" s="1593"/>
      <c r="FW413" s="1593"/>
      <c r="FX413" s="1593"/>
      <c r="FY413" s="1593"/>
      <c r="FZ413" s="1593"/>
      <c r="GA413" s="1593"/>
      <c r="GB413" s="1593"/>
      <c r="GC413" s="1593"/>
      <c r="GD413" s="1593"/>
      <c r="GE413" s="1593"/>
      <c r="GF413" s="1593"/>
      <c r="GG413" s="1593"/>
      <c r="GH413" s="1593"/>
      <c r="GI413" s="1593"/>
      <c r="GJ413" s="1593"/>
      <c r="GK413" s="1593"/>
      <c r="GL413" s="1593"/>
      <c r="GM413" s="1593"/>
      <c r="GN413" s="1593"/>
      <c r="GO413" s="1593"/>
      <c r="GP413" s="1593"/>
      <c r="GQ413" s="1593"/>
      <c r="GR413" s="1593"/>
      <c r="GS413" s="1593"/>
      <c r="GT413" s="1593"/>
      <c r="GU413" s="1593"/>
      <c r="GV413" s="1593"/>
      <c r="GW413" s="1593"/>
      <c r="GX413" s="1593"/>
      <c r="GY413" s="1593"/>
      <c r="GZ413" s="1593"/>
      <c r="HA413" s="1593"/>
      <c r="HB413" s="1593"/>
      <c r="HC413" s="1593"/>
      <c r="HD413" s="1593"/>
      <c r="HE413" s="1593"/>
      <c r="HF413" s="1593"/>
      <c r="HG413" s="1593"/>
      <c r="HH413" s="1593"/>
      <c r="HI413" s="1593"/>
      <c r="HJ413" s="1593"/>
      <c r="HK413" s="1593"/>
      <c r="HL413" s="1593"/>
      <c r="HM413" s="1593"/>
      <c r="HN413" s="1593"/>
      <c r="HO413" s="1593"/>
      <c r="HP413" s="1593"/>
      <c r="HQ413" s="1593"/>
      <c r="HR413" s="1593"/>
      <c r="HS413" s="1593"/>
      <c r="HT413" s="1593"/>
      <c r="HU413" s="1593"/>
      <c r="HV413" s="1593"/>
      <c r="HW413" s="1593"/>
      <c r="HX413" s="1593"/>
      <c r="HY413" s="1593"/>
      <c r="HZ413" s="1593"/>
      <c r="IA413" s="1593"/>
      <c r="IB413" s="1593"/>
      <c r="IC413" s="1593"/>
      <c r="ID413" s="1593"/>
      <c r="IE413" s="1593"/>
      <c r="IF413" s="1593"/>
      <c r="IG413" s="1593"/>
      <c r="IH413" s="1593"/>
      <c r="II413" s="1593"/>
      <c r="IJ413" s="1593"/>
      <c r="IK413" s="1593"/>
      <c r="IL413" s="1593"/>
      <c r="IM413" s="1593"/>
      <c r="IN413" s="1593"/>
      <c r="IO413" s="1593"/>
      <c r="IP413" s="1593"/>
      <c r="IQ413" s="1593"/>
      <c r="IR413" s="1593"/>
      <c r="IS413" s="1593"/>
      <c r="IT413" s="1593"/>
      <c r="IU413" s="1593"/>
      <c r="IV413" s="1593"/>
      <c r="IW413" s="1593"/>
      <c r="IX413" s="1593"/>
      <c r="IY413" s="1593"/>
      <c r="IZ413" s="1593"/>
      <c r="JA413" s="1593"/>
      <c r="JB413" s="1593"/>
      <c r="JC413" s="1593"/>
      <c r="JD413" s="1593"/>
      <c r="JE413" s="1593"/>
      <c r="JF413" s="1593"/>
      <c r="JG413" s="1593"/>
      <c r="JH413" s="1593"/>
      <c r="JI413" s="1593"/>
      <c r="JJ413" s="1593"/>
      <c r="JK413" s="1593"/>
      <c r="JL413" s="1593"/>
      <c r="JM413" s="1593"/>
      <c r="JN413" s="1593"/>
      <c r="JO413" s="1593"/>
      <c r="JP413" s="1593"/>
      <c r="JQ413" s="1593"/>
      <c r="JR413" s="1593"/>
      <c r="JS413" s="1593"/>
      <c r="JT413" s="1593"/>
      <c r="JU413" s="1593"/>
      <c r="JV413" s="1593"/>
      <c r="JW413" s="1593"/>
      <c r="JX413" s="1593"/>
      <c r="JY413" s="1593"/>
      <c r="JZ413" s="1593"/>
      <c r="KA413" s="1593"/>
      <c r="KB413" s="1598"/>
    </row>
    <row r="414" spans="2:288" ht="15" customHeight="1" x14ac:dyDescent="0.25">
      <c r="B414" s="216" t="str">
        <f t="shared" si="30"/>
        <v>Desk 95</v>
      </c>
      <c r="C414" s="218" t="str">
        <v/>
      </c>
      <c r="D414" s="218" t="str">
        <v/>
      </c>
      <c r="E414" s="218" t="str">
        <v/>
      </c>
      <c r="F414" s="218" t="str">
        <v/>
      </c>
      <c r="G414" s="402" t="str">
        <v/>
      </c>
      <c r="H414" s="1593"/>
      <c r="I414" s="1593"/>
      <c r="J414" s="1593"/>
      <c r="K414" s="1593"/>
      <c r="L414" s="1593"/>
      <c r="M414" s="1593"/>
      <c r="N414" s="1593"/>
      <c r="O414" s="1593"/>
      <c r="P414" s="1593"/>
      <c r="Q414" s="1593"/>
      <c r="R414" s="1593"/>
      <c r="S414" s="1593"/>
      <c r="T414" s="1593"/>
      <c r="U414" s="1593"/>
      <c r="V414" s="1593"/>
      <c r="W414" s="1593"/>
      <c r="X414" s="1593"/>
      <c r="Y414" s="1593"/>
      <c r="Z414" s="1593"/>
      <c r="AA414" s="1593"/>
      <c r="AB414" s="1593"/>
      <c r="AC414" s="1593"/>
      <c r="AD414" s="1593"/>
      <c r="AE414" s="1593"/>
      <c r="AF414" s="1593"/>
      <c r="AG414" s="1593"/>
      <c r="AH414" s="1593"/>
      <c r="AI414" s="1593"/>
      <c r="AJ414" s="1593"/>
      <c r="AK414" s="1593"/>
      <c r="AL414" s="1593"/>
      <c r="AM414" s="1593"/>
      <c r="AN414" s="1593"/>
      <c r="AO414" s="1593"/>
      <c r="AP414" s="1593"/>
      <c r="AQ414" s="1593"/>
      <c r="AR414" s="1593"/>
      <c r="AS414" s="1593"/>
      <c r="AT414" s="1593"/>
      <c r="AU414" s="1593"/>
      <c r="AV414" s="1593"/>
      <c r="AW414" s="1593"/>
      <c r="AX414" s="1593"/>
      <c r="AY414" s="1593"/>
      <c r="AZ414" s="1593"/>
      <c r="BA414" s="1593"/>
      <c r="BB414" s="1593"/>
      <c r="BC414" s="1593"/>
      <c r="BD414" s="1593"/>
      <c r="BE414" s="1593"/>
      <c r="BF414" s="1593"/>
      <c r="BG414" s="1593"/>
      <c r="BH414" s="1593"/>
      <c r="BI414" s="1593"/>
      <c r="BJ414" s="1593"/>
      <c r="BK414" s="1593"/>
      <c r="BL414" s="1593"/>
      <c r="BM414" s="1593"/>
      <c r="BN414" s="1593"/>
      <c r="BO414" s="1593"/>
      <c r="BP414" s="1593"/>
      <c r="BQ414" s="1593"/>
      <c r="BR414" s="1593"/>
      <c r="BS414" s="1593"/>
      <c r="BT414" s="1593"/>
      <c r="BU414" s="1593"/>
      <c r="BV414" s="1593"/>
      <c r="BW414" s="1593"/>
      <c r="BX414" s="1593"/>
      <c r="BY414" s="1593"/>
      <c r="BZ414" s="1593"/>
      <c r="CA414" s="1593"/>
      <c r="CB414" s="1593"/>
      <c r="CC414" s="1593"/>
      <c r="CD414" s="1593"/>
      <c r="CE414" s="1593"/>
      <c r="CF414" s="1593"/>
      <c r="CG414" s="1593"/>
      <c r="CH414" s="1593"/>
      <c r="CI414" s="1593"/>
      <c r="CJ414" s="1593"/>
      <c r="CK414" s="1593"/>
      <c r="CL414" s="1593"/>
      <c r="CM414" s="1593"/>
      <c r="CN414" s="1593"/>
      <c r="CO414" s="1593"/>
      <c r="CP414" s="1593"/>
      <c r="CQ414" s="1593"/>
      <c r="CR414" s="1593"/>
      <c r="CS414" s="1593"/>
      <c r="CT414" s="1593"/>
      <c r="CU414" s="1593"/>
      <c r="CV414" s="1593"/>
      <c r="CW414" s="1593"/>
      <c r="CX414" s="1593"/>
      <c r="CY414" s="1593"/>
      <c r="CZ414" s="1593"/>
      <c r="DA414" s="1593"/>
      <c r="DB414" s="1593"/>
      <c r="DC414" s="1593"/>
      <c r="DD414" s="1593"/>
      <c r="DE414" s="1593"/>
      <c r="DF414" s="1593"/>
      <c r="DG414" s="1593"/>
      <c r="DH414" s="1593"/>
      <c r="DI414" s="1593"/>
      <c r="DJ414" s="1593"/>
      <c r="DK414" s="1593"/>
      <c r="DL414" s="1593"/>
      <c r="DM414" s="1593"/>
      <c r="DN414" s="1593"/>
      <c r="DO414" s="1593"/>
      <c r="DP414" s="1593"/>
      <c r="DQ414" s="1593"/>
      <c r="DR414" s="1593"/>
      <c r="DS414" s="1593"/>
      <c r="DT414" s="1593"/>
      <c r="DU414" s="1593"/>
      <c r="DV414" s="1593"/>
      <c r="DW414" s="1593"/>
      <c r="DX414" s="1593"/>
      <c r="DY414" s="1593"/>
      <c r="DZ414" s="1593"/>
      <c r="EA414" s="1593"/>
      <c r="EB414" s="1593"/>
      <c r="EC414" s="1593"/>
      <c r="ED414" s="1593"/>
      <c r="EE414" s="1593"/>
      <c r="EF414" s="1593"/>
      <c r="EG414" s="1593"/>
      <c r="EH414" s="1593"/>
      <c r="EI414" s="1593"/>
      <c r="EJ414" s="1593"/>
      <c r="EK414" s="1593"/>
      <c r="EL414" s="1593"/>
      <c r="EM414" s="1593"/>
      <c r="EN414" s="1593"/>
      <c r="EO414" s="1593"/>
      <c r="EP414" s="1593"/>
      <c r="EQ414" s="1593"/>
      <c r="ER414" s="1593"/>
      <c r="ES414" s="1593"/>
      <c r="ET414" s="1593"/>
      <c r="EU414" s="1593"/>
      <c r="EV414" s="1593"/>
      <c r="EW414" s="1593"/>
      <c r="EX414" s="1593"/>
      <c r="EY414" s="1593"/>
      <c r="EZ414" s="1593"/>
      <c r="FA414" s="1593"/>
      <c r="FB414" s="1593"/>
      <c r="FC414" s="1593"/>
      <c r="FD414" s="1593"/>
      <c r="FE414" s="1593"/>
      <c r="FF414" s="1593"/>
      <c r="FG414" s="1593"/>
      <c r="FH414" s="1593"/>
      <c r="FI414" s="1593"/>
      <c r="FJ414" s="1593"/>
      <c r="FK414" s="1593"/>
      <c r="FL414" s="1593"/>
      <c r="FM414" s="1593"/>
      <c r="FN414" s="1593"/>
      <c r="FO414" s="1593"/>
      <c r="FP414" s="1593"/>
      <c r="FQ414" s="1593"/>
      <c r="FR414" s="1593"/>
      <c r="FS414" s="1593"/>
      <c r="FT414" s="1593"/>
      <c r="FU414" s="1593"/>
      <c r="FV414" s="1593"/>
      <c r="FW414" s="1593"/>
      <c r="FX414" s="1593"/>
      <c r="FY414" s="1593"/>
      <c r="FZ414" s="1593"/>
      <c r="GA414" s="1593"/>
      <c r="GB414" s="1593"/>
      <c r="GC414" s="1593"/>
      <c r="GD414" s="1593"/>
      <c r="GE414" s="1593"/>
      <c r="GF414" s="1593"/>
      <c r="GG414" s="1593"/>
      <c r="GH414" s="1593"/>
      <c r="GI414" s="1593"/>
      <c r="GJ414" s="1593"/>
      <c r="GK414" s="1593"/>
      <c r="GL414" s="1593"/>
      <c r="GM414" s="1593"/>
      <c r="GN414" s="1593"/>
      <c r="GO414" s="1593"/>
      <c r="GP414" s="1593"/>
      <c r="GQ414" s="1593"/>
      <c r="GR414" s="1593"/>
      <c r="GS414" s="1593"/>
      <c r="GT414" s="1593"/>
      <c r="GU414" s="1593"/>
      <c r="GV414" s="1593"/>
      <c r="GW414" s="1593"/>
      <c r="GX414" s="1593"/>
      <c r="GY414" s="1593"/>
      <c r="GZ414" s="1593"/>
      <c r="HA414" s="1593"/>
      <c r="HB414" s="1593"/>
      <c r="HC414" s="1593"/>
      <c r="HD414" s="1593"/>
      <c r="HE414" s="1593"/>
      <c r="HF414" s="1593"/>
      <c r="HG414" s="1593"/>
      <c r="HH414" s="1593"/>
      <c r="HI414" s="1593"/>
      <c r="HJ414" s="1593"/>
      <c r="HK414" s="1593"/>
      <c r="HL414" s="1593"/>
      <c r="HM414" s="1593"/>
      <c r="HN414" s="1593"/>
      <c r="HO414" s="1593"/>
      <c r="HP414" s="1593"/>
      <c r="HQ414" s="1593"/>
      <c r="HR414" s="1593"/>
      <c r="HS414" s="1593"/>
      <c r="HT414" s="1593"/>
      <c r="HU414" s="1593"/>
      <c r="HV414" s="1593"/>
      <c r="HW414" s="1593"/>
      <c r="HX414" s="1593"/>
      <c r="HY414" s="1593"/>
      <c r="HZ414" s="1593"/>
      <c r="IA414" s="1593"/>
      <c r="IB414" s="1593"/>
      <c r="IC414" s="1593"/>
      <c r="ID414" s="1593"/>
      <c r="IE414" s="1593"/>
      <c r="IF414" s="1593"/>
      <c r="IG414" s="1593"/>
      <c r="IH414" s="1593"/>
      <c r="II414" s="1593"/>
      <c r="IJ414" s="1593"/>
      <c r="IK414" s="1593"/>
      <c r="IL414" s="1593"/>
      <c r="IM414" s="1593"/>
      <c r="IN414" s="1593"/>
      <c r="IO414" s="1593"/>
      <c r="IP414" s="1593"/>
      <c r="IQ414" s="1593"/>
      <c r="IR414" s="1593"/>
      <c r="IS414" s="1593"/>
      <c r="IT414" s="1593"/>
      <c r="IU414" s="1593"/>
      <c r="IV414" s="1593"/>
      <c r="IW414" s="1593"/>
      <c r="IX414" s="1593"/>
      <c r="IY414" s="1593"/>
      <c r="IZ414" s="1593"/>
      <c r="JA414" s="1593"/>
      <c r="JB414" s="1593"/>
      <c r="JC414" s="1593"/>
      <c r="JD414" s="1593"/>
      <c r="JE414" s="1593"/>
      <c r="JF414" s="1593"/>
      <c r="JG414" s="1593"/>
      <c r="JH414" s="1593"/>
      <c r="JI414" s="1593"/>
      <c r="JJ414" s="1593"/>
      <c r="JK414" s="1593"/>
      <c r="JL414" s="1593"/>
      <c r="JM414" s="1593"/>
      <c r="JN414" s="1593"/>
      <c r="JO414" s="1593"/>
      <c r="JP414" s="1593"/>
      <c r="JQ414" s="1593"/>
      <c r="JR414" s="1593"/>
      <c r="JS414" s="1593"/>
      <c r="JT414" s="1593"/>
      <c r="JU414" s="1593"/>
      <c r="JV414" s="1593"/>
      <c r="JW414" s="1593"/>
      <c r="JX414" s="1593"/>
      <c r="JY414" s="1593"/>
      <c r="JZ414" s="1593"/>
      <c r="KA414" s="1593"/>
      <c r="KB414" s="1598"/>
    </row>
    <row r="415" spans="2:288" ht="15" customHeight="1" x14ac:dyDescent="0.25">
      <c r="B415" s="216" t="str">
        <f t="shared" si="30"/>
        <v>Desk 96</v>
      </c>
      <c r="C415" s="218" t="str">
        <v/>
      </c>
      <c r="D415" s="218" t="str">
        <v/>
      </c>
      <c r="E415" s="218" t="str">
        <v/>
      </c>
      <c r="F415" s="218" t="str">
        <v/>
      </c>
      <c r="G415" s="402" t="str">
        <v/>
      </c>
      <c r="H415" s="1593"/>
      <c r="I415" s="1593"/>
      <c r="J415" s="1593"/>
      <c r="K415" s="1593"/>
      <c r="L415" s="1593"/>
      <c r="M415" s="1593"/>
      <c r="N415" s="1593"/>
      <c r="O415" s="1593"/>
      <c r="P415" s="1593"/>
      <c r="Q415" s="1593"/>
      <c r="R415" s="1593"/>
      <c r="S415" s="1593"/>
      <c r="T415" s="1593"/>
      <c r="U415" s="1593"/>
      <c r="V415" s="1593"/>
      <c r="W415" s="1593"/>
      <c r="X415" s="1593"/>
      <c r="Y415" s="1593"/>
      <c r="Z415" s="1593"/>
      <c r="AA415" s="1593"/>
      <c r="AB415" s="1593"/>
      <c r="AC415" s="1593"/>
      <c r="AD415" s="1593"/>
      <c r="AE415" s="1593"/>
      <c r="AF415" s="1593"/>
      <c r="AG415" s="1593"/>
      <c r="AH415" s="1593"/>
      <c r="AI415" s="1593"/>
      <c r="AJ415" s="1593"/>
      <c r="AK415" s="1593"/>
      <c r="AL415" s="1593"/>
      <c r="AM415" s="1593"/>
      <c r="AN415" s="1593"/>
      <c r="AO415" s="1593"/>
      <c r="AP415" s="1593"/>
      <c r="AQ415" s="1593"/>
      <c r="AR415" s="1593"/>
      <c r="AS415" s="1593"/>
      <c r="AT415" s="1593"/>
      <c r="AU415" s="1593"/>
      <c r="AV415" s="1593"/>
      <c r="AW415" s="1593"/>
      <c r="AX415" s="1593"/>
      <c r="AY415" s="1593"/>
      <c r="AZ415" s="1593"/>
      <c r="BA415" s="1593"/>
      <c r="BB415" s="1593"/>
      <c r="BC415" s="1593"/>
      <c r="BD415" s="1593"/>
      <c r="BE415" s="1593"/>
      <c r="BF415" s="1593"/>
      <c r="BG415" s="1593"/>
      <c r="BH415" s="1593"/>
      <c r="BI415" s="1593"/>
      <c r="BJ415" s="1593"/>
      <c r="BK415" s="1593"/>
      <c r="BL415" s="1593"/>
      <c r="BM415" s="1593"/>
      <c r="BN415" s="1593"/>
      <c r="BO415" s="1593"/>
      <c r="BP415" s="1593"/>
      <c r="BQ415" s="1593"/>
      <c r="BR415" s="1593"/>
      <c r="BS415" s="1593"/>
      <c r="BT415" s="1593"/>
      <c r="BU415" s="1593"/>
      <c r="BV415" s="1593"/>
      <c r="BW415" s="1593"/>
      <c r="BX415" s="1593"/>
      <c r="BY415" s="1593"/>
      <c r="BZ415" s="1593"/>
      <c r="CA415" s="1593"/>
      <c r="CB415" s="1593"/>
      <c r="CC415" s="1593"/>
      <c r="CD415" s="1593"/>
      <c r="CE415" s="1593"/>
      <c r="CF415" s="1593"/>
      <c r="CG415" s="1593"/>
      <c r="CH415" s="1593"/>
      <c r="CI415" s="1593"/>
      <c r="CJ415" s="1593"/>
      <c r="CK415" s="1593"/>
      <c r="CL415" s="1593"/>
      <c r="CM415" s="1593"/>
      <c r="CN415" s="1593"/>
      <c r="CO415" s="1593"/>
      <c r="CP415" s="1593"/>
      <c r="CQ415" s="1593"/>
      <c r="CR415" s="1593"/>
      <c r="CS415" s="1593"/>
      <c r="CT415" s="1593"/>
      <c r="CU415" s="1593"/>
      <c r="CV415" s="1593"/>
      <c r="CW415" s="1593"/>
      <c r="CX415" s="1593"/>
      <c r="CY415" s="1593"/>
      <c r="CZ415" s="1593"/>
      <c r="DA415" s="1593"/>
      <c r="DB415" s="1593"/>
      <c r="DC415" s="1593"/>
      <c r="DD415" s="1593"/>
      <c r="DE415" s="1593"/>
      <c r="DF415" s="1593"/>
      <c r="DG415" s="1593"/>
      <c r="DH415" s="1593"/>
      <c r="DI415" s="1593"/>
      <c r="DJ415" s="1593"/>
      <c r="DK415" s="1593"/>
      <c r="DL415" s="1593"/>
      <c r="DM415" s="1593"/>
      <c r="DN415" s="1593"/>
      <c r="DO415" s="1593"/>
      <c r="DP415" s="1593"/>
      <c r="DQ415" s="1593"/>
      <c r="DR415" s="1593"/>
      <c r="DS415" s="1593"/>
      <c r="DT415" s="1593"/>
      <c r="DU415" s="1593"/>
      <c r="DV415" s="1593"/>
      <c r="DW415" s="1593"/>
      <c r="DX415" s="1593"/>
      <c r="DY415" s="1593"/>
      <c r="DZ415" s="1593"/>
      <c r="EA415" s="1593"/>
      <c r="EB415" s="1593"/>
      <c r="EC415" s="1593"/>
      <c r="ED415" s="1593"/>
      <c r="EE415" s="1593"/>
      <c r="EF415" s="1593"/>
      <c r="EG415" s="1593"/>
      <c r="EH415" s="1593"/>
      <c r="EI415" s="1593"/>
      <c r="EJ415" s="1593"/>
      <c r="EK415" s="1593"/>
      <c r="EL415" s="1593"/>
      <c r="EM415" s="1593"/>
      <c r="EN415" s="1593"/>
      <c r="EO415" s="1593"/>
      <c r="EP415" s="1593"/>
      <c r="EQ415" s="1593"/>
      <c r="ER415" s="1593"/>
      <c r="ES415" s="1593"/>
      <c r="ET415" s="1593"/>
      <c r="EU415" s="1593"/>
      <c r="EV415" s="1593"/>
      <c r="EW415" s="1593"/>
      <c r="EX415" s="1593"/>
      <c r="EY415" s="1593"/>
      <c r="EZ415" s="1593"/>
      <c r="FA415" s="1593"/>
      <c r="FB415" s="1593"/>
      <c r="FC415" s="1593"/>
      <c r="FD415" s="1593"/>
      <c r="FE415" s="1593"/>
      <c r="FF415" s="1593"/>
      <c r="FG415" s="1593"/>
      <c r="FH415" s="1593"/>
      <c r="FI415" s="1593"/>
      <c r="FJ415" s="1593"/>
      <c r="FK415" s="1593"/>
      <c r="FL415" s="1593"/>
      <c r="FM415" s="1593"/>
      <c r="FN415" s="1593"/>
      <c r="FO415" s="1593"/>
      <c r="FP415" s="1593"/>
      <c r="FQ415" s="1593"/>
      <c r="FR415" s="1593"/>
      <c r="FS415" s="1593"/>
      <c r="FT415" s="1593"/>
      <c r="FU415" s="1593"/>
      <c r="FV415" s="1593"/>
      <c r="FW415" s="1593"/>
      <c r="FX415" s="1593"/>
      <c r="FY415" s="1593"/>
      <c r="FZ415" s="1593"/>
      <c r="GA415" s="1593"/>
      <c r="GB415" s="1593"/>
      <c r="GC415" s="1593"/>
      <c r="GD415" s="1593"/>
      <c r="GE415" s="1593"/>
      <c r="GF415" s="1593"/>
      <c r="GG415" s="1593"/>
      <c r="GH415" s="1593"/>
      <c r="GI415" s="1593"/>
      <c r="GJ415" s="1593"/>
      <c r="GK415" s="1593"/>
      <c r="GL415" s="1593"/>
      <c r="GM415" s="1593"/>
      <c r="GN415" s="1593"/>
      <c r="GO415" s="1593"/>
      <c r="GP415" s="1593"/>
      <c r="GQ415" s="1593"/>
      <c r="GR415" s="1593"/>
      <c r="GS415" s="1593"/>
      <c r="GT415" s="1593"/>
      <c r="GU415" s="1593"/>
      <c r="GV415" s="1593"/>
      <c r="GW415" s="1593"/>
      <c r="GX415" s="1593"/>
      <c r="GY415" s="1593"/>
      <c r="GZ415" s="1593"/>
      <c r="HA415" s="1593"/>
      <c r="HB415" s="1593"/>
      <c r="HC415" s="1593"/>
      <c r="HD415" s="1593"/>
      <c r="HE415" s="1593"/>
      <c r="HF415" s="1593"/>
      <c r="HG415" s="1593"/>
      <c r="HH415" s="1593"/>
      <c r="HI415" s="1593"/>
      <c r="HJ415" s="1593"/>
      <c r="HK415" s="1593"/>
      <c r="HL415" s="1593"/>
      <c r="HM415" s="1593"/>
      <c r="HN415" s="1593"/>
      <c r="HO415" s="1593"/>
      <c r="HP415" s="1593"/>
      <c r="HQ415" s="1593"/>
      <c r="HR415" s="1593"/>
      <c r="HS415" s="1593"/>
      <c r="HT415" s="1593"/>
      <c r="HU415" s="1593"/>
      <c r="HV415" s="1593"/>
      <c r="HW415" s="1593"/>
      <c r="HX415" s="1593"/>
      <c r="HY415" s="1593"/>
      <c r="HZ415" s="1593"/>
      <c r="IA415" s="1593"/>
      <c r="IB415" s="1593"/>
      <c r="IC415" s="1593"/>
      <c r="ID415" s="1593"/>
      <c r="IE415" s="1593"/>
      <c r="IF415" s="1593"/>
      <c r="IG415" s="1593"/>
      <c r="IH415" s="1593"/>
      <c r="II415" s="1593"/>
      <c r="IJ415" s="1593"/>
      <c r="IK415" s="1593"/>
      <c r="IL415" s="1593"/>
      <c r="IM415" s="1593"/>
      <c r="IN415" s="1593"/>
      <c r="IO415" s="1593"/>
      <c r="IP415" s="1593"/>
      <c r="IQ415" s="1593"/>
      <c r="IR415" s="1593"/>
      <c r="IS415" s="1593"/>
      <c r="IT415" s="1593"/>
      <c r="IU415" s="1593"/>
      <c r="IV415" s="1593"/>
      <c r="IW415" s="1593"/>
      <c r="IX415" s="1593"/>
      <c r="IY415" s="1593"/>
      <c r="IZ415" s="1593"/>
      <c r="JA415" s="1593"/>
      <c r="JB415" s="1593"/>
      <c r="JC415" s="1593"/>
      <c r="JD415" s="1593"/>
      <c r="JE415" s="1593"/>
      <c r="JF415" s="1593"/>
      <c r="JG415" s="1593"/>
      <c r="JH415" s="1593"/>
      <c r="JI415" s="1593"/>
      <c r="JJ415" s="1593"/>
      <c r="JK415" s="1593"/>
      <c r="JL415" s="1593"/>
      <c r="JM415" s="1593"/>
      <c r="JN415" s="1593"/>
      <c r="JO415" s="1593"/>
      <c r="JP415" s="1593"/>
      <c r="JQ415" s="1593"/>
      <c r="JR415" s="1593"/>
      <c r="JS415" s="1593"/>
      <c r="JT415" s="1593"/>
      <c r="JU415" s="1593"/>
      <c r="JV415" s="1593"/>
      <c r="JW415" s="1593"/>
      <c r="JX415" s="1593"/>
      <c r="JY415" s="1593"/>
      <c r="JZ415" s="1593"/>
      <c r="KA415" s="1593"/>
      <c r="KB415" s="1598"/>
    </row>
    <row r="416" spans="2:288" ht="15" customHeight="1" x14ac:dyDescent="0.25">
      <c r="B416" s="216" t="str">
        <f t="shared" si="30"/>
        <v>Desk 97</v>
      </c>
      <c r="C416" s="218" t="str">
        <v/>
      </c>
      <c r="D416" s="218" t="str">
        <v/>
      </c>
      <c r="E416" s="218" t="str">
        <v/>
      </c>
      <c r="F416" s="218" t="str">
        <v/>
      </c>
      <c r="G416" s="402" t="str">
        <v/>
      </c>
      <c r="H416" s="1593"/>
      <c r="I416" s="1593"/>
      <c r="J416" s="1593"/>
      <c r="K416" s="1593"/>
      <c r="L416" s="1593"/>
      <c r="M416" s="1593"/>
      <c r="N416" s="1593"/>
      <c r="O416" s="1593"/>
      <c r="P416" s="1593"/>
      <c r="Q416" s="1593"/>
      <c r="R416" s="1593"/>
      <c r="S416" s="1593"/>
      <c r="T416" s="1593"/>
      <c r="U416" s="1593"/>
      <c r="V416" s="1593"/>
      <c r="W416" s="1593"/>
      <c r="X416" s="1593"/>
      <c r="Y416" s="1593"/>
      <c r="Z416" s="1593"/>
      <c r="AA416" s="1593"/>
      <c r="AB416" s="1593"/>
      <c r="AC416" s="1593"/>
      <c r="AD416" s="1593"/>
      <c r="AE416" s="1593"/>
      <c r="AF416" s="1593"/>
      <c r="AG416" s="1593"/>
      <c r="AH416" s="1593"/>
      <c r="AI416" s="1593"/>
      <c r="AJ416" s="1593"/>
      <c r="AK416" s="1593"/>
      <c r="AL416" s="1593"/>
      <c r="AM416" s="1593"/>
      <c r="AN416" s="1593"/>
      <c r="AO416" s="1593"/>
      <c r="AP416" s="1593"/>
      <c r="AQ416" s="1593"/>
      <c r="AR416" s="1593"/>
      <c r="AS416" s="1593"/>
      <c r="AT416" s="1593"/>
      <c r="AU416" s="1593"/>
      <c r="AV416" s="1593"/>
      <c r="AW416" s="1593"/>
      <c r="AX416" s="1593"/>
      <c r="AY416" s="1593"/>
      <c r="AZ416" s="1593"/>
      <c r="BA416" s="1593"/>
      <c r="BB416" s="1593"/>
      <c r="BC416" s="1593"/>
      <c r="BD416" s="1593"/>
      <c r="BE416" s="1593"/>
      <c r="BF416" s="1593"/>
      <c r="BG416" s="1593"/>
      <c r="BH416" s="1593"/>
      <c r="BI416" s="1593"/>
      <c r="BJ416" s="1593"/>
      <c r="BK416" s="1593"/>
      <c r="BL416" s="1593"/>
      <c r="BM416" s="1593"/>
      <c r="BN416" s="1593"/>
      <c r="BO416" s="1593"/>
      <c r="BP416" s="1593"/>
      <c r="BQ416" s="1593"/>
      <c r="BR416" s="1593"/>
      <c r="BS416" s="1593"/>
      <c r="BT416" s="1593"/>
      <c r="BU416" s="1593"/>
      <c r="BV416" s="1593"/>
      <c r="BW416" s="1593"/>
      <c r="BX416" s="1593"/>
      <c r="BY416" s="1593"/>
      <c r="BZ416" s="1593"/>
      <c r="CA416" s="1593"/>
      <c r="CB416" s="1593"/>
      <c r="CC416" s="1593"/>
      <c r="CD416" s="1593"/>
      <c r="CE416" s="1593"/>
      <c r="CF416" s="1593"/>
      <c r="CG416" s="1593"/>
      <c r="CH416" s="1593"/>
      <c r="CI416" s="1593"/>
      <c r="CJ416" s="1593"/>
      <c r="CK416" s="1593"/>
      <c r="CL416" s="1593"/>
      <c r="CM416" s="1593"/>
      <c r="CN416" s="1593"/>
      <c r="CO416" s="1593"/>
      <c r="CP416" s="1593"/>
      <c r="CQ416" s="1593"/>
      <c r="CR416" s="1593"/>
      <c r="CS416" s="1593"/>
      <c r="CT416" s="1593"/>
      <c r="CU416" s="1593"/>
      <c r="CV416" s="1593"/>
      <c r="CW416" s="1593"/>
      <c r="CX416" s="1593"/>
      <c r="CY416" s="1593"/>
      <c r="CZ416" s="1593"/>
      <c r="DA416" s="1593"/>
      <c r="DB416" s="1593"/>
      <c r="DC416" s="1593"/>
      <c r="DD416" s="1593"/>
      <c r="DE416" s="1593"/>
      <c r="DF416" s="1593"/>
      <c r="DG416" s="1593"/>
      <c r="DH416" s="1593"/>
      <c r="DI416" s="1593"/>
      <c r="DJ416" s="1593"/>
      <c r="DK416" s="1593"/>
      <c r="DL416" s="1593"/>
      <c r="DM416" s="1593"/>
      <c r="DN416" s="1593"/>
      <c r="DO416" s="1593"/>
      <c r="DP416" s="1593"/>
      <c r="DQ416" s="1593"/>
      <c r="DR416" s="1593"/>
      <c r="DS416" s="1593"/>
      <c r="DT416" s="1593"/>
      <c r="DU416" s="1593"/>
      <c r="DV416" s="1593"/>
      <c r="DW416" s="1593"/>
      <c r="DX416" s="1593"/>
      <c r="DY416" s="1593"/>
      <c r="DZ416" s="1593"/>
      <c r="EA416" s="1593"/>
      <c r="EB416" s="1593"/>
      <c r="EC416" s="1593"/>
      <c r="ED416" s="1593"/>
      <c r="EE416" s="1593"/>
      <c r="EF416" s="1593"/>
      <c r="EG416" s="1593"/>
      <c r="EH416" s="1593"/>
      <c r="EI416" s="1593"/>
      <c r="EJ416" s="1593"/>
      <c r="EK416" s="1593"/>
      <c r="EL416" s="1593"/>
      <c r="EM416" s="1593"/>
      <c r="EN416" s="1593"/>
      <c r="EO416" s="1593"/>
      <c r="EP416" s="1593"/>
      <c r="EQ416" s="1593"/>
      <c r="ER416" s="1593"/>
      <c r="ES416" s="1593"/>
      <c r="ET416" s="1593"/>
      <c r="EU416" s="1593"/>
      <c r="EV416" s="1593"/>
      <c r="EW416" s="1593"/>
      <c r="EX416" s="1593"/>
      <c r="EY416" s="1593"/>
      <c r="EZ416" s="1593"/>
      <c r="FA416" s="1593"/>
      <c r="FB416" s="1593"/>
      <c r="FC416" s="1593"/>
      <c r="FD416" s="1593"/>
      <c r="FE416" s="1593"/>
      <c r="FF416" s="1593"/>
      <c r="FG416" s="1593"/>
      <c r="FH416" s="1593"/>
      <c r="FI416" s="1593"/>
      <c r="FJ416" s="1593"/>
      <c r="FK416" s="1593"/>
      <c r="FL416" s="1593"/>
      <c r="FM416" s="1593"/>
      <c r="FN416" s="1593"/>
      <c r="FO416" s="1593"/>
      <c r="FP416" s="1593"/>
      <c r="FQ416" s="1593"/>
      <c r="FR416" s="1593"/>
      <c r="FS416" s="1593"/>
      <c r="FT416" s="1593"/>
      <c r="FU416" s="1593"/>
      <c r="FV416" s="1593"/>
      <c r="FW416" s="1593"/>
      <c r="FX416" s="1593"/>
      <c r="FY416" s="1593"/>
      <c r="FZ416" s="1593"/>
      <c r="GA416" s="1593"/>
      <c r="GB416" s="1593"/>
      <c r="GC416" s="1593"/>
      <c r="GD416" s="1593"/>
      <c r="GE416" s="1593"/>
      <c r="GF416" s="1593"/>
      <c r="GG416" s="1593"/>
      <c r="GH416" s="1593"/>
      <c r="GI416" s="1593"/>
      <c r="GJ416" s="1593"/>
      <c r="GK416" s="1593"/>
      <c r="GL416" s="1593"/>
      <c r="GM416" s="1593"/>
      <c r="GN416" s="1593"/>
      <c r="GO416" s="1593"/>
      <c r="GP416" s="1593"/>
      <c r="GQ416" s="1593"/>
      <c r="GR416" s="1593"/>
      <c r="GS416" s="1593"/>
      <c r="GT416" s="1593"/>
      <c r="GU416" s="1593"/>
      <c r="GV416" s="1593"/>
      <c r="GW416" s="1593"/>
      <c r="GX416" s="1593"/>
      <c r="GY416" s="1593"/>
      <c r="GZ416" s="1593"/>
      <c r="HA416" s="1593"/>
      <c r="HB416" s="1593"/>
      <c r="HC416" s="1593"/>
      <c r="HD416" s="1593"/>
      <c r="HE416" s="1593"/>
      <c r="HF416" s="1593"/>
      <c r="HG416" s="1593"/>
      <c r="HH416" s="1593"/>
      <c r="HI416" s="1593"/>
      <c r="HJ416" s="1593"/>
      <c r="HK416" s="1593"/>
      <c r="HL416" s="1593"/>
      <c r="HM416" s="1593"/>
      <c r="HN416" s="1593"/>
      <c r="HO416" s="1593"/>
      <c r="HP416" s="1593"/>
      <c r="HQ416" s="1593"/>
      <c r="HR416" s="1593"/>
      <c r="HS416" s="1593"/>
      <c r="HT416" s="1593"/>
      <c r="HU416" s="1593"/>
      <c r="HV416" s="1593"/>
      <c r="HW416" s="1593"/>
      <c r="HX416" s="1593"/>
      <c r="HY416" s="1593"/>
      <c r="HZ416" s="1593"/>
      <c r="IA416" s="1593"/>
      <c r="IB416" s="1593"/>
      <c r="IC416" s="1593"/>
      <c r="ID416" s="1593"/>
      <c r="IE416" s="1593"/>
      <c r="IF416" s="1593"/>
      <c r="IG416" s="1593"/>
      <c r="IH416" s="1593"/>
      <c r="II416" s="1593"/>
      <c r="IJ416" s="1593"/>
      <c r="IK416" s="1593"/>
      <c r="IL416" s="1593"/>
      <c r="IM416" s="1593"/>
      <c r="IN416" s="1593"/>
      <c r="IO416" s="1593"/>
      <c r="IP416" s="1593"/>
      <c r="IQ416" s="1593"/>
      <c r="IR416" s="1593"/>
      <c r="IS416" s="1593"/>
      <c r="IT416" s="1593"/>
      <c r="IU416" s="1593"/>
      <c r="IV416" s="1593"/>
      <c r="IW416" s="1593"/>
      <c r="IX416" s="1593"/>
      <c r="IY416" s="1593"/>
      <c r="IZ416" s="1593"/>
      <c r="JA416" s="1593"/>
      <c r="JB416" s="1593"/>
      <c r="JC416" s="1593"/>
      <c r="JD416" s="1593"/>
      <c r="JE416" s="1593"/>
      <c r="JF416" s="1593"/>
      <c r="JG416" s="1593"/>
      <c r="JH416" s="1593"/>
      <c r="JI416" s="1593"/>
      <c r="JJ416" s="1593"/>
      <c r="JK416" s="1593"/>
      <c r="JL416" s="1593"/>
      <c r="JM416" s="1593"/>
      <c r="JN416" s="1593"/>
      <c r="JO416" s="1593"/>
      <c r="JP416" s="1593"/>
      <c r="JQ416" s="1593"/>
      <c r="JR416" s="1593"/>
      <c r="JS416" s="1593"/>
      <c r="JT416" s="1593"/>
      <c r="JU416" s="1593"/>
      <c r="JV416" s="1593"/>
      <c r="JW416" s="1593"/>
      <c r="JX416" s="1593"/>
      <c r="JY416" s="1593"/>
      <c r="JZ416" s="1593"/>
      <c r="KA416" s="1593"/>
      <c r="KB416" s="1598"/>
    </row>
    <row r="417" spans="1:289" ht="15" customHeight="1" x14ac:dyDescent="0.25">
      <c r="B417" s="216" t="str">
        <f t="shared" si="30"/>
        <v>Desk 98</v>
      </c>
      <c r="C417" s="218" t="str">
        <v/>
      </c>
      <c r="D417" s="218" t="str">
        <v/>
      </c>
      <c r="E417" s="218" t="str">
        <v/>
      </c>
      <c r="F417" s="218" t="str">
        <v/>
      </c>
      <c r="G417" s="402" t="str">
        <v/>
      </c>
      <c r="H417" s="1593"/>
      <c r="I417" s="1593"/>
      <c r="J417" s="1593"/>
      <c r="K417" s="1593"/>
      <c r="L417" s="1593"/>
      <c r="M417" s="1593"/>
      <c r="N417" s="1593"/>
      <c r="O417" s="1593"/>
      <c r="P417" s="1593"/>
      <c r="Q417" s="1593"/>
      <c r="R417" s="1593"/>
      <c r="S417" s="1593"/>
      <c r="T417" s="1593"/>
      <c r="U417" s="1593"/>
      <c r="V417" s="1593"/>
      <c r="W417" s="1593"/>
      <c r="X417" s="1593"/>
      <c r="Y417" s="1593"/>
      <c r="Z417" s="1593"/>
      <c r="AA417" s="1593"/>
      <c r="AB417" s="1593"/>
      <c r="AC417" s="1593"/>
      <c r="AD417" s="1593"/>
      <c r="AE417" s="1593"/>
      <c r="AF417" s="1593"/>
      <c r="AG417" s="1593"/>
      <c r="AH417" s="1593"/>
      <c r="AI417" s="1593"/>
      <c r="AJ417" s="1593"/>
      <c r="AK417" s="1593"/>
      <c r="AL417" s="1593"/>
      <c r="AM417" s="1593"/>
      <c r="AN417" s="1593"/>
      <c r="AO417" s="1593"/>
      <c r="AP417" s="1593"/>
      <c r="AQ417" s="1593"/>
      <c r="AR417" s="1593"/>
      <c r="AS417" s="1593"/>
      <c r="AT417" s="1593"/>
      <c r="AU417" s="1593"/>
      <c r="AV417" s="1593"/>
      <c r="AW417" s="1593"/>
      <c r="AX417" s="1593"/>
      <c r="AY417" s="1593"/>
      <c r="AZ417" s="1593"/>
      <c r="BA417" s="1593"/>
      <c r="BB417" s="1593"/>
      <c r="BC417" s="1593"/>
      <c r="BD417" s="1593"/>
      <c r="BE417" s="1593"/>
      <c r="BF417" s="1593"/>
      <c r="BG417" s="1593"/>
      <c r="BH417" s="1593"/>
      <c r="BI417" s="1593"/>
      <c r="BJ417" s="1593"/>
      <c r="BK417" s="1593"/>
      <c r="BL417" s="1593"/>
      <c r="BM417" s="1593"/>
      <c r="BN417" s="1593"/>
      <c r="BO417" s="1593"/>
      <c r="BP417" s="1593"/>
      <c r="BQ417" s="1593"/>
      <c r="BR417" s="1593"/>
      <c r="BS417" s="1593"/>
      <c r="BT417" s="1593"/>
      <c r="BU417" s="1593"/>
      <c r="BV417" s="1593"/>
      <c r="BW417" s="1593"/>
      <c r="BX417" s="1593"/>
      <c r="BY417" s="1593"/>
      <c r="BZ417" s="1593"/>
      <c r="CA417" s="1593"/>
      <c r="CB417" s="1593"/>
      <c r="CC417" s="1593"/>
      <c r="CD417" s="1593"/>
      <c r="CE417" s="1593"/>
      <c r="CF417" s="1593"/>
      <c r="CG417" s="1593"/>
      <c r="CH417" s="1593"/>
      <c r="CI417" s="1593"/>
      <c r="CJ417" s="1593"/>
      <c r="CK417" s="1593"/>
      <c r="CL417" s="1593"/>
      <c r="CM417" s="1593"/>
      <c r="CN417" s="1593"/>
      <c r="CO417" s="1593"/>
      <c r="CP417" s="1593"/>
      <c r="CQ417" s="1593"/>
      <c r="CR417" s="1593"/>
      <c r="CS417" s="1593"/>
      <c r="CT417" s="1593"/>
      <c r="CU417" s="1593"/>
      <c r="CV417" s="1593"/>
      <c r="CW417" s="1593"/>
      <c r="CX417" s="1593"/>
      <c r="CY417" s="1593"/>
      <c r="CZ417" s="1593"/>
      <c r="DA417" s="1593"/>
      <c r="DB417" s="1593"/>
      <c r="DC417" s="1593"/>
      <c r="DD417" s="1593"/>
      <c r="DE417" s="1593"/>
      <c r="DF417" s="1593"/>
      <c r="DG417" s="1593"/>
      <c r="DH417" s="1593"/>
      <c r="DI417" s="1593"/>
      <c r="DJ417" s="1593"/>
      <c r="DK417" s="1593"/>
      <c r="DL417" s="1593"/>
      <c r="DM417" s="1593"/>
      <c r="DN417" s="1593"/>
      <c r="DO417" s="1593"/>
      <c r="DP417" s="1593"/>
      <c r="DQ417" s="1593"/>
      <c r="DR417" s="1593"/>
      <c r="DS417" s="1593"/>
      <c r="DT417" s="1593"/>
      <c r="DU417" s="1593"/>
      <c r="DV417" s="1593"/>
      <c r="DW417" s="1593"/>
      <c r="DX417" s="1593"/>
      <c r="DY417" s="1593"/>
      <c r="DZ417" s="1593"/>
      <c r="EA417" s="1593"/>
      <c r="EB417" s="1593"/>
      <c r="EC417" s="1593"/>
      <c r="ED417" s="1593"/>
      <c r="EE417" s="1593"/>
      <c r="EF417" s="1593"/>
      <c r="EG417" s="1593"/>
      <c r="EH417" s="1593"/>
      <c r="EI417" s="1593"/>
      <c r="EJ417" s="1593"/>
      <c r="EK417" s="1593"/>
      <c r="EL417" s="1593"/>
      <c r="EM417" s="1593"/>
      <c r="EN417" s="1593"/>
      <c r="EO417" s="1593"/>
      <c r="EP417" s="1593"/>
      <c r="EQ417" s="1593"/>
      <c r="ER417" s="1593"/>
      <c r="ES417" s="1593"/>
      <c r="ET417" s="1593"/>
      <c r="EU417" s="1593"/>
      <c r="EV417" s="1593"/>
      <c r="EW417" s="1593"/>
      <c r="EX417" s="1593"/>
      <c r="EY417" s="1593"/>
      <c r="EZ417" s="1593"/>
      <c r="FA417" s="1593"/>
      <c r="FB417" s="1593"/>
      <c r="FC417" s="1593"/>
      <c r="FD417" s="1593"/>
      <c r="FE417" s="1593"/>
      <c r="FF417" s="1593"/>
      <c r="FG417" s="1593"/>
      <c r="FH417" s="1593"/>
      <c r="FI417" s="1593"/>
      <c r="FJ417" s="1593"/>
      <c r="FK417" s="1593"/>
      <c r="FL417" s="1593"/>
      <c r="FM417" s="1593"/>
      <c r="FN417" s="1593"/>
      <c r="FO417" s="1593"/>
      <c r="FP417" s="1593"/>
      <c r="FQ417" s="1593"/>
      <c r="FR417" s="1593"/>
      <c r="FS417" s="1593"/>
      <c r="FT417" s="1593"/>
      <c r="FU417" s="1593"/>
      <c r="FV417" s="1593"/>
      <c r="FW417" s="1593"/>
      <c r="FX417" s="1593"/>
      <c r="FY417" s="1593"/>
      <c r="FZ417" s="1593"/>
      <c r="GA417" s="1593"/>
      <c r="GB417" s="1593"/>
      <c r="GC417" s="1593"/>
      <c r="GD417" s="1593"/>
      <c r="GE417" s="1593"/>
      <c r="GF417" s="1593"/>
      <c r="GG417" s="1593"/>
      <c r="GH417" s="1593"/>
      <c r="GI417" s="1593"/>
      <c r="GJ417" s="1593"/>
      <c r="GK417" s="1593"/>
      <c r="GL417" s="1593"/>
      <c r="GM417" s="1593"/>
      <c r="GN417" s="1593"/>
      <c r="GO417" s="1593"/>
      <c r="GP417" s="1593"/>
      <c r="GQ417" s="1593"/>
      <c r="GR417" s="1593"/>
      <c r="GS417" s="1593"/>
      <c r="GT417" s="1593"/>
      <c r="GU417" s="1593"/>
      <c r="GV417" s="1593"/>
      <c r="GW417" s="1593"/>
      <c r="GX417" s="1593"/>
      <c r="GY417" s="1593"/>
      <c r="GZ417" s="1593"/>
      <c r="HA417" s="1593"/>
      <c r="HB417" s="1593"/>
      <c r="HC417" s="1593"/>
      <c r="HD417" s="1593"/>
      <c r="HE417" s="1593"/>
      <c r="HF417" s="1593"/>
      <c r="HG417" s="1593"/>
      <c r="HH417" s="1593"/>
      <c r="HI417" s="1593"/>
      <c r="HJ417" s="1593"/>
      <c r="HK417" s="1593"/>
      <c r="HL417" s="1593"/>
      <c r="HM417" s="1593"/>
      <c r="HN417" s="1593"/>
      <c r="HO417" s="1593"/>
      <c r="HP417" s="1593"/>
      <c r="HQ417" s="1593"/>
      <c r="HR417" s="1593"/>
      <c r="HS417" s="1593"/>
      <c r="HT417" s="1593"/>
      <c r="HU417" s="1593"/>
      <c r="HV417" s="1593"/>
      <c r="HW417" s="1593"/>
      <c r="HX417" s="1593"/>
      <c r="HY417" s="1593"/>
      <c r="HZ417" s="1593"/>
      <c r="IA417" s="1593"/>
      <c r="IB417" s="1593"/>
      <c r="IC417" s="1593"/>
      <c r="ID417" s="1593"/>
      <c r="IE417" s="1593"/>
      <c r="IF417" s="1593"/>
      <c r="IG417" s="1593"/>
      <c r="IH417" s="1593"/>
      <c r="II417" s="1593"/>
      <c r="IJ417" s="1593"/>
      <c r="IK417" s="1593"/>
      <c r="IL417" s="1593"/>
      <c r="IM417" s="1593"/>
      <c r="IN417" s="1593"/>
      <c r="IO417" s="1593"/>
      <c r="IP417" s="1593"/>
      <c r="IQ417" s="1593"/>
      <c r="IR417" s="1593"/>
      <c r="IS417" s="1593"/>
      <c r="IT417" s="1593"/>
      <c r="IU417" s="1593"/>
      <c r="IV417" s="1593"/>
      <c r="IW417" s="1593"/>
      <c r="IX417" s="1593"/>
      <c r="IY417" s="1593"/>
      <c r="IZ417" s="1593"/>
      <c r="JA417" s="1593"/>
      <c r="JB417" s="1593"/>
      <c r="JC417" s="1593"/>
      <c r="JD417" s="1593"/>
      <c r="JE417" s="1593"/>
      <c r="JF417" s="1593"/>
      <c r="JG417" s="1593"/>
      <c r="JH417" s="1593"/>
      <c r="JI417" s="1593"/>
      <c r="JJ417" s="1593"/>
      <c r="JK417" s="1593"/>
      <c r="JL417" s="1593"/>
      <c r="JM417" s="1593"/>
      <c r="JN417" s="1593"/>
      <c r="JO417" s="1593"/>
      <c r="JP417" s="1593"/>
      <c r="JQ417" s="1593"/>
      <c r="JR417" s="1593"/>
      <c r="JS417" s="1593"/>
      <c r="JT417" s="1593"/>
      <c r="JU417" s="1593"/>
      <c r="JV417" s="1593"/>
      <c r="JW417" s="1593"/>
      <c r="JX417" s="1593"/>
      <c r="JY417" s="1593"/>
      <c r="JZ417" s="1593"/>
      <c r="KA417" s="1593"/>
      <c r="KB417" s="1598"/>
    </row>
    <row r="418" spans="1:289" ht="15" customHeight="1" x14ac:dyDescent="0.25">
      <c r="B418" s="216" t="str">
        <f t="shared" si="30"/>
        <v>Desk 99</v>
      </c>
      <c r="C418" s="218" t="str">
        <v/>
      </c>
      <c r="D418" s="218" t="str">
        <v/>
      </c>
      <c r="E418" s="218" t="str">
        <v/>
      </c>
      <c r="F418" s="218" t="str">
        <v/>
      </c>
      <c r="G418" s="402" t="str">
        <v/>
      </c>
      <c r="H418" s="1593"/>
      <c r="I418" s="1593"/>
      <c r="J418" s="1593"/>
      <c r="K418" s="1593"/>
      <c r="L418" s="1593"/>
      <c r="M418" s="1593"/>
      <c r="N418" s="1593"/>
      <c r="O418" s="1593"/>
      <c r="P418" s="1593"/>
      <c r="Q418" s="1593"/>
      <c r="R418" s="1593"/>
      <c r="S418" s="1593"/>
      <c r="T418" s="1593"/>
      <c r="U418" s="1593"/>
      <c r="V418" s="1593"/>
      <c r="W418" s="1593"/>
      <c r="X418" s="1593"/>
      <c r="Y418" s="1593"/>
      <c r="Z418" s="1593"/>
      <c r="AA418" s="1593"/>
      <c r="AB418" s="1593"/>
      <c r="AC418" s="1593"/>
      <c r="AD418" s="1593"/>
      <c r="AE418" s="1593"/>
      <c r="AF418" s="1593"/>
      <c r="AG418" s="1593"/>
      <c r="AH418" s="1593"/>
      <c r="AI418" s="1593"/>
      <c r="AJ418" s="1593"/>
      <c r="AK418" s="1593"/>
      <c r="AL418" s="1593"/>
      <c r="AM418" s="1593"/>
      <c r="AN418" s="1593"/>
      <c r="AO418" s="1593"/>
      <c r="AP418" s="1593"/>
      <c r="AQ418" s="1593"/>
      <c r="AR418" s="1593"/>
      <c r="AS418" s="1593"/>
      <c r="AT418" s="1593"/>
      <c r="AU418" s="1593"/>
      <c r="AV418" s="1593"/>
      <c r="AW418" s="1593"/>
      <c r="AX418" s="1593"/>
      <c r="AY418" s="1593"/>
      <c r="AZ418" s="1593"/>
      <c r="BA418" s="1593"/>
      <c r="BB418" s="1593"/>
      <c r="BC418" s="1593"/>
      <c r="BD418" s="1593"/>
      <c r="BE418" s="1593"/>
      <c r="BF418" s="1593"/>
      <c r="BG418" s="1593"/>
      <c r="BH418" s="1593"/>
      <c r="BI418" s="1593"/>
      <c r="BJ418" s="1593"/>
      <c r="BK418" s="1593"/>
      <c r="BL418" s="1593"/>
      <c r="BM418" s="1593"/>
      <c r="BN418" s="1593"/>
      <c r="BO418" s="1593"/>
      <c r="BP418" s="1593"/>
      <c r="BQ418" s="1593"/>
      <c r="BR418" s="1593"/>
      <c r="BS418" s="1593"/>
      <c r="BT418" s="1593"/>
      <c r="BU418" s="1593"/>
      <c r="BV418" s="1593"/>
      <c r="BW418" s="1593"/>
      <c r="BX418" s="1593"/>
      <c r="BY418" s="1593"/>
      <c r="BZ418" s="1593"/>
      <c r="CA418" s="1593"/>
      <c r="CB418" s="1593"/>
      <c r="CC418" s="1593"/>
      <c r="CD418" s="1593"/>
      <c r="CE418" s="1593"/>
      <c r="CF418" s="1593"/>
      <c r="CG418" s="1593"/>
      <c r="CH418" s="1593"/>
      <c r="CI418" s="1593"/>
      <c r="CJ418" s="1593"/>
      <c r="CK418" s="1593"/>
      <c r="CL418" s="1593"/>
      <c r="CM418" s="1593"/>
      <c r="CN418" s="1593"/>
      <c r="CO418" s="1593"/>
      <c r="CP418" s="1593"/>
      <c r="CQ418" s="1593"/>
      <c r="CR418" s="1593"/>
      <c r="CS418" s="1593"/>
      <c r="CT418" s="1593"/>
      <c r="CU418" s="1593"/>
      <c r="CV418" s="1593"/>
      <c r="CW418" s="1593"/>
      <c r="CX418" s="1593"/>
      <c r="CY418" s="1593"/>
      <c r="CZ418" s="1593"/>
      <c r="DA418" s="1593"/>
      <c r="DB418" s="1593"/>
      <c r="DC418" s="1593"/>
      <c r="DD418" s="1593"/>
      <c r="DE418" s="1593"/>
      <c r="DF418" s="1593"/>
      <c r="DG418" s="1593"/>
      <c r="DH418" s="1593"/>
      <c r="DI418" s="1593"/>
      <c r="DJ418" s="1593"/>
      <c r="DK418" s="1593"/>
      <c r="DL418" s="1593"/>
      <c r="DM418" s="1593"/>
      <c r="DN418" s="1593"/>
      <c r="DO418" s="1593"/>
      <c r="DP418" s="1593"/>
      <c r="DQ418" s="1593"/>
      <c r="DR418" s="1593"/>
      <c r="DS418" s="1593"/>
      <c r="DT418" s="1593"/>
      <c r="DU418" s="1593"/>
      <c r="DV418" s="1593"/>
      <c r="DW418" s="1593"/>
      <c r="DX418" s="1593"/>
      <c r="DY418" s="1593"/>
      <c r="DZ418" s="1593"/>
      <c r="EA418" s="1593"/>
      <c r="EB418" s="1593"/>
      <c r="EC418" s="1593"/>
      <c r="ED418" s="1593"/>
      <c r="EE418" s="1593"/>
      <c r="EF418" s="1593"/>
      <c r="EG418" s="1593"/>
      <c r="EH418" s="1593"/>
      <c r="EI418" s="1593"/>
      <c r="EJ418" s="1593"/>
      <c r="EK418" s="1593"/>
      <c r="EL418" s="1593"/>
      <c r="EM418" s="1593"/>
      <c r="EN418" s="1593"/>
      <c r="EO418" s="1593"/>
      <c r="EP418" s="1593"/>
      <c r="EQ418" s="1593"/>
      <c r="ER418" s="1593"/>
      <c r="ES418" s="1593"/>
      <c r="ET418" s="1593"/>
      <c r="EU418" s="1593"/>
      <c r="EV418" s="1593"/>
      <c r="EW418" s="1593"/>
      <c r="EX418" s="1593"/>
      <c r="EY418" s="1593"/>
      <c r="EZ418" s="1593"/>
      <c r="FA418" s="1593"/>
      <c r="FB418" s="1593"/>
      <c r="FC418" s="1593"/>
      <c r="FD418" s="1593"/>
      <c r="FE418" s="1593"/>
      <c r="FF418" s="1593"/>
      <c r="FG418" s="1593"/>
      <c r="FH418" s="1593"/>
      <c r="FI418" s="1593"/>
      <c r="FJ418" s="1593"/>
      <c r="FK418" s="1593"/>
      <c r="FL418" s="1593"/>
      <c r="FM418" s="1593"/>
      <c r="FN418" s="1593"/>
      <c r="FO418" s="1593"/>
      <c r="FP418" s="1593"/>
      <c r="FQ418" s="1593"/>
      <c r="FR418" s="1593"/>
      <c r="FS418" s="1593"/>
      <c r="FT418" s="1593"/>
      <c r="FU418" s="1593"/>
      <c r="FV418" s="1593"/>
      <c r="FW418" s="1593"/>
      <c r="FX418" s="1593"/>
      <c r="FY418" s="1593"/>
      <c r="FZ418" s="1593"/>
      <c r="GA418" s="1593"/>
      <c r="GB418" s="1593"/>
      <c r="GC418" s="1593"/>
      <c r="GD418" s="1593"/>
      <c r="GE418" s="1593"/>
      <c r="GF418" s="1593"/>
      <c r="GG418" s="1593"/>
      <c r="GH418" s="1593"/>
      <c r="GI418" s="1593"/>
      <c r="GJ418" s="1593"/>
      <c r="GK418" s="1593"/>
      <c r="GL418" s="1593"/>
      <c r="GM418" s="1593"/>
      <c r="GN418" s="1593"/>
      <c r="GO418" s="1593"/>
      <c r="GP418" s="1593"/>
      <c r="GQ418" s="1593"/>
      <c r="GR418" s="1593"/>
      <c r="GS418" s="1593"/>
      <c r="GT418" s="1593"/>
      <c r="GU418" s="1593"/>
      <c r="GV418" s="1593"/>
      <c r="GW418" s="1593"/>
      <c r="GX418" s="1593"/>
      <c r="GY418" s="1593"/>
      <c r="GZ418" s="1593"/>
      <c r="HA418" s="1593"/>
      <c r="HB418" s="1593"/>
      <c r="HC418" s="1593"/>
      <c r="HD418" s="1593"/>
      <c r="HE418" s="1593"/>
      <c r="HF418" s="1593"/>
      <c r="HG418" s="1593"/>
      <c r="HH418" s="1593"/>
      <c r="HI418" s="1593"/>
      <c r="HJ418" s="1593"/>
      <c r="HK418" s="1593"/>
      <c r="HL418" s="1593"/>
      <c r="HM418" s="1593"/>
      <c r="HN418" s="1593"/>
      <c r="HO418" s="1593"/>
      <c r="HP418" s="1593"/>
      <c r="HQ418" s="1593"/>
      <c r="HR418" s="1593"/>
      <c r="HS418" s="1593"/>
      <c r="HT418" s="1593"/>
      <c r="HU418" s="1593"/>
      <c r="HV418" s="1593"/>
      <c r="HW418" s="1593"/>
      <c r="HX418" s="1593"/>
      <c r="HY418" s="1593"/>
      <c r="HZ418" s="1593"/>
      <c r="IA418" s="1593"/>
      <c r="IB418" s="1593"/>
      <c r="IC418" s="1593"/>
      <c r="ID418" s="1593"/>
      <c r="IE418" s="1593"/>
      <c r="IF418" s="1593"/>
      <c r="IG418" s="1593"/>
      <c r="IH418" s="1593"/>
      <c r="II418" s="1593"/>
      <c r="IJ418" s="1593"/>
      <c r="IK418" s="1593"/>
      <c r="IL418" s="1593"/>
      <c r="IM418" s="1593"/>
      <c r="IN418" s="1593"/>
      <c r="IO418" s="1593"/>
      <c r="IP418" s="1593"/>
      <c r="IQ418" s="1593"/>
      <c r="IR418" s="1593"/>
      <c r="IS418" s="1593"/>
      <c r="IT418" s="1593"/>
      <c r="IU418" s="1593"/>
      <c r="IV418" s="1593"/>
      <c r="IW418" s="1593"/>
      <c r="IX418" s="1593"/>
      <c r="IY418" s="1593"/>
      <c r="IZ418" s="1593"/>
      <c r="JA418" s="1593"/>
      <c r="JB418" s="1593"/>
      <c r="JC418" s="1593"/>
      <c r="JD418" s="1593"/>
      <c r="JE418" s="1593"/>
      <c r="JF418" s="1593"/>
      <c r="JG418" s="1593"/>
      <c r="JH418" s="1593"/>
      <c r="JI418" s="1593"/>
      <c r="JJ418" s="1593"/>
      <c r="JK418" s="1593"/>
      <c r="JL418" s="1593"/>
      <c r="JM418" s="1593"/>
      <c r="JN418" s="1593"/>
      <c r="JO418" s="1593"/>
      <c r="JP418" s="1593"/>
      <c r="JQ418" s="1593"/>
      <c r="JR418" s="1593"/>
      <c r="JS418" s="1593"/>
      <c r="JT418" s="1593"/>
      <c r="JU418" s="1593"/>
      <c r="JV418" s="1593"/>
      <c r="JW418" s="1593"/>
      <c r="JX418" s="1593"/>
      <c r="JY418" s="1593"/>
      <c r="JZ418" s="1593"/>
      <c r="KA418" s="1593"/>
      <c r="KB418" s="1598"/>
    </row>
    <row r="419" spans="1:289" ht="15" customHeight="1" x14ac:dyDescent="0.25">
      <c r="B419" s="219" t="str">
        <f t="shared" si="30"/>
        <v>Desk 100</v>
      </c>
      <c r="C419" s="220" t="str">
        <v/>
      </c>
      <c r="D419" s="220" t="str">
        <v/>
      </c>
      <c r="E419" s="220" t="str">
        <v/>
      </c>
      <c r="F419" s="220" t="str">
        <v/>
      </c>
      <c r="G419" s="402" t="str">
        <v/>
      </c>
      <c r="H419" s="1599"/>
      <c r="I419" s="1599"/>
      <c r="J419" s="1599"/>
      <c r="K419" s="1599"/>
      <c r="L419" s="1599"/>
      <c r="M419" s="1599"/>
      <c r="N419" s="1599"/>
      <c r="O419" s="1599"/>
      <c r="P419" s="1599"/>
      <c r="Q419" s="1599"/>
      <c r="R419" s="1599"/>
      <c r="S419" s="1599"/>
      <c r="T419" s="1599"/>
      <c r="U419" s="1599"/>
      <c r="V419" s="1599"/>
      <c r="W419" s="1599"/>
      <c r="X419" s="1599"/>
      <c r="Y419" s="1599"/>
      <c r="Z419" s="1599"/>
      <c r="AA419" s="1599"/>
      <c r="AB419" s="1599"/>
      <c r="AC419" s="1599"/>
      <c r="AD419" s="1599"/>
      <c r="AE419" s="1599"/>
      <c r="AF419" s="1599"/>
      <c r="AG419" s="1599"/>
      <c r="AH419" s="1599"/>
      <c r="AI419" s="1599"/>
      <c r="AJ419" s="1599"/>
      <c r="AK419" s="1599"/>
      <c r="AL419" s="1599"/>
      <c r="AM419" s="1599"/>
      <c r="AN419" s="1599"/>
      <c r="AO419" s="1599"/>
      <c r="AP419" s="1599"/>
      <c r="AQ419" s="1599"/>
      <c r="AR419" s="1599"/>
      <c r="AS419" s="1599"/>
      <c r="AT419" s="1599"/>
      <c r="AU419" s="1599"/>
      <c r="AV419" s="1599"/>
      <c r="AW419" s="1599"/>
      <c r="AX419" s="1599"/>
      <c r="AY419" s="1599"/>
      <c r="AZ419" s="1599"/>
      <c r="BA419" s="1599"/>
      <c r="BB419" s="1599"/>
      <c r="BC419" s="1599"/>
      <c r="BD419" s="1599"/>
      <c r="BE419" s="1599"/>
      <c r="BF419" s="1599"/>
      <c r="BG419" s="1599"/>
      <c r="BH419" s="1599"/>
      <c r="BI419" s="1599"/>
      <c r="BJ419" s="1599"/>
      <c r="BK419" s="1599"/>
      <c r="BL419" s="1599"/>
      <c r="BM419" s="1599"/>
      <c r="BN419" s="1599"/>
      <c r="BO419" s="1599"/>
      <c r="BP419" s="1599"/>
      <c r="BQ419" s="1599"/>
      <c r="BR419" s="1599"/>
      <c r="BS419" s="1599"/>
      <c r="BT419" s="1599"/>
      <c r="BU419" s="1599"/>
      <c r="BV419" s="1599"/>
      <c r="BW419" s="1599"/>
      <c r="BX419" s="1599"/>
      <c r="BY419" s="1599"/>
      <c r="BZ419" s="1599"/>
      <c r="CA419" s="1599"/>
      <c r="CB419" s="1599"/>
      <c r="CC419" s="1599"/>
      <c r="CD419" s="1599"/>
      <c r="CE419" s="1599"/>
      <c r="CF419" s="1599"/>
      <c r="CG419" s="1599"/>
      <c r="CH419" s="1599"/>
      <c r="CI419" s="1599"/>
      <c r="CJ419" s="1599"/>
      <c r="CK419" s="1599"/>
      <c r="CL419" s="1599"/>
      <c r="CM419" s="1599"/>
      <c r="CN419" s="1599"/>
      <c r="CO419" s="1599"/>
      <c r="CP419" s="1599"/>
      <c r="CQ419" s="1599"/>
      <c r="CR419" s="1599"/>
      <c r="CS419" s="1599"/>
      <c r="CT419" s="1599"/>
      <c r="CU419" s="1599"/>
      <c r="CV419" s="1599"/>
      <c r="CW419" s="1599"/>
      <c r="CX419" s="1599"/>
      <c r="CY419" s="1599"/>
      <c r="CZ419" s="1599"/>
      <c r="DA419" s="1599"/>
      <c r="DB419" s="1599"/>
      <c r="DC419" s="1599"/>
      <c r="DD419" s="1599"/>
      <c r="DE419" s="1599"/>
      <c r="DF419" s="1599"/>
      <c r="DG419" s="1599"/>
      <c r="DH419" s="1599"/>
      <c r="DI419" s="1599"/>
      <c r="DJ419" s="1599"/>
      <c r="DK419" s="1599"/>
      <c r="DL419" s="1599"/>
      <c r="DM419" s="1599"/>
      <c r="DN419" s="1599"/>
      <c r="DO419" s="1599"/>
      <c r="DP419" s="1599"/>
      <c r="DQ419" s="1599"/>
      <c r="DR419" s="1599"/>
      <c r="DS419" s="1599"/>
      <c r="DT419" s="1599"/>
      <c r="DU419" s="1599"/>
      <c r="DV419" s="1599"/>
      <c r="DW419" s="1599"/>
      <c r="DX419" s="1599"/>
      <c r="DY419" s="1599"/>
      <c r="DZ419" s="1599"/>
      <c r="EA419" s="1599"/>
      <c r="EB419" s="1599"/>
      <c r="EC419" s="1599"/>
      <c r="ED419" s="1599"/>
      <c r="EE419" s="1599"/>
      <c r="EF419" s="1599"/>
      <c r="EG419" s="1599"/>
      <c r="EH419" s="1599"/>
      <c r="EI419" s="1599"/>
      <c r="EJ419" s="1599"/>
      <c r="EK419" s="1599"/>
      <c r="EL419" s="1599"/>
      <c r="EM419" s="1599"/>
      <c r="EN419" s="1599"/>
      <c r="EO419" s="1599"/>
      <c r="EP419" s="1599"/>
      <c r="EQ419" s="1599"/>
      <c r="ER419" s="1599"/>
      <c r="ES419" s="1599"/>
      <c r="ET419" s="1599"/>
      <c r="EU419" s="1599"/>
      <c r="EV419" s="1599"/>
      <c r="EW419" s="1599"/>
      <c r="EX419" s="1599"/>
      <c r="EY419" s="1599"/>
      <c r="EZ419" s="1599"/>
      <c r="FA419" s="1599"/>
      <c r="FB419" s="1599"/>
      <c r="FC419" s="1599"/>
      <c r="FD419" s="1599"/>
      <c r="FE419" s="1599"/>
      <c r="FF419" s="1599"/>
      <c r="FG419" s="1599"/>
      <c r="FH419" s="1599"/>
      <c r="FI419" s="1599"/>
      <c r="FJ419" s="1599"/>
      <c r="FK419" s="1599"/>
      <c r="FL419" s="1599"/>
      <c r="FM419" s="1599"/>
      <c r="FN419" s="1599"/>
      <c r="FO419" s="1599"/>
      <c r="FP419" s="1599"/>
      <c r="FQ419" s="1599"/>
      <c r="FR419" s="1599"/>
      <c r="FS419" s="1599"/>
      <c r="FT419" s="1599"/>
      <c r="FU419" s="1599"/>
      <c r="FV419" s="1599"/>
      <c r="FW419" s="1599"/>
      <c r="FX419" s="1599"/>
      <c r="FY419" s="1599"/>
      <c r="FZ419" s="1599"/>
      <c r="GA419" s="1599"/>
      <c r="GB419" s="1599"/>
      <c r="GC419" s="1599"/>
      <c r="GD419" s="1599"/>
      <c r="GE419" s="1599"/>
      <c r="GF419" s="1599"/>
      <c r="GG419" s="1599"/>
      <c r="GH419" s="1599"/>
      <c r="GI419" s="1599"/>
      <c r="GJ419" s="1599"/>
      <c r="GK419" s="1599"/>
      <c r="GL419" s="1599"/>
      <c r="GM419" s="1599"/>
      <c r="GN419" s="1599"/>
      <c r="GO419" s="1599"/>
      <c r="GP419" s="1599"/>
      <c r="GQ419" s="1599"/>
      <c r="GR419" s="1599"/>
      <c r="GS419" s="1599"/>
      <c r="GT419" s="1599"/>
      <c r="GU419" s="1599"/>
      <c r="GV419" s="1599"/>
      <c r="GW419" s="1599"/>
      <c r="GX419" s="1599"/>
      <c r="GY419" s="1599"/>
      <c r="GZ419" s="1599"/>
      <c r="HA419" s="1599"/>
      <c r="HB419" s="1599"/>
      <c r="HC419" s="1599"/>
      <c r="HD419" s="1599"/>
      <c r="HE419" s="1599"/>
      <c r="HF419" s="1599"/>
      <c r="HG419" s="1599"/>
      <c r="HH419" s="1599"/>
      <c r="HI419" s="1599"/>
      <c r="HJ419" s="1599"/>
      <c r="HK419" s="1599"/>
      <c r="HL419" s="1599"/>
      <c r="HM419" s="1599"/>
      <c r="HN419" s="1599"/>
      <c r="HO419" s="1599"/>
      <c r="HP419" s="1599"/>
      <c r="HQ419" s="1599"/>
      <c r="HR419" s="1599"/>
      <c r="HS419" s="1599"/>
      <c r="HT419" s="1599"/>
      <c r="HU419" s="1599"/>
      <c r="HV419" s="1599"/>
      <c r="HW419" s="1599"/>
      <c r="HX419" s="1599"/>
      <c r="HY419" s="1599"/>
      <c r="HZ419" s="1599"/>
      <c r="IA419" s="1599"/>
      <c r="IB419" s="1599"/>
      <c r="IC419" s="1599"/>
      <c r="ID419" s="1599"/>
      <c r="IE419" s="1599"/>
      <c r="IF419" s="1599"/>
      <c r="IG419" s="1599"/>
      <c r="IH419" s="1599"/>
      <c r="II419" s="1599"/>
      <c r="IJ419" s="1599"/>
      <c r="IK419" s="1599"/>
      <c r="IL419" s="1599"/>
      <c r="IM419" s="1599"/>
      <c r="IN419" s="1599"/>
      <c r="IO419" s="1599"/>
      <c r="IP419" s="1599"/>
      <c r="IQ419" s="1599"/>
      <c r="IR419" s="1599"/>
      <c r="IS419" s="1599"/>
      <c r="IT419" s="1599"/>
      <c r="IU419" s="1599"/>
      <c r="IV419" s="1599"/>
      <c r="IW419" s="1599"/>
      <c r="IX419" s="1599"/>
      <c r="IY419" s="1599"/>
      <c r="IZ419" s="1599"/>
      <c r="JA419" s="1599"/>
      <c r="JB419" s="1599"/>
      <c r="JC419" s="1599"/>
      <c r="JD419" s="1599"/>
      <c r="JE419" s="1599"/>
      <c r="JF419" s="1599"/>
      <c r="JG419" s="1599"/>
      <c r="JH419" s="1599"/>
      <c r="JI419" s="1599"/>
      <c r="JJ419" s="1599"/>
      <c r="JK419" s="1599"/>
      <c r="JL419" s="1599"/>
      <c r="JM419" s="1599"/>
      <c r="JN419" s="1599"/>
      <c r="JO419" s="1599"/>
      <c r="JP419" s="1599"/>
      <c r="JQ419" s="1599"/>
      <c r="JR419" s="1599"/>
      <c r="JS419" s="1599"/>
      <c r="JT419" s="1599"/>
      <c r="JU419" s="1599"/>
      <c r="JV419" s="1599"/>
      <c r="JW419" s="1599"/>
      <c r="JX419" s="1599"/>
      <c r="JY419" s="1599"/>
      <c r="JZ419" s="1599"/>
      <c r="KA419" s="1599"/>
      <c r="KB419" s="1600"/>
    </row>
    <row r="420" spans="1:289" ht="15" customHeight="1" x14ac:dyDescent="0.25">
      <c r="B420" s="451" t="s">
        <v>406</v>
      </c>
      <c r="C420" s="403"/>
      <c r="D420" s="403"/>
      <c r="E420" s="403"/>
      <c r="F420" s="403"/>
      <c r="G420" s="403"/>
      <c r="H420" s="1601"/>
      <c r="I420" s="1601"/>
      <c r="J420" s="1601"/>
      <c r="K420" s="1601"/>
      <c r="L420" s="1601"/>
      <c r="M420" s="1601"/>
      <c r="N420" s="1601"/>
      <c r="O420" s="1601"/>
      <c r="P420" s="1601"/>
      <c r="Q420" s="1601"/>
      <c r="R420" s="1601"/>
      <c r="S420" s="1601"/>
      <c r="T420" s="1601"/>
      <c r="U420" s="1601"/>
      <c r="V420" s="1601"/>
      <c r="W420" s="1601"/>
      <c r="X420" s="1601"/>
      <c r="Y420" s="1601"/>
      <c r="Z420" s="1601"/>
      <c r="AA420" s="1601"/>
      <c r="AB420" s="1601"/>
      <c r="AC420" s="1601"/>
      <c r="AD420" s="1601"/>
      <c r="AE420" s="1601"/>
      <c r="AF420" s="1601"/>
      <c r="AG420" s="1601"/>
      <c r="AH420" s="1601"/>
      <c r="AI420" s="1601"/>
      <c r="AJ420" s="1601"/>
      <c r="AK420" s="1601"/>
      <c r="AL420" s="1601"/>
      <c r="AM420" s="1601"/>
      <c r="AN420" s="1601"/>
      <c r="AO420" s="1601"/>
      <c r="AP420" s="1601"/>
      <c r="AQ420" s="1601"/>
      <c r="AR420" s="1601"/>
      <c r="AS420" s="1601"/>
      <c r="AT420" s="1601"/>
      <c r="AU420" s="1601"/>
      <c r="AV420" s="1601"/>
      <c r="AW420" s="1601"/>
      <c r="AX420" s="1601"/>
      <c r="AY420" s="1601"/>
      <c r="AZ420" s="1601"/>
      <c r="BA420" s="1601"/>
      <c r="BB420" s="1601"/>
      <c r="BC420" s="1601"/>
      <c r="BD420" s="1601"/>
      <c r="BE420" s="1601"/>
      <c r="BF420" s="1601"/>
      <c r="BG420" s="1601"/>
      <c r="BH420" s="1601"/>
      <c r="BI420" s="1601"/>
      <c r="BJ420" s="1601"/>
      <c r="BK420" s="1601"/>
      <c r="BL420" s="1601"/>
      <c r="BM420" s="1601"/>
      <c r="BN420" s="1601"/>
      <c r="BO420" s="1601"/>
      <c r="BP420" s="1601"/>
      <c r="BQ420" s="1601"/>
      <c r="BR420" s="1601"/>
      <c r="BS420" s="1601"/>
      <c r="BT420" s="1601"/>
      <c r="BU420" s="1601"/>
      <c r="BV420" s="1601"/>
      <c r="BW420" s="1601"/>
      <c r="BX420" s="1601"/>
      <c r="BY420" s="1601"/>
      <c r="BZ420" s="1601"/>
      <c r="CA420" s="1601"/>
      <c r="CB420" s="1601"/>
      <c r="CC420" s="1601"/>
      <c r="CD420" s="1601"/>
      <c r="CE420" s="1601"/>
      <c r="CF420" s="1601"/>
      <c r="CG420" s="1601"/>
      <c r="CH420" s="1601"/>
      <c r="CI420" s="1601"/>
      <c r="CJ420" s="1601"/>
      <c r="CK420" s="1601"/>
      <c r="CL420" s="1601"/>
      <c r="CM420" s="1601"/>
      <c r="CN420" s="1601"/>
      <c r="CO420" s="1601"/>
      <c r="CP420" s="1601"/>
      <c r="CQ420" s="1601"/>
      <c r="CR420" s="1601"/>
      <c r="CS420" s="1601"/>
      <c r="CT420" s="1601"/>
      <c r="CU420" s="1601"/>
      <c r="CV420" s="1601"/>
      <c r="CW420" s="1601"/>
      <c r="CX420" s="1601"/>
      <c r="CY420" s="1601"/>
      <c r="CZ420" s="1601"/>
      <c r="DA420" s="1601"/>
      <c r="DB420" s="1601"/>
      <c r="DC420" s="1601"/>
      <c r="DD420" s="1601"/>
      <c r="DE420" s="1601"/>
      <c r="DF420" s="1601"/>
      <c r="DG420" s="1601"/>
      <c r="DH420" s="1601"/>
      <c r="DI420" s="1601"/>
      <c r="DJ420" s="1601"/>
      <c r="DK420" s="1601"/>
      <c r="DL420" s="1601"/>
      <c r="DM420" s="1601"/>
      <c r="DN420" s="1601"/>
      <c r="DO420" s="1601"/>
      <c r="DP420" s="1601"/>
      <c r="DQ420" s="1601"/>
      <c r="DR420" s="1601"/>
      <c r="DS420" s="1601"/>
      <c r="DT420" s="1601"/>
      <c r="DU420" s="1601"/>
      <c r="DV420" s="1601"/>
      <c r="DW420" s="1601"/>
      <c r="DX420" s="1601"/>
      <c r="DY420" s="1601"/>
      <c r="DZ420" s="1601"/>
      <c r="EA420" s="1601"/>
      <c r="EB420" s="1601"/>
      <c r="EC420" s="1601"/>
      <c r="ED420" s="1601"/>
      <c r="EE420" s="1601"/>
      <c r="EF420" s="1601"/>
      <c r="EG420" s="1601"/>
      <c r="EH420" s="1601"/>
      <c r="EI420" s="1601"/>
      <c r="EJ420" s="1601"/>
      <c r="EK420" s="1601"/>
      <c r="EL420" s="1601"/>
      <c r="EM420" s="1601"/>
      <c r="EN420" s="1601"/>
      <c r="EO420" s="1601"/>
      <c r="EP420" s="1601"/>
      <c r="EQ420" s="1601"/>
      <c r="ER420" s="1601"/>
      <c r="ES420" s="1601"/>
      <c r="ET420" s="1601"/>
      <c r="EU420" s="1601"/>
      <c r="EV420" s="1601"/>
      <c r="EW420" s="1601"/>
      <c r="EX420" s="1601"/>
      <c r="EY420" s="1601"/>
      <c r="EZ420" s="1601"/>
      <c r="FA420" s="1601"/>
      <c r="FB420" s="1601"/>
      <c r="FC420" s="1601"/>
      <c r="FD420" s="1601"/>
      <c r="FE420" s="1601"/>
      <c r="FF420" s="1601"/>
      <c r="FG420" s="1601"/>
      <c r="FH420" s="1601"/>
      <c r="FI420" s="1601"/>
      <c r="FJ420" s="1601"/>
      <c r="FK420" s="1601"/>
      <c r="FL420" s="1601"/>
      <c r="FM420" s="1601"/>
      <c r="FN420" s="1601"/>
      <c r="FO420" s="1601"/>
      <c r="FP420" s="1601"/>
      <c r="FQ420" s="1601"/>
      <c r="FR420" s="1601"/>
      <c r="FS420" s="1601"/>
      <c r="FT420" s="1601"/>
      <c r="FU420" s="1601"/>
      <c r="FV420" s="1601"/>
      <c r="FW420" s="1601"/>
      <c r="FX420" s="1601"/>
      <c r="FY420" s="1601"/>
      <c r="FZ420" s="1601"/>
      <c r="GA420" s="1601"/>
      <c r="GB420" s="1601"/>
      <c r="GC420" s="1601"/>
      <c r="GD420" s="1601"/>
      <c r="GE420" s="1601"/>
      <c r="GF420" s="1601"/>
      <c r="GG420" s="1601"/>
      <c r="GH420" s="1601"/>
      <c r="GI420" s="1601"/>
      <c r="GJ420" s="1601"/>
      <c r="GK420" s="1601"/>
      <c r="GL420" s="1601"/>
      <c r="GM420" s="1601"/>
      <c r="GN420" s="1601"/>
      <c r="GO420" s="1601"/>
      <c r="GP420" s="1601"/>
      <c r="GQ420" s="1601"/>
      <c r="GR420" s="1601"/>
      <c r="GS420" s="1601"/>
      <c r="GT420" s="1601"/>
      <c r="GU420" s="1601"/>
      <c r="GV420" s="1601"/>
      <c r="GW420" s="1601"/>
      <c r="GX420" s="1601"/>
      <c r="GY420" s="1601"/>
      <c r="GZ420" s="1601"/>
      <c r="HA420" s="1601"/>
      <c r="HB420" s="1601"/>
      <c r="HC420" s="1601"/>
      <c r="HD420" s="1601"/>
      <c r="HE420" s="1601"/>
      <c r="HF420" s="1601"/>
      <c r="HG420" s="1601"/>
      <c r="HH420" s="1601"/>
      <c r="HI420" s="1601"/>
      <c r="HJ420" s="1601"/>
      <c r="HK420" s="1601"/>
      <c r="HL420" s="1601"/>
      <c r="HM420" s="1601"/>
      <c r="HN420" s="1601"/>
      <c r="HO420" s="1601"/>
      <c r="HP420" s="1601"/>
      <c r="HQ420" s="1601"/>
      <c r="HR420" s="1601"/>
      <c r="HS420" s="1601"/>
      <c r="HT420" s="1601"/>
      <c r="HU420" s="1601"/>
      <c r="HV420" s="1601"/>
      <c r="HW420" s="1601"/>
      <c r="HX420" s="1601"/>
      <c r="HY420" s="1601"/>
      <c r="HZ420" s="1601"/>
      <c r="IA420" s="1601"/>
      <c r="IB420" s="1601"/>
      <c r="IC420" s="1601"/>
      <c r="ID420" s="1601"/>
      <c r="IE420" s="1601"/>
      <c r="IF420" s="1601"/>
      <c r="IG420" s="1601"/>
      <c r="IH420" s="1601"/>
      <c r="II420" s="1601"/>
      <c r="IJ420" s="1601"/>
      <c r="IK420" s="1601"/>
      <c r="IL420" s="1601"/>
      <c r="IM420" s="1601"/>
      <c r="IN420" s="1601"/>
      <c r="IO420" s="1601"/>
      <c r="IP420" s="1601"/>
      <c r="IQ420" s="1601"/>
      <c r="IR420" s="1601"/>
      <c r="IS420" s="1601"/>
      <c r="IT420" s="1601"/>
      <c r="IU420" s="1601"/>
      <c r="IV420" s="1601"/>
      <c r="IW420" s="1601"/>
      <c r="IX420" s="1601"/>
      <c r="IY420" s="1601"/>
      <c r="IZ420" s="1601"/>
      <c r="JA420" s="1601"/>
      <c r="JB420" s="1601"/>
      <c r="JC420" s="1601"/>
      <c r="JD420" s="1601"/>
      <c r="JE420" s="1601"/>
      <c r="JF420" s="1601"/>
      <c r="JG420" s="1601"/>
      <c r="JH420" s="1601"/>
      <c r="JI420" s="1601"/>
      <c r="JJ420" s="1601"/>
      <c r="JK420" s="1601"/>
      <c r="JL420" s="1601"/>
      <c r="JM420" s="1601"/>
      <c r="JN420" s="1601"/>
      <c r="JO420" s="1601"/>
      <c r="JP420" s="1601"/>
      <c r="JQ420" s="1601"/>
      <c r="JR420" s="1601"/>
      <c r="JS420" s="1601"/>
      <c r="JT420" s="1601"/>
      <c r="JU420" s="1601"/>
      <c r="JV420" s="1601"/>
      <c r="JW420" s="1601"/>
      <c r="JX420" s="1601"/>
      <c r="JY420" s="1601"/>
      <c r="JZ420" s="1601"/>
      <c r="KA420" s="1601"/>
      <c r="KB420" s="1602"/>
    </row>
    <row r="421" spans="1:289" ht="15" customHeight="1" x14ac:dyDescent="0.25">
      <c r="A421" s="1533"/>
      <c r="B421" s="1487"/>
      <c r="C421" s="1487"/>
      <c r="D421" s="200"/>
      <c r="E421" s="200"/>
      <c r="F421" s="200"/>
      <c r="G421" s="200"/>
      <c r="H421" s="1487"/>
      <c r="I421" s="1487"/>
      <c r="J421" s="1487"/>
      <c r="K421" s="1487"/>
      <c r="L421" s="1487"/>
      <c r="M421" s="1487"/>
      <c r="N421" s="1487"/>
      <c r="O421" s="1487"/>
      <c r="P421" s="1487"/>
      <c r="Q421" s="1487"/>
      <c r="R421" s="1487"/>
      <c r="S421" s="1487"/>
      <c r="T421" s="1487"/>
      <c r="U421" s="1487"/>
      <c r="V421" s="1487"/>
      <c r="W421" s="1487"/>
      <c r="X421" s="1487"/>
      <c r="Y421" s="1487"/>
      <c r="Z421" s="1487"/>
      <c r="AA421" s="1487"/>
      <c r="AB421" s="1487"/>
      <c r="AC421" s="1487"/>
      <c r="AD421" s="1487"/>
      <c r="AE421" s="1487"/>
      <c r="AF421" s="1487"/>
      <c r="AG421" s="1487"/>
      <c r="AH421" s="1487"/>
      <c r="AI421" s="1487"/>
      <c r="AJ421" s="1487"/>
      <c r="AK421" s="1487"/>
      <c r="AL421" s="1487"/>
      <c r="AM421" s="1487"/>
      <c r="AN421" s="1487"/>
      <c r="AO421" s="1487"/>
      <c r="AP421" s="1487"/>
      <c r="AQ421" s="1487"/>
      <c r="AR421" s="1487"/>
      <c r="AS421" s="1487"/>
      <c r="AT421" s="1487"/>
      <c r="AU421" s="1487"/>
      <c r="AV421" s="1487"/>
      <c r="AW421" s="1487"/>
      <c r="AX421" s="1487"/>
      <c r="AY421" s="1487"/>
      <c r="AZ421" s="1487"/>
      <c r="BA421" s="1487"/>
      <c r="BB421" s="1487"/>
      <c r="BC421" s="1487"/>
      <c r="BD421" s="1487"/>
      <c r="BE421" s="1487"/>
      <c r="BF421" s="1487"/>
      <c r="BG421" s="1487"/>
      <c r="BH421" s="1487"/>
      <c r="BI421" s="1487"/>
      <c r="BJ421" s="1487"/>
      <c r="BK421" s="1487"/>
      <c r="BL421" s="1487"/>
      <c r="BM421" s="1487"/>
      <c r="BN421" s="1487"/>
      <c r="BO421" s="1487"/>
      <c r="BP421" s="1487"/>
      <c r="BQ421" s="1487"/>
      <c r="BR421" s="1487"/>
      <c r="BS421" s="1487"/>
      <c r="BT421" s="1487"/>
      <c r="BU421" s="1487"/>
      <c r="BV421" s="1487"/>
      <c r="BW421" s="1487"/>
      <c r="BX421" s="1487"/>
      <c r="BY421" s="1487"/>
      <c r="BZ421" s="1487"/>
      <c r="CA421" s="1487"/>
      <c r="CB421" s="1487"/>
      <c r="CC421" s="1487"/>
      <c r="CD421" s="1487"/>
      <c r="CE421" s="1487"/>
      <c r="CF421" s="1487"/>
      <c r="CG421" s="1487"/>
      <c r="CH421" s="1487"/>
      <c r="CI421" s="1487"/>
      <c r="CJ421" s="1487"/>
      <c r="CK421" s="1487"/>
      <c r="CL421" s="1487"/>
      <c r="CM421" s="1487"/>
      <c r="CN421" s="1487"/>
      <c r="CO421" s="1487"/>
      <c r="CP421" s="1487"/>
      <c r="CQ421" s="1487"/>
      <c r="CR421" s="1487"/>
      <c r="CS421" s="1487"/>
      <c r="CT421" s="1487"/>
      <c r="CU421" s="1487"/>
      <c r="CV421" s="1487"/>
      <c r="CW421" s="1487"/>
      <c r="CX421" s="1487"/>
      <c r="CY421" s="1487"/>
      <c r="CZ421" s="1487"/>
      <c r="DA421" s="1487"/>
      <c r="DB421" s="1487"/>
      <c r="DC421" s="1487"/>
      <c r="DD421" s="1487"/>
      <c r="DE421" s="1487"/>
      <c r="DF421" s="1487"/>
      <c r="DG421" s="1487"/>
      <c r="DH421" s="1487"/>
      <c r="DI421" s="1487"/>
      <c r="DJ421" s="1487"/>
      <c r="DK421" s="1487"/>
      <c r="DL421" s="1487"/>
      <c r="DM421" s="1487"/>
      <c r="DN421" s="1487"/>
      <c r="DO421" s="1487"/>
      <c r="DP421" s="1487"/>
      <c r="DQ421" s="1487"/>
      <c r="DR421" s="1487"/>
      <c r="DS421" s="1487"/>
      <c r="DT421" s="1487"/>
      <c r="DU421" s="1487"/>
      <c r="DV421" s="1487"/>
      <c r="DW421" s="1487"/>
      <c r="DX421" s="1487"/>
      <c r="DY421" s="1487"/>
      <c r="DZ421" s="1487"/>
      <c r="EA421" s="1487"/>
      <c r="EB421" s="1487"/>
      <c r="EC421" s="1487"/>
      <c r="ED421" s="1487"/>
      <c r="EE421" s="1487"/>
      <c r="EF421" s="1487"/>
      <c r="EG421" s="1487"/>
      <c r="EH421" s="1487"/>
      <c r="EI421" s="1487"/>
      <c r="EJ421" s="1487"/>
      <c r="EK421" s="1487"/>
      <c r="EL421" s="1487"/>
      <c r="EM421" s="1487"/>
      <c r="EN421" s="1487"/>
      <c r="EO421" s="1487"/>
      <c r="EP421" s="1487"/>
      <c r="EQ421" s="1487"/>
      <c r="ER421" s="1487"/>
      <c r="ES421" s="1487"/>
      <c r="ET421" s="1487"/>
      <c r="EU421" s="1487"/>
      <c r="EV421" s="1487"/>
      <c r="EW421" s="1487"/>
      <c r="EX421" s="1487"/>
      <c r="EY421" s="1487"/>
      <c r="EZ421" s="1487"/>
      <c r="FA421" s="1487"/>
      <c r="FB421" s="1487"/>
      <c r="FC421" s="1487"/>
      <c r="FD421" s="1487"/>
      <c r="FE421" s="1487"/>
      <c r="FF421" s="1487"/>
      <c r="FG421" s="1487"/>
      <c r="FH421" s="1487"/>
      <c r="FI421" s="1487"/>
      <c r="FJ421" s="1487"/>
      <c r="FK421" s="1487"/>
      <c r="FL421" s="1487"/>
      <c r="FM421" s="1487"/>
      <c r="FN421" s="1487"/>
      <c r="FO421" s="1487"/>
      <c r="FP421" s="1487"/>
      <c r="FQ421" s="1487"/>
      <c r="FR421" s="1487"/>
      <c r="FS421" s="1487"/>
      <c r="FT421" s="1487"/>
      <c r="FU421" s="1487"/>
      <c r="FV421" s="1487"/>
      <c r="FW421" s="1487"/>
      <c r="FX421" s="1487"/>
      <c r="FY421" s="1487"/>
      <c r="FZ421" s="1487"/>
      <c r="GA421" s="1487"/>
      <c r="GB421" s="1487"/>
      <c r="GC421" s="1487"/>
      <c r="GD421" s="1487"/>
      <c r="GE421" s="1487"/>
      <c r="GF421" s="1487"/>
      <c r="GG421" s="1487"/>
      <c r="GH421" s="1487"/>
      <c r="GI421" s="1487"/>
      <c r="GJ421" s="1487"/>
      <c r="GK421" s="1487"/>
      <c r="GL421" s="1487"/>
      <c r="GM421" s="1487"/>
      <c r="GN421" s="1487"/>
      <c r="GO421" s="1487"/>
      <c r="GP421" s="1487"/>
      <c r="GQ421" s="1487"/>
      <c r="GR421" s="1487"/>
      <c r="GS421" s="1487"/>
      <c r="GT421" s="1487"/>
      <c r="GU421" s="1487"/>
      <c r="GV421" s="1487"/>
      <c r="GW421" s="1487"/>
      <c r="GX421" s="1487"/>
      <c r="GY421" s="1487"/>
      <c r="GZ421" s="1487"/>
      <c r="HA421" s="1487"/>
      <c r="HB421" s="1487"/>
      <c r="HC421" s="1487"/>
      <c r="HD421" s="1487"/>
      <c r="HE421" s="1487"/>
      <c r="HF421" s="1487"/>
      <c r="HG421" s="1487"/>
      <c r="HH421" s="1487"/>
      <c r="HI421" s="1487"/>
      <c r="HJ421" s="1487"/>
      <c r="HK421" s="1487"/>
      <c r="HL421" s="1487"/>
      <c r="HM421" s="1487"/>
      <c r="HN421" s="1487"/>
      <c r="HO421" s="1487"/>
      <c r="HP421" s="1487"/>
      <c r="HQ421" s="1487"/>
      <c r="HR421" s="1487"/>
      <c r="HS421" s="1487"/>
      <c r="HT421" s="1487"/>
      <c r="HU421" s="1487"/>
      <c r="HV421" s="1487"/>
      <c r="HW421" s="1487"/>
      <c r="HX421" s="1487"/>
      <c r="HY421" s="1487"/>
      <c r="HZ421" s="1487"/>
      <c r="IA421" s="1487"/>
      <c r="IB421" s="1487"/>
      <c r="IC421" s="1487"/>
      <c r="ID421" s="1487"/>
      <c r="IE421" s="1487"/>
      <c r="IF421" s="1487"/>
      <c r="IG421" s="1487"/>
      <c r="IH421" s="1487"/>
      <c r="II421" s="1487"/>
      <c r="IJ421" s="1487"/>
      <c r="IK421" s="1487"/>
      <c r="IL421" s="1487"/>
      <c r="IM421" s="1487"/>
      <c r="IN421" s="1487"/>
      <c r="IO421" s="1487"/>
      <c r="IP421" s="1487"/>
      <c r="IQ421" s="1487"/>
      <c r="IR421" s="1487"/>
      <c r="IS421" s="1487"/>
      <c r="IT421" s="1487"/>
      <c r="IU421" s="1487"/>
      <c r="IV421" s="1487"/>
      <c r="IW421" s="1487"/>
      <c r="IX421" s="1487"/>
      <c r="IY421" s="1487"/>
      <c r="IZ421" s="1487"/>
      <c r="JA421" s="1487"/>
      <c r="JB421" s="1487"/>
      <c r="JC421" s="1487"/>
      <c r="JD421" s="1487"/>
      <c r="JE421" s="1487"/>
      <c r="JF421" s="1487"/>
      <c r="JG421" s="1487"/>
      <c r="JH421" s="1487"/>
      <c r="JI421" s="1487"/>
      <c r="JJ421" s="1487"/>
      <c r="JK421" s="1487"/>
      <c r="JL421" s="1487"/>
      <c r="JM421" s="1487"/>
      <c r="JN421" s="1487"/>
      <c r="JO421" s="1487"/>
      <c r="JP421" s="1487"/>
      <c r="JQ421" s="1487"/>
      <c r="JR421" s="1487"/>
      <c r="JS421" s="1487"/>
      <c r="JT421" s="1487"/>
      <c r="JU421" s="1487"/>
      <c r="JV421" s="1487"/>
      <c r="JW421" s="1487"/>
      <c r="JX421" s="1487"/>
      <c r="JY421" s="1487"/>
      <c r="JZ421" s="1487"/>
      <c r="KA421" s="1487"/>
    </row>
    <row r="422" spans="1:289" ht="45" customHeight="1" x14ac:dyDescent="0.25">
      <c r="A422" s="453" t="s">
        <v>2222</v>
      </c>
      <c r="B422" s="454"/>
      <c r="C422" s="454"/>
      <c r="D422" s="404"/>
      <c r="E422" s="404"/>
      <c r="F422" s="404"/>
      <c r="G422" s="404"/>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6"/>
      <c r="AD422" s="416"/>
      <c r="AE422" s="416"/>
      <c r="AF422" s="416"/>
      <c r="AG422" s="416"/>
      <c r="AH422" s="416"/>
      <c r="AI422" s="416"/>
      <c r="AJ422" s="416"/>
      <c r="AK422" s="416"/>
      <c r="AL422" s="416"/>
      <c r="AM422" s="416"/>
      <c r="AN422" s="416"/>
      <c r="AO422" s="416"/>
      <c r="AP422" s="416"/>
      <c r="AQ422" s="416"/>
      <c r="AR422" s="416"/>
      <c r="AS422" s="416"/>
      <c r="AT422" s="416"/>
      <c r="AU422" s="416"/>
      <c r="AV422" s="416"/>
      <c r="AW422" s="416"/>
      <c r="AX422" s="416"/>
      <c r="AY422" s="416"/>
      <c r="AZ422" s="416"/>
      <c r="BA422" s="416"/>
      <c r="BB422" s="416"/>
      <c r="BC422" s="416"/>
      <c r="BD422" s="416"/>
      <c r="BE422" s="416"/>
      <c r="BF422" s="416"/>
      <c r="BG422" s="416"/>
      <c r="BH422" s="416"/>
      <c r="BI422" s="416"/>
      <c r="BJ422" s="416"/>
      <c r="BK422" s="416"/>
      <c r="BL422" s="416"/>
      <c r="BM422" s="416"/>
      <c r="BN422" s="416"/>
      <c r="BO422" s="416"/>
      <c r="BP422" s="416"/>
      <c r="BQ422" s="416"/>
      <c r="BR422" s="416"/>
      <c r="BS422" s="416"/>
      <c r="BT422" s="416"/>
      <c r="BU422" s="416"/>
      <c r="BV422" s="416"/>
      <c r="BW422" s="416"/>
      <c r="BX422" s="416"/>
      <c r="BY422" s="416"/>
      <c r="BZ422" s="416"/>
      <c r="CA422" s="416"/>
      <c r="CB422" s="416"/>
      <c r="CC422" s="416"/>
      <c r="CD422" s="416"/>
      <c r="CE422" s="416"/>
      <c r="CF422" s="416"/>
      <c r="CG422" s="416"/>
      <c r="CH422" s="416"/>
      <c r="CI422" s="416"/>
      <c r="CJ422" s="416"/>
      <c r="CK422" s="416"/>
      <c r="CL422" s="416"/>
      <c r="CM422" s="416"/>
      <c r="CN422" s="416"/>
      <c r="CO422" s="416"/>
      <c r="CP422" s="416"/>
      <c r="CQ422" s="416"/>
      <c r="CR422" s="416"/>
      <c r="CS422" s="416"/>
      <c r="CT422" s="416"/>
      <c r="CU422" s="416"/>
      <c r="CV422" s="416"/>
      <c r="CW422" s="416"/>
      <c r="CX422" s="416"/>
      <c r="CY422" s="416"/>
      <c r="CZ422" s="416"/>
      <c r="DA422" s="416"/>
      <c r="DB422" s="416"/>
      <c r="DC422" s="416"/>
      <c r="DD422" s="416"/>
      <c r="DE422" s="416"/>
      <c r="DF422" s="416"/>
      <c r="DG422" s="416"/>
      <c r="DH422" s="416"/>
      <c r="DI422" s="416"/>
      <c r="DJ422" s="416"/>
      <c r="DK422" s="416"/>
      <c r="DL422" s="416"/>
      <c r="DM422" s="416"/>
      <c r="DN422" s="416"/>
      <c r="DO422" s="416"/>
      <c r="DP422" s="416"/>
      <c r="DQ422" s="416"/>
      <c r="DR422" s="416"/>
      <c r="DS422" s="416"/>
      <c r="DT422" s="416"/>
      <c r="DU422" s="416"/>
      <c r="DV422" s="416"/>
      <c r="DW422" s="416"/>
      <c r="DX422" s="416"/>
      <c r="DY422" s="416"/>
      <c r="DZ422" s="416"/>
      <c r="EA422" s="416"/>
      <c r="EB422" s="416"/>
      <c r="EC422" s="416"/>
      <c r="ED422" s="416"/>
      <c r="EE422" s="416"/>
      <c r="EF422" s="416"/>
      <c r="EG422" s="416"/>
      <c r="EH422" s="416"/>
      <c r="EI422" s="416"/>
      <c r="EJ422" s="416"/>
      <c r="EK422" s="416"/>
      <c r="EL422" s="416"/>
      <c r="EM422" s="416"/>
      <c r="EN422" s="416"/>
      <c r="EO422" s="416"/>
      <c r="EP422" s="416"/>
      <c r="EQ422" s="416"/>
      <c r="ER422" s="416"/>
      <c r="ES422" s="416"/>
      <c r="ET422" s="416"/>
      <c r="EU422" s="416"/>
      <c r="EV422" s="416"/>
      <c r="EW422" s="416"/>
      <c r="EX422" s="416"/>
      <c r="EY422" s="416"/>
      <c r="EZ422" s="416"/>
      <c r="FA422" s="416"/>
      <c r="FB422" s="416"/>
      <c r="FC422" s="416"/>
      <c r="FD422" s="416"/>
      <c r="FE422" s="416"/>
      <c r="FF422" s="416"/>
      <c r="FG422" s="416"/>
      <c r="FH422" s="416"/>
      <c r="FI422" s="416"/>
      <c r="FJ422" s="416"/>
      <c r="FK422" s="416"/>
      <c r="FL422" s="416"/>
      <c r="FM422" s="416"/>
      <c r="FN422" s="416"/>
      <c r="FO422" s="416"/>
      <c r="FP422" s="416"/>
      <c r="FQ422" s="416"/>
      <c r="FR422" s="416"/>
      <c r="FS422" s="416"/>
      <c r="FT422" s="416"/>
      <c r="FU422" s="416"/>
      <c r="FV422" s="416"/>
      <c r="FW422" s="416"/>
      <c r="FX422" s="416"/>
      <c r="FY422" s="416"/>
      <c r="FZ422" s="416"/>
      <c r="GA422" s="416"/>
      <c r="GB422" s="416"/>
      <c r="GC422" s="416"/>
      <c r="GD422" s="416"/>
      <c r="GE422" s="416"/>
      <c r="GF422" s="416"/>
      <c r="GG422" s="416"/>
      <c r="GH422" s="416"/>
      <c r="GI422" s="416"/>
      <c r="GJ422" s="416"/>
      <c r="GK422" s="416"/>
      <c r="GL422" s="416"/>
      <c r="GM422" s="416"/>
      <c r="GN422" s="416"/>
      <c r="GO422" s="416"/>
      <c r="GP422" s="416"/>
      <c r="GQ422" s="416"/>
      <c r="GR422" s="416"/>
      <c r="GS422" s="416"/>
      <c r="GT422" s="416"/>
      <c r="GU422" s="416"/>
      <c r="GV422" s="416"/>
      <c r="GW422" s="416"/>
      <c r="GX422" s="416"/>
      <c r="GY422" s="416"/>
      <c r="GZ422" s="416"/>
      <c r="HA422" s="416"/>
      <c r="HB422" s="416"/>
      <c r="HC422" s="416"/>
      <c r="HD422" s="416"/>
      <c r="HE422" s="416"/>
      <c r="HF422" s="416"/>
      <c r="HG422" s="416"/>
      <c r="HH422" s="416"/>
      <c r="HI422" s="416"/>
      <c r="HJ422" s="416"/>
      <c r="HK422" s="416"/>
      <c r="HL422" s="416"/>
      <c r="HM422" s="416"/>
      <c r="HN422" s="416"/>
      <c r="HO422" s="416"/>
      <c r="HP422" s="416"/>
      <c r="HQ422" s="416"/>
      <c r="HR422" s="416"/>
      <c r="HS422" s="416"/>
      <c r="HT422" s="416"/>
      <c r="HU422" s="416"/>
      <c r="HV422" s="416"/>
      <c r="HW422" s="416"/>
      <c r="HX422" s="416"/>
      <c r="HY422" s="416"/>
      <c r="HZ422" s="416"/>
      <c r="IA422" s="416"/>
      <c r="IB422" s="416"/>
      <c r="IC422" s="416"/>
      <c r="ID422" s="416"/>
      <c r="IE422" s="416"/>
      <c r="IF422" s="416"/>
      <c r="IG422" s="416"/>
      <c r="IH422" s="416"/>
      <c r="II422" s="416"/>
      <c r="IJ422" s="416"/>
      <c r="IK422" s="416"/>
      <c r="IL422" s="416"/>
      <c r="IM422" s="416"/>
      <c r="IN422" s="416"/>
      <c r="IO422" s="416"/>
      <c r="IP422" s="416"/>
      <c r="IQ422" s="416"/>
      <c r="IR422" s="416"/>
      <c r="IS422" s="416"/>
      <c r="IT422" s="416"/>
      <c r="IU422" s="416"/>
      <c r="IV422" s="416"/>
      <c r="IW422" s="416"/>
      <c r="IX422" s="416"/>
      <c r="IY422" s="416"/>
      <c r="IZ422" s="416"/>
      <c r="JA422" s="416"/>
      <c r="JB422" s="416"/>
      <c r="JC422" s="416"/>
      <c r="JD422" s="416"/>
      <c r="JE422" s="416"/>
      <c r="JF422" s="416"/>
      <c r="JG422" s="416"/>
      <c r="JH422" s="416"/>
      <c r="JI422" s="416"/>
      <c r="JJ422" s="416"/>
      <c r="JK422" s="416"/>
      <c r="JL422" s="416"/>
      <c r="JM422" s="416"/>
      <c r="JN422" s="416"/>
      <c r="JO422" s="416"/>
      <c r="JP422" s="416"/>
      <c r="JQ422" s="416"/>
      <c r="JR422" s="416"/>
      <c r="JS422" s="416"/>
      <c r="JT422" s="416"/>
      <c r="JU422" s="416"/>
      <c r="JV422" s="416"/>
      <c r="JW422" s="416"/>
      <c r="JX422" s="416"/>
      <c r="JY422" s="416"/>
      <c r="JZ422" s="416"/>
      <c r="KA422" s="416"/>
      <c r="KB422" s="1207"/>
      <c r="KC422" s="421"/>
    </row>
    <row r="423" spans="1:289" ht="45" customHeight="1" x14ac:dyDescent="0.25">
      <c r="A423" s="440" t="s">
        <v>2223</v>
      </c>
      <c r="B423" s="104"/>
      <c r="C423" s="104"/>
      <c r="D423" s="143"/>
      <c r="E423" s="143"/>
      <c r="F423" s="143"/>
      <c r="G423" s="143"/>
      <c r="H423" s="325"/>
      <c r="I423" s="325"/>
      <c r="J423" s="325"/>
      <c r="K423" s="325"/>
      <c r="L423" s="325"/>
      <c r="M423" s="325"/>
      <c r="N423" s="325"/>
      <c r="O423" s="325"/>
      <c r="P423" s="325"/>
      <c r="Q423" s="325"/>
      <c r="R423" s="325"/>
      <c r="S423" s="325"/>
      <c r="T423" s="325"/>
      <c r="U423" s="325"/>
      <c r="V423" s="325"/>
      <c r="W423" s="325"/>
      <c r="X423" s="325"/>
      <c r="Y423" s="325"/>
      <c r="Z423" s="325"/>
      <c r="AA423" s="325"/>
      <c r="AB423" s="325"/>
      <c r="AC423" s="325"/>
      <c r="AD423" s="325"/>
      <c r="AE423" s="325"/>
      <c r="AF423" s="325"/>
      <c r="AG423" s="325"/>
      <c r="AH423" s="325"/>
      <c r="AI423" s="325"/>
      <c r="AJ423" s="325"/>
      <c r="AK423" s="325"/>
      <c r="AL423" s="325"/>
      <c r="AM423" s="325"/>
      <c r="AN423" s="325"/>
      <c r="AO423" s="325"/>
      <c r="AP423" s="325"/>
      <c r="AQ423" s="325"/>
      <c r="AR423" s="325"/>
      <c r="AS423" s="325"/>
      <c r="AT423" s="325"/>
      <c r="AU423" s="325"/>
      <c r="AV423" s="325"/>
      <c r="AW423" s="325"/>
      <c r="AX423" s="325"/>
      <c r="AY423" s="325"/>
      <c r="AZ423" s="325"/>
      <c r="BA423" s="325"/>
      <c r="BB423" s="325"/>
      <c r="BC423" s="325"/>
      <c r="BD423" s="325"/>
      <c r="BE423" s="325"/>
      <c r="BF423" s="325"/>
      <c r="BG423" s="325"/>
      <c r="BH423" s="325"/>
      <c r="BI423" s="325"/>
      <c r="BJ423" s="325"/>
      <c r="BK423" s="325"/>
      <c r="BL423" s="325"/>
      <c r="BM423" s="325"/>
      <c r="BN423" s="325"/>
      <c r="BO423" s="325"/>
      <c r="BP423" s="325"/>
      <c r="BQ423" s="325"/>
      <c r="BR423" s="325"/>
      <c r="BS423" s="325"/>
      <c r="BT423" s="325"/>
      <c r="BU423" s="325"/>
      <c r="BV423" s="325"/>
      <c r="BW423" s="325"/>
      <c r="BX423" s="325"/>
      <c r="BY423" s="325"/>
      <c r="BZ423" s="325"/>
      <c r="CA423" s="325"/>
      <c r="CB423" s="325"/>
      <c r="CC423" s="325"/>
      <c r="CD423" s="325"/>
      <c r="CE423" s="325"/>
      <c r="CF423" s="325"/>
      <c r="CG423" s="325"/>
      <c r="CH423" s="325"/>
      <c r="CI423" s="325"/>
      <c r="CJ423" s="325"/>
      <c r="CK423" s="325"/>
      <c r="CL423" s="325"/>
      <c r="CM423" s="325"/>
      <c r="CN423" s="325"/>
      <c r="CO423" s="325"/>
      <c r="CP423" s="325"/>
      <c r="CQ423" s="325"/>
      <c r="CR423" s="325"/>
      <c r="CS423" s="325"/>
      <c r="CT423" s="325"/>
      <c r="CU423" s="325"/>
      <c r="CV423" s="325"/>
      <c r="CW423" s="325"/>
      <c r="CX423" s="325"/>
      <c r="CY423" s="325"/>
      <c r="CZ423" s="325"/>
      <c r="DA423" s="325"/>
      <c r="DB423" s="325"/>
      <c r="DC423" s="325"/>
      <c r="DD423" s="325"/>
      <c r="DE423" s="325"/>
      <c r="DF423" s="325"/>
      <c r="DG423" s="325"/>
      <c r="DH423" s="325"/>
      <c r="DI423" s="325"/>
      <c r="DJ423" s="325"/>
      <c r="DK423" s="325"/>
      <c r="DL423" s="325"/>
      <c r="DM423" s="325"/>
      <c r="DN423" s="325"/>
      <c r="DO423" s="325"/>
      <c r="DP423" s="325"/>
      <c r="DQ423" s="325"/>
      <c r="DR423" s="325"/>
      <c r="DS423" s="325"/>
      <c r="DT423" s="325"/>
      <c r="DU423" s="325"/>
      <c r="DV423" s="325"/>
      <c r="DW423" s="325"/>
      <c r="DX423" s="325"/>
      <c r="DY423" s="325"/>
      <c r="DZ423" s="325"/>
      <c r="EA423" s="325"/>
      <c r="EB423" s="325"/>
      <c r="EC423" s="325"/>
      <c r="ED423" s="325"/>
      <c r="EE423" s="325"/>
      <c r="EF423" s="325"/>
      <c r="EG423" s="325"/>
      <c r="EH423" s="325"/>
      <c r="EI423" s="325"/>
      <c r="EJ423" s="325"/>
      <c r="EK423" s="325"/>
      <c r="EL423" s="325"/>
      <c r="EM423" s="325"/>
      <c r="EN423" s="325"/>
      <c r="EO423" s="325"/>
      <c r="EP423" s="325"/>
      <c r="EQ423" s="325"/>
      <c r="ER423" s="325"/>
      <c r="ES423" s="325"/>
      <c r="ET423" s="325"/>
      <c r="EU423" s="325"/>
      <c r="EV423" s="325"/>
      <c r="EW423" s="325"/>
      <c r="EX423" s="325"/>
      <c r="EY423" s="325"/>
      <c r="EZ423" s="325"/>
      <c r="FA423" s="325"/>
      <c r="FB423" s="325"/>
      <c r="FC423" s="325"/>
      <c r="FD423" s="325"/>
      <c r="FE423" s="325"/>
      <c r="FF423" s="325"/>
      <c r="FG423" s="325"/>
      <c r="FH423" s="325"/>
      <c r="FI423" s="325"/>
      <c r="FJ423" s="325"/>
      <c r="FK423" s="325"/>
      <c r="FL423" s="325"/>
      <c r="FM423" s="325"/>
      <c r="FN423" s="325"/>
      <c r="FO423" s="325"/>
      <c r="FP423" s="325"/>
      <c r="FQ423" s="325"/>
      <c r="FR423" s="325"/>
      <c r="FS423" s="325"/>
      <c r="FT423" s="325"/>
      <c r="FU423" s="325"/>
      <c r="FV423" s="325"/>
      <c r="FW423" s="325"/>
      <c r="FX423" s="325"/>
      <c r="FY423" s="325"/>
      <c r="FZ423" s="325"/>
      <c r="GA423" s="325"/>
      <c r="GB423" s="325"/>
      <c r="GC423" s="325"/>
      <c r="GD423" s="325"/>
      <c r="GE423" s="325"/>
      <c r="GF423" s="325"/>
      <c r="GG423" s="325"/>
      <c r="GH423" s="325"/>
      <c r="GI423" s="325"/>
      <c r="GJ423" s="325"/>
      <c r="GK423" s="325"/>
      <c r="GL423" s="325"/>
      <c r="GM423" s="325"/>
      <c r="GN423" s="325"/>
      <c r="GO423" s="325"/>
      <c r="GP423" s="325"/>
      <c r="GQ423" s="325"/>
      <c r="GR423" s="325"/>
      <c r="GS423" s="325"/>
      <c r="GT423" s="325"/>
      <c r="GU423" s="325"/>
      <c r="GV423" s="325"/>
      <c r="GW423" s="325"/>
      <c r="GX423" s="325"/>
      <c r="GY423" s="325"/>
      <c r="GZ423" s="325"/>
      <c r="HA423" s="325"/>
      <c r="HB423" s="325"/>
      <c r="HC423" s="325"/>
      <c r="HD423" s="325"/>
      <c r="HE423" s="325"/>
      <c r="HF423" s="325"/>
      <c r="HG423" s="325"/>
      <c r="HH423" s="325"/>
      <c r="HI423" s="325"/>
      <c r="HJ423" s="325"/>
      <c r="HK423" s="325"/>
      <c r="HL423" s="325"/>
      <c r="HM423" s="325"/>
      <c r="HN423" s="325"/>
      <c r="HO423" s="325"/>
      <c r="HP423" s="325"/>
      <c r="HQ423" s="325"/>
      <c r="HR423" s="325"/>
      <c r="HS423" s="325"/>
      <c r="HT423" s="325"/>
      <c r="HU423" s="325"/>
      <c r="HV423" s="325"/>
      <c r="HW423" s="325"/>
      <c r="HX423" s="325"/>
      <c r="HY423" s="325"/>
      <c r="HZ423" s="325"/>
      <c r="IA423" s="325"/>
      <c r="IB423" s="325"/>
      <c r="IC423" s="325"/>
      <c r="ID423" s="325"/>
      <c r="IE423" s="325"/>
      <c r="IF423" s="325"/>
      <c r="IG423" s="325"/>
      <c r="IH423" s="325"/>
      <c r="II423" s="325"/>
      <c r="IJ423" s="325"/>
      <c r="IK423" s="325"/>
      <c r="IL423" s="325"/>
      <c r="IM423" s="325"/>
      <c r="IN423" s="325"/>
      <c r="IO423" s="325"/>
      <c r="IP423" s="325"/>
      <c r="IQ423" s="325"/>
      <c r="IR423" s="325"/>
      <c r="IS423" s="325"/>
      <c r="IT423" s="325"/>
      <c r="IU423" s="325"/>
      <c r="IV423" s="325"/>
      <c r="IW423" s="325"/>
      <c r="IX423" s="325"/>
      <c r="IY423" s="325"/>
      <c r="IZ423" s="325"/>
      <c r="JA423" s="325"/>
      <c r="JB423" s="325"/>
      <c r="JC423" s="325"/>
      <c r="JD423" s="325"/>
      <c r="JE423" s="325"/>
      <c r="JF423" s="325"/>
      <c r="JG423" s="325"/>
      <c r="JH423" s="325"/>
      <c r="JI423" s="325"/>
      <c r="JJ423" s="325"/>
      <c r="JK423" s="325"/>
      <c r="JL423" s="325"/>
      <c r="JM423" s="325"/>
      <c r="JN423" s="325"/>
      <c r="JO423" s="325"/>
      <c r="JP423" s="325"/>
      <c r="JQ423" s="325"/>
      <c r="JR423" s="325"/>
      <c r="JS423" s="325"/>
      <c r="JT423" s="325"/>
      <c r="JU423" s="325"/>
      <c r="JV423" s="325"/>
      <c r="JW423" s="325"/>
      <c r="JX423" s="325"/>
      <c r="JY423" s="325"/>
      <c r="JZ423" s="325"/>
      <c r="KA423" s="325"/>
      <c r="KB423" s="325"/>
      <c r="KC423" s="441"/>
    </row>
    <row r="424" spans="1:289" ht="60" customHeight="1" x14ac:dyDescent="0.25">
      <c r="B424" s="442" t="s">
        <v>305</v>
      </c>
      <c r="C424" s="400" t="s">
        <v>454</v>
      </c>
      <c r="D424" s="443" t="s">
        <v>432</v>
      </c>
      <c r="E424" s="400" t="s">
        <v>433</v>
      </c>
      <c r="F424" s="2018" t="s">
        <v>1192</v>
      </c>
      <c r="G424" s="2018" t="s">
        <v>1526</v>
      </c>
      <c r="H424" s="400" t="s">
        <v>303</v>
      </c>
      <c r="I424" s="400" t="str">
        <f t="shared" ref="I424:BT424" si="31">"T+" &amp; (COLUMN(I424)-COLUMN($H424))</f>
        <v>T+1</v>
      </c>
      <c r="J424" s="400" t="str">
        <f t="shared" si="31"/>
        <v>T+2</v>
      </c>
      <c r="K424" s="400" t="str">
        <f t="shared" si="31"/>
        <v>T+3</v>
      </c>
      <c r="L424" s="400" t="str">
        <f t="shared" si="31"/>
        <v>T+4</v>
      </c>
      <c r="M424" s="400" t="str">
        <f t="shared" si="31"/>
        <v>T+5</v>
      </c>
      <c r="N424" s="400" t="str">
        <f t="shared" si="31"/>
        <v>T+6</v>
      </c>
      <c r="O424" s="400" t="str">
        <f t="shared" si="31"/>
        <v>T+7</v>
      </c>
      <c r="P424" s="400" t="str">
        <f t="shared" si="31"/>
        <v>T+8</v>
      </c>
      <c r="Q424" s="400" t="str">
        <f t="shared" si="31"/>
        <v>T+9</v>
      </c>
      <c r="R424" s="400" t="str">
        <f t="shared" si="31"/>
        <v>T+10</v>
      </c>
      <c r="S424" s="400" t="str">
        <f t="shared" si="31"/>
        <v>T+11</v>
      </c>
      <c r="T424" s="400" t="str">
        <f t="shared" si="31"/>
        <v>T+12</v>
      </c>
      <c r="U424" s="400" t="str">
        <f t="shared" si="31"/>
        <v>T+13</v>
      </c>
      <c r="V424" s="400" t="str">
        <f t="shared" si="31"/>
        <v>T+14</v>
      </c>
      <c r="W424" s="400" t="str">
        <f t="shared" si="31"/>
        <v>T+15</v>
      </c>
      <c r="X424" s="400" t="str">
        <f t="shared" si="31"/>
        <v>T+16</v>
      </c>
      <c r="Y424" s="400" t="str">
        <f t="shared" si="31"/>
        <v>T+17</v>
      </c>
      <c r="Z424" s="400" t="str">
        <f t="shared" si="31"/>
        <v>T+18</v>
      </c>
      <c r="AA424" s="400" t="str">
        <f t="shared" si="31"/>
        <v>T+19</v>
      </c>
      <c r="AB424" s="400" t="str">
        <f t="shared" si="31"/>
        <v>T+20</v>
      </c>
      <c r="AC424" s="400" t="str">
        <f t="shared" si="31"/>
        <v>T+21</v>
      </c>
      <c r="AD424" s="400" t="str">
        <f t="shared" si="31"/>
        <v>T+22</v>
      </c>
      <c r="AE424" s="400" t="str">
        <f t="shared" si="31"/>
        <v>T+23</v>
      </c>
      <c r="AF424" s="400" t="str">
        <f t="shared" si="31"/>
        <v>T+24</v>
      </c>
      <c r="AG424" s="400" t="str">
        <f t="shared" si="31"/>
        <v>T+25</v>
      </c>
      <c r="AH424" s="400" t="str">
        <f t="shared" si="31"/>
        <v>T+26</v>
      </c>
      <c r="AI424" s="400" t="str">
        <f t="shared" si="31"/>
        <v>T+27</v>
      </c>
      <c r="AJ424" s="400" t="str">
        <f t="shared" si="31"/>
        <v>T+28</v>
      </c>
      <c r="AK424" s="400" t="str">
        <f t="shared" si="31"/>
        <v>T+29</v>
      </c>
      <c r="AL424" s="400" t="str">
        <f t="shared" si="31"/>
        <v>T+30</v>
      </c>
      <c r="AM424" s="400" t="str">
        <f t="shared" si="31"/>
        <v>T+31</v>
      </c>
      <c r="AN424" s="400" t="str">
        <f t="shared" si="31"/>
        <v>T+32</v>
      </c>
      <c r="AO424" s="400" t="str">
        <f t="shared" si="31"/>
        <v>T+33</v>
      </c>
      <c r="AP424" s="400" t="str">
        <f t="shared" si="31"/>
        <v>T+34</v>
      </c>
      <c r="AQ424" s="400" t="str">
        <f t="shared" si="31"/>
        <v>T+35</v>
      </c>
      <c r="AR424" s="400" t="str">
        <f t="shared" si="31"/>
        <v>T+36</v>
      </c>
      <c r="AS424" s="400" t="str">
        <f t="shared" si="31"/>
        <v>T+37</v>
      </c>
      <c r="AT424" s="400" t="str">
        <f t="shared" si="31"/>
        <v>T+38</v>
      </c>
      <c r="AU424" s="400" t="str">
        <f t="shared" si="31"/>
        <v>T+39</v>
      </c>
      <c r="AV424" s="400" t="str">
        <f t="shared" si="31"/>
        <v>T+40</v>
      </c>
      <c r="AW424" s="400" t="str">
        <f t="shared" si="31"/>
        <v>T+41</v>
      </c>
      <c r="AX424" s="400" t="str">
        <f t="shared" si="31"/>
        <v>T+42</v>
      </c>
      <c r="AY424" s="400" t="str">
        <f t="shared" si="31"/>
        <v>T+43</v>
      </c>
      <c r="AZ424" s="400" t="str">
        <f t="shared" si="31"/>
        <v>T+44</v>
      </c>
      <c r="BA424" s="400" t="str">
        <f t="shared" si="31"/>
        <v>T+45</v>
      </c>
      <c r="BB424" s="400" t="str">
        <f t="shared" si="31"/>
        <v>T+46</v>
      </c>
      <c r="BC424" s="400" t="str">
        <f t="shared" si="31"/>
        <v>T+47</v>
      </c>
      <c r="BD424" s="400" t="str">
        <f t="shared" si="31"/>
        <v>T+48</v>
      </c>
      <c r="BE424" s="400" t="str">
        <f t="shared" si="31"/>
        <v>T+49</v>
      </c>
      <c r="BF424" s="400" t="str">
        <f t="shared" si="31"/>
        <v>T+50</v>
      </c>
      <c r="BG424" s="400" t="str">
        <f t="shared" si="31"/>
        <v>T+51</v>
      </c>
      <c r="BH424" s="400" t="str">
        <f t="shared" si="31"/>
        <v>T+52</v>
      </c>
      <c r="BI424" s="400" t="str">
        <f t="shared" si="31"/>
        <v>T+53</v>
      </c>
      <c r="BJ424" s="400" t="str">
        <f t="shared" si="31"/>
        <v>T+54</v>
      </c>
      <c r="BK424" s="400" t="str">
        <f t="shared" si="31"/>
        <v>T+55</v>
      </c>
      <c r="BL424" s="400" t="str">
        <f t="shared" si="31"/>
        <v>T+56</v>
      </c>
      <c r="BM424" s="400" t="str">
        <f t="shared" si="31"/>
        <v>T+57</v>
      </c>
      <c r="BN424" s="400" t="str">
        <f t="shared" si="31"/>
        <v>T+58</v>
      </c>
      <c r="BO424" s="400" t="str">
        <f t="shared" si="31"/>
        <v>T+59</v>
      </c>
      <c r="BP424" s="400" t="str">
        <f t="shared" si="31"/>
        <v>T+60</v>
      </c>
      <c r="BQ424" s="400" t="str">
        <f t="shared" si="31"/>
        <v>T+61</v>
      </c>
      <c r="BR424" s="400" t="str">
        <f t="shared" si="31"/>
        <v>T+62</v>
      </c>
      <c r="BS424" s="400" t="str">
        <f t="shared" si="31"/>
        <v>T+63</v>
      </c>
      <c r="BT424" s="400" t="str">
        <f t="shared" si="31"/>
        <v>T+64</v>
      </c>
      <c r="BU424" s="400" t="str">
        <f t="shared" ref="BU424:EF424" si="32">"T+" &amp; (COLUMN(BU424)-COLUMN($H424))</f>
        <v>T+65</v>
      </c>
      <c r="BV424" s="400" t="str">
        <f t="shared" si="32"/>
        <v>T+66</v>
      </c>
      <c r="BW424" s="400" t="str">
        <f t="shared" si="32"/>
        <v>T+67</v>
      </c>
      <c r="BX424" s="400" t="str">
        <f t="shared" si="32"/>
        <v>T+68</v>
      </c>
      <c r="BY424" s="400" t="str">
        <f t="shared" si="32"/>
        <v>T+69</v>
      </c>
      <c r="BZ424" s="400" t="str">
        <f t="shared" si="32"/>
        <v>T+70</v>
      </c>
      <c r="CA424" s="400" t="str">
        <f t="shared" si="32"/>
        <v>T+71</v>
      </c>
      <c r="CB424" s="400" t="str">
        <f t="shared" si="32"/>
        <v>T+72</v>
      </c>
      <c r="CC424" s="400" t="str">
        <f t="shared" si="32"/>
        <v>T+73</v>
      </c>
      <c r="CD424" s="400" t="str">
        <f t="shared" si="32"/>
        <v>T+74</v>
      </c>
      <c r="CE424" s="400" t="str">
        <f t="shared" si="32"/>
        <v>T+75</v>
      </c>
      <c r="CF424" s="400" t="str">
        <f t="shared" si="32"/>
        <v>T+76</v>
      </c>
      <c r="CG424" s="400" t="str">
        <f t="shared" si="32"/>
        <v>T+77</v>
      </c>
      <c r="CH424" s="400" t="str">
        <f t="shared" si="32"/>
        <v>T+78</v>
      </c>
      <c r="CI424" s="400" t="str">
        <f t="shared" si="32"/>
        <v>T+79</v>
      </c>
      <c r="CJ424" s="400" t="str">
        <f t="shared" si="32"/>
        <v>T+80</v>
      </c>
      <c r="CK424" s="400" t="str">
        <f t="shared" si="32"/>
        <v>T+81</v>
      </c>
      <c r="CL424" s="400" t="str">
        <f t="shared" si="32"/>
        <v>T+82</v>
      </c>
      <c r="CM424" s="400" t="str">
        <f t="shared" si="32"/>
        <v>T+83</v>
      </c>
      <c r="CN424" s="400" t="str">
        <f t="shared" si="32"/>
        <v>T+84</v>
      </c>
      <c r="CO424" s="400" t="str">
        <f t="shared" si="32"/>
        <v>T+85</v>
      </c>
      <c r="CP424" s="400" t="str">
        <f t="shared" si="32"/>
        <v>T+86</v>
      </c>
      <c r="CQ424" s="400" t="str">
        <f t="shared" si="32"/>
        <v>T+87</v>
      </c>
      <c r="CR424" s="400" t="str">
        <f t="shared" si="32"/>
        <v>T+88</v>
      </c>
      <c r="CS424" s="400" t="str">
        <f t="shared" si="32"/>
        <v>T+89</v>
      </c>
      <c r="CT424" s="400" t="str">
        <f t="shared" si="32"/>
        <v>T+90</v>
      </c>
      <c r="CU424" s="400" t="str">
        <f t="shared" si="32"/>
        <v>T+91</v>
      </c>
      <c r="CV424" s="400" t="str">
        <f t="shared" si="32"/>
        <v>T+92</v>
      </c>
      <c r="CW424" s="400" t="str">
        <f t="shared" si="32"/>
        <v>T+93</v>
      </c>
      <c r="CX424" s="400" t="str">
        <f t="shared" si="32"/>
        <v>T+94</v>
      </c>
      <c r="CY424" s="400" t="str">
        <f t="shared" si="32"/>
        <v>T+95</v>
      </c>
      <c r="CZ424" s="400" t="str">
        <f t="shared" si="32"/>
        <v>T+96</v>
      </c>
      <c r="DA424" s="400" t="str">
        <f t="shared" si="32"/>
        <v>T+97</v>
      </c>
      <c r="DB424" s="400" t="str">
        <f t="shared" si="32"/>
        <v>T+98</v>
      </c>
      <c r="DC424" s="400" t="str">
        <f t="shared" si="32"/>
        <v>T+99</v>
      </c>
      <c r="DD424" s="400" t="str">
        <f t="shared" si="32"/>
        <v>T+100</v>
      </c>
      <c r="DE424" s="400" t="str">
        <f t="shared" si="32"/>
        <v>T+101</v>
      </c>
      <c r="DF424" s="400" t="str">
        <f t="shared" si="32"/>
        <v>T+102</v>
      </c>
      <c r="DG424" s="400" t="str">
        <f t="shared" si="32"/>
        <v>T+103</v>
      </c>
      <c r="DH424" s="400" t="str">
        <f t="shared" si="32"/>
        <v>T+104</v>
      </c>
      <c r="DI424" s="400" t="str">
        <f t="shared" si="32"/>
        <v>T+105</v>
      </c>
      <c r="DJ424" s="400" t="str">
        <f t="shared" si="32"/>
        <v>T+106</v>
      </c>
      <c r="DK424" s="400" t="str">
        <f t="shared" si="32"/>
        <v>T+107</v>
      </c>
      <c r="DL424" s="400" t="str">
        <f t="shared" si="32"/>
        <v>T+108</v>
      </c>
      <c r="DM424" s="400" t="str">
        <f t="shared" si="32"/>
        <v>T+109</v>
      </c>
      <c r="DN424" s="400" t="str">
        <f t="shared" si="32"/>
        <v>T+110</v>
      </c>
      <c r="DO424" s="400" t="str">
        <f t="shared" si="32"/>
        <v>T+111</v>
      </c>
      <c r="DP424" s="400" t="str">
        <f t="shared" si="32"/>
        <v>T+112</v>
      </c>
      <c r="DQ424" s="400" t="str">
        <f t="shared" si="32"/>
        <v>T+113</v>
      </c>
      <c r="DR424" s="400" t="str">
        <f t="shared" si="32"/>
        <v>T+114</v>
      </c>
      <c r="DS424" s="400" t="str">
        <f t="shared" si="32"/>
        <v>T+115</v>
      </c>
      <c r="DT424" s="400" t="str">
        <f t="shared" si="32"/>
        <v>T+116</v>
      </c>
      <c r="DU424" s="400" t="str">
        <f t="shared" si="32"/>
        <v>T+117</v>
      </c>
      <c r="DV424" s="400" t="str">
        <f t="shared" si="32"/>
        <v>T+118</v>
      </c>
      <c r="DW424" s="400" t="str">
        <f t="shared" si="32"/>
        <v>T+119</v>
      </c>
      <c r="DX424" s="400" t="str">
        <f t="shared" si="32"/>
        <v>T+120</v>
      </c>
      <c r="DY424" s="400" t="str">
        <f t="shared" si="32"/>
        <v>T+121</v>
      </c>
      <c r="DZ424" s="400" t="str">
        <f t="shared" si="32"/>
        <v>T+122</v>
      </c>
      <c r="EA424" s="400" t="str">
        <f t="shared" si="32"/>
        <v>T+123</v>
      </c>
      <c r="EB424" s="400" t="str">
        <f t="shared" si="32"/>
        <v>T+124</v>
      </c>
      <c r="EC424" s="400" t="str">
        <f t="shared" si="32"/>
        <v>T+125</v>
      </c>
      <c r="ED424" s="400" t="str">
        <f t="shared" si="32"/>
        <v>T+126</v>
      </c>
      <c r="EE424" s="400" t="str">
        <f t="shared" si="32"/>
        <v>T+127</v>
      </c>
      <c r="EF424" s="400" t="str">
        <f t="shared" si="32"/>
        <v>T+128</v>
      </c>
      <c r="EG424" s="400" t="str">
        <f t="shared" ref="EG424:GR424" si="33">"T+" &amp; (COLUMN(EG424)-COLUMN($H424))</f>
        <v>T+129</v>
      </c>
      <c r="EH424" s="400" t="str">
        <f t="shared" si="33"/>
        <v>T+130</v>
      </c>
      <c r="EI424" s="400" t="str">
        <f t="shared" si="33"/>
        <v>T+131</v>
      </c>
      <c r="EJ424" s="400" t="str">
        <f t="shared" si="33"/>
        <v>T+132</v>
      </c>
      <c r="EK424" s="400" t="str">
        <f t="shared" si="33"/>
        <v>T+133</v>
      </c>
      <c r="EL424" s="400" t="str">
        <f t="shared" si="33"/>
        <v>T+134</v>
      </c>
      <c r="EM424" s="400" t="str">
        <f t="shared" si="33"/>
        <v>T+135</v>
      </c>
      <c r="EN424" s="400" t="str">
        <f t="shared" si="33"/>
        <v>T+136</v>
      </c>
      <c r="EO424" s="400" t="str">
        <f t="shared" si="33"/>
        <v>T+137</v>
      </c>
      <c r="EP424" s="400" t="str">
        <f t="shared" si="33"/>
        <v>T+138</v>
      </c>
      <c r="EQ424" s="400" t="str">
        <f t="shared" si="33"/>
        <v>T+139</v>
      </c>
      <c r="ER424" s="400" t="str">
        <f t="shared" si="33"/>
        <v>T+140</v>
      </c>
      <c r="ES424" s="400" t="str">
        <f t="shared" si="33"/>
        <v>T+141</v>
      </c>
      <c r="ET424" s="400" t="str">
        <f t="shared" si="33"/>
        <v>T+142</v>
      </c>
      <c r="EU424" s="400" t="str">
        <f t="shared" si="33"/>
        <v>T+143</v>
      </c>
      <c r="EV424" s="400" t="str">
        <f t="shared" si="33"/>
        <v>T+144</v>
      </c>
      <c r="EW424" s="400" t="str">
        <f t="shared" si="33"/>
        <v>T+145</v>
      </c>
      <c r="EX424" s="400" t="str">
        <f t="shared" si="33"/>
        <v>T+146</v>
      </c>
      <c r="EY424" s="400" t="str">
        <f t="shared" si="33"/>
        <v>T+147</v>
      </c>
      <c r="EZ424" s="400" t="str">
        <f t="shared" si="33"/>
        <v>T+148</v>
      </c>
      <c r="FA424" s="400" t="str">
        <f t="shared" si="33"/>
        <v>T+149</v>
      </c>
      <c r="FB424" s="400" t="str">
        <f t="shared" si="33"/>
        <v>T+150</v>
      </c>
      <c r="FC424" s="400" t="str">
        <f t="shared" si="33"/>
        <v>T+151</v>
      </c>
      <c r="FD424" s="400" t="str">
        <f t="shared" si="33"/>
        <v>T+152</v>
      </c>
      <c r="FE424" s="400" t="str">
        <f t="shared" si="33"/>
        <v>T+153</v>
      </c>
      <c r="FF424" s="400" t="str">
        <f t="shared" si="33"/>
        <v>T+154</v>
      </c>
      <c r="FG424" s="400" t="str">
        <f t="shared" si="33"/>
        <v>T+155</v>
      </c>
      <c r="FH424" s="400" t="str">
        <f t="shared" si="33"/>
        <v>T+156</v>
      </c>
      <c r="FI424" s="400" t="str">
        <f t="shared" si="33"/>
        <v>T+157</v>
      </c>
      <c r="FJ424" s="400" t="str">
        <f t="shared" si="33"/>
        <v>T+158</v>
      </c>
      <c r="FK424" s="400" t="str">
        <f t="shared" si="33"/>
        <v>T+159</v>
      </c>
      <c r="FL424" s="400" t="str">
        <f t="shared" si="33"/>
        <v>T+160</v>
      </c>
      <c r="FM424" s="400" t="str">
        <f t="shared" si="33"/>
        <v>T+161</v>
      </c>
      <c r="FN424" s="400" t="str">
        <f t="shared" si="33"/>
        <v>T+162</v>
      </c>
      <c r="FO424" s="400" t="str">
        <f t="shared" si="33"/>
        <v>T+163</v>
      </c>
      <c r="FP424" s="400" t="str">
        <f t="shared" si="33"/>
        <v>T+164</v>
      </c>
      <c r="FQ424" s="400" t="str">
        <f t="shared" si="33"/>
        <v>T+165</v>
      </c>
      <c r="FR424" s="400" t="str">
        <f t="shared" si="33"/>
        <v>T+166</v>
      </c>
      <c r="FS424" s="400" t="str">
        <f t="shared" si="33"/>
        <v>T+167</v>
      </c>
      <c r="FT424" s="400" t="str">
        <f t="shared" si="33"/>
        <v>T+168</v>
      </c>
      <c r="FU424" s="400" t="str">
        <f t="shared" si="33"/>
        <v>T+169</v>
      </c>
      <c r="FV424" s="400" t="str">
        <f t="shared" si="33"/>
        <v>T+170</v>
      </c>
      <c r="FW424" s="400" t="str">
        <f t="shared" si="33"/>
        <v>T+171</v>
      </c>
      <c r="FX424" s="400" t="str">
        <f t="shared" si="33"/>
        <v>T+172</v>
      </c>
      <c r="FY424" s="400" t="str">
        <f t="shared" si="33"/>
        <v>T+173</v>
      </c>
      <c r="FZ424" s="400" t="str">
        <f t="shared" si="33"/>
        <v>T+174</v>
      </c>
      <c r="GA424" s="400" t="str">
        <f t="shared" si="33"/>
        <v>T+175</v>
      </c>
      <c r="GB424" s="400" t="str">
        <f t="shared" si="33"/>
        <v>T+176</v>
      </c>
      <c r="GC424" s="400" t="str">
        <f t="shared" si="33"/>
        <v>T+177</v>
      </c>
      <c r="GD424" s="400" t="str">
        <f t="shared" si="33"/>
        <v>T+178</v>
      </c>
      <c r="GE424" s="400" t="str">
        <f t="shared" si="33"/>
        <v>T+179</v>
      </c>
      <c r="GF424" s="400" t="str">
        <f t="shared" si="33"/>
        <v>T+180</v>
      </c>
      <c r="GG424" s="400" t="str">
        <f t="shared" si="33"/>
        <v>T+181</v>
      </c>
      <c r="GH424" s="400" t="str">
        <f t="shared" si="33"/>
        <v>T+182</v>
      </c>
      <c r="GI424" s="400" t="str">
        <f t="shared" si="33"/>
        <v>T+183</v>
      </c>
      <c r="GJ424" s="400" t="str">
        <f t="shared" si="33"/>
        <v>T+184</v>
      </c>
      <c r="GK424" s="400" t="str">
        <f t="shared" si="33"/>
        <v>T+185</v>
      </c>
      <c r="GL424" s="400" t="str">
        <f t="shared" si="33"/>
        <v>T+186</v>
      </c>
      <c r="GM424" s="400" t="str">
        <f t="shared" si="33"/>
        <v>T+187</v>
      </c>
      <c r="GN424" s="400" t="str">
        <f t="shared" si="33"/>
        <v>T+188</v>
      </c>
      <c r="GO424" s="400" t="str">
        <f t="shared" si="33"/>
        <v>T+189</v>
      </c>
      <c r="GP424" s="400" t="str">
        <f t="shared" si="33"/>
        <v>T+190</v>
      </c>
      <c r="GQ424" s="400" t="str">
        <f t="shared" si="33"/>
        <v>T+191</v>
      </c>
      <c r="GR424" s="400" t="str">
        <f t="shared" si="33"/>
        <v>T+192</v>
      </c>
      <c r="GS424" s="400" t="str">
        <f t="shared" ref="GS424:JD424" si="34">"T+" &amp; (COLUMN(GS424)-COLUMN($H424))</f>
        <v>T+193</v>
      </c>
      <c r="GT424" s="400" t="str">
        <f t="shared" si="34"/>
        <v>T+194</v>
      </c>
      <c r="GU424" s="400" t="str">
        <f t="shared" si="34"/>
        <v>T+195</v>
      </c>
      <c r="GV424" s="400" t="str">
        <f t="shared" si="34"/>
        <v>T+196</v>
      </c>
      <c r="GW424" s="400" t="str">
        <f t="shared" si="34"/>
        <v>T+197</v>
      </c>
      <c r="GX424" s="400" t="str">
        <f t="shared" si="34"/>
        <v>T+198</v>
      </c>
      <c r="GY424" s="400" t="str">
        <f t="shared" si="34"/>
        <v>T+199</v>
      </c>
      <c r="GZ424" s="400" t="str">
        <f t="shared" si="34"/>
        <v>T+200</v>
      </c>
      <c r="HA424" s="400" t="str">
        <f t="shared" si="34"/>
        <v>T+201</v>
      </c>
      <c r="HB424" s="400" t="str">
        <f t="shared" si="34"/>
        <v>T+202</v>
      </c>
      <c r="HC424" s="400" t="str">
        <f t="shared" si="34"/>
        <v>T+203</v>
      </c>
      <c r="HD424" s="400" t="str">
        <f t="shared" si="34"/>
        <v>T+204</v>
      </c>
      <c r="HE424" s="400" t="str">
        <f t="shared" si="34"/>
        <v>T+205</v>
      </c>
      <c r="HF424" s="400" t="str">
        <f t="shared" si="34"/>
        <v>T+206</v>
      </c>
      <c r="HG424" s="400" t="str">
        <f t="shared" si="34"/>
        <v>T+207</v>
      </c>
      <c r="HH424" s="400" t="str">
        <f t="shared" si="34"/>
        <v>T+208</v>
      </c>
      <c r="HI424" s="400" t="str">
        <f t="shared" si="34"/>
        <v>T+209</v>
      </c>
      <c r="HJ424" s="400" t="str">
        <f t="shared" si="34"/>
        <v>T+210</v>
      </c>
      <c r="HK424" s="400" t="str">
        <f t="shared" si="34"/>
        <v>T+211</v>
      </c>
      <c r="HL424" s="400" t="str">
        <f t="shared" si="34"/>
        <v>T+212</v>
      </c>
      <c r="HM424" s="400" t="str">
        <f t="shared" si="34"/>
        <v>T+213</v>
      </c>
      <c r="HN424" s="400" t="str">
        <f t="shared" si="34"/>
        <v>T+214</v>
      </c>
      <c r="HO424" s="400" t="str">
        <f t="shared" si="34"/>
        <v>T+215</v>
      </c>
      <c r="HP424" s="400" t="str">
        <f t="shared" si="34"/>
        <v>T+216</v>
      </c>
      <c r="HQ424" s="400" t="str">
        <f t="shared" si="34"/>
        <v>T+217</v>
      </c>
      <c r="HR424" s="400" t="str">
        <f t="shared" si="34"/>
        <v>T+218</v>
      </c>
      <c r="HS424" s="400" t="str">
        <f t="shared" si="34"/>
        <v>T+219</v>
      </c>
      <c r="HT424" s="400" t="str">
        <f t="shared" si="34"/>
        <v>T+220</v>
      </c>
      <c r="HU424" s="400" t="str">
        <f t="shared" si="34"/>
        <v>T+221</v>
      </c>
      <c r="HV424" s="400" t="str">
        <f t="shared" si="34"/>
        <v>T+222</v>
      </c>
      <c r="HW424" s="400" t="str">
        <f t="shared" si="34"/>
        <v>T+223</v>
      </c>
      <c r="HX424" s="400" t="str">
        <f t="shared" si="34"/>
        <v>T+224</v>
      </c>
      <c r="HY424" s="400" t="str">
        <f t="shared" si="34"/>
        <v>T+225</v>
      </c>
      <c r="HZ424" s="400" t="str">
        <f t="shared" si="34"/>
        <v>T+226</v>
      </c>
      <c r="IA424" s="400" t="str">
        <f t="shared" si="34"/>
        <v>T+227</v>
      </c>
      <c r="IB424" s="400" t="str">
        <f t="shared" si="34"/>
        <v>T+228</v>
      </c>
      <c r="IC424" s="400" t="str">
        <f t="shared" si="34"/>
        <v>T+229</v>
      </c>
      <c r="ID424" s="400" t="str">
        <f t="shared" si="34"/>
        <v>T+230</v>
      </c>
      <c r="IE424" s="400" t="str">
        <f t="shared" si="34"/>
        <v>T+231</v>
      </c>
      <c r="IF424" s="400" t="str">
        <f t="shared" si="34"/>
        <v>T+232</v>
      </c>
      <c r="IG424" s="400" t="str">
        <f t="shared" si="34"/>
        <v>T+233</v>
      </c>
      <c r="IH424" s="400" t="str">
        <f t="shared" si="34"/>
        <v>T+234</v>
      </c>
      <c r="II424" s="400" t="str">
        <f t="shared" si="34"/>
        <v>T+235</v>
      </c>
      <c r="IJ424" s="400" t="str">
        <f t="shared" si="34"/>
        <v>T+236</v>
      </c>
      <c r="IK424" s="400" t="str">
        <f t="shared" si="34"/>
        <v>T+237</v>
      </c>
      <c r="IL424" s="400" t="str">
        <f t="shared" si="34"/>
        <v>T+238</v>
      </c>
      <c r="IM424" s="400" t="str">
        <f t="shared" si="34"/>
        <v>T+239</v>
      </c>
      <c r="IN424" s="400" t="str">
        <f t="shared" si="34"/>
        <v>T+240</v>
      </c>
      <c r="IO424" s="400" t="str">
        <f t="shared" si="34"/>
        <v>T+241</v>
      </c>
      <c r="IP424" s="400" t="str">
        <f t="shared" si="34"/>
        <v>T+242</v>
      </c>
      <c r="IQ424" s="400" t="str">
        <f t="shared" si="34"/>
        <v>T+243</v>
      </c>
      <c r="IR424" s="400" t="str">
        <f t="shared" si="34"/>
        <v>T+244</v>
      </c>
      <c r="IS424" s="400" t="str">
        <f t="shared" si="34"/>
        <v>T+245</v>
      </c>
      <c r="IT424" s="400" t="str">
        <f t="shared" si="34"/>
        <v>T+246</v>
      </c>
      <c r="IU424" s="400" t="str">
        <f t="shared" si="34"/>
        <v>T+247</v>
      </c>
      <c r="IV424" s="400" t="str">
        <f t="shared" si="34"/>
        <v>T+248</v>
      </c>
      <c r="IW424" s="400" t="str">
        <f t="shared" si="34"/>
        <v>T+249</v>
      </c>
      <c r="IX424" s="400" t="str">
        <f t="shared" si="34"/>
        <v>T+250</v>
      </c>
      <c r="IY424" s="400" t="str">
        <f t="shared" si="34"/>
        <v>T+251</v>
      </c>
      <c r="IZ424" s="400" t="str">
        <f t="shared" si="34"/>
        <v>T+252</v>
      </c>
      <c r="JA424" s="400" t="str">
        <f t="shared" si="34"/>
        <v>T+253</v>
      </c>
      <c r="JB424" s="400" t="str">
        <f t="shared" si="34"/>
        <v>T+254</v>
      </c>
      <c r="JC424" s="400" t="str">
        <f t="shared" si="34"/>
        <v>T+255</v>
      </c>
      <c r="JD424" s="400" t="str">
        <f t="shared" si="34"/>
        <v>T+256</v>
      </c>
      <c r="JE424" s="400" t="str">
        <f t="shared" ref="JE424:KB424" si="35">"T+" &amp; (COLUMN(JE424)-COLUMN($H424))</f>
        <v>T+257</v>
      </c>
      <c r="JF424" s="400" t="str">
        <f t="shared" si="35"/>
        <v>T+258</v>
      </c>
      <c r="JG424" s="400" t="str">
        <f t="shared" si="35"/>
        <v>T+259</v>
      </c>
      <c r="JH424" s="400" t="str">
        <f t="shared" si="35"/>
        <v>T+260</v>
      </c>
      <c r="JI424" s="400" t="str">
        <f t="shared" si="35"/>
        <v>T+261</v>
      </c>
      <c r="JJ424" s="400" t="str">
        <f t="shared" si="35"/>
        <v>T+262</v>
      </c>
      <c r="JK424" s="400" t="str">
        <f t="shared" si="35"/>
        <v>T+263</v>
      </c>
      <c r="JL424" s="400" t="str">
        <f t="shared" si="35"/>
        <v>T+264</v>
      </c>
      <c r="JM424" s="400" t="str">
        <f t="shared" si="35"/>
        <v>T+265</v>
      </c>
      <c r="JN424" s="400" t="str">
        <f t="shared" si="35"/>
        <v>T+266</v>
      </c>
      <c r="JO424" s="400" t="str">
        <f t="shared" si="35"/>
        <v>T+267</v>
      </c>
      <c r="JP424" s="400" t="str">
        <f t="shared" si="35"/>
        <v>T+268</v>
      </c>
      <c r="JQ424" s="400" t="str">
        <f t="shared" si="35"/>
        <v>T+269</v>
      </c>
      <c r="JR424" s="400" t="str">
        <f t="shared" si="35"/>
        <v>T+270</v>
      </c>
      <c r="JS424" s="400" t="str">
        <f t="shared" si="35"/>
        <v>T+271</v>
      </c>
      <c r="JT424" s="400" t="str">
        <f t="shared" si="35"/>
        <v>T+272</v>
      </c>
      <c r="JU424" s="400" t="str">
        <f t="shared" si="35"/>
        <v>T+273</v>
      </c>
      <c r="JV424" s="400" t="str">
        <f t="shared" si="35"/>
        <v>T+274</v>
      </c>
      <c r="JW424" s="400" t="str">
        <f t="shared" si="35"/>
        <v>T+275</v>
      </c>
      <c r="JX424" s="400" t="str">
        <f t="shared" si="35"/>
        <v>T+276</v>
      </c>
      <c r="JY424" s="400" t="str">
        <f t="shared" si="35"/>
        <v>T+277</v>
      </c>
      <c r="JZ424" s="400" t="str">
        <f t="shared" si="35"/>
        <v>T+278</v>
      </c>
      <c r="KA424" s="400" t="str">
        <f t="shared" si="35"/>
        <v>T+279</v>
      </c>
      <c r="KB424" s="1585" t="str">
        <f t="shared" si="35"/>
        <v>T+280</v>
      </c>
    </row>
    <row r="425" spans="1:289" ht="15" customHeight="1" x14ac:dyDescent="0.25">
      <c r="B425" s="447" t="str">
        <f t="shared" ref="B425:B456" si="36">B11</f>
        <v>Desk 1</v>
      </c>
      <c r="C425" s="448" t="str">
        <f t="array" ref="C425:D524" xml:space="preserve"> IF(ISBLANK(TB!C$170:'TB'!D$269), "", TB!C$170:'TB'!D$269)</f>
        <v/>
      </c>
      <c r="D425" s="448" t="str">
        <v/>
      </c>
      <c r="E425" s="448" t="str">
        <f t="array" ref="E425:E524" xml:space="preserve"> IF(ISBLANK(TB!G$170:'TB'!G$269), "", TB!G$170:'TB'!G$269)</f>
        <v/>
      </c>
      <c r="F425" s="448" t="str">
        <f t="array" ref="F425:F524" xml:space="preserve"> IF(ISBLANK(TB!I$170:'TB'!I$269), "", TB!I$170:'TB'!I$269)</f>
        <v/>
      </c>
      <c r="G425" s="402" t="str">
        <f t="array" ref="G425:G524" xml:space="preserve"> IF(ISBLANK(TB!J$170:'TB'!J$269), "", TB!J$170:'TB'!J$269)</f>
        <v/>
      </c>
      <c r="H425" s="1603"/>
      <c r="I425" s="1603"/>
      <c r="J425" s="1603"/>
      <c r="K425" s="1603"/>
      <c r="L425" s="1603"/>
      <c r="M425" s="1603"/>
      <c r="N425" s="1603"/>
      <c r="O425" s="1603"/>
      <c r="P425" s="1603"/>
      <c r="Q425" s="1603"/>
      <c r="R425" s="1603"/>
      <c r="S425" s="1603"/>
      <c r="T425" s="1603"/>
      <c r="U425" s="1603"/>
      <c r="V425" s="1603"/>
      <c r="W425" s="1603"/>
      <c r="X425" s="1603"/>
      <c r="Y425" s="1603"/>
      <c r="Z425" s="1603"/>
      <c r="AA425" s="1603"/>
      <c r="AB425" s="1603"/>
      <c r="AC425" s="1603"/>
      <c r="AD425" s="1603"/>
      <c r="AE425" s="1603"/>
      <c r="AF425" s="1603"/>
      <c r="AG425" s="1603"/>
      <c r="AH425" s="1603"/>
      <c r="AI425" s="1603"/>
      <c r="AJ425" s="1603"/>
      <c r="AK425" s="1603"/>
      <c r="AL425" s="1603"/>
      <c r="AM425" s="1603"/>
      <c r="AN425" s="1603"/>
      <c r="AO425" s="1603"/>
      <c r="AP425" s="1603"/>
      <c r="AQ425" s="1603"/>
      <c r="AR425" s="1603"/>
      <c r="AS425" s="1603"/>
      <c r="AT425" s="1603"/>
      <c r="AU425" s="1603"/>
      <c r="AV425" s="1603"/>
      <c r="AW425" s="1603"/>
      <c r="AX425" s="1603"/>
      <c r="AY425" s="1603"/>
      <c r="AZ425" s="1603"/>
      <c r="BA425" s="1603"/>
      <c r="BB425" s="1603"/>
      <c r="BC425" s="1603"/>
      <c r="BD425" s="1603"/>
      <c r="BE425" s="1603"/>
      <c r="BF425" s="1603"/>
      <c r="BG425" s="1603"/>
      <c r="BH425" s="1603"/>
      <c r="BI425" s="1603"/>
      <c r="BJ425" s="1603"/>
      <c r="BK425" s="1603"/>
      <c r="BL425" s="1603"/>
      <c r="BM425" s="1603"/>
      <c r="BN425" s="1603"/>
      <c r="BO425" s="1603"/>
      <c r="BP425" s="1603"/>
      <c r="BQ425" s="1603"/>
      <c r="BR425" s="1603"/>
      <c r="BS425" s="1603"/>
      <c r="BT425" s="1603"/>
      <c r="BU425" s="1603"/>
      <c r="BV425" s="1603"/>
      <c r="BW425" s="1603"/>
      <c r="BX425" s="1603"/>
      <c r="BY425" s="1603"/>
      <c r="BZ425" s="1603"/>
      <c r="CA425" s="1603"/>
      <c r="CB425" s="1603"/>
      <c r="CC425" s="1603"/>
      <c r="CD425" s="1603"/>
      <c r="CE425" s="1603"/>
      <c r="CF425" s="1603"/>
      <c r="CG425" s="1603"/>
      <c r="CH425" s="1603"/>
      <c r="CI425" s="1603"/>
      <c r="CJ425" s="1603"/>
      <c r="CK425" s="1603"/>
      <c r="CL425" s="1603"/>
      <c r="CM425" s="1603"/>
      <c r="CN425" s="1603"/>
      <c r="CO425" s="1603"/>
      <c r="CP425" s="1603"/>
      <c r="CQ425" s="1603"/>
      <c r="CR425" s="1603"/>
      <c r="CS425" s="1603"/>
      <c r="CT425" s="1603"/>
      <c r="CU425" s="1603"/>
      <c r="CV425" s="1603"/>
      <c r="CW425" s="1603"/>
      <c r="CX425" s="1603"/>
      <c r="CY425" s="1603"/>
      <c r="CZ425" s="1603"/>
      <c r="DA425" s="1603"/>
      <c r="DB425" s="1603"/>
      <c r="DC425" s="1603"/>
      <c r="DD425" s="1603"/>
      <c r="DE425" s="1603"/>
      <c r="DF425" s="1603"/>
      <c r="DG425" s="1603"/>
      <c r="DH425" s="1603"/>
      <c r="DI425" s="1603"/>
      <c r="DJ425" s="1603"/>
      <c r="DK425" s="1603"/>
      <c r="DL425" s="1603"/>
      <c r="DM425" s="1603"/>
      <c r="DN425" s="1603"/>
      <c r="DO425" s="1603"/>
      <c r="DP425" s="1603"/>
      <c r="DQ425" s="1603"/>
      <c r="DR425" s="1603"/>
      <c r="DS425" s="1603"/>
      <c r="DT425" s="1603"/>
      <c r="DU425" s="1603"/>
      <c r="DV425" s="1603"/>
      <c r="DW425" s="1603"/>
      <c r="DX425" s="1603"/>
      <c r="DY425" s="1603"/>
      <c r="DZ425" s="1603"/>
      <c r="EA425" s="1603"/>
      <c r="EB425" s="1603"/>
      <c r="EC425" s="1603"/>
      <c r="ED425" s="1603"/>
      <c r="EE425" s="1603"/>
      <c r="EF425" s="1603"/>
      <c r="EG425" s="1603"/>
      <c r="EH425" s="1603"/>
      <c r="EI425" s="1603"/>
      <c r="EJ425" s="1603"/>
      <c r="EK425" s="1603"/>
      <c r="EL425" s="1603"/>
      <c r="EM425" s="1603"/>
      <c r="EN425" s="1603"/>
      <c r="EO425" s="1603"/>
      <c r="EP425" s="1603"/>
      <c r="EQ425" s="1603"/>
      <c r="ER425" s="1603"/>
      <c r="ES425" s="1603"/>
      <c r="ET425" s="1603"/>
      <c r="EU425" s="1603"/>
      <c r="EV425" s="1603"/>
      <c r="EW425" s="1603"/>
      <c r="EX425" s="1603"/>
      <c r="EY425" s="1603"/>
      <c r="EZ425" s="1603"/>
      <c r="FA425" s="1603"/>
      <c r="FB425" s="1603"/>
      <c r="FC425" s="1603"/>
      <c r="FD425" s="1603"/>
      <c r="FE425" s="1603"/>
      <c r="FF425" s="1603"/>
      <c r="FG425" s="1603"/>
      <c r="FH425" s="1603"/>
      <c r="FI425" s="1603"/>
      <c r="FJ425" s="1603"/>
      <c r="FK425" s="1603"/>
      <c r="FL425" s="1603"/>
      <c r="FM425" s="1603"/>
      <c r="FN425" s="1603"/>
      <c r="FO425" s="1603"/>
      <c r="FP425" s="1603"/>
      <c r="FQ425" s="1603"/>
      <c r="FR425" s="1603"/>
      <c r="FS425" s="1603"/>
      <c r="FT425" s="1603"/>
      <c r="FU425" s="1603"/>
      <c r="FV425" s="1603"/>
      <c r="FW425" s="1603"/>
      <c r="FX425" s="1603"/>
      <c r="FY425" s="1603"/>
      <c r="FZ425" s="1603"/>
      <c r="GA425" s="1603"/>
      <c r="GB425" s="1603"/>
      <c r="GC425" s="1603"/>
      <c r="GD425" s="1603"/>
      <c r="GE425" s="1603"/>
      <c r="GF425" s="1603"/>
      <c r="GG425" s="1603"/>
      <c r="GH425" s="1603"/>
      <c r="GI425" s="1603"/>
      <c r="GJ425" s="1603"/>
      <c r="GK425" s="1603"/>
      <c r="GL425" s="1603"/>
      <c r="GM425" s="1603"/>
      <c r="GN425" s="1603"/>
      <c r="GO425" s="1603"/>
      <c r="GP425" s="1603"/>
      <c r="GQ425" s="1603"/>
      <c r="GR425" s="1603"/>
      <c r="GS425" s="1603"/>
      <c r="GT425" s="1603"/>
      <c r="GU425" s="1603"/>
      <c r="GV425" s="1603"/>
      <c r="GW425" s="1603"/>
      <c r="GX425" s="1603"/>
      <c r="GY425" s="1603"/>
      <c r="GZ425" s="1603"/>
      <c r="HA425" s="1603"/>
      <c r="HB425" s="1603"/>
      <c r="HC425" s="1603"/>
      <c r="HD425" s="1603"/>
      <c r="HE425" s="1603"/>
      <c r="HF425" s="1603"/>
      <c r="HG425" s="1603"/>
      <c r="HH425" s="1603"/>
      <c r="HI425" s="1603"/>
      <c r="HJ425" s="1603"/>
      <c r="HK425" s="1603"/>
      <c r="HL425" s="1603"/>
      <c r="HM425" s="1603"/>
      <c r="HN425" s="1603"/>
      <c r="HO425" s="1603"/>
      <c r="HP425" s="1603"/>
      <c r="HQ425" s="1603"/>
      <c r="HR425" s="1603"/>
      <c r="HS425" s="1603"/>
      <c r="HT425" s="1603"/>
      <c r="HU425" s="1603"/>
      <c r="HV425" s="1603"/>
      <c r="HW425" s="1603"/>
      <c r="HX425" s="1603"/>
      <c r="HY425" s="1603"/>
      <c r="HZ425" s="1603"/>
      <c r="IA425" s="1603"/>
      <c r="IB425" s="1603"/>
      <c r="IC425" s="1603"/>
      <c r="ID425" s="1603"/>
      <c r="IE425" s="1603"/>
      <c r="IF425" s="1603"/>
      <c r="IG425" s="1603"/>
      <c r="IH425" s="1603"/>
      <c r="II425" s="1603"/>
      <c r="IJ425" s="1603"/>
      <c r="IK425" s="1603"/>
      <c r="IL425" s="1603"/>
      <c r="IM425" s="1603"/>
      <c r="IN425" s="1603"/>
      <c r="IO425" s="1603"/>
      <c r="IP425" s="1603"/>
      <c r="IQ425" s="1603"/>
      <c r="IR425" s="1603"/>
      <c r="IS425" s="1603"/>
      <c r="IT425" s="1603"/>
      <c r="IU425" s="1603"/>
      <c r="IV425" s="1603"/>
      <c r="IW425" s="1603"/>
      <c r="IX425" s="1603"/>
      <c r="IY425" s="1603"/>
      <c r="IZ425" s="1603"/>
      <c r="JA425" s="1603"/>
      <c r="JB425" s="1603"/>
      <c r="JC425" s="1603"/>
      <c r="JD425" s="1603"/>
      <c r="JE425" s="1603"/>
      <c r="JF425" s="1603"/>
      <c r="JG425" s="1603"/>
      <c r="JH425" s="1603"/>
      <c r="JI425" s="1603"/>
      <c r="JJ425" s="1603"/>
      <c r="JK425" s="1603"/>
      <c r="JL425" s="1603"/>
      <c r="JM425" s="1603"/>
      <c r="JN425" s="1603"/>
      <c r="JO425" s="1603"/>
      <c r="JP425" s="1603"/>
      <c r="JQ425" s="1603"/>
      <c r="JR425" s="1603"/>
      <c r="JS425" s="1603"/>
      <c r="JT425" s="1603"/>
      <c r="JU425" s="1603"/>
      <c r="JV425" s="1603"/>
      <c r="JW425" s="1603"/>
      <c r="JX425" s="1603"/>
      <c r="JY425" s="1603"/>
      <c r="JZ425" s="1603"/>
      <c r="KA425" s="1603"/>
      <c r="KB425" s="1604"/>
    </row>
    <row r="426" spans="1:289" ht="15" customHeight="1" x14ac:dyDescent="0.25">
      <c r="B426" s="216" t="str">
        <f t="shared" si="36"/>
        <v>Desk 2</v>
      </c>
      <c r="C426" s="218" t="str">
        <v/>
      </c>
      <c r="D426" s="218" t="str">
        <v/>
      </c>
      <c r="E426" s="218" t="str">
        <v/>
      </c>
      <c r="F426" s="218" t="str">
        <v/>
      </c>
      <c r="G426" s="402" t="str">
        <v/>
      </c>
      <c r="H426" s="1605"/>
      <c r="I426" s="1605"/>
      <c r="J426" s="1605"/>
      <c r="K426" s="1605"/>
      <c r="L426" s="1605"/>
      <c r="M426" s="1605"/>
      <c r="N426" s="1605"/>
      <c r="O426" s="1605"/>
      <c r="P426" s="1605"/>
      <c r="Q426" s="1605"/>
      <c r="R426" s="1605"/>
      <c r="S426" s="1605"/>
      <c r="T426" s="1605"/>
      <c r="U426" s="1605"/>
      <c r="V426" s="1605"/>
      <c r="W426" s="1605"/>
      <c r="X426" s="1605"/>
      <c r="Y426" s="1605"/>
      <c r="Z426" s="1605"/>
      <c r="AA426" s="1605"/>
      <c r="AB426" s="1605"/>
      <c r="AC426" s="1605"/>
      <c r="AD426" s="1605"/>
      <c r="AE426" s="1605"/>
      <c r="AF426" s="1605"/>
      <c r="AG426" s="1605"/>
      <c r="AH426" s="1605"/>
      <c r="AI426" s="1605"/>
      <c r="AJ426" s="1605"/>
      <c r="AK426" s="1605"/>
      <c r="AL426" s="1605"/>
      <c r="AM426" s="1605"/>
      <c r="AN426" s="1605"/>
      <c r="AO426" s="1605"/>
      <c r="AP426" s="1605"/>
      <c r="AQ426" s="1605"/>
      <c r="AR426" s="1605"/>
      <c r="AS426" s="1605"/>
      <c r="AT426" s="1605"/>
      <c r="AU426" s="1605"/>
      <c r="AV426" s="1605"/>
      <c r="AW426" s="1605"/>
      <c r="AX426" s="1605"/>
      <c r="AY426" s="1605"/>
      <c r="AZ426" s="1605"/>
      <c r="BA426" s="1605"/>
      <c r="BB426" s="1605"/>
      <c r="BC426" s="1605"/>
      <c r="BD426" s="1605"/>
      <c r="BE426" s="1605"/>
      <c r="BF426" s="1605"/>
      <c r="BG426" s="1605"/>
      <c r="BH426" s="1605"/>
      <c r="BI426" s="1605"/>
      <c r="BJ426" s="1605"/>
      <c r="BK426" s="1605"/>
      <c r="BL426" s="1605"/>
      <c r="BM426" s="1605"/>
      <c r="BN426" s="1605"/>
      <c r="BO426" s="1605"/>
      <c r="BP426" s="1605"/>
      <c r="BQ426" s="1605"/>
      <c r="BR426" s="1605"/>
      <c r="BS426" s="1605"/>
      <c r="BT426" s="1605"/>
      <c r="BU426" s="1605"/>
      <c r="BV426" s="1605"/>
      <c r="BW426" s="1605"/>
      <c r="BX426" s="1605"/>
      <c r="BY426" s="1605"/>
      <c r="BZ426" s="1605"/>
      <c r="CA426" s="1605"/>
      <c r="CB426" s="1605"/>
      <c r="CC426" s="1605"/>
      <c r="CD426" s="1605"/>
      <c r="CE426" s="1605"/>
      <c r="CF426" s="1605"/>
      <c r="CG426" s="1605"/>
      <c r="CH426" s="1605"/>
      <c r="CI426" s="1605"/>
      <c r="CJ426" s="1605"/>
      <c r="CK426" s="1605"/>
      <c r="CL426" s="1605"/>
      <c r="CM426" s="1605"/>
      <c r="CN426" s="1605"/>
      <c r="CO426" s="1605"/>
      <c r="CP426" s="1605"/>
      <c r="CQ426" s="1605"/>
      <c r="CR426" s="1605"/>
      <c r="CS426" s="1605"/>
      <c r="CT426" s="1605"/>
      <c r="CU426" s="1605"/>
      <c r="CV426" s="1605"/>
      <c r="CW426" s="1605"/>
      <c r="CX426" s="1605"/>
      <c r="CY426" s="1605"/>
      <c r="CZ426" s="1605"/>
      <c r="DA426" s="1605"/>
      <c r="DB426" s="1605"/>
      <c r="DC426" s="1605"/>
      <c r="DD426" s="1605"/>
      <c r="DE426" s="1605"/>
      <c r="DF426" s="1605"/>
      <c r="DG426" s="1605"/>
      <c r="DH426" s="1605"/>
      <c r="DI426" s="1605"/>
      <c r="DJ426" s="1605"/>
      <c r="DK426" s="1605"/>
      <c r="DL426" s="1605"/>
      <c r="DM426" s="1605"/>
      <c r="DN426" s="1605"/>
      <c r="DO426" s="1605"/>
      <c r="DP426" s="1605"/>
      <c r="DQ426" s="1605"/>
      <c r="DR426" s="1605"/>
      <c r="DS426" s="1605"/>
      <c r="DT426" s="1605"/>
      <c r="DU426" s="1605"/>
      <c r="DV426" s="1605"/>
      <c r="DW426" s="1605"/>
      <c r="DX426" s="1605"/>
      <c r="DY426" s="1605"/>
      <c r="DZ426" s="1605"/>
      <c r="EA426" s="1605"/>
      <c r="EB426" s="1605"/>
      <c r="EC426" s="1605"/>
      <c r="ED426" s="1605"/>
      <c r="EE426" s="1605"/>
      <c r="EF426" s="1605"/>
      <c r="EG426" s="1605"/>
      <c r="EH426" s="1605"/>
      <c r="EI426" s="1605"/>
      <c r="EJ426" s="1605"/>
      <c r="EK426" s="1605"/>
      <c r="EL426" s="1605"/>
      <c r="EM426" s="1605"/>
      <c r="EN426" s="1605"/>
      <c r="EO426" s="1605"/>
      <c r="EP426" s="1605"/>
      <c r="EQ426" s="1605"/>
      <c r="ER426" s="1605"/>
      <c r="ES426" s="1605"/>
      <c r="ET426" s="1605"/>
      <c r="EU426" s="1605"/>
      <c r="EV426" s="1605"/>
      <c r="EW426" s="1605"/>
      <c r="EX426" s="1605"/>
      <c r="EY426" s="1605"/>
      <c r="EZ426" s="1605"/>
      <c r="FA426" s="1605"/>
      <c r="FB426" s="1605"/>
      <c r="FC426" s="1605"/>
      <c r="FD426" s="1605"/>
      <c r="FE426" s="1605"/>
      <c r="FF426" s="1605"/>
      <c r="FG426" s="1605"/>
      <c r="FH426" s="1605"/>
      <c r="FI426" s="1605"/>
      <c r="FJ426" s="1605"/>
      <c r="FK426" s="1605"/>
      <c r="FL426" s="1605"/>
      <c r="FM426" s="1605"/>
      <c r="FN426" s="1605"/>
      <c r="FO426" s="1605"/>
      <c r="FP426" s="1605"/>
      <c r="FQ426" s="1605"/>
      <c r="FR426" s="1605"/>
      <c r="FS426" s="1605"/>
      <c r="FT426" s="1605"/>
      <c r="FU426" s="1605"/>
      <c r="FV426" s="1605"/>
      <c r="FW426" s="1605"/>
      <c r="FX426" s="1605"/>
      <c r="FY426" s="1605"/>
      <c r="FZ426" s="1605"/>
      <c r="GA426" s="1605"/>
      <c r="GB426" s="1605"/>
      <c r="GC426" s="1605"/>
      <c r="GD426" s="1605"/>
      <c r="GE426" s="1605"/>
      <c r="GF426" s="1605"/>
      <c r="GG426" s="1605"/>
      <c r="GH426" s="1605"/>
      <c r="GI426" s="1605"/>
      <c r="GJ426" s="1605"/>
      <c r="GK426" s="1605"/>
      <c r="GL426" s="1605"/>
      <c r="GM426" s="1605"/>
      <c r="GN426" s="1605"/>
      <c r="GO426" s="1605"/>
      <c r="GP426" s="1605"/>
      <c r="GQ426" s="1605"/>
      <c r="GR426" s="1605"/>
      <c r="GS426" s="1605"/>
      <c r="GT426" s="1605"/>
      <c r="GU426" s="1605"/>
      <c r="GV426" s="1605"/>
      <c r="GW426" s="1605"/>
      <c r="GX426" s="1605"/>
      <c r="GY426" s="1605"/>
      <c r="GZ426" s="1605"/>
      <c r="HA426" s="1605"/>
      <c r="HB426" s="1605"/>
      <c r="HC426" s="1605"/>
      <c r="HD426" s="1605"/>
      <c r="HE426" s="1605"/>
      <c r="HF426" s="1605"/>
      <c r="HG426" s="1605"/>
      <c r="HH426" s="1605"/>
      <c r="HI426" s="1605"/>
      <c r="HJ426" s="1605"/>
      <c r="HK426" s="1605"/>
      <c r="HL426" s="1605"/>
      <c r="HM426" s="1605"/>
      <c r="HN426" s="1605"/>
      <c r="HO426" s="1605"/>
      <c r="HP426" s="1605"/>
      <c r="HQ426" s="1605"/>
      <c r="HR426" s="1605"/>
      <c r="HS426" s="1605"/>
      <c r="HT426" s="1605"/>
      <c r="HU426" s="1605"/>
      <c r="HV426" s="1605"/>
      <c r="HW426" s="1605"/>
      <c r="HX426" s="1605"/>
      <c r="HY426" s="1605"/>
      <c r="HZ426" s="1605"/>
      <c r="IA426" s="1605"/>
      <c r="IB426" s="1605"/>
      <c r="IC426" s="1605"/>
      <c r="ID426" s="1605"/>
      <c r="IE426" s="1605"/>
      <c r="IF426" s="1605"/>
      <c r="IG426" s="1605"/>
      <c r="IH426" s="1605"/>
      <c r="II426" s="1605"/>
      <c r="IJ426" s="1605"/>
      <c r="IK426" s="1605"/>
      <c r="IL426" s="1605"/>
      <c r="IM426" s="1605"/>
      <c r="IN426" s="1605"/>
      <c r="IO426" s="1605"/>
      <c r="IP426" s="1605"/>
      <c r="IQ426" s="1605"/>
      <c r="IR426" s="1605"/>
      <c r="IS426" s="1605"/>
      <c r="IT426" s="1605"/>
      <c r="IU426" s="1605"/>
      <c r="IV426" s="1605"/>
      <c r="IW426" s="1605"/>
      <c r="IX426" s="1605"/>
      <c r="IY426" s="1605"/>
      <c r="IZ426" s="1605"/>
      <c r="JA426" s="1605"/>
      <c r="JB426" s="1605"/>
      <c r="JC426" s="1605"/>
      <c r="JD426" s="1605"/>
      <c r="JE426" s="1605"/>
      <c r="JF426" s="1605"/>
      <c r="JG426" s="1605"/>
      <c r="JH426" s="1605"/>
      <c r="JI426" s="1605"/>
      <c r="JJ426" s="1605"/>
      <c r="JK426" s="1605"/>
      <c r="JL426" s="1605"/>
      <c r="JM426" s="1605"/>
      <c r="JN426" s="1605"/>
      <c r="JO426" s="1605"/>
      <c r="JP426" s="1605"/>
      <c r="JQ426" s="1605"/>
      <c r="JR426" s="1605"/>
      <c r="JS426" s="1605"/>
      <c r="JT426" s="1605"/>
      <c r="JU426" s="1605"/>
      <c r="JV426" s="1605"/>
      <c r="JW426" s="1605"/>
      <c r="JX426" s="1605"/>
      <c r="JY426" s="1605"/>
      <c r="JZ426" s="1605"/>
      <c r="KA426" s="1605"/>
      <c r="KB426" s="1606"/>
    </row>
    <row r="427" spans="1:289" ht="15" customHeight="1" x14ac:dyDescent="0.25">
      <c r="B427" s="216" t="str">
        <f t="shared" si="36"/>
        <v>Desk 3</v>
      </c>
      <c r="C427" s="218" t="str">
        <v/>
      </c>
      <c r="D427" s="218" t="str">
        <v/>
      </c>
      <c r="E427" s="218" t="str">
        <v/>
      </c>
      <c r="F427" s="218" t="str">
        <v/>
      </c>
      <c r="G427" s="402" t="str">
        <v/>
      </c>
      <c r="H427" s="1605"/>
      <c r="I427" s="1605"/>
      <c r="J427" s="1605"/>
      <c r="K427" s="1605"/>
      <c r="L427" s="1605"/>
      <c r="M427" s="1605"/>
      <c r="N427" s="1605"/>
      <c r="O427" s="1605"/>
      <c r="P427" s="1605"/>
      <c r="Q427" s="1605"/>
      <c r="R427" s="1605"/>
      <c r="S427" s="1605"/>
      <c r="T427" s="1605"/>
      <c r="U427" s="1605"/>
      <c r="V427" s="1605"/>
      <c r="W427" s="1605"/>
      <c r="X427" s="1605"/>
      <c r="Y427" s="1605"/>
      <c r="Z427" s="1605"/>
      <c r="AA427" s="1605"/>
      <c r="AB427" s="1605"/>
      <c r="AC427" s="1605"/>
      <c r="AD427" s="1605"/>
      <c r="AE427" s="1605"/>
      <c r="AF427" s="1605"/>
      <c r="AG427" s="1605"/>
      <c r="AH427" s="1605"/>
      <c r="AI427" s="1605"/>
      <c r="AJ427" s="1605"/>
      <c r="AK427" s="1605"/>
      <c r="AL427" s="1605"/>
      <c r="AM427" s="1605"/>
      <c r="AN427" s="1605"/>
      <c r="AO427" s="1605"/>
      <c r="AP427" s="1605"/>
      <c r="AQ427" s="1605"/>
      <c r="AR427" s="1605"/>
      <c r="AS427" s="1605"/>
      <c r="AT427" s="1605"/>
      <c r="AU427" s="1605"/>
      <c r="AV427" s="1605"/>
      <c r="AW427" s="1605"/>
      <c r="AX427" s="1605"/>
      <c r="AY427" s="1605"/>
      <c r="AZ427" s="1605"/>
      <c r="BA427" s="1605"/>
      <c r="BB427" s="1605"/>
      <c r="BC427" s="1605"/>
      <c r="BD427" s="1605"/>
      <c r="BE427" s="1605"/>
      <c r="BF427" s="1605"/>
      <c r="BG427" s="1605"/>
      <c r="BH427" s="1605"/>
      <c r="BI427" s="1605"/>
      <c r="BJ427" s="1605"/>
      <c r="BK427" s="1605"/>
      <c r="BL427" s="1605"/>
      <c r="BM427" s="1605"/>
      <c r="BN427" s="1605"/>
      <c r="BO427" s="1605"/>
      <c r="BP427" s="1605"/>
      <c r="BQ427" s="1605"/>
      <c r="BR427" s="1605"/>
      <c r="BS427" s="1605"/>
      <c r="BT427" s="1605"/>
      <c r="BU427" s="1605"/>
      <c r="BV427" s="1605"/>
      <c r="BW427" s="1605"/>
      <c r="BX427" s="1605"/>
      <c r="BY427" s="1605"/>
      <c r="BZ427" s="1605"/>
      <c r="CA427" s="1605"/>
      <c r="CB427" s="1605"/>
      <c r="CC427" s="1605"/>
      <c r="CD427" s="1605"/>
      <c r="CE427" s="1605"/>
      <c r="CF427" s="1605"/>
      <c r="CG427" s="1605"/>
      <c r="CH427" s="1605"/>
      <c r="CI427" s="1605"/>
      <c r="CJ427" s="1605"/>
      <c r="CK427" s="1605"/>
      <c r="CL427" s="1605"/>
      <c r="CM427" s="1605"/>
      <c r="CN427" s="1605"/>
      <c r="CO427" s="1605"/>
      <c r="CP427" s="1605"/>
      <c r="CQ427" s="1605"/>
      <c r="CR427" s="1605"/>
      <c r="CS427" s="1605"/>
      <c r="CT427" s="1605"/>
      <c r="CU427" s="1605"/>
      <c r="CV427" s="1605"/>
      <c r="CW427" s="1605"/>
      <c r="CX427" s="1605"/>
      <c r="CY427" s="1605"/>
      <c r="CZ427" s="1605"/>
      <c r="DA427" s="1605"/>
      <c r="DB427" s="1605"/>
      <c r="DC427" s="1605"/>
      <c r="DD427" s="1605"/>
      <c r="DE427" s="1605"/>
      <c r="DF427" s="1605"/>
      <c r="DG427" s="1605"/>
      <c r="DH427" s="1605"/>
      <c r="DI427" s="1605"/>
      <c r="DJ427" s="1605"/>
      <c r="DK427" s="1605"/>
      <c r="DL427" s="1605"/>
      <c r="DM427" s="1605"/>
      <c r="DN427" s="1605"/>
      <c r="DO427" s="1605"/>
      <c r="DP427" s="1605"/>
      <c r="DQ427" s="1605"/>
      <c r="DR427" s="1605"/>
      <c r="DS427" s="1605"/>
      <c r="DT427" s="1605"/>
      <c r="DU427" s="1605"/>
      <c r="DV427" s="1605"/>
      <c r="DW427" s="1605"/>
      <c r="DX427" s="1605"/>
      <c r="DY427" s="1605"/>
      <c r="DZ427" s="1605"/>
      <c r="EA427" s="1605"/>
      <c r="EB427" s="1605"/>
      <c r="EC427" s="1605"/>
      <c r="ED427" s="1605"/>
      <c r="EE427" s="1605"/>
      <c r="EF427" s="1605"/>
      <c r="EG427" s="1605"/>
      <c r="EH427" s="1605"/>
      <c r="EI427" s="1605"/>
      <c r="EJ427" s="1605"/>
      <c r="EK427" s="1605"/>
      <c r="EL427" s="1605"/>
      <c r="EM427" s="1605"/>
      <c r="EN427" s="1605"/>
      <c r="EO427" s="1605"/>
      <c r="EP427" s="1605"/>
      <c r="EQ427" s="1605"/>
      <c r="ER427" s="1605"/>
      <c r="ES427" s="1605"/>
      <c r="ET427" s="1605"/>
      <c r="EU427" s="1605"/>
      <c r="EV427" s="1605"/>
      <c r="EW427" s="1605"/>
      <c r="EX427" s="1605"/>
      <c r="EY427" s="1605"/>
      <c r="EZ427" s="1605"/>
      <c r="FA427" s="1605"/>
      <c r="FB427" s="1605"/>
      <c r="FC427" s="1605"/>
      <c r="FD427" s="1605"/>
      <c r="FE427" s="1605"/>
      <c r="FF427" s="1605"/>
      <c r="FG427" s="1605"/>
      <c r="FH427" s="1605"/>
      <c r="FI427" s="1605"/>
      <c r="FJ427" s="1605"/>
      <c r="FK427" s="1605"/>
      <c r="FL427" s="1605"/>
      <c r="FM427" s="1605"/>
      <c r="FN427" s="1605"/>
      <c r="FO427" s="1605"/>
      <c r="FP427" s="1605"/>
      <c r="FQ427" s="1605"/>
      <c r="FR427" s="1605"/>
      <c r="FS427" s="1605"/>
      <c r="FT427" s="1605"/>
      <c r="FU427" s="1605"/>
      <c r="FV427" s="1605"/>
      <c r="FW427" s="1605"/>
      <c r="FX427" s="1605"/>
      <c r="FY427" s="1605"/>
      <c r="FZ427" s="1605"/>
      <c r="GA427" s="1605"/>
      <c r="GB427" s="1605"/>
      <c r="GC427" s="1605"/>
      <c r="GD427" s="1605"/>
      <c r="GE427" s="1605"/>
      <c r="GF427" s="1605"/>
      <c r="GG427" s="1605"/>
      <c r="GH427" s="1605"/>
      <c r="GI427" s="1605"/>
      <c r="GJ427" s="1605"/>
      <c r="GK427" s="1605"/>
      <c r="GL427" s="1605"/>
      <c r="GM427" s="1605"/>
      <c r="GN427" s="1605"/>
      <c r="GO427" s="1605"/>
      <c r="GP427" s="1605"/>
      <c r="GQ427" s="1605"/>
      <c r="GR427" s="1605"/>
      <c r="GS427" s="1605"/>
      <c r="GT427" s="1605"/>
      <c r="GU427" s="1605"/>
      <c r="GV427" s="1605"/>
      <c r="GW427" s="1605"/>
      <c r="GX427" s="1605"/>
      <c r="GY427" s="1605"/>
      <c r="GZ427" s="1605"/>
      <c r="HA427" s="1605"/>
      <c r="HB427" s="1605"/>
      <c r="HC427" s="1605"/>
      <c r="HD427" s="1605"/>
      <c r="HE427" s="1605"/>
      <c r="HF427" s="1605"/>
      <c r="HG427" s="1605"/>
      <c r="HH427" s="1605"/>
      <c r="HI427" s="1605"/>
      <c r="HJ427" s="1605"/>
      <c r="HK427" s="1605"/>
      <c r="HL427" s="1605"/>
      <c r="HM427" s="1605"/>
      <c r="HN427" s="1605"/>
      <c r="HO427" s="1605"/>
      <c r="HP427" s="1605"/>
      <c r="HQ427" s="1605"/>
      <c r="HR427" s="1605"/>
      <c r="HS427" s="1605"/>
      <c r="HT427" s="1605"/>
      <c r="HU427" s="1605"/>
      <c r="HV427" s="1605"/>
      <c r="HW427" s="1605"/>
      <c r="HX427" s="1605"/>
      <c r="HY427" s="1605"/>
      <c r="HZ427" s="1605"/>
      <c r="IA427" s="1605"/>
      <c r="IB427" s="1605"/>
      <c r="IC427" s="1605"/>
      <c r="ID427" s="1605"/>
      <c r="IE427" s="1605"/>
      <c r="IF427" s="1605"/>
      <c r="IG427" s="1605"/>
      <c r="IH427" s="1605"/>
      <c r="II427" s="1605"/>
      <c r="IJ427" s="1605"/>
      <c r="IK427" s="1605"/>
      <c r="IL427" s="1605"/>
      <c r="IM427" s="1605"/>
      <c r="IN427" s="1605"/>
      <c r="IO427" s="1605"/>
      <c r="IP427" s="1605"/>
      <c r="IQ427" s="1605"/>
      <c r="IR427" s="1605"/>
      <c r="IS427" s="1605"/>
      <c r="IT427" s="1605"/>
      <c r="IU427" s="1605"/>
      <c r="IV427" s="1605"/>
      <c r="IW427" s="1605"/>
      <c r="IX427" s="1605"/>
      <c r="IY427" s="1605"/>
      <c r="IZ427" s="1605"/>
      <c r="JA427" s="1605"/>
      <c r="JB427" s="1605"/>
      <c r="JC427" s="1605"/>
      <c r="JD427" s="1605"/>
      <c r="JE427" s="1605"/>
      <c r="JF427" s="1605"/>
      <c r="JG427" s="1605"/>
      <c r="JH427" s="1605"/>
      <c r="JI427" s="1605"/>
      <c r="JJ427" s="1605"/>
      <c r="JK427" s="1605"/>
      <c r="JL427" s="1605"/>
      <c r="JM427" s="1605"/>
      <c r="JN427" s="1605"/>
      <c r="JO427" s="1605"/>
      <c r="JP427" s="1605"/>
      <c r="JQ427" s="1605"/>
      <c r="JR427" s="1605"/>
      <c r="JS427" s="1605"/>
      <c r="JT427" s="1605"/>
      <c r="JU427" s="1605"/>
      <c r="JV427" s="1605"/>
      <c r="JW427" s="1605"/>
      <c r="JX427" s="1605"/>
      <c r="JY427" s="1605"/>
      <c r="JZ427" s="1605"/>
      <c r="KA427" s="1605"/>
      <c r="KB427" s="1606"/>
    </row>
    <row r="428" spans="1:289" ht="15" customHeight="1" x14ac:dyDescent="0.25">
      <c r="B428" s="216" t="str">
        <f t="shared" si="36"/>
        <v>Desk 4</v>
      </c>
      <c r="C428" s="218" t="str">
        <v/>
      </c>
      <c r="D428" s="218" t="str">
        <v/>
      </c>
      <c r="E428" s="218" t="str">
        <v/>
      </c>
      <c r="F428" s="218" t="str">
        <v/>
      </c>
      <c r="G428" s="402" t="str">
        <v/>
      </c>
      <c r="H428" s="1605"/>
      <c r="I428" s="1605"/>
      <c r="J428" s="1605"/>
      <c r="K428" s="1605"/>
      <c r="L428" s="1605"/>
      <c r="M428" s="1605"/>
      <c r="N428" s="1605"/>
      <c r="O428" s="1605"/>
      <c r="P428" s="1605"/>
      <c r="Q428" s="1605"/>
      <c r="R428" s="1605"/>
      <c r="S428" s="1605"/>
      <c r="T428" s="1605"/>
      <c r="U428" s="1605"/>
      <c r="V428" s="1605"/>
      <c r="W428" s="1605"/>
      <c r="X428" s="1605"/>
      <c r="Y428" s="1605"/>
      <c r="Z428" s="1605"/>
      <c r="AA428" s="1605"/>
      <c r="AB428" s="1605"/>
      <c r="AC428" s="1605"/>
      <c r="AD428" s="1605"/>
      <c r="AE428" s="1605"/>
      <c r="AF428" s="1605"/>
      <c r="AG428" s="1605"/>
      <c r="AH428" s="1605"/>
      <c r="AI428" s="1605"/>
      <c r="AJ428" s="1605"/>
      <c r="AK428" s="1605"/>
      <c r="AL428" s="1605"/>
      <c r="AM428" s="1605"/>
      <c r="AN428" s="1605"/>
      <c r="AO428" s="1605"/>
      <c r="AP428" s="1605"/>
      <c r="AQ428" s="1605"/>
      <c r="AR428" s="1605"/>
      <c r="AS428" s="1605"/>
      <c r="AT428" s="1605"/>
      <c r="AU428" s="1605"/>
      <c r="AV428" s="1605"/>
      <c r="AW428" s="1605"/>
      <c r="AX428" s="1605"/>
      <c r="AY428" s="1605"/>
      <c r="AZ428" s="1605"/>
      <c r="BA428" s="1605"/>
      <c r="BB428" s="1605"/>
      <c r="BC428" s="1605"/>
      <c r="BD428" s="1605"/>
      <c r="BE428" s="1605"/>
      <c r="BF428" s="1605"/>
      <c r="BG428" s="1605"/>
      <c r="BH428" s="1605"/>
      <c r="BI428" s="1605"/>
      <c r="BJ428" s="1605"/>
      <c r="BK428" s="1605"/>
      <c r="BL428" s="1605"/>
      <c r="BM428" s="1605"/>
      <c r="BN428" s="1605"/>
      <c r="BO428" s="1605"/>
      <c r="BP428" s="1605"/>
      <c r="BQ428" s="1605"/>
      <c r="BR428" s="1605"/>
      <c r="BS428" s="1605"/>
      <c r="BT428" s="1605"/>
      <c r="BU428" s="1605"/>
      <c r="BV428" s="1605"/>
      <c r="BW428" s="1605"/>
      <c r="BX428" s="1605"/>
      <c r="BY428" s="1605"/>
      <c r="BZ428" s="1605"/>
      <c r="CA428" s="1605"/>
      <c r="CB428" s="1605"/>
      <c r="CC428" s="1605"/>
      <c r="CD428" s="1605"/>
      <c r="CE428" s="1605"/>
      <c r="CF428" s="1605"/>
      <c r="CG428" s="1605"/>
      <c r="CH428" s="1605"/>
      <c r="CI428" s="1605"/>
      <c r="CJ428" s="1605"/>
      <c r="CK428" s="1605"/>
      <c r="CL428" s="1605"/>
      <c r="CM428" s="1605"/>
      <c r="CN428" s="1605"/>
      <c r="CO428" s="1605"/>
      <c r="CP428" s="1605"/>
      <c r="CQ428" s="1605"/>
      <c r="CR428" s="1605"/>
      <c r="CS428" s="1605"/>
      <c r="CT428" s="1605"/>
      <c r="CU428" s="1605"/>
      <c r="CV428" s="1605"/>
      <c r="CW428" s="1605"/>
      <c r="CX428" s="1605"/>
      <c r="CY428" s="1605"/>
      <c r="CZ428" s="1605"/>
      <c r="DA428" s="1605"/>
      <c r="DB428" s="1605"/>
      <c r="DC428" s="1605"/>
      <c r="DD428" s="1605"/>
      <c r="DE428" s="1605"/>
      <c r="DF428" s="1605"/>
      <c r="DG428" s="1605"/>
      <c r="DH428" s="1605"/>
      <c r="DI428" s="1605"/>
      <c r="DJ428" s="1605"/>
      <c r="DK428" s="1605"/>
      <c r="DL428" s="1605"/>
      <c r="DM428" s="1605"/>
      <c r="DN428" s="1605"/>
      <c r="DO428" s="1605"/>
      <c r="DP428" s="1605"/>
      <c r="DQ428" s="1605"/>
      <c r="DR428" s="1605"/>
      <c r="DS428" s="1605"/>
      <c r="DT428" s="1605"/>
      <c r="DU428" s="1605"/>
      <c r="DV428" s="1605"/>
      <c r="DW428" s="1605"/>
      <c r="DX428" s="1605"/>
      <c r="DY428" s="1605"/>
      <c r="DZ428" s="1605"/>
      <c r="EA428" s="1605"/>
      <c r="EB428" s="1605"/>
      <c r="EC428" s="1605"/>
      <c r="ED428" s="1605"/>
      <c r="EE428" s="1605"/>
      <c r="EF428" s="1605"/>
      <c r="EG428" s="1605"/>
      <c r="EH428" s="1605"/>
      <c r="EI428" s="1605"/>
      <c r="EJ428" s="1605"/>
      <c r="EK428" s="1605"/>
      <c r="EL428" s="1605"/>
      <c r="EM428" s="1605"/>
      <c r="EN428" s="1605"/>
      <c r="EO428" s="1605"/>
      <c r="EP428" s="1605"/>
      <c r="EQ428" s="1605"/>
      <c r="ER428" s="1605"/>
      <c r="ES428" s="1605"/>
      <c r="ET428" s="1605"/>
      <c r="EU428" s="1605"/>
      <c r="EV428" s="1605"/>
      <c r="EW428" s="1605"/>
      <c r="EX428" s="1605"/>
      <c r="EY428" s="1605"/>
      <c r="EZ428" s="1605"/>
      <c r="FA428" s="1605"/>
      <c r="FB428" s="1605"/>
      <c r="FC428" s="1605"/>
      <c r="FD428" s="1605"/>
      <c r="FE428" s="1605"/>
      <c r="FF428" s="1605"/>
      <c r="FG428" s="1605"/>
      <c r="FH428" s="1605"/>
      <c r="FI428" s="1605"/>
      <c r="FJ428" s="1605"/>
      <c r="FK428" s="1605"/>
      <c r="FL428" s="1605"/>
      <c r="FM428" s="1605"/>
      <c r="FN428" s="1605"/>
      <c r="FO428" s="1605"/>
      <c r="FP428" s="1605"/>
      <c r="FQ428" s="1605"/>
      <c r="FR428" s="1605"/>
      <c r="FS428" s="1605"/>
      <c r="FT428" s="1605"/>
      <c r="FU428" s="1605"/>
      <c r="FV428" s="1605"/>
      <c r="FW428" s="1605"/>
      <c r="FX428" s="1605"/>
      <c r="FY428" s="1605"/>
      <c r="FZ428" s="1605"/>
      <c r="GA428" s="1605"/>
      <c r="GB428" s="1605"/>
      <c r="GC428" s="1605"/>
      <c r="GD428" s="1605"/>
      <c r="GE428" s="1605"/>
      <c r="GF428" s="1605"/>
      <c r="GG428" s="1605"/>
      <c r="GH428" s="1605"/>
      <c r="GI428" s="1605"/>
      <c r="GJ428" s="1605"/>
      <c r="GK428" s="1605"/>
      <c r="GL428" s="1605"/>
      <c r="GM428" s="1605"/>
      <c r="GN428" s="1605"/>
      <c r="GO428" s="1605"/>
      <c r="GP428" s="1605"/>
      <c r="GQ428" s="1605"/>
      <c r="GR428" s="1605"/>
      <c r="GS428" s="1605"/>
      <c r="GT428" s="1605"/>
      <c r="GU428" s="1605"/>
      <c r="GV428" s="1605"/>
      <c r="GW428" s="1605"/>
      <c r="GX428" s="1605"/>
      <c r="GY428" s="1605"/>
      <c r="GZ428" s="1605"/>
      <c r="HA428" s="1605"/>
      <c r="HB428" s="1605"/>
      <c r="HC428" s="1605"/>
      <c r="HD428" s="1605"/>
      <c r="HE428" s="1605"/>
      <c r="HF428" s="1605"/>
      <c r="HG428" s="1605"/>
      <c r="HH428" s="1605"/>
      <c r="HI428" s="1605"/>
      <c r="HJ428" s="1605"/>
      <c r="HK428" s="1605"/>
      <c r="HL428" s="1605"/>
      <c r="HM428" s="1605"/>
      <c r="HN428" s="1605"/>
      <c r="HO428" s="1605"/>
      <c r="HP428" s="1605"/>
      <c r="HQ428" s="1605"/>
      <c r="HR428" s="1605"/>
      <c r="HS428" s="1605"/>
      <c r="HT428" s="1605"/>
      <c r="HU428" s="1605"/>
      <c r="HV428" s="1605"/>
      <c r="HW428" s="1605"/>
      <c r="HX428" s="1605"/>
      <c r="HY428" s="1605"/>
      <c r="HZ428" s="1605"/>
      <c r="IA428" s="1605"/>
      <c r="IB428" s="1605"/>
      <c r="IC428" s="1605"/>
      <c r="ID428" s="1605"/>
      <c r="IE428" s="1605"/>
      <c r="IF428" s="1605"/>
      <c r="IG428" s="1605"/>
      <c r="IH428" s="1605"/>
      <c r="II428" s="1605"/>
      <c r="IJ428" s="1605"/>
      <c r="IK428" s="1605"/>
      <c r="IL428" s="1605"/>
      <c r="IM428" s="1605"/>
      <c r="IN428" s="1605"/>
      <c r="IO428" s="1605"/>
      <c r="IP428" s="1605"/>
      <c r="IQ428" s="1605"/>
      <c r="IR428" s="1605"/>
      <c r="IS428" s="1605"/>
      <c r="IT428" s="1605"/>
      <c r="IU428" s="1605"/>
      <c r="IV428" s="1605"/>
      <c r="IW428" s="1605"/>
      <c r="IX428" s="1605"/>
      <c r="IY428" s="1605"/>
      <c r="IZ428" s="1605"/>
      <c r="JA428" s="1605"/>
      <c r="JB428" s="1605"/>
      <c r="JC428" s="1605"/>
      <c r="JD428" s="1605"/>
      <c r="JE428" s="1605"/>
      <c r="JF428" s="1605"/>
      <c r="JG428" s="1605"/>
      <c r="JH428" s="1605"/>
      <c r="JI428" s="1605"/>
      <c r="JJ428" s="1605"/>
      <c r="JK428" s="1605"/>
      <c r="JL428" s="1605"/>
      <c r="JM428" s="1605"/>
      <c r="JN428" s="1605"/>
      <c r="JO428" s="1605"/>
      <c r="JP428" s="1605"/>
      <c r="JQ428" s="1605"/>
      <c r="JR428" s="1605"/>
      <c r="JS428" s="1605"/>
      <c r="JT428" s="1605"/>
      <c r="JU428" s="1605"/>
      <c r="JV428" s="1605"/>
      <c r="JW428" s="1605"/>
      <c r="JX428" s="1605"/>
      <c r="JY428" s="1605"/>
      <c r="JZ428" s="1605"/>
      <c r="KA428" s="1605"/>
      <c r="KB428" s="1606"/>
    </row>
    <row r="429" spans="1:289" ht="15" customHeight="1" x14ac:dyDescent="0.25">
      <c r="B429" s="216" t="str">
        <f t="shared" si="36"/>
        <v>Desk 5</v>
      </c>
      <c r="C429" s="218" t="str">
        <v/>
      </c>
      <c r="D429" s="218" t="str">
        <v/>
      </c>
      <c r="E429" s="218" t="str">
        <v/>
      </c>
      <c r="F429" s="218" t="str">
        <v/>
      </c>
      <c r="G429" s="402" t="str">
        <v/>
      </c>
      <c r="H429" s="1605"/>
      <c r="I429" s="1605"/>
      <c r="J429" s="1605"/>
      <c r="K429" s="1605"/>
      <c r="L429" s="1605"/>
      <c r="M429" s="1605"/>
      <c r="N429" s="1605"/>
      <c r="O429" s="1605"/>
      <c r="P429" s="1605"/>
      <c r="Q429" s="1605"/>
      <c r="R429" s="1605"/>
      <c r="S429" s="1605"/>
      <c r="T429" s="1605"/>
      <c r="U429" s="1605"/>
      <c r="V429" s="1605"/>
      <c r="W429" s="1605"/>
      <c r="X429" s="1605"/>
      <c r="Y429" s="1605"/>
      <c r="Z429" s="1605"/>
      <c r="AA429" s="1605"/>
      <c r="AB429" s="1605"/>
      <c r="AC429" s="1605"/>
      <c r="AD429" s="1605"/>
      <c r="AE429" s="1605"/>
      <c r="AF429" s="1605"/>
      <c r="AG429" s="1605"/>
      <c r="AH429" s="1605"/>
      <c r="AI429" s="1605"/>
      <c r="AJ429" s="1605"/>
      <c r="AK429" s="1605"/>
      <c r="AL429" s="1605"/>
      <c r="AM429" s="1605"/>
      <c r="AN429" s="1605"/>
      <c r="AO429" s="1605"/>
      <c r="AP429" s="1605"/>
      <c r="AQ429" s="1605"/>
      <c r="AR429" s="1605"/>
      <c r="AS429" s="1605"/>
      <c r="AT429" s="1605"/>
      <c r="AU429" s="1605"/>
      <c r="AV429" s="1605"/>
      <c r="AW429" s="1605"/>
      <c r="AX429" s="1605"/>
      <c r="AY429" s="1605"/>
      <c r="AZ429" s="1605"/>
      <c r="BA429" s="1605"/>
      <c r="BB429" s="1605"/>
      <c r="BC429" s="1605"/>
      <c r="BD429" s="1605"/>
      <c r="BE429" s="1605"/>
      <c r="BF429" s="1605"/>
      <c r="BG429" s="1605"/>
      <c r="BH429" s="1605"/>
      <c r="BI429" s="1605"/>
      <c r="BJ429" s="1605"/>
      <c r="BK429" s="1605"/>
      <c r="BL429" s="1605"/>
      <c r="BM429" s="1605"/>
      <c r="BN429" s="1605"/>
      <c r="BO429" s="1605"/>
      <c r="BP429" s="1605"/>
      <c r="BQ429" s="1605"/>
      <c r="BR429" s="1605"/>
      <c r="BS429" s="1605"/>
      <c r="BT429" s="1605"/>
      <c r="BU429" s="1605"/>
      <c r="BV429" s="1605"/>
      <c r="BW429" s="1605"/>
      <c r="BX429" s="1605"/>
      <c r="BY429" s="1605"/>
      <c r="BZ429" s="1605"/>
      <c r="CA429" s="1605"/>
      <c r="CB429" s="1605"/>
      <c r="CC429" s="1605"/>
      <c r="CD429" s="1605"/>
      <c r="CE429" s="1605"/>
      <c r="CF429" s="1605"/>
      <c r="CG429" s="1605"/>
      <c r="CH429" s="1605"/>
      <c r="CI429" s="1605"/>
      <c r="CJ429" s="1605"/>
      <c r="CK429" s="1605"/>
      <c r="CL429" s="1605"/>
      <c r="CM429" s="1605"/>
      <c r="CN429" s="1605"/>
      <c r="CO429" s="1605"/>
      <c r="CP429" s="1605"/>
      <c r="CQ429" s="1605"/>
      <c r="CR429" s="1605"/>
      <c r="CS429" s="1605"/>
      <c r="CT429" s="1605"/>
      <c r="CU429" s="1605"/>
      <c r="CV429" s="1605"/>
      <c r="CW429" s="1605"/>
      <c r="CX429" s="1605"/>
      <c r="CY429" s="1605"/>
      <c r="CZ429" s="1605"/>
      <c r="DA429" s="1605"/>
      <c r="DB429" s="1605"/>
      <c r="DC429" s="1605"/>
      <c r="DD429" s="1605"/>
      <c r="DE429" s="1605"/>
      <c r="DF429" s="1605"/>
      <c r="DG429" s="1605"/>
      <c r="DH429" s="1605"/>
      <c r="DI429" s="1605"/>
      <c r="DJ429" s="1605"/>
      <c r="DK429" s="1605"/>
      <c r="DL429" s="1605"/>
      <c r="DM429" s="1605"/>
      <c r="DN429" s="1605"/>
      <c r="DO429" s="1605"/>
      <c r="DP429" s="1605"/>
      <c r="DQ429" s="1605"/>
      <c r="DR429" s="1605"/>
      <c r="DS429" s="1605"/>
      <c r="DT429" s="1605"/>
      <c r="DU429" s="1605"/>
      <c r="DV429" s="1605"/>
      <c r="DW429" s="1605"/>
      <c r="DX429" s="1605"/>
      <c r="DY429" s="1605"/>
      <c r="DZ429" s="1605"/>
      <c r="EA429" s="1605"/>
      <c r="EB429" s="1605"/>
      <c r="EC429" s="1605"/>
      <c r="ED429" s="1605"/>
      <c r="EE429" s="1605"/>
      <c r="EF429" s="1605"/>
      <c r="EG429" s="1605"/>
      <c r="EH429" s="1605"/>
      <c r="EI429" s="1605"/>
      <c r="EJ429" s="1605"/>
      <c r="EK429" s="1605"/>
      <c r="EL429" s="1605"/>
      <c r="EM429" s="1605"/>
      <c r="EN429" s="1605"/>
      <c r="EO429" s="1605"/>
      <c r="EP429" s="1605"/>
      <c r="EQ429" s="1605"/>
      <c r="ER429" s="1605"/>
      <c r="ES429" s="1605"/>
      <c r="ET429" s="1605"/>
      <c r="EU429" s="1605"/>
      <c r="EV429" s="1605"/>
      <c r="EW429" s="1605"/>
      <c r="EX429" s="1605"/>
      <c r="EY429" s="1605"/>
      <c r="EZ429" s="1605"/>
      <c r="FA429" s="1605"/>
      <c r="FB429" s="1605"/>
      <c r="FC429" s="1605"/>
      <c r="FD429" s="1605"/>
      <c r="FE429" s="1605"/>
      <c r="FF429" s="1605"/>
      <c r="FG429" s="1605"/>
      <c r="FH429" s="1605"/>
      <c r="FI429" s="1605"/>
      <c r="FJ429" s="1605"/>
      <c r="FK429" s="1605"/>
      <c r="FL429" s="1605"/>
      <c r="FM429" s="1605"/>
      <c r="FN429" s="1605"/>
      <c r="FO429" s="1605"/>
      <c r="FP429" s="1605"/>
      <c r="FQ429" s="1605"/>
      <c r="FR429" s="1605"/>
      <c r="FS429" s="1605"/>
      <c r="FT429" s="1605"/>
      <c r="FU429" s="1605"/>
      <c r="FV429" s="1605"/>
      <c r="FW429" s="1605"/>
      <c r="FX429" s="1605"/>
      <c r="FY429" s="1605"/>
      <c r="FZ429" s="1605"/>
      <c r="GA429" s="1605"/>
      <c r="GB429" s="1605"/>
      <c r="GC429" s="1605"/>
      <c r="GD429" s="1605"/>
      <c r="GE429" s="1605"/>
      <c r="GF429" s="1605"/>
      <c r="GG429" s="1605"/>
      <c r="GH429" s="1605"/>
      <c r="GI429" s="1605"/>
      <c r="GJ429" s="1605"/>
      <c r="GK429" s="1605"/>
      <c r="GL429" s="1605"/>
      <c r="GM429" s="1605"/>
      <c r="GN429" s="1605"/>
      <c r="GO429" s="1605"/>
      <c r="GP429" s="1605"/>
      <c r="GQ429" s="1605"/>
      <c r="GR429" s="1605"/>
      <c r="GS429" s="1605"/>
      <c r="GT429" s="1605"/>
      <c r="GU429" s="1605"/>
      <c r="GV429" s="1605"/>
      <c r="GW429" s="1605"/>
      <c r="GX429" s="1605"/>
      <c r="GY429" s="1605"/>
      <c r="GZ429" s="1605"/>
      <c r="HA429" s="1605"/>
      <c r="HB429" s="1605"/>
      <c r="HC429" s="1605"/>
      <c r="HD429" s="1605"/>
      <c r="HE429" s="1605"/>
      <c r="HF429" s="1605"/>
      <c r="HG429" s="1605"/>
      <c r="HH429" s="1605"/>
      <c r="HI429" s="1605"/>
      <c r="HJ429" s="1605"/>
      <c r="HK429" s="1605"/>
      <c r="HL429" s="1605"/>
      <c r="HM429" s="1605"/>
      <c r="HN429" s="1605"/>
      <c r="HO429" s="1605"/>
      <c r="HP429" s="1605"/>
      <c r="HQ429" s="1605"/>
      <c r="HR429" s="1605"/>
      <c r="HS429" s="1605"/>
      <c r="HT429" s="1605"/>
      <c r="HU429" s="1605"/>
      <c r="HV429" s="1605"/>
      <c r="HW429" s="1605"/>
      <c r="HX429" s="1605"/>
      <c r="HY429" s="1605"/>
      <c r="HZ429" s="1605"/>
      <c r="IA429" s="1605"/>
      <c r="IB429" s="1605"/>
      <c r="IC429" s="1605"/>
      <c r="ID429" s="1605"/>
      <c r="IE429" s="1605"/>
      <c r="IF429" s="1605"/>
      <c r="IG429" s="1605"/>
      <c r="IH429" s="1605"/>
      <c r="II429" s="1605"/>
      <c r="IJ429" s="1605"/>
      <c r="IK429" s="1605"/>
      <c r="IL429" s="1605"/>
      <c r="IM429" s="1605"/>
      <c r="IN429" s="1605"/>
      <c r="IO429" s="1605"/>
      <c r="IP429" s="1605"/>
      <c r="IQ429" s="1605"/>
      <c r="IR429" s="1605"/>
      <c r="IS429" s="1605"/>
      <c r="IT429" s="1605"/>
      <c r="IU429" s="1605"/>
      <c r="IV429" s="1605"/>
      <c r="IW429" s="1605"/>
      <c r="IX429" s="1605"/>
      <c r="IY429" s="1605"/>
      <c r="IZ429" s="1605"/>
      <c r="JA429" s="1605"/>
      <c r="JB429" s="1605"/>
      <c r="JC429" s="1605"/>
      <c r="JD429" s="1605"/>
      <c r="JE429" s="1605"/>
      <c r="JF429" s="1605"/>
      <c r="JG429" s="1605"/>
      <c r="JH429" s="1605"/>
      <c r="JI429" s="1605"/>
      <c r="JJ429" s="1605"/>
      <c r="JK429" s="1605"/>
      <c r="JL429" s="1605"/>
      <c r="JM429" s="1605"/>
      <c r="JN429" s="1605"/>
      <c r="JO429" s="1605"/>
      <c r="JP429" s="1605"/>
      <c r="JQ429" s="1605"/>
      <c r="JR429" s="1605"/>
      <c r="JS429" s="1605"/>
      <c r="JT429" s="1605"/>
      <c r="JU429" s="1605"/>
      <c r="JV429" s="1605"/>
      <c r="JW429" s="1605"/>
      <c r="JX429" s="1605"/>
      <c r="JY429" s="1605"/>
      <c r="JZ429" s="1605"/>
      <c r="KA429" s="1605"/>
      <c r="KB429" s="1606"/>
    </row>
    <row r="430" spans="1:289" ht="15" customHeight="1" x14ac:dyDescent="0.25">
      <c r="B430" s="216" t="str">
        <f t="shared" si="36"/>
        <v>Desk 6</v>
      </c>
      <c r="C430" s="218" t="str">
        <v/>
      </c>
      <c r="D430" s="218" t="str">
        <v/>
      </c>
      <c r="E430" s="218" t="str">
        <v/>
      </c>
      <c r="F430" s="218" t="str">
        <v/>
      </c>
      <c r="G430" s="402" t="str">
        <v/>
      </c>
      <c r="H430" s="1605"/>
      <c r="I430" s="1605"/>
      <c r="J430" s="1605"/>
      <c r="K430" s="1605"/>
      <c r="L430" s="1605"/>
      <c r="M430" s="1605"/>
      <c r="N430" s="1605"/>
      <c r="O430" s="1605"/>
      <c r="P430" s="1605"/>
      <c r="Q430" s="1605"/>
      <c r="R430" s="1605"/>
      <c r="S430" s="1605"/>
      <c r="T430" s="1605"/>
      <c r="U430" s="1605"/>
      <c r="V430" s="1605"/>
      <c r="W430" s="1605"/>
      <c r="X430" s="1605"/>
      <c r="Y430" s="1605"/>
      <c r="Z430" s="1605"/>
      <c r="AA430" s="1605"/>
      <c r="AB430" s="1605"/>
      <c r="AC430" s="1605"/>
      <c r="AD430" s="1605"/>
      <c r="AE430" s="1605"/>
      <c r="AF430" s="1605"/>
      <c r="AG430" s="1605"/>
      <c r="AH430" s="1605"/>
      <c r="AI430" s="1605"/>
      <c r="AJ430" s="1605"/>
      <c r="AK430" s="1605"/>
      <c r="AL430" s="1605"/>
      <c r="AM430" s="1605"/>
      <c r="AN430" s="1605"/>
      <c r="AO430" s="1605"/>
      <c r="AP430" s="1605"/>
      <c r="AQ430" s="1605"/>
      <c r="AR430" s="1605"/>
      <c r="AS430" s="1605"/>
      <c r="AT430" s="1605"/>
      <c r="AU430" s="1605"/>
      <c r="AV430" s="1605"/>
      <c r="AW430" s="1605"/>
      <c r="AX430" s="1605"/>
      <c r="AY430" s="1605"/>
      <c r="AZ430" s="1605"/>
      <c r="BA430" s="1605"/>
      <c r="BB430" s="1605"/>
      <c r="BC430" s="1605"/>
      <c r="BD430" s="1605"/>
      <c r="BE430" s="1605"/>
      <c r="BF430" s="1605"/>
      <c r="BG430" s="1605"/>
      <c r="BH430" s="1605"/>
      <c r="BI430" s="1605"/>
      <c r="BJ430" s="1605"/>
      <c r="BK430" s="1605"/>
      <c r="BL430" s="1605"/>
      <c r="BM430" s="1605"/>
      <c r="BN430" s="1605"/>
      <c r="BO430" s="1605"/>
      <c r="BP430" s="1605"/>
      <c r="BQ430" s="1605"/>
      <c r="BR430" s="1605"/>
      <c r="BS430" s="1605"/>
      <c r="BT430" s="1605"/>
      <c r="BU430" s="1605"/>
      <c r="BV430" s="1605"/>
      <c r="BW430" s="1605"/>
      <c r="BX430" s="1605"/>
      <c r="BY430" s="1605"/>
      <c r="BZ430" s="1605"/>
      <c r="CA430" s="1605"/>
      <c r="CB430" s="1605"/>
      <c r="CC430" s="1605"/>
      <c r="CD430" s="1605"/>
      <c r="CE430" s="1605"/>
      <c r="CF430" s="1605"/>
      <c r="CG430" s="1605"/>
      <c r="CH430" s="1605"/>
      <c r="CI430" s="1605"/>
      <c r="CJ430" s="1605"/>
      <c r="CK430" s="1605"/>
      <c r="CL430" s="1605"/>
      <c r="CM430" s="1605"/>
      <c r="CN430" s="1605"/>
      <c r="CO430" s="1605"/>
      <c r="CP430" s="1605"/>
      <c r="CQ430" s="1605"/>
      <c r="CR430" s="1605"/>
      <c r="CS430" s="1605"/>
      <c r="CT430" s="1605"/>
      <c r="CU430" s="1605"/>
      <c r="CV430" s="1605"/>
      <c r="CW430" s="1605"/>
      <c r="CX430" s="1605"/>
      <c r="CY430" s="1605"/>
      <c r="CZ430" s="1605"/>
      <c r="DA430" s="1605"/>
      <c r="DB430" s="1605"/>
      <c r="DC430" s="1605"/>
      <c r="DD430" s="1605"/>
      <c r="DE430" s="1605"/>
      <c r="DF430" s="1605"/>
      <c r="DG430" s="1605"/>
      <c r="DH430" s="1605"/>
      <c r="DI430" s="1605"/>
      <c r="DJ430" s="1605"/>
      <c r="DK430" s="1605"/>
      <c r="DL430" s="1605"/>
      <c r="DM430" s="1605"/>
      <c r="DN430" s="1605"/>
      <c r="DO430" s="1605"/>
      <c r="DP430" s="1605"/>
      <c r="DQ430" s="1605"/>
      <c r="DR430" s="1605"/>
      <c r="DS430" s="1605"/>
      <c r="DT430" s="1605"/>
      <c r="DU430" s="1605"/>
      <c r="DV430" s="1605"/>
      <c r="DW430" s="1605"/>
      <c r="DX430" s="1605"/>
      <c r="DY430" s="1605"/>
      <c r="DZ430" s="1605"/>
      <c r="EA430" s="1605"/>
      <c r="EB430" s="1605"/>
      <c r="EC430" s="1605"/>
      <c r="ED430" s="1605"/>
      <c r="EE430" s="1605"/>
      <c r="EF430" s="1605"/>
      <c r="EG430" s="1605"/>
      <c r="EH430" s="1605"/>
      <c r="EI430" s="1605"/>
      <c r="EJ430" s="1605"/>
      <c r="EK430" s="1605"/>
      <c r="EL430" s="1605"/>
      <c r="EM430" s="1605"/>
      <c r="EN430" s="1605"/>
      <c r="EO430" s="1605"/>
      <c r="EP430" s="1605"/>
      <c r="EQ430" s="1605"/>
      <c r="ER430" s="1605"/>
      <c r="ES430" s="1605"/>
      <c r="ET430" s="1605"/>
      <c r="EU430" s="1605"/>
      <c r="EV430" s="1605"/>
      <c r="EW430" s="1605"/>
      <c r="EX430" s="1605"/>
      <c r="EY430" s="1605"/>
      <c r="EZ430" s="1605"/>
      <c r="FA430" s="1605"/>
      <c r="FB430" s="1605"/>
      <c r="FC430" s="1605"/>
      <c r="FD430" s="1605"/>
      <c r="FE430" s="1605"/>
      <c r="FF430" s="1605"/>
      <c r="FG430" s="1605"/>
      <c r="FH430" s="1605"/>
      <c r="FI430" s="1605"/>
      <c r="FJ430" s="1605"/>
      <c r="FK430" s="1605"/>
      <c r="FL430" s="1605"/>
      <c r="FM430" s="1605"/>
      <c r="FN430" s="1605"/>
      <c r="FO430" s="1605"/>
      <c r="FP430" s="1605"/>
      <c r="FQ430" s="1605"/>
      <c r="FR430" s="1605"/>
      <c r="FS430" s="1605"/>
      <c r="FT430" s="1605"/>
      <c r="FU430" s="1605"/>
      <c r="FV430" s="1605"/>
      <c r="FW430" s="1605"/>
      <c r="FX430" s="1605"/>
      <c r="FY430" s="1605"/>
      <c r="FZ430" s="1605"/>
      <c r="GA430" s="1605"/>
      <c r="GB430" s="1605"/>
      <c r="GC430" s="1605"/>
      <c r="GD430" s="1605"/>
      <c r="GE430" s="1605"/>
      <c r="GF430" s="1605"/>
      <c r="GG430" s="1605"/>
      <c r="GH430" s="1605"/>
      <c r="GI430" s="1605"/>
      <c r="GJ430" s="1605"/>
      <c r="GK430" s="1605"/>
      <c r="GL430" s="1605"/>
      <c r="GM430" s="1605"/>
      <c r="GN430" s="1605"/>
      <c r="GO430" s="1605"/>
      <c r="GP430" s="1605"/>
      <c r="GQ430" s="1605"/>
      <c r="GR430" s="1605"/>
      <c r="GS430" s="1605"/>
      <c r="GT430" s="1605"/>
      <c r="GU430" s="1605"/>
      <c r="GV430" s="1605"/>
      <c r="GW430" s="1605"/>
      <c r="GX430" s="1605"/>
      <c r="GY430" s="1605"/>
      <c r="GZ430" s="1605"/>
      <c r="HA430" s="1605"/>
      <c r="HB430" s="1605"/>
      <c r="HC430" s="1605"/>
      <c r="HD430" s="1605"/>
      <c r="HE430" s="1605"/>
      <c r="HF430" s="1605"/>
      <c r="HG430" s="1605"/>
      <c r="HH430" s="1605"/>
      <c r="HI430" s="1605"/>
      <c r="HJ430" s="1605"/>
      <c r="HK430" s="1605"/>
      <c r="HL430" s="1605"/>
      <c r="HM430" s="1605"/>
      <c r="HN430" s="1605"/>
      <c r="HO430" s="1605"/>
      <c r="HP430" s="1605"/>
      <c r="HQ430" s="1605"/>
      <c r="HR430" s="1605"/>
      <c r="HS430" s="1605"/>
      <c r="HT430" s="1605"/>
      <c r="HU430" s="1605"/>
      <c r="HV430" s="1605"/>
      <c r="HW430" s="1605"/>
      <c r="HX430" s="1605"/>
      <c r="HY430" s="1605"/>
      <c r="HZ430" s="1605"/>
      <c r="IA430" s="1605"/>
      <c r="IB430" s="1605"/>
      <c r="IC430" s="1605"/>
      <c r="ID430" s="1605"/>
      <c r="IE430" s="1605"/>
      <c r="IF430" s="1605"/>
      <c r="IG430" s="1605"/>
      <c r="IH430" s="1605"/>
      <c r="II430" s="1605"/>
      <c r="IJ430" s="1605"/>
      <c r="IK430" s="1605"/>
      <c r="IL430" s="1605"/>
      <c r="IM430" s="1605"/>
      <c r="IN430" s="1605"/>
      <c r="IO430" s="1605"/>
      <c r="IP430" s="1605"/>
      <c r="IQ430" s="1605"/>
      <c r="IR430" s="1605"/>
      <c r="IS430" s="1605"/>
      <c r="IT430" s="1605"/>
      <c r="IU430" s="1605"/>
      <c r="IV430" s="1605"/>
      <c r="IW430" s="1605"/>
      <c r="IX430" s="1605"/>
      <c r="IY430" s="1605"/>
      <c r="IZ430" s="1605"/>
      <c r="JA430" s="1605"/>
      <c r="JB430" s="1605"/>
      <c r="JC430" s="1605"/>
      <c r="JD430" s="1605"/>
      <c r="JE430" s="1605"/>
      <c r="JF430" s="1605"/>
      <c r="JG430" s="1605"/>
      <c r="JH430" s="1605"/>
      <c r="JI430" s="1605"/>
      <c r="JJ430" s="1605"/>
      <c r="JK430" s="1605"/>
      <c r="JL430" s="1605"/>
      <c r="JM430" s="1605"/>
      <c r="JN430" s="1605"/>
      <c r="JO430" s="1605"/>
      <c r="JP430" s="1605"/>
      <c r="JQ430" s="1605"/>
      <c r="JR430" s="1605"/>
      <c r="JS430" s="1605"/>
      <c r="JT430" s="1605"/>
      <c r="JU430" s="1605"/>
      <c r="JV430" s="1605"/>
      <c r="JW430" s="1605"/>
      <c r="JX430" s="1605"/>
      <c r="JY430" s="1605"/>
      <c r="JZ430" s="1605"/>
      <c r="KA430" s="1605"/>
      <c r="KB430" s="1606"/>
    </row>
    <row r="431" spans="1:289" ht="15" customHeight="1" x14ac:dyDescent="0.25">
      <c r="B431" s="216" t="str">
        <f t="shared" si="36"/>
        <v>Desk 7</v>
      </c>
      <c r="C431" s="218" t="str">
        <v/>
      </c>
      <c r="D431" s="218" t="str">
        <v/>
      </c>
      <c r="E431" s="218" t="str">
        <v/>
      </c>
      <c r="F431" s="218" t="str">
        <v/>
      </c>
      <c r="G431" s="402" t="str">
        <v/>
      </c>
      <c r="H431" s="1605"/>
      <c r="I431" s="1605"/>
      <c r="J431" s="1605"/>
      <c r="K431" s="1605"/>
      <c r="L431" s="1605"/>
      <c r="M431" s="1605"/>
      <c r="N431" s="1605"/>
      <c r="O431" s="1605"/>
      <c r="P431" s="1605"/>
      <c r="Q431" s="1605"/>
      <c r="R431" s="1605"/>
      <c r="S431" s="1605"/>
      <c r="T431" s="1605"/>
      <c r="U431" s="1605"/>
      <c r="V431" s="1605"/>
      <c r="W431" s="1605"/>
      <c r="X431" s="1605"/>
      <c r="Y431" s="1605"/>
      <c r="Z431" s="1605"/>
      <c r="AA431" s="1605"/>
      <c r="AB431" s="1605"/>
      <c r="AC431" s="1605"/>
      <c r="AD431" s="1605"/>
      <c r="AE431" s="1605"/>
      <c r="AF431" s="1605"/>
      <c r="AG431" s="1605"/>
      <c r="AH431" s="1605"/>
      <c r="AI431" s="1605"/>
      <c r="AJ431" s="1605"/>
      <c r="AK431" s="1605"/>
      <c r="AL431" s="1605"/>
      <c r="AM431" s="1605"/>
      <c r="AN431" s="1605"/>
      <c r="AO431" s="1605"/>
      <c r="AP431" s="1605"/>
      <c r="AQ431" s="1605"/>
      <c r="AR431" s="1605"/>
      <c r="AS431" s="1605"/>
      <c r="AT431" s="1605"/>
      <c r="AU431" s="1605"/>
      <c r="AV431" s="1605"/>
      <c r="AW431" s="1605"/>
      <c r="AX431" s="1605"/>
      <c r="AY431" s="1605"/>
      <c r="AZ431" s="1605"/>
      <c r="BA431" s="1605"/>
      <c r="BB431" s="1605"/>
      <c r="BC431" s="1605"/>
      <c r="BD431" s="1605"/>
      <c r="BE431" s="1605"/>
      <c r="BF431" s="1605"/>
      <c r="BG431" s="1605"/>
      <c r="BH431" s="1605"/>
      <c r="BI431" s="1605"/>
      <c r="BJ431" s="1605"/>
      <c r="BK431" s="1605"/>
      <c r="BL431" s="1605"/>
      <c r="BM431" s="1605"/>
      <c r="BN431" s="1605"/>
      <c r="BO431" s="1605"/>
      <c r="BP431" s="1605"/>
      <c r="BQ431" s="1605"/>
      <c r="BR431" s="1605"/>
      <c r="BS431" s="1605"/>
      <c r="BT431" s="1605"/>
      <c r="BU431" s="1605"/>
      <c r="BV431" s="1605"/>
      <c r="BW431" s="1605"/>
      <c r="BX431" s="1605"/>
      <c r="BY431" s="1605"/>
      <c r="BZ431" s="1605"/>
      <c r="CA431" s="1605"/>
      <c r="CB431" s="1605"/>
      <c r="CC431" s="1605"/>
      <c r="CD431" s="1605"/>
      <c r="CE431" s="1605"/>
      <c r="CF431" s="1605"/>
      <c r="CG431" s="1605"/>
      <c r="CH431" s="1605"/>
      <c r="CI431" s="1605"/>
      <c r="CJ431" s="1605"/>
      <c r="CK431" s="1605"/>
      <c r="CL431" s="1605"/>
      <c r="CM431" s="1605"/>
      <c r="CN431" s="1605"/>
      <c r="CO431" s="1605"/>
      <c r="CP431" s="1605"/>
      <c r="CQ431" s="1605"/>
      <c r="CR431" s="1605"/>
      <c r="CS431" s="1605"/>
      <c r="CT431" s="1605"/>
      <c r="CU431" s="1605"/>
      <c r="CV431" s="1605"/>
      <c r="CW431" s="1605"/>
      <c r="CX431" s="1605"/>
      <c r="CY431" s="1605"/>
      <c r="CZ431" s="1605"/>
      <c r="DA431" s="1605"/>
      <c r="DB431" s="1605"/>
      <c r="DC431" s="1605"/>
      <c r="DD431" s="1605"/>
      <c r="DE431" s="1605"/>
      <c r="DF431" s="1605"/>
      <c r="DG431" s="1605"/>
      <c r="DH431" s="1605"/>
      <c r="DI431" s="1605"/>
      <c r="DJ431" s="1605"/>
      <c r="DK431" s="1605"/>
      <c r="DL431" s="1605"/>
      <c r="DM431" s="1605"/>
      <c r="DN431" s="1605"/>
      <c r="DO431" s="1605"/>
      <c r="DP431" s="1605"/>
      <c r="DQ431" s="1605"/>
      <c r="DR431" s="1605"/>
      <c r="DS431" s="1605"/>
      <c r="DT431" s="1605"/>
      <c r="DU431" s="1605"/>
      <c r="DV431" s="1605"/>
      <c r="DW431" s="1605"/>
      <c r="DX431" s="1605"/>
      <c r="DY431" s="1605"/>
      <c r="DZ431" s="1605"/>
      <c r="EA431" s="1605"/>
      <c r="EB431" s="1605"/>
      <c r="EC431" s="1605"/>
      <c r="ED431" s="1605"/>
      <c r="EE431" s="1605"/>
      <c r="EF431" s="1605"/>
      <c r="EG431" s="1605"/>
      <c r="EH431" s="1605"/>
      <c r="EI431" s="1605"/>
      <c r="EJ431" s="1605"/>
      <c r="EK431" s="1605"/>
      <c r="EL431" s="1605"/>
      <c r="EM431" s="1605"/>
      <c r="EN431" s="1605"/>
      <c r="EO431" s="1605"/>
      <c r="EP431" s="1605"/>
      <c r="EQ431" s="1605"/>
      <c r="ER431" s="1605"/>
      <c r="ES431" s="1605"/>
      <c r="ET431" s="1605"/>
      <c r="EU431" s="1605"/>
      <c r="EV431" s="1605"/>
      <c r="EW431" s="1605"/>
      <c r="EX431" s="1605"/>
      <c r="EY431" s="1605"/>
      <c r="EZ431" s="1605"/>
      <c r="FA431" s="1605"/>
      <c r="FB431" s="1605"/>
      <c r="FC431" s="1605"/>
      <c r="FD431" s="1605"/>
      <c r="FE431" s="1605"/>
      <c r="FF431" s="1605"/>
      <c r="FG431" s="1605"/>
      <c r="FH431" s="1605"/>
      <c r="FI431" s="1605"/>
      <c r="FJ431" s="1605"/>
      <c r="FK431" s="1605"/>
      <c r="FL431" s="1605"/>
      <c r="FM431" s="1605"/>
      <c r="FN431" s="1605"/>
      <c r="FO431" s="1605"/>
      <c r="FP431" s="1605"/>
      <c r="FQ431" s="1605"/>
      <c r="FR431" s="1605"/>
      <c r="FS431" s="1605"/>
      <c r="FT431" s="1605"/>
      <c r="FU431" s="1605"/>
      <c r="FV431" s="1605"/>
      <c r="FW431" s="1605"/>
      <c r="FX431" s="1605"/>
      <c r="FY431" s="1605"/>
      <c r="FZ431" s="1605"/>
      <c r="GA431" s="1605"/>
      <c r="GB431" s="1605"/>
      <c r="GC431" s="1605"/>
      <c r="GD431" s="1605"/>
      <c r="GE431" s="1605"/>
      <c r="GF431" s="1605"/>
      <c r="GG431" s="1605"/>
      <c r="GH431" s="1605"/>
      <c r="GI431" s="1605"/>
      <c r="GJ431" s="1605"/>
      <c r="GK431" s="1605"/>
      <c r="GL431" s="1605"/>
      <c r="GM431" s="1605"/>
      <c r="GN431" s="1605"/>
      <c r="GO431" s="1605"/>
      <c r="GP431" s="1605"/>
      <c r="GQ431" s="1605"/>
      <c r="GR431" s="1605"/>
      <c r="GS431" s="1605"/>
      <c r="GT431" s="1605"/>
      <c r="GU431" s="1605"/>
      <c r="GV431" s="1605"/>
      <c r="GW431" s="1605"/>
      <c r="GX431" s="1605"/>
      <c r="GY431" s="1605"/>
      <c r="GZ431" s="1605"/>
      <c r="HA431" s="1605"/>
      <c r="HB431" s="1605"/>
      <c r="HC431" s="1605"/>
      <c r="HD431" s="1605"/>
      <c r="HE431" s="1605"/>
      <c r="HF431" s="1605"/>
      <c r="HG431" s="1605"/>
      <c r="HH431" s="1605"/>
      <c r="HI431" s="1605"/>
      <c r="HJ431" s="1605"/>
      <c r="HK431" s="1605"/>
      <c r="HL431" s="1605"/>
      <c r="HM431" s="1605"/>
      <c r="HN431" s="1605"/>
      <c r="HO431" s="1605"/>
      <c r="HP431" s="1605"/>
      <c r="HQ431" s="1605"/>
      <c r="HR431" s="1605"/>
      <c r="HS431" s="1605"/>
      <c r="HT431" s="1605"/>
      <c r="HU431" s="1605"/>
      <c r="HV431" s="1605"/>
      <c r="HW431" s="1605"/>
      <c r="HX431" s="1605"/>
      <c r="HY431" s="1605"/>
      <c r="HZ431" s="1605"/>
      <c r="IA431" s="1605"/>
      <c r="IB431" s="1605"/>
      <c r="IC431" s="1605"/>
      <c r="ID431" s="1605"/>
      <c r="IE431" s="1605"/>
      <c r="IF431" s="1605"/>
      <c r="IG431" s="1605"/>
      <c r="IH431" s="1605"/>
      <c r="II431" s="1605"/>
      <c r="IJ431" s="1605"/>
      <c r="IK431" s="1605"/>
      <c r="IL431" s="1605"/>
      <c r="IM431" s="1605"/>
      <c r="IN431" s="1605"/>
      <c r="IO431" s="1605"/>
      <c r="IP431" s="1605"/>
      <c r="IQ431" s="1605"/>
      <c r="IR431" s="1605"/>
      <c r="IS431" s="1605"/>
      <c r="IT431" s="1605"/>
      <c r="IU431" s="1605"/>
      <c r="IV431" s="1605"/>
      <c r="IW431" s="1605"/>
      <c r="IX431" s="1605"/>
      <c r="IY431" s="1605"/>
      <c r="IZ431" s="1605"/>
      <c r="JA431" s="1605"/>
      <c r="JB431" s="1605"/>
      <c r="JC431" s="1605"/>
      <c r="JD431" s="1605"/>
      <c r="JE431" s="1605"/>
      <c r="JF431" s="1605"/>
      <c r="JG431" s="1605"/>
      <c r="JH431" s="1605"/>
      <c r="JI431" s="1605"/>
      <c r="JJ431" s="1605"/>
      <c r="JK431" s="1605"/>
      <c r="JL431" s="1605"/>
      <c r="JM431" s="1605"/>
      <c r="JN431" s="1605"/>
      <c r="JO431" s="1605"/>
      <c r="JP431" s="1605"/>
      <c r="JQ431" s="1605"/>
      <c r="JR431" s="1605"/>
      <c r="JS431" s="1605"/>
      <c r="JT431" s="1605"/>
      <c r="JU431" s="1605"/>
      <c r="JV431" s="1605"/>
      <c r="JW431" s="1605"/>
      <c r="JX431" s="1605"/>
      <c r="JY431" s="1605"/>
      <c r="JZ431" s="1605"/>
      <c r="KA431" s="1605"/>
      <c r="KB431" s="1606"/>
    </row>
    <row r="432" spans="1:289" ht="15" customHeight="1" x14ac:dyDescent="0.25">
      <c r="B432" s="216" t="str">
        <f t="shared" si="36"/>
        <v>Desk 8</v>
      </c>
      <c r="C432" s="218" t="str">
        <v/>
      </c>
      <c r="D432" s="218" t="str">
        <v/>
      </c>
      <c r="E432" s="218" t="str">
        <v/>
      </c>
      <c r="F432" s="218" t="str">
        <v/>
      </c>
      <c r="G432" s="402" t="str">
        <v/>
      </c>
      <c r="H432" s="1605"/>
      <c r="I432" s="1605"/>
      <c r="J432" s="1605"/>
      <c r="K432" s="1605"/>
      <c r="L432" s="1605"/>
      <c r="M432" s="1605"/>
      <c r="N432" s="1605"/>
      <c r="O432" s="1605"/>
      <c r="P432" s="1605"/>
      <c r="Q432" s="1605"/>
      <c r="R432" s="1605"/>
      <c r="S432" s="1605"/>
      <c r="T432" s="1605"/>
      <c r="U432" s="1605"/>
      <c r="V432" s="1605"/>
      <c r="W432" s="1605"/>
      <c r="X432" s="1605"/>
      <c r="Y432" s="1605"/>
      <c r="Z432" s="1605"/>
      <c r="AA432" s="1605"/>
      <c r="AB432" s="1605"/>
      <c r="AC432" s="1605"/>
      <c r="AD432" s="1605"/>
      <c r="AE432" s="1605"/>
      <c r="AF432" s="1605"/>
      <c r="AG432" s="1605"/>
      <c r="AH432" s="1605"/>
      <c r="AI432" s="1605"/>
      <c r="AJ432" s="1605"/>
      <c r="AK432" s="1605"/>
      <c r="AL432" s="1605"/>
      <c r="AM432" s="1605"/>
      <c r="AN432" s="1605"/>
      <c r="AO432" s="1605"/>
      <c r="AP432" s="1605"/>
      <c r="AQ432" s="1605"/>
      <c r="AR432" s="1605"/>
      <c r="AS432" s="1605"/>
      <c r="AT432" s="1605"/>
      <c r="AU432" s="1605"/>
      <c r="AV432" s="1605"/>
      <c r="AW432" s="1605"/>
      <c r="AX432" s="1605"/>
      <c r="AY432" s="1605"/>
      <c r="AZ432" s="1605"/>
      <c r="BA432" s="1605"/>
      <c r="BB432" s="1605"/>
      <c r="BC432" s="1605"/>
      <c r="BD432" s="1605"/>
      <c r="BE432" s="1605"/>
      <c r="BF432" s="1605"/>
      <c r="BG432" s="1605"/>
      <c r="BH432" s="1605"/>
      <c r="BI432" s="1605"/>
      <c r="BJ432" s="1605"/>
      <c r="BK432" s="1605"/>
      <c r="BL432" s="1605"/>
      <c r="BM432" s="1605"/>
      <c r="BN432" s="1605"/>
      <c r="BO432" s="1605"/>
      <c r="BP432" s="1605"/>
      <c r="BQ432" s="1605"/>
      <c r="BR432" s="1605"/>
      <c r="BS432" s="1605"/>
      <c r="BT432" s="1605"/>
      <c r="BU432" s="1605"/>
      <c r="BV432" s="1605"/>
      <c r="BW432" s="1605"/>
      <c r="BX432" s="1605"/>
      <c r="BY432" s="1605"/>
      <c r="BZ432" s="1605"/>
      <c r="CA432" s="1605"/>
      <c r="CB432" s="1605"/>
      <c r="CC432" s="1605"/>
      <c r="CD432" s="1605"/>
      <c r="CE432" s="1605"/>
      <c r="CF432" s="1605"/>
      <c r="CG432" s="1605"/>
      <c r="CH432" s="1605"/>
      <c r="CI432" s="1605"/>
      <c r="CJ432" s="1605"/>
      <c r="CK432" s="1605"/>
      <c r="CL432" s="1605"/>
      <c r="CM432" s="1605"/>
      <c r="CN432" s="1605"/>
      <c r="CO432" s="1605"/>
      <c r="CP432" s="1605"/>
      <c r="CQ432" s="1605"/>
      <c r="CR432" s="1605"/>
      <c r="CS432" s="1605"/>
      <c r="CT432" s="1605"/>
      <c r="CU432" s="1605"/>
      <c r="CV432" s="1605"/>
      <c r="CW432" s="1605"/>
      <c r="CX432" s="1605"/>
      <c r="CY432" s="1605"/>
      <c r="CZ432" s="1605"/>
      <c r="DA432" s="1605"/>
      <c r="DB432" s="1605"/>
      <c r="DC432" s="1605"/>
      <c r="DD432" s="1605"/>
      <c r="DE432" s="1605"/>
      <c r="DF432" s="1605"/>
      <c r="DG432" s="1605"/>
      <c r="DH432" s="1605"/>
      <c r="DI432" s="1605"/>
      <c r="DJ432" s="1605"/>
      <c r="DK432" s="1605"/>
      <c r="DL432" s="1605"/>
      <c r="DM432" s="1605"/>
      <c r="DN432" s="1605"/>
      <c r="DO432" s="1605"/>
      <c r="DP432" s="1605"/>
      <c r="DQ432" s="1605"/>
      <c r="DR432" s="1605"/>
      <c r="DS432" s="1605"/>
      <c r="DT432" s="1605"/>
      <c r="DU432" s="1605"/>
      <c r="DV432" s="1605"/>
      <c r="DW432" s="1605"/>
      <c r="DX432" s="1605"/>
      <c r="DY432" s="1605"/>
      <c r="DZ432" s="1605"/>
      <c r="EA432" s="1605"/>
      <c r="EB432" s="1605"/>
      <c r="EC432" s="1605"/>
      <c r="ED432" s="1605"/>
      <c r="EE432" s="1605"/>
      <c r="EF432" s="1605"/>
      <c r="EG432" s="1605"/>
      <c r="EH432" s="1605"/>
      <c r="EI432" s="1605"/>
      <c r="EJ432" s="1605"/>
      <c r="EK432" s="1605"/>
      <c r="EL432" s="1605"/>
      <c r="EM432" s="1605"/>
      <c r="EN432" s="1605"/>
      <c r="EO432" s="1605"/>
      <c r="EP432" s="1605"/>
      <c r="EQ432" s="1605"/>
      <c r="ER432" s="1605"/>
      <c r="ES432" s="1605"/>
      <c r="ET432" s="1605"/>
      <c r="EU432" s="1605"/>
      <c r="EV432" s="1605"/>
      <c r="EW432" s="1605"/>
      <c r="EX432" s="1605"/>
      <c r="EY432" s="1605"/>
      <c r="EZ432" s="1605"/>
      <c r="FA432" s="1605"/>
      <c r="FB432" s="1605"/>
      <c r="FC432" s="1605"/>
      <c r="FD432" s="1605"/>
      <c r="FE432" s="1605"/>
      <c r="FF432" s="1605"/>
      <c r="FG432" s="1605"/>
      <c r="FH432" s="1605"/>
      <c r="FI432" s="1605"/>
      <c r="FJ432" s="1605"/>
      <c r="FK432" s="1605"/>
      <c r="FL432" s="1605"/>
      <c r="FM432" s="1605"/>
      <c r="FN432" s="1605"/>
      <c r="FO432" s="1605"/>
      <c r="FP432" s="1605"/>
      <c r="FQ432" s="1605"/>
      <c r="FR432" s="1605"/>
      <c r="FS432" s="1605"/>
      <c r="FT432" s="1605"/>
      <c r="FU432" s="1605"/>
      <c r="FV432" s="1605"/>
      <c r="FW432" s="1605"/>
      <c r="FX432" s="1605"/>
      <c r="FY432" s="1605"/>
      <c r="FZ432" s="1605"/>
      <c r="GA432" s="1605"/>
      <c r="GB432" s="1605"/>
      <c r="GC432" s="1605"/>
      <c r="GD432" s="1605"/>
      <c r="GE432" s="1605"/>
      <c r="GF432" s="1605"/>
      <c r="GG432" s="1605"/>
      <c r="GH432" s="1605"/>
      <c r="GI432" s="1605"/>
      <c r="GJ432" s="1605"/>
      <c r="GK432" s="1605"/>
      <c r="GL432" s="1605"/>
      <c r="GM432" s="1605"/>
      <c r="GN432" s="1605"/>
      <c r="GO432" s="1605"/>
      <c r="GP432" s="1605"/>
      <c r="GQ432" s="1605"/>
      <c r="GR432" s="1605"/>
      <c r="GS432" s="1605"/>
      <c r="GT432" s="1605"/>
      <c r="GU432" s="1605"/>
      <c r="GV432" s="1605"/>
      <c r="GW432" s="1605"/>
      <c r="GX432" s="1605"/>
      <c r="GY432" s="1605"/>
      <c r="GZ432" s="1605"/>
      <c r="HA432" s="1605"/>
      <c r="HB432" s="1605"/>
      <c r="HC432" s="1605"/>
      <c r="HD432" s="1605"/>
      <c r="HE432" s="1605"/>
      <c r="HF432" s="1605"/>
      <c r="HG432" s="1605"/>
      <c r="HH432" s="1605"/>
      <c r="HI432" s="1605"/>
      <c r="HJ432" s="1605"/>
      <c r="HK432" s="1605"/>
      <c r="HL432" s="1605"/>
      <c r="HM432" s="1605"/>
      <c r="HN432" s="1605"/>
      <c r="HO432" s="1605"/>
      <c r="HP432" s="1605"/>
      <c r="HQ432" s="1605"/>
      <c r="HR432" s="1605"/>
      <c r="HS432" s="1605"/>
      <c r="HT432" s="1605"/>
      <c r="HU432" s="1605"/>
      <c r="HV432" s="1605"/>
      <c r="HW432" s="1605"/>
      <c r="HX432" s="1605"/>
      <c r="HY432" s="1605"/>
      <c r="HZ432" s="1605"/>
      <c r="IA432" s="1605"/>
      <c r="IB432" s="1605"/>
      <c r="IC432" s="1605"/>
      <c r="ID432" s="1605"/>
      <c r="IE432" s="1605"/>
      <c r="IF432" s="1605"/>
      <c r="IG432" s="1605"/>
      <c r="IH432" s="1605"/>
      <c r="II432" s="1605"/>
      <c r="IJ432" s="1605"/>
      <c r="IK432" s="1605"/>
      <c r="IL432" s="1605"/>
      <c r="IM432" s="1605"/>
      <c r="IN432" s="1605"/>
      <c r="IO432" s="1605"/>
      <c r="IP432" s="1605"/>
      <c r="IQ432" s="1605"/>
      <c r="IR432" s="1605"/>
      <c r="IS432" s="1605"/>
      <c r="IT432" s="1605"/>
      <c r="IU432" s="1605"/>
      <c r="IV432" s="1605"/>
      <c r="IW432" s="1605"/>
      <c r="IX432" s="1605"/>
      <c r="IY432" s="1605"/>
      <c r="IZ432" s="1605"/>
      <c r="JA432" s="1605"/>
      <c r="JB432" s="1605"/>
      <c r="JC432" s="1605"/>
      <c r="JD432" s="1605"/>
      <c r="JE432" s="1605"/>
      <c r="JF432" s="1605"/>
      <c r="JG432" s="1605"/>
      <c r="JH432" s="1605"/>
      <c r="JI432" s="1605"/>
      <c r="JJ432" s="1605"/>
      <c r="JK432" s="1605"/>
      <c r="JL432" s="1605"/>
      <c r="JM432" s="1605"/>
      <c r="JN432" s="1605"/>
      <c r="JO432" s="1605"/>
      <c r="JP432" s="1605"/>
      <c r="JQ432" s="1605"/>
      <c r="JR432" s="1605"/>
      <c r="JS432" s="1605"/>
      <c r="JT432" s="1605"/>
      <c r="JU432" s="1605"/>
      <c r="JV432" s="1605"/>
      <c r="JW432" s="1605"/>
      <c r="JX432" s="1605"/>
      <c r="JY432" s="1605"/>
      <c r="JZ432" s="1605"/>
      <c r="KA432" s="1605"/>
      <c r="KB432" s="1606"/>
    </row>
    <row r="433" spans="2:288" ht="15" customHeight="1" x14ac:dyDescent="0.25">
      <c r="B433" s="216" t="str">
        <f t="shared" si="36"/>
        <v>Desk 9</v>
      </c>
      <c r="C433" s="218" t="str">
        <v/>
      </c>
      <c r="D433" s="218" t="str">
        <v/>
      </c>
      <c r="E433" s="218" t="str">
        <v/>
      </c>
      <c r="F433" s="218" t="str">
        <v/>
      </c>
      <c r="G433" s="402" t="str">
        <v/>
      </c>
      <c r="H433" s="1605"/>
      <c r="I433" s="1605"/>
      <c r="J433" s="1605"/>
      <c r="K433" s="1605"/>
      <c r="L433" s="1605"/>
      <c r="M433" s="1605"/>
      <c r="N433" s="1605"/>
      <c r="O433" s="1605"/>
      <c r="P433" s="1605"/>
      <c r="Q433" s="1605"/>
      <c r="R433" s="1605"/>
      <c r="S433" s="1605"/>
      <c r="T433" s="1605"/>
      <c r="U433" s="1605"/>
      <c r="V433" s="1605"/>
      <c r="W433" s="1605"/>
      <c r="X433" s="1605"/>
      <c r="Y433" s="1605"/>
      <c r="Z433" s="1605"/>
      <c r="AA433" s="1605"/>
      <c r="AB433" s="1605"/>
      <c r="AC433" s="1605"/>
      <c r="AD433" s="1605"/>
      <c r="AE433" s="1605"/>
      <c r="AF433" s="1605"/>
      <c r="AG433" s="1605"/>
      <c r="AH433" s="1605"/>
      <c r="AI433" s="1605"/>
      <c r="AJ433" s="1605"/>
      <c r="AK433" s="1605"/>
      <c r="AL433" s="1605"/>
      <c r="AM433" s="1605"/>
      <c r="AN433" s="1605"/>
      <c r="AO433" s="1605"/>
      <c r="AP433" s="1605"/>
      <c r="AQ433" s="1605"/>
      <c r="AR433" s="1605"/>
      <c r="AS433" s="1605"/>
      <c r="AT433" s="1605"/>
      <c r="AU433" s="1605"/>
      <c r="AV433" s="1605"/>
      <c r="AW433" s="1605"/>
      <c r="AX433" s="1605"/>
      <c r="AY433" s="1605"/>
      <c r="AZ433" s="1605"/>
      <c r="BA433" s="1605"/>
      <c r="BB433" s="1605"/>
      <c r="BC433" s="1605"/>
      <c r="BD433" s="1605"/>
      <c r="BE433" s="1605"/>
      <c r="BF433" s="1605"/>
      <c r="BG433" s="1605"/>
      <c r="BH433" s="1605"/>
      <c r="BI433" s="1605"/>
      <c r="BJ433" s="1605"/>
      <c r="BK433" s="1605"/>
      <c r="BL433" s="1605"/>
      <c r="BM433" s="1605"/>
      <c r="BN433" s="1605"/>
      <c r="BO433" s="1605"/>
      <c r="BP433" s="1605"/>
      <c r="BQ433" s="1605"/>
      <c r="BR433" s="1605"/>
      <c r="BS433" s="1605"/>
      <c r="BT433" s="1605"/>
      <c r="BU433" s="1605"/>
      <c r="BV433" s="1605"/>
      <c r="BW433" s="1605"/>
      <c r="BX433" s="1605"/>
      <c r="BY433" s="1605"/>
      <c r="BZ433" s="1605"/>
      <c r="CA433" s="1605"/>
      <c r="CB433" s="1605"/>
      <c r="CC433" s="1605"/>
      <c r="CD433" s="1605"/>
      <c r="CE433" s="1605"/>
      <c r="CF433" s="1605"/>
      <c r="CG433" s="1605"/>
      <c r="CH433" s="1605"/>
      <c r="CI433" s="1605"/>
      <c r="CJ433" s="1605"/>
      <c r="CK433" s="1605"/>
      <c r="CL433" s="1605"/>
      <c r="CM433" s="1605"/>
      <c r="CN433" s="1605"/>
      <c r="CO433" s="1605"/>
      <c r="CP433" s="1605"/>
      <c r="CQ433" s="1605"/>
      <c r="CR433" s="1605"/>
      <c r="CS433" s="1605"/>
      <c r="CT433" s="1605"/>
      <c r="CU433" s="1605"/>
      <c r="CV433" s="1605"/>
      <c r="CW433" s="1605"/>
      <c r="CX433" s="1605"/>
      <c r="CY433" s="1605"/>
      <c r="CZ433" s="1605"/>
      <c r="DA433" s="1605"/>
      <c r="DB433" s="1605"/>
      <c r="DC433" s="1605"/>
      <c r="DD433" s="1605"/>
      <c r="DE433" s="1605"/>
      <c r="DF433" s="1605"/>
      <c r="DG433" s="1605"/>
      <c r="DH433" s="1605"/>
      <c r="DI433" s="1605"/>
      <c r="DJ433" s="1605"/>
      <c r="DK433" s="1605"/>
      <c r="DL433" s="1605"/>
      <c r="DM433" s="1605"/>
      <c r="DN433" s="1605"/>
      <c r="DO433" s="1605"/>
      <c r="DP433" s="1605"/>
      <c r="DQ433" s="1605"/>
      <c r="DR433" s="1605"/>
      <c r="DS433" s="1605"/>
      <c r="DT433" s="1605"/>
      <c r="DU433" s="1605"/>
      <c r="DV433" s="1605"/>
      <c r="DW433" s="1605"/>
      <c r="DX433" s="1605"/>
      <c r="DY433" s="1605"/>
      <c r="DZ433" s="1605"/>
      <c r="EA433" s="1605"/>
      <c r="EB433" s="1605"/>
      <c r="EC433" s="1605"/>
      <c r="ED433" s="1605"/>
      <c r="EE433" s="1605"/>
      <c r="EF433" s="1605"/>
      <c r="EG433" s="1605"/>
      <c r="EH433" s="1605"/>
      <c r="EI433" s="1605"/>
      <c r="EJ433" s="1605"/>
      <c r="EK433" s="1605"/>
      <c r="EL433" s="1605"/>
      <c r="EM433" s="1605"/>
      <c r="EN433" s="1605"/>
      <c r="EO433" s="1605"/>
      <c r="EP433" s="1605"/>
      <c r="EQ433" s="1605"/>
      <c r="ER433" s="1605"/>
      <c r="ES433" s="1605"/>
      <c r="ET433" s="1605"/>
      <c r="EU433" s="1605"/>
      <c r="EV433" s="1605"/>
      <c r="EW433" s="1605"/>
      <c r="EX433" s="1605"/>
      <c r="EY433" s="1605"/>
      <c r="EZ433" s="1605"/>
      <c r="FA433" s="1605"/>
      <c r="FB433" s="1605"/>
      <c r="FC433" s="1605"/>
      <c r="FD433" s="1605"/>
      <c r="FE433" s="1605"/>
      <c r="FF433" s="1605"/>
      <c r="FG433" s="1605"/>
      <c r="FH433" s="1605"/>
      <c r="FI433" s="1605"/>
      <c r="FJ433" s="1605"/>
      <c r="FK433" s="1605"/>
      <c r="FL433" s="1605"/>
      <c r="FM433" s="1605"/>
      <c r="FN433" s="1605"/>
      <c r="FO433" s="1605"/>
      <c r="FP433" s="1605"/>
      <c r="FQ433" s="1605"/>
      <c r="FR433" s="1605"/>
      <c r="FS433" s="1605"/>
      <c r="FT433" s="1605"/>
      <c r="FU433" s="1605"/>
      <c r="FV433" s="1605"/>
      <c r="FW433" s="1605"/>
      <c r="FX433" s="1605"/>
      <c r="FY433" s="1605"/>
      <c r="FZ433" s="1605"/>
      <c r="GA433" s="1605"/>
      <c r="GB433" s="1605"/>
      <c r="GC433" s="1605"/>
      <c r="GD433" s="1605"/>
      <c r="GE433" s="1605"/>
      <c r="GF433" s="1605"/>
      <c r="GG433" s="1605"/>
      <c r="GH433" s="1605"/>
      <c r="GI433" s="1605"/>
      <c r="GJ433" s="1605"/>
      <c r="GK433" s="1605"/>
      <c r="GL433" s="1605"/>
      <c r="GM433" s="1605"/>
      <c r="GN433" s="1605"/>
      <c r="GO433" s="1605"/>
      <c r="GP433" s="1605"/>
      <c r="GQ433" s="1605"/>
      <c r="GR433" s="1605"/>
      <c r="GS433" s="1605"/>
      <c r="GT433" s="1605"/>
      <c r="GU433" s="1605"/>
      <c r="GV433" s="1605"/>
      <c r="GW433" s="1605"/>
      <c r="GX433" s="1605"/>
      <c r="GY433" s="1605"/>
      <c r="GZ433" s="1605"/>
      <c r="HA433" s="1605"/>
      <c r="HB433" s="1605"/>
      <c r="HC433" s="1605"/>
      <c r="HD433" s="1605"/>
      <c r="HE433" s="1605"/>
      <c r="HF433" s="1605"/>
      <c r="HG433" s="1605"/>
      <c r="HH433" s="1605"/>
      <c r="HI433" s="1605"/>
      <c r="HJ433" s="1605"/>
      <c r="HK433" s="1605"/>
      <c r="HL433" s="1605"/>
      <c r="HM433" s="1605"/>
      <c r="HN433" s="1605"/>
      <c r="HO433" s="1605"/>
      <c r="HP433" s="1605"/>
      <c r="HQ433" s="1605"/>
      <c r="HR433" s="1605"/>
      <c r="HS433" s="1605"/>
      <c r="HT433" s="1605"/>
      <c r="HU433" s="1605"/>
      <c r="HV433" s="1605"/>
      <c r="HW433" s="1605"/>
      <c r="HX433" s="1605"/>
      <c r="HY433" s="1605"/>
      <c r="HZ433" s="1605"/>
      <c r="IA433" s="1605"/>
      <c r="IB433" s="1605"/>
      <c r="IC433" s="1605"/>
      <c r="ID433" s="1605"/>
      <c r="IE433" s="1605"/>
      <c r="IF433" s="1605"/>
      <c r="IG433" s="1605"/>
      <c r="IH433" s="1605"/>
      <c r="II433" s="1605"/>
      <c r="IJ433" s="1605"/>
      <c r="IK433" s="1605"/>
      <c r="IL433" s="1605"/>
      <c r="IM433" s="1605"/>
      <c r="IN433" s="1605"/>
      <c r="IO433" s="1605"/>
      <c r="IP433" s="1605"/>
      <c r="IQ433" s="1605"/>
      <c r="IR433" s="1605"/>
      <c r="IS433" s="1605"/>
      <c r="IT433" s="1605"/>
      <c r="IU433" s="1605"/>
      <c r="IV433" s="1605"/>
      <c r="IW433" s="1605"/>
      <c r="IX433" s="1605"/>
      <c r="IY433" s="1605"/>
      <c r="IZ433" s="1605"/>
      <c r="JA433" s="1605"/>
      <c r="JB433" s="1605"/>
      <c r="JC433" s="1605"/>
      <c r="JD433" s="1605"/>
      <c r="JE433" s="1605"/>
      <c r="JF433" s="1605"/>
      <c r="JG433" s="1605"/>
      <c r="JH433" s="1605"/>
      <c r="JI433" s="1605"/>
      <c r="JJ433" s="1605"/>
      <c r="JK433" s="1605"/>
      <c r="JL433" s="1605"/>
      <c r="JM433" s="1605"/>
      <c r="JN433" s="1605"/>
      <c r="JO433" s="1605"/>
      <c r="JP433" s="1605"/>
      <c r="JQ433" s="1605"/>
      <c r="JR433" s="1605"/>
      <c r="JS433" s="1605"/>
      <c r="JT433" s="1605"/>
      <c r="JU433" s="1605"/>
      <c r="JV433" s="1605"/>
      <c r="JW433" s="1605"/>
      <c r="JX433" s="1605"/>
      <c r="JY433" s="1605"/>
      <c r="JZ433" s="1605"/>
      <c r="KA433" s="1605"/>
      <c r="KB433" s="1606"/>
    </row>
    <row r="434" spans="2:288" ht="15" customHeight="1" x14ac:dyDescent="0.25">
      <c r="B434" s="216" t="str">
        <f t="shared" si="36"/>
        <v>Desk 10</v>
      </c>
      <c r="C434" s="218" t="str">
        <v/>
      </c>
      <c r="D434" s="218" t="str">
        <v/>
      </c>
      <c r="E434" s="218" t="str">
        <v/>
      </c>
      <c r="F434" s="218" t="str">
        <v/>
      </c>
      <c r="G434" s="402" t="str">
        <v/>
      </c>
      <c r="H434" s="1605"/>
      <c r="I434" s="1605"/>
      <c r="J434" s="1605"/>
      <c r="K434" s="1605"/>
      <c r="L434" s="1605"/>
      <c r="M434" s="1605"/>
      <c r="N434" s="1605"/>
      <c r="O434" s="1605"/>
      <c r="P434" s="1605"/>
      <c r="Q434" s="1605"/>
      <c r="R434" s="1605"/>
      <c r="S434" s="1605"/>
      <c r="T434" s="1605"/>
      <c r="U434" s="1605"/>
      <c r="V434" s="1605"/>
      <c r="W434" s="1605"/>
      <c r="X434" s="1605"/>
      <c r="Y434" s="1605"/>
      <c r="Z434" s="1605"/>
      <c r="AA434" s="1605"/>
      <c r="AB434" s="1605"/>
      <c r="AC434" s="1605"/>
      <c r="AD434" s="1605"/>
      <c r="AE434" s="1605"/>
      <c r="AF434" s="1605"/>
      <c r="AG434" s="1605"/>
      <c r="AH434" s="1605"/>
      <c r="AI434" s="1605"/>
      <c r="AJ434" s="1605"/>
      <c r="AK434" s="1605"/>
      <c r="AL434" s="1605"/>
      <c r="AM434" s="1605"/>
      <c r="AN434" s="1605"/>
      <c r="AO434" s="1605"/>
      <c r="AP434" s="1605"/>
      <c r="AQ434" s="1605"/>
      <c r="AR434" s="1605"/>
      <c r="AS434" s="1605"/>
      <c r="AT434" s="1605"/>
      <c r="AU434" s="1605"/>
      <c r="AV434" s="1605"/>
      <c r="AW434" s="1605"/>
      <c r="AX434" s="1605"/>
      <c r="AY434" s="1605"/>
      <c r="AZ434" s="1605"/>
      <c r="BA434" s="1605"/>
      <c r="BB434" s="1605"/>
      <c r="BC434" s="1605"/>
      <c r="BD434" s="1605"/>
      <c r="BE434" s="1605"/>
      <c r="BF434" s="1605"/>
      <c r="BG434" s="1605"/>
      <c r="BH434" s="1605"/>
      <c r="BI434" s="1605"/>
      <c r="BJ434" s="1605"/>
      <c r="BK434" s="1605"/>
      <c r="BL434" s="1605"/>
      <c r="BM434" s="1605"/>
      <c r="BN434" s="1605"/>
      <c r="BO434" s="1605"/>
      <c r="BP434" s="1605"/>
      <c r="BQ434" s="1605"/>
      <c r="BR434" s="1605"/>
      <c r="BS434" s="1605"/>
      <c r="BT434" s="1605"/>
      <c r="BU434" s="1605"/>
      <c r="BV434" s="1605"/>
      <c r="BW434" s="1605"/>
      <c r="BX434" s="1605"/>
      <c r="BY434" s="1605"/>
      <c r="BZ434" s="1605"/>
      <c r="CA434" s="1605"/>
      <c r="CB434" s="1605"/>
      <c r="CC434" s="1605"/>
      <c r="CD434" s="1605"/>
      <c r="CE434" s="1605"/>
      <c r="CF434" s="1605"/>
      <c r="CG434" s="1605"/>
      <c r="CH434" s="1605"/>
      <c r="CI434" s="1605"/>
      <c r="CJ434" s="1605"/>
      <c r="CK434" s="1605"/>
      <c r="CL434" s="1605"/>
      <c r="CM434" s="1605"/>
      <c r="CN434" s="1605"/>
      <c r="CO434" s="1605"/>
      <c r="CP434" s="1605"/>
      <c r="CQ434" s="1605"/>
      <c r="CR434" s="1605"/>
      <c r="CS434" s="1605"/>
      <c r="CT434" s="1605"/>
      <c r="CU434" s="1605"/>
      <c r="CV434" s="1605"/>
      <c r="CW434" s="1605"/>
      <c r="CX434" s="1605"/>
      <c r="CY434" s="1605"/>
      <c r="CZ434" s="1605"/>
      <c r="DA434" s="1605"/>
      <c r="DB434" s="1605"/>
      <c r="DC434" s="1605"/>
      <c r="DD434" s="1605"/>
      <c r="DE434" s="1605"/>
      <c r="DF434" s="1605"/>
      <c r="DG434" s="1605"/>
      <c r="DH434" s="1605"/>
      <c r="DI434" s="1605"/>
      <c r="DJ434" s="1605"/>
      <c r="DK434" s="1605"/>
      <c r="DL434" s="1605"/>
      <c r="DM434" s="1605"/>
      <c r="DN434" s="1605"/>
      <c r="DO434" s="1605"/>
      <c r="DP434" s="1605"/>
      <c r="DQ434" s="1605"/>
      <c r="DR434" s="1605"/>
      <c r="DS434" s="1605"/>
      <c r="DT434" s="1605"/>
      <c r="DU434" s="1605"/>
      <c r="DV434" s="1605"/>
      <c r="DW434" s="1605"/>
      <c r="DX434" s="1605"/>
      <c r="DY434" s="1605"/>
      <c r="DZ434" s="1605"/>
      <c r="EA434" s="1605"/>
      <c r="EB434" s="1605"/>
      <c r="EC434" s="1605"/>
      <c r="ED434" s="1605"/>
      <c r="EE434" s="1605"/>
      <c r="EF434" s="1605"/>
      <c r="EG434" s="1605"/>
      <c r="EH434" s="1605"/>
      <c r="EI434" s="1605"/>
      <c r="EJ434" s="1605"/>
      <c r="EK434" s="1605"/>
      <c r="EL434" s="1605"/>
      <c r="EM434" s="1605"/>
      <c r="EN434" s="1605"/>
      <c r="EO434" s="1605"/>
      <c r="EP434" s="1605"/>
      <c r="EQ434" s="1605"/>
      <c r="ER434" s="1605"/>
      <c r="ES434" s="1605"/>
      <c r="ET434" s="1605"/>
      <c r="EU434" s="1605"/>
      <c r="EV434" s="1605"/>
      <c r="EW434" s="1605"/>
      <c r="EX434" s="1605"/>
      <c r="EY434" s="1605"/>
      <c r="EZ434" s="1605"/>
      <c r="FA434" s="1605"/>
      <c r="FB434" s="1605"/>
      <c r="FC434" s="1605"/>
      <c r="FD434" s="1605"/>
      <c r="FE434" s="1605"/>
      <c r="FF434" s="1605"/>
      <c r="FG434" s="1605"/>
      <c r="FH434" s="1605"/>
      <c r="FI434" s="1605"/>
      <c r="FJ434" s="1605"/>
      <c r="FK434" s="1605"/>
      <c r="FL434" s="1605"/>
      <c r="FM434" s="1605"/>
      <c r="FN434" s="1605"/>
      <c r="FO434" s="1605"/>
      <c r="FP434" s="1605"/>
      <c r="FQ434" s="1605"/>
      <c r="FR434" s="1605"/>
      <c r="FS434" s="1605"/>
      <c r="FT434" s="1605"/>
      <c r="FU434" s="1605"/>
      <c r="FV434" s="1605"/>
      <c r="FW434" s="1605"/>
      <c r="FX434" s="1605"/>
      <c r="FY434" s="1605"/>
      <c r="FZ434" s="1605"/>
      <c r="GA434" s="1605"/>
      <c r="GB434" s="1605"/>
      <c r="GC434" s="1605"/>
      <c r="GD434" s="1605"/>
      <c r="GE434" s="1605"/>
      <c r="GF434" s="1605"/>
      <c r="GG434" s="1605"/>
      <c r="GH434" s="1605"/>
      <c r="GI434" s="1605"/>
      <c r="GJ434" s="1605"/>
      <c r="GK434" s="1605"/>
      <c r="GL434" s="1605"/>
      <c r="GM434" s="1605"/>
      <c r="GN434" s="1605"/>
      <c r="GO434" s="1605"/>
      <c r="GP434" s="1605"/>
      <c r="GQ434" s="1605"/>
      <c r="GR434" s="1605"/>
      <c r="GS434" s="1605"/>
      <c r="GT434" s="1605"/>
      <c r="GU434" s="1605"/>
      <c r="GV434" s="1605"/>
      <c r="GW434" s="1605"/>
      <c r="GX434" s="1605"/>
      <c r="GY434" s="1605"/>
      <c r="GZ434" s="1605"/>
      <c r="HA434" s="1605"/>
      <c r="HB434" s="1605"/>
      <c r="HC434" s="1605"/>
      <c r="HD434" s="1605"/>
      <c r="HE434" s="1605"/>
      <c r="HF434" s="1605"/>
      <c r="HG434" s="1605"/>
      <c r="HH434" s="1605"/>
      <c r="HI434" s="1605"/>
      <c r="HJ434" s="1605"/>
      <c r="HK434" s="1605"/>
      <c r="HL434" s="1605"/>
      <c r="HM434" s="1605"/>
      <c r="HN434" s="1605"/>
      <c r="HO434" s="1605"/>
      <c r="HP434" s="1605"/>
      <c r="HQ434" s="1605"/>
      <c r="HR434" s="1605"/>
      <c r="HS434" s="1605"/>
      <c r="HT434" s="1605"/>
      <c r="HU434" s="1605"/>
      <c r="HV434" s="1605"/>
      <c r="HW434" s="1605"/>
      <c r="HX434" s="1605"/>
      <c r="HY434" s="1605"/>
      <c r="HZ434" s="1605"/>
      <c r="IA434" s="1605"/>
      <c r="IB434" s="1605"/>
      <c r="IC434" s="1605"/>
      <c r="ID434" s="1605"/>
      <c r="IE434" s="1605"/>
      <c r="IF434" s="1605"/>
      <c r="IG434" s="1605"/>
      <c r="IH434" s="1605"/>
      <c r="II434" s="1605"/>
      <c r="IJ434" s="1605"/>
      <c r="IK434" s="1605"/>
      <c r="IL434" s="1605"/>
      <c r="IM434" s="1605"/>
      <c r="IN434" s="1605"/>
      <c r="IO434" s="1605"/>
      <c r="IP434" s="1605"/>
      <c r="IQ434" s="1605"/>
      <c r="IR434" s="1605"/>
      <c r="IS434" s="1605"/>
      <c r="IT434" s="1605"/>
      <c r="IU434" s="1605"/>
      <c r="IV434" s="1605"/>
      <c r="IW434" s="1605"/>
      <c r="IX434" s="1605"/>
      <c r="IY434" s="1605"/>
      <c r="IZ434" s="1605"/>
      <c r="JA434" s="1605"/>
      <c r="JB434" s="1605"/>
      <c r="JC434" s="1605"/>
      <c r="JD434" s="1605"/>
      <c r="JE434" s="1605"/>
      <c r="JF434" s="1605"/>
      <c r="JG434" s="1605"/>
      <c r="JH434" s="1605"/>
      <c r="JI434" s="1605"/>
      <c r="JJ434" s="1605"/>
      <c r="JK434" s="1605"/>
      <c r="JL434" s="1605"/>
      <c r="JM434" s="1605"/>
      <c r="JN434" s="1605"/>
      <c r="JO434" s="1605"/>
      <c r="JP434" s="1605"/>
      <c r="JQ434" s="1605"/>
      <c r="JR434" s="1605"/>
      <c r="JS434" s="1605"/>
      <c r="JT434" s="1605"/>
      <c r="JU434" s="1605"/>
      <c r="JV434" s="1605"/>
      <c r="JW434" s="1605"/>
      <c r="JX434" s="1605"/>
      <c r="JY434" s="1605"/>
      <c r="JZ434" s="1605"/>
      <c r="KA434" s="1605"/>
      <c r="KB434" s="1606"/>
    </row>
    <row r="435" spans="2:288" ht="15" customHeight="1" x14ac:dyDescent="0.25">
      <c r="B435" s="216" t="str">
        <f t="shared" si="36"/>
        <v>Desk 11</v>
      </c>
      <c r="C435" s="218" t="str">
        <v/>
      </c>
      <c r="D435" s="218" t="str">
        <v/>
      </c>
      <c r="E435" s="218" t="str">
        <v/>
      </c>
      <c r="F435" s="218" t="str">
        <v/>
      </c>
      <c r="G435" s="402" t="str">
        <v/>
      </c>
      <c r="H435" s="1605"/>
      <c r="I435" s="1605"/>
      <c r="J435" s="1605"/>
      <c r="K435" s="1605"/>
      <c r="L435" s="1605"/>
      <c r="M435" s="1605"/>
      <c r="N435" s="1605"/>
      <c r="O435" s="1605"/>
      <c r="P435" s="1605"/>
      <c r="Q435" s="1605"/>
      <c r="R435" s="1605"/>
      <c r="S435" s="1605"/>
      <c r="T435" s="1605"/>
      <c r="U435" s="1605"/>
      <c r="V435" s="1605"/>
      <c r="W435" s="1605"/>
      <c r="X435" s="1605"/>
      <c r="Y435" s="1605"/>
      <c r="Z435" s="1605"/>
      <c r="AA435" s="1605"/>
      <c r="AB435" s="1605"/>
      <c r="AC435" s="1605"/>
      <c r="AD435" s="1605"/>
      <c r="AE435" s="1605"/>
      <c r="AF435" s="1605"/>
      <c r="AG435" s="1605"/>
      <c r="AH435" s="1605"/>
      <c r="AI435" s="1605"/>
      <c r="AJ435" s="1605"/>
      <c r="AK435" s="1605"/>
      <c r="AL435" s="1605"/>
      <c r="AM435" s="1605"/>
      <c r="AN435" s="1605"/>
      <c r="AO435" s="1605"/>
      <c r="AP435" s="1605"/>
      <c r="AQ435" s="1605"/>
      <c r="AR435" s="1605"/>
      <c r="AS435" s="1605"/>
      <c r="AT435" s="1605"/>
      <c r="AU435" s="1605"/>
      <c r="AV435" s="1605"/>
      <c r="AW435" s="1605"/>
      <c r="AX435" s="1605"/>
      <c r="AY435" s="1605"/>
      <c r="AZ435" s="1605"/>
      <c r="BA435" s="1605"/>
      <c r="BB435" s="1605"/>
      <c r="BC435" s="1605"/>
      <c r="BD435" s="1605"/>
      <c r="BE435" s="1605"/>
      <c r="BF435" s="1605"/>
      <c r="BG435" s="1605"/>
      <c r="BH435" s="1605"/>
      <c r="BI435" s="1605"/>
      <c r="BJ435" s="1605"/>
      <c r="BK435" s="1605"/>
      <c r="BL435" s="1605"/>
      <c r="BM435" s="1605"/>
      <c r="BN435" s="1605"/>
      <c r="BO435" s="1605"/>
      <c r="BP435" s="1605"/>
      <c r="BQ435" s="1605"/>
      <c r="BR435" s="1605"/>
      <c r="BS435" s="1605"/>
      <c r="BT435" s="1605"/>
      <c r="BU435" s="1605"/>
      <c r="BV435" s="1605"/>
      <c r="BW435" s="1605"/>
      <c r="BX435" s="1605"/>
      <c r="BY435" s="1605"/>
      <c r="BZ435" s="1605"/>
      <c r="CA435" s="1605"/>
      <c r="CB435" s="1605"/>
      <c r="CC435" s="1605"/>
      <c r="CD435" s="1605"/>
      <c r="CE435" s="1605"/>
      <c r="CF435" s="1605"/>
      <c r="CG435" s="1605"/>
      <c r="CH435" s="1605"/>
      <c r="CI435" s="1605"/>
      <c r="CJ435" s="1605"/>
      <c r="CK435" s="1605"/>
      <c r="CL435" s="1605"/>
      <c r="CM435" s="1605"/>
      <c r="CN435" s="1605"/>
      <c r="CO435" s="1605"/>
      <c r="CP435" s="1605"/>
      <c r="CQ435" s="1605"/>
      <c r="CR435" s="1605"/>
      <c r="CS435" s="1605"/>
      <c r="CT435" s="1605"/>
      <c r="CU435" s="1605"/>
      <c r="CV435" s="1605"/>
      <c r="CW435" s="1605"/>
      <c r="CX435" s="1605"/>
      <c r="CY435" s="1605"/>
      <c r="CZ435" s="1605"/>
      <c r="DA435" s="1605"/>
      <c r="DB435" s="1605"/>
      <c r="DC435" s="1605"/>
      <c r="DD435" s="1605"/>
      <c r="DE435" s="1605"/>
      <c r="DF435" s="1605"/>
      <c r="DG435" s="1605"/>
      <c r="DH435" s="1605"/>
      <c r="DI435" s="1605"/>
      <c r="DJ435" s="1605"/>
      <c r="DK435" s="1605"/>
      <c r="DL435" s="1605"/>
      <c r="DM435" s="1605"/>
      <c r="DN435" s="1605"/>
      <c r="DO435" s="1605"/>
      <c r="DP435" s="1605"/>
      <c r="DQ435" s="1605"/>
      <c r="DR435" s="1605"/>
      <c r="DS435" s="1605"/>
      <c r="DT435" s="1605"/>
      <c r="DU435" s="1605"/>
      <c r="DV435" s="1605"/>
      <c r="DW435" s="1605"/>
      <c r="DX435" s="1605"/>
      <c r="DY435" s="1605"/>
      <c r="DZ435" s="1605"/>
      <c r="EA435" s="1605"/>
      <c r="EB435" s="1605"/>
      <c r="EC435" s="1605"/>
      <c r="ED435" s="1605"/>
      <c r="EE435" s="1605"/>
      <c r="EF435" s="1605"/>
      <c r="EG435" s="1605"/>
      <c r="EH435" s="1605"/>
      <c r="EI435" s="1605"/>
      <c r="EJ435" s="1605"/>
      <c r="EK435" s="1605"/>
      <c r="EL435" s="1605"/>
      <c r="EM435" s="1605"/>
      <c r="EN435" s="1605"/>
      <c r="EO435" s="1605"/>
      <c r="EP435" s="1605"/>
      <c r="EQ435" s="1605"/>
      <c r="ER435" s="1605"/>
      <c r="ES435" s="1605"/>
      <c r="ET435" s="1605"/>
      <c r="EU435" s="1605"/>
      <c r="EV435" s="1605"/>
      <c r="EW435" s="1605"/>
      <c r="EX435" s="1605"/>
      <c r="EY435" s="1605"/>
      <c r="EZ435" s="1605"/>
      <c r="FA435" s="1605"/>
      <c r="FB435" s="1605"/>
      <c r="FC435" s="1605"/>
      <c r="FD435" s="1605"/>
      <c r="FE435" s="1605"/>
      <c r="FF435" s="1605"/>
      <c r="FG435" s="1605"/>
      <c r="FH435" s="1605"/>
      <c r="FI435" s="1605"/>
      <c r="FJ435" s="1605"/>
      <c r="FK435" s="1605"/>
      <c r="FL435" s="1605"/>
      <c r="FM435" s="1605"/>
      <c r="FN435" s="1605"/>
      <c r="FO435" s="1605"/>
      <c r="FP435" s="1605"/>
      <c r="FQ435" s="1605"/>
      <c r="FR435" s="1605"/>
      <c r="FS435" s="1605"/>
      <c r="FT435" s="1605"/>
      <c r="FU435" s="1605"/>
      <c r="FV435" s="1605"/>
      <c r="FW435" s="1605"/>
      <c r="FX435" s="1605"/>
      <c r="FY435" s="1605"/>
      <c r="FZ435" s="1605"/>
      <c r="GA435" s="1605"/>
      <c r="GB435" s="1605"/>
      <c r="GC435" s="1605"/>
      <c r="GD435" s="1605"/>
      <c r="GE435" s="1605"/>
      <c r="GF435" s="1605"/>
      <c r="GG435" s="1605"/>
      <c r="GH435" s="1605"/>
      <c r="GI435" s="1605"/>
      <c r="GJ435" s="1605"/>
      <c r="GK435" s="1605"/>
      <c r="GL435" s="1605"/>
      <c r="GM435" s="1605"/>
      <c r="GN435" s="1605"/>
      <c r="GO435" s="1605"/>
      <c r="GP435" s="1605"/>
      <c r="GQ435" s="1605"/>
      <c r="GR435" s="1605"/>
      <c r="GS435" s="1605"/>
      <c r="GT435" s="1605"/>
      <c r="GU435" s="1605"/>
      <c r="GV435" s="1605"/>
      <c r="GW435" s="1605"/>
      <c r="GX435" s="1605"/>
      <c r="GY435" s="1605"/>
      <c r="GZ435" s="1605"/>
      <c r="HA435" s="1605"/>
      <c r="HB435" s="1605"/>
      <c r="HC435" s="1605"/>
      <c r="HD435" s="1605"/>
      <c r="HE435" s="1605"/>
      <c r="HF435" s="1605"/>
      <c r="HG435" s="1605"/>
      <c r="HH435" s="1605"/>
      <c r="HI435" s="1605"/>
      <c r="HJ435" s="1605"/>
      <c r="HK435" s="1605"/>
      <c r="HL435" s="1605"/>
      <c r="HM435" s="1605"/>
      <c r="HN435" s="1605"/>
      <c r="HO435" s="1605"/>
      <c r="HP435" s="1605"/>
      <c r="HQ435" s="1605"/>
      <c r="HR435" s="1605"/>
      <c r="HS435" s="1605"/>
      <c r="HT435" s="1605"/>
      <c r="HU435" s="1605"/>
      <c r="HV435" s="1605"/>
      <c r="HW435" s="1605"/>
      <c r="HX435" s="1605"/>
      <c r="HY435" s="1605"/>
      <c r="HZ435" s="1605"/>
      <c r="IA435" s="1605"/>
      <c r="IB435" s="1605"/>
      <c r="IC435" s="1605"/>
      <c r="ID435" s="1605"/>
      <c r="IE435" s="1605"/>
      <c r="IF435" s="1605"/>
      <c r="IG435" s="1605"/>
      <c r="IH435" s="1605"/>
      <c r="II435" s="1605"/>
      <c r="IJ435" s="1605"/>
      <c r="IK435" s="1605"/>
      <c r="IL435" s="1605"/>
      <c r="IM435" s="1605"/>
      <c r="IN435" s="1605"/>
      <c r="IO435" s="1605"/>
      <c r="IP435" s="1605"/>
      <c r="IQ435" s="1605"/>
      <c r="IR435" s="1605"/>
      <c r="IS435" s="1605"/>
      <c r="IT435" s="1605"/>
      <c r="IU435" s="1605"/>
      <c r="IV435" s="1605"/>
      <c r="IW435" s="1605"/>
      <c r="IX435" s="1605"/>
      <c r="IY435" s="1605"/>
      <c r="IZ435" s="1605"/>
      <c r="JA435" s="1605"/>
      <c r="JB435" s="1605"/>
      <c r="JC435" s="1605"/>
      <c r="JD435" s="1605"/>
      <c r="JE435" s="1605"/>
      <c r="JF435" s="1605"/>
      <c r="JG435" s="1605"/>
      <c r="JH435" s="1605"/>
      <c r="JI435" s="1605"/>
      <c r="JJ435" s="1605"/>
      <c r="JK435" s="1605"/>
      <c r="JL435" s="1605"/>
      <c r="JM435" s="1605"/>
      <c r="JN435" s="1605"/>
      <c r="JO435" s="1605"/>
      <c r="JP435" s="1605"/>
      <c r="JQ435" s="1605"/>
      <c r="JR435" s="1605"/>
      <c r="JS435" s="1605"/>
      <c r="JT435" s="1605"/>
      <c r="JU435" s="1605"/>
      <c r="JV435" s="1605"/>
      <c r="JW435" s="1605"/>
      <c r="JX435" s="1605"/>
      <c r="JY435" s="1605"/>
      <c r="JZ435" s="1605"/>
      <c r="KA435" s="1605"/>
      <c r="KB435" s="1606"/>
    </row>
    <row r="436" spans="2:288" ht="15" customHeight="1" x14ac:dyDescent="0.25">
      <c r="B436" s="216" t="str">
        <f t="shared" si="36"/>
        <v>Desk 12</v>
      </c>
      <c r="C436" s="218" t="str">
        <v/>
      </c>
      <c r="D436" s="218" t="str">
        <v/>
      </c>
      <c r="E436" s="218" t="str">
        <v/>
      </c>
      <c r="F436" s="218" t="str">
        <v/>
      </c>
      <c r="G436" s="402" t="str">
        <v/>
      </c>
      <c r="H436" s="1605"/>
      <c r="I436" s="1605"/>
      <c r="J436" s="1605"/>
      <c r="K436" s="1605"/>
      <c r="L436" s="1605"/>
      <c r="M436" s="1605"/>
      <c r="N436" s="1605"/>
      <c r="O436" s="1605"/>
      <c r="P436" s="1605"/>
      <c r="Q436" s="1605"/>
      <c r="R436" s="1605"/>
      <c r="S436" s="1605"/>
      <c r="T436" s="1605"/>
      <c r="U436" s="1605"/>
      <c r="V436" s="1605"/>
      <c r="W436" s="1605"/>
      <c r="X436" s="1605"/>
      <c r="Y436" s="1605"/>
      <c r="Z436" s="1605"/>
      <c r="AA436" s="1605"/>
      <c r="AB436" s="1605"/>
      <c r="AC436" s="1605"/>
      <c r="AD436" s="1605"/>
      <c r="AE436" s="1605"/>
      <c r="AF436" s="1605"/>
      <c r="AG436" s="1605"/>
      <c r="AH436" s="1605"/>
      <c r="AI436" s="1605"/>
      <c r="AJ436" s="1605"/>
      <c r="AK436" s="1605"/>
      <c r="AL436" s="1605"/>
      <c r="AM436" s="1605"/>
      <c r="AN436" s="1605"/>
      <c r="AO436" s="1605"/>
      <c r="AP436" s="1605"/>
      <c r="AQ436" s="1605"/>
      <c r="AR436" s="1605"/>
      <c r="AS436" s="1605"/>
      <c r="AT436" s="1605"/>
      <c r="AU436" s="1605"/>
      <c r="AV436" s="1605"/>
      <c r="AW436" s="1605"/>
      <c r="AX436" s="1605"/>
      <c r="AY436" s="1605"/>
      <c r="AZ436" s="1605"/>
      <c r="BA436" s="1605"/>
      <c r="BB436" s="1605"/>
      <c r="BC436" s="1605"/>
      <c r="BD436" s="1605"/>
      <c r="BE436" s="1605"/>
      <c r="BF436" s="1605"/>
      <c r="BG436" s="1605"/>
      <c r="BH436" s="1605"/>
      <c r="BI436" s="1605"/>
      <c r="BJ436" s="1605"/>
      <c r="BK436" s="1605"/>
      <c r="BL436" s="1605"/>
      <c r="BM436" s="1605"/>
      <c r="BN436" s="1605"/>
      <c r="BO436" s="1605"/>
      <c r="BP436" s="1605"/>
      <c r="BQ436" s="1605"/>
      <c r="BR436" s="1605"/>
      <c r="BS436" s="1605"/>
      <c r="BT436" s="1605"/>
      <c r="BU436" s="1605"/>
      <c r="BV436" s="1605"/>
      <c r="BW436" s="1605"/>
      <c r="BX436" s="1605"/>
      <c r="BY436" s="1605"/>
      <c r="BZ436" s="1605"/>
      <c r="CA436" s="1605"/>
      <c r="CB436" s="1605"/>
      <c r="CC436" s="1605"/>
      <c r="CD436" s="1605"/>
      <c r="CE436" s="1605"/>
      <c r="CF436" s="1605"/>
      <c r="CG436" s="1605"/>
      <c r="CH436" s="1605"/>
      <c r="CI436" s="1605"/>
      <c r="CJ436" s="1605"/>
      <c r="CK436" s="1605"/>
      <c r="CL436" s="1605"/>
      <c r="CM436" s="1605"/>
      <c r="CN436" s="1605"/>
      <c r="CO436" s="1605"/>
      <c r="CP436" s="1605"/>
      <c r="CQ436" s="1605"/>
      <c r="CR436" s="1605"/>
      <c r="CS436" s="1605"/>
      <c r="CT436" s="1605"/>
      <c r="CU436" s="1605"/>
      <c r="CV436" s="1605"/>
      <c r="CW436" s="1605"/>
      <c r="CX436" s="1605"/>
      <c r="CY436" s="1605"/>
      <c r="CZ436" s="1605"/>
      <c r="DA436" s="1605"/>
      <c r="DB436" s="1605"/>
      <c r="DC436" s="1605"/>
      <c r="DD436" s="1605"/>
      <c r="DE436" s="1605"/>
      <c r="DF436" s="1605"/>
      <c r="DG436" s="1605"/>
      <c r="DH436" s="1605"/>
      <c r="DI436" s="1605"/>
      <c r="DJ436" s="1605"/>
      <c r="DK436" s="1605"/>
      <c r="DL436" s="1605"/>
      <c r="DM436" s="1605"/>
      <c r="DN436" s="1605"/>
      <c r="DO436" s="1605"/>
      <c r="DP436" s="1605"/>
      <c r="DQ436" s="1605"/>
      <c r="DR436" s="1605"/>
      <c r="DS436" s="1605"/>
      <c r="DT436" s="1605"/>
      <c r="DU436" s="1605"/>
      <c r="DV436" s="1605"/>
      <c r="DW436" s="1605"/>
      <c r="DX436" s="1605"/>
      <c r="DY436" s="1605"/>
      <c r="DZ436" s="1605"/>
      <c r="EA436" s="1605"/>
      <c r="EB436" s="1605"/>
      <c r="EC436" s="1605"/>
      <c r="ED436" s="1605"/>
      <c r="EE436" s="1605"/>
      <c r="EF436" s="1605"/>
      <c r="EG436" s="1605"/>
      <c r="EH436" s="1605"/>
      <c r="EI436" s="1605"/>
      <c r="EJ436" s="1605"/>
      <c r="EK436" s="1605"/>
      <c r="EL436" s="1605"/>
      <c r="EM436" s="1605"/>
      <c r="EN436" s="1605"/>
      <c r="EO436" s="1605"/>
      <c r="EP436" s="1605"/>
      <c r="EQ436" s="1605"/>
      <c r="ER436" s="1605"/>
      <c r="ES436" s="1605"/>
      <c r="ET436" s="1605"/>
      <c r="EU436" s="1605"/>
      <c r="EV436" s="1605"/>
      <c r="EW436" s="1605"/>
      <c r="EX436" s="1605"/>
      <c r="EY436" s="1605"/>
      <c r="EZ436" s="1605"/>
      <c r="FA436" s="1605"/>
      <c r="FB436" s="1605"/>
      <c r="FC436" s="1605"/>
      <c r="FD436" s="1605"/>
      <c r="FE436" s="1605"/>
      <c r="FF436" s="1605"/>
      <c r="FG436" s="1605"/>
      <c r="FH436" s="1605"/>
      <c r="FI436" s="1605"/>
      <c r="FJ436" s="1605"/>
      <c r="FK436" s="1605"/>
      <c r="FL436" s="1605"/>
      <c r="FM436" s="1605"/>
      <c r="FN436" s="1605"/>
      <c r="FO436" s="1605"/>
      <c r="FP436" s="1605"/>
      <c r="FQ436" s="1605"/>
      <c r="FR436" s="1605"/>
      <c r="FS436" s="1605"/>
      <c r="FT436" s="1605"/>
      <c r="FU436" s="1605"/>
      <c r="FV436" s="1605"/>
      <c r="FW436" s="1605"/>
      <c r="FX436" s="1605"/>
      <c r="FY436" s="1605"/>
      <c r="FZ436" s="1605"/>
      <c r="GA436" s="1605"/>
      <c r="GB436" s="1605"/>
      <c r="GC436" s="1605"/>
      <c r="GD436" s="1605"/>
      <c r="GE436" s="1605"/>
      <c r="GF436" s="1605"/>
      <c r="GG436" s="1605"/>
      <c r="GH436" s="1605"/>
      <c r="GI436" s="1605"/>
      <c r="GJ436" s="1605"/>
      <c r="GK436" s="1605"/>
      <c r="GL436" s="1605"/>
      <c r="GM436" s="1605"/>
      <c r="GN436" s="1605"/>
      <c r="GO436" s="1605"/>
      <c r="GP436" s="1605"/>
      <c r="GQ436" s="1605"/>
      <c r="GR436" s="1605"/>
      <c r="GS436" s="1605"/>
      <c r="GT436" s="1605"/>
      <c r="GU436" s="1605"/>
      <c r="GV436" s="1605"/>
      <c r="GW436" s="1605"/>
      <c r="GX436" s="1605"/>
      <c r="GY436" s="1605"/>
      <c r="GZ436" s="1605"/>
      <c r="HA436" s="1605"/>
      <c r="HB436" s="1605"/>
      <c r="HC436" s="1605"/>
      <c r="HD436" s="1605"/>
      <c r="HE436" s="1605"/>
      <c r="HF436" s="1605"/>
      <c r="HG436" s="1605"/>
      <c r="HH436" s="1605"/>
      <c r="HI436" s="1605"/>
      <c r="HJ436" s="1605"/>
      <c r="HK436" s="1605"/>
      <c r="HL436" s="1605"/>
      <c r="HM436" s="1605"/>
      <c r="HN436" s="1605"/>
      <c r="HO436" s="1605"/>
      <c r="HP436" s="1605"/>
      <c r="HQ436" s="1605"/>
      <c r="HR436" s="1605"/>
      <c r="HS436" s="1605"/>
      <c r="HT436" s="1605"/>
      <c r="HU436" s="1605"/>
      <c r="HV436" s="1605"/>
      <c r="HW436" s="1605"/>
      <c r="HX436" s="1605"/>
      <c r="HY436" s="1605"/>
      <c r="HZ436" s="1605"/>
      <c r="IA436" s="1605"/>
      <c r="IB436" s="1605"/>
      <c r="IC436" s="1605"/>
      <c r="ID436" s="1605"/>
      <c r="IE436" s="1605"/>
      <c r="IF436" s="1605"/>
      <c r="IG436" s="1605"/>
      <c r="IH436" s="1605"/>
      <c r="II436" s="1605"/>
      <c r="IJ436" s="1605"/>
      <c r="IK436" s="1605"/>
      <c r="IL436" s="1605"/>
      <c r="IM436" s="1605"/>
      <c r="IN436" s="1605"/>
      <c r="IO436" s="1605"/>
      <c r="IP436" s="1605"/>
      <c r="IQ436" s="1605"/>
      <c r="IR436" s="1605"/>
      <c r="IS436" s="1605"/>
      <c r="IT436" s="1605"/>
      <c r="IU436" s="1605"/>
      <c r="IV436" s="1605"/>
      <c r="IW436" s="1605"/>
      <c r="IX436" s="1605"/>
      <c r="IY436" s="1605"/>
      <c r="IZ436" s="1605"/>
      <c r="JA436" s="1605"/>
      <c r="JB436" s="1605"/>
      <c r="JC436" s="1605"/>
      <c r="JD436" s="1605"/>
      <c r="JE436" s="1605"/>
      <c r="JF436" s="1605"/>
      <c r="JG436" s="1605"/>
      <c r="JH436" s="1605"/>
      <c r="JI436" s="1605"/>
      <c r="JJ436" s="1605"/>
      <c r="JK436" s="1605"/>
      <c r="JL436" s="1605"/>
      <c r="JM436" s="1605"/>
      <c r="JN436" s="1605"/>
      <c r="JO436" s="1605"/>
      <c r="JP436" s="1605"/>
      <c r="JQ436" s="1605"/>
      <c r="JR436" s="1605"/>
      <c r="JS436" s="1605"/>
      <c r="JT436" s="1605"/>
      <c r="JU436" s="1605"/>
      <c r="JV436" s="1605"/>
      <c r="JW436" s="1605"/>
      <c r="JX436" s="1605"/>
      <c r="JY436" s="1605"/>
      <c r="JZ436" s="1605"/>
      <c r="KA436" s="1605"/>
      <c r="KB436" s="1606"/>
    </row>
    <row r="437" spans="2:288" ht="15" customHeight="1" x14ac:dyDescent="0.25">
      <c r="B437" s="216" t="str">
        <f t="shared" si="36"/>
        <v>Desk 13</v>
      </c>
      <c r="C437" s="218" t="str">
        <v/>
      </c>
      <c r="D437" s="218" t="str">
        <v/>
      </c>
      <c r="E437" s="218" t="str">
        <v/>
      </c>
      <c r="F437" s="218" t="str">
        <v/>
      </c>
      <c r="G437" s="402" t="str">
        <v/>
      </c>
      <c r="H437" s="1605"/>
      <c r="I437" s="1605"/>
      <c r="J437" s="1605"/>
      <c r="K437" s="1605"/>
      <c r="L437" s="1605"/>
      <c r="M437" s="1605"/>
      <c r="N437" s="1605"/>
      <c r="O437" s="1605"/>
      <c r="P437" s="1605"/>
      <c r="Q437" s="1605"/>
      <c r="R437" s="1605"/>
      <c r="S437" s="1605"/>
      <c r="T437" s="1605"/>
      <c r="U437" s="1605"/>
      <c r="V437" s="1605"/>
      <c r="W437" s="1605"/>
      <c r="X437" s="1605"/>
      <c r="Y437" s="1605"/>
      <c r="Z437" s="1605"/>
      <c r="AA437" s="1605"/>
      <c r="AB437" s="1605"/>
      <c r="AC437" s="1605"/>
      <c r="AD437" s="1605"/>
      <c r="AE437" s="1605"/>
      <c r="AF437" s="1605"/>
      <c r="AG437" s="1605"/>
      <c r="AH437" s="1605"/>
      <c r="AI437" s="1605"/>
      <c r="AJ437" s="1605"/>
      <c r="AK437" s="1605"/>
      <c r="AL437" s="1605"/>
      <c r="AM437" s="1605"/>
      <c r="AN437" s="1605"/>
      <c r="AO437" s="1605"/>
      <c r="AP437" s="1605"/>
      <c r="AQ437" s="1605"/>
      <c r="AR437" s="1605"/>
      <c r="AS437" s="1605"/>
      <c r="AT437" s="1605"/>
      <c r="AU437" s="1605"/>
      <c r="AV437" s="1605"/>
      <c r="AW437" s="1605"/>
      <c r="AX437" s="1605"/>
      <c r="AY437" s="1605"/>
      <c r="AZ437" s="1605"/>
      <c r="BA437" s="1605"/>
      <c r="BB437" s="1605"/>
      <c r="BC437" s="1605"/>
      <c r="BD437" s="1605"/>
      <c r="BE437" s="1605"/>
      <c r="BF437" s="1605"/>
      <c r="BG437" s="1605"/>
      <c r="BH437" s="1605"/>
      <c r="BI437" s="1605"/>
      <c r="BJ437" s="1605"/>
      <c r="BK437" s="1605"/>
      <c r="BL437" s="1605"/>
      <c r="BM437" s="1605"/>
      <c r="BN437" s="1605"/>
      <c r="BO437" s="1605"/>
      <c r="BP437" s="1605"/>
      <c r="BQ437" s="1605"/>
      <c r="BR437" s="1605"/>
      <c r="BS437" s="1605"/>
      <c r="BT437" s="1605"/>
      <c r="BU437" s="1605"/>
      <c r="BV437" s="1605"/>
      <c r="BW437" s="1605"/>
      <c r="BX437" s="1605"/>
      <c r="BY437" s="1605"/>
      <c r="BZ437" s="1605"/>
      <c r="CA437" s="1605"/>
      <c r="CB437" s="1605"/>
      <c r="CC437" s="1605"/>
      <c r="CD437" s="1605"/>
      <c r="CE437" s="1605"/>
      <c r="CF437" s="1605"/>
      <c r="CG437" s="1605"/>
      <c r="CH437" s="1605"/>
      <c r="CI437" s="1605"/>
      <c r="CJ437" s="1605"/>
      <c r="CK437" s="1605"/>
      <c r="CL437" s="1605"/>
      <c r="CM437" s="1605"/>
      <c r="CN437" s="1605"/>
      <c r="CO437" s="1605"/>
      <c r="CP437" s="1605"/>
      <c r="CQ437" s="1605"/>
      <c r="CR437" s="1605"/>
      <c r="CS437" s="1605"/>
      <c r="CT437" s="1605"/>
      <c r="CU437" s="1605"/>
      <c r="CV437" s="1605"/>
      <c r="CW437" s="1605"/>
      <c r="CX437" s="1605"/>
      <c r="CY437" s="1605"/>
      <c r="CZ437" s="1605"/>
      <c r="DA437" s="1605"/>
      <c r="DB437" s="1605"/>
      <c r="DC437" s="1605"/>
      <c r="DD437" s="1605"/>
      <c r="DE437" s="1605"/>
      <c r="DF437" s="1605"/>
      <c r="DG437" s="1605"/>
      <c r="DH437" s="1605"/>
      <c r="DI437" s="1605"/>
      <c r="DJ437" s="1605"/>
      <c r="DK437" s="1605"/>
      <c r="DL437" s="1605"/>
      <c r="DM437" s="1605"/>
      <c r="DN437" s="1605"/>
      <c r="DO437" s="1605"/>
      <c r="DP437" s="1605"/>
      <c r="DQ437" s="1605"/>
      <c r="DR437" s="1605"/>
      <c r="DS437" s="1605"/>
      <c r="DT437" s="1605"/>
      <c r="DU437" s="1605"/>
      <c r="DV437" s="1605"/>
      <c r="DW437" s="1605"/>
      <c r="DX437" s="1605"/>
      <c r="DY437" s="1605"/>
      <c r="DZ437" s="1605"/>
      <c r="EA437" s="1605"/>
      <c r="EB437" s="1605"/>
      <c r="EC437" s="1605"/>
      <c r="ED437" s="1605"/>
      <c r="EE437" s="1605"/>
      <c r="EF437" s="1605"/>
      <c r="EG437" s="1605"/>
      <c r="EH437" s="1605"/>
      <c r="EI437" s="1605"/>
      <c r="EJ437" s="1605"/>
      <c r="EK437" s="1605"/>
      <c r="EL437" s="1605"/>
      <c r="EM437" s="1605"/>
      <c r="EN437" s="1605"/>
      <c r="EO437" s="1605"/>
      <c r="EP437" s="1605"/>
      <c r="EQ437" s="1605"/>
      <c r="ER437" s="1605"/>
      <c r="ES437" s="1605"/>
      <c r="ET437" s="1605"/>
      <c r="EU437" s="1605"/>
      <c r="EV437" s="1605"/>
      <c r="EW437" s="1605"/>
      <c r="EX437" s="1605"/>
      <c r="EY437" s="1605"/>
      <c r="EZ437" s="1605"/>
      <c r="FA437" s="1605"/>
      <c r="FB437" s="1605"/>
      <c r="FC437" s="1605"/>
      <c r="FD437" s="1605"/>
      <c r="FE437" s="1605"/>
      <c r="FF437" s="1605"/>
      <c r="FG437" s="1605"/>
      <c r="FH437" s="1605"/>
      <c r="FI437" s="1605"/>
      <c r="FJ437" s="1605"/>
      <c r="FK437" s="1605"/>
      <c r="FL437" s="1605"/>
      <c r="FM437" s="1605"/>
      <c r="FN437" s="1605"/>
      <c r="FO437" s="1605"/>
      <c r="FP437" s="1605"/>
      <c r="FQ437" s="1605"/>
      <c r="FR437" s="1605"/>
      <c r="FS437" s="1605"/>
      <c r="FT437" s="1605"/>
      <c r="FU437" s="1605"/>
      <c r="FV437" s="1605"/>
      <c r="FW437" s="1605"/>
      <c r="FX437" s="1605"/>
      <c r="FY437" s="1605"/>
      <c r="FZ437" s="1605"/>
      <c r="GA437" s="1605"/>
      <c r="GB437" s="1605"/>
      <c r="GC437" s="1605"/>
      <c r="GD437" s="1605"/>
      <c r="GE437" s="1605"/>
      <c r="GF437" s="1605"/>
      <c r="GG437" s="1605"/>
      <c r="GH437" s="1605"/>
      <c r="GI437" s="1605"/>
      <c r="GJ437" s="1605"/>
      <c r="GK437" s="1605"/>
      <c r="GL437" s="1605"/>
      <c r="GM437" s="1605"/>
      <c r="GN437" s="1605"/>
      <c r="GO437" s="1605"/>
      <c r="GP437" s="1605"/>
      <c r="GQ437" s="1605"/>
      <c r="GR437" s="1605"/>
      <c r="GS437" s="1605"/>
      <c r="GT437" s="1605"/>
      <c r="GU437" s="1605"/>
      <c r="GV437" s="1605"/>
      <c r="GW437" s="1605"/>
      <c r="GX437" s="1605"/>
      <c r="GY437" s="1605"/>
      <c r="GZ437" s="1605"/>
      <c r="HA437" s="1605"/>
      <c r="HB437" s="1605"/>
      <c r="HC437" s="1605"/>
      <c r="HD437" s="1605"/>
      <c r="HE437" s="1605"/>
      <c r="HF437" s="1605"/>
      <c r="HG437" s="1605"/>
      <c r="HH437" s="1605"/>
      <c r="HI437" s="1605"/>
      <c r="HJ437" s="1605"/>
      <c r="HK437" s="1605"/>
      <c r="HL437" s="1605"/>
      <c r="HM437" s="1605"/>
      <c r="HN437" s="1605"/>
      <c r="HO437" s="1605"/>
      <c r="HP437" s="1605"/>
      <c r="HQ437" s="1605"/>
      <c r="HR437" s="1605"/>
      <c r="HS437" s="1605"/>
      <c r="HT437" s="1605"/>
      <c r="HU437" s="1605"/>
      <c r="HV437" s="1605"/>
      <c r="HW437" s="1605"/>
      <c r="HX437" s="1605"/>
      <c r="HY437" s="1605"/>
      <c r="HZ437" s="1605"/>
      <c r="IA437" s="1605"/>
      <c r="IB437" s="1605"/>
      <c r="IC437" s="1605"/>
      <c r="ID437" s="1605"/>
      <c r="IE437" s="1605"/>
      <c r="IF437" s="1605"/>
      <c r="IG437" s="1605"/>
      <c r="IH437" s="1605"/>
      <c r="II437" s="1605"/>
      <c r="IJ437" s="1605"/>
      <c r="IK437" s="1605"/>
      <c r="IL437" s="1605"/>
      <c r="IM437" s="1605"/>
      <c r="IN437" s="1605"/>
      <c r="IO437" s="1605"/>
      <c r="IP437" s="1605"/>
      <c r="IQ437" s="1605"/>
      <c r="IR437" s="1605"/>
      <c r="IS437" s="1605"/>
      <c r="IT437" s="1605"/>
      <c r="IU437" s="1605"/>
      <c r="IV437" s="1605"/>
      <c r="IW437" s="1605"/>
      <c r="IX437" s="1605"/>
      <c r="IY437" s="1605"/>
      <c r="IZ437" s="1605"/>
      <c r="JA437" s="1605"/>
      <c r="JB437" s="1605"/>
      <c r="JC437" s="1605"/>
      <c r="JD437" s="1605"/>
      <c r="JE437" s="1605"/>
      <c r="JF437" s="1605"/>
      <c r="JG437" s="1605"/>
      <c r="JH437" s="1605"/>
      <c r="JI437" s="1605"/>
      <c r="JJ437" s="1605"/>
      <c r="JK437" s="1605"/>
      <c r="JL437" s="1605"/>
      <c r="JM437" s="1605"/>
      <c r="JN437" s="1605"/>
      <c r="JO437" s="1605"/>
      <c r="JP437" s="1605"/>
      <c r="JQ437" s="1605"/>
      <c r="JR437" s="1605"/>
      <c r="JS437" s="1605"/>
      <c r="JT437" s="1605"/>
      <c r="JU437" s="1605"/>
      <c r="JV437" s="1605"/>
      <c r="JW437" s="1605"/>
      <c r="JX437" s="1605"/>
      <c r="JY437" s="1605"/>
      <c r="JZ437" s="1605"/>
      <c r="KA437" s="1605"/>
      <c r="KB437" s="1606"/>
    </row>
    <row r="438" spans="2:288" ht="15" customHeight="1" x14ac:dyDescent="0.25">
      <c r="B438" s="216" t="str">
        <f t="shared" si="36"/>
        <v>Desk 14</v>
      </c>
      <c r="C438" s="218" t="str">
        <v/>
      </c>
      <c r="D438" s="218" t="str">
        <v/>
      </c>
      <c r="E438" s="218" t="str">
        <v/>
      </c>
      <c r="F438" s="218" t="str">
        <v/>
      </c>
      <c r="G438" s="402" t="str">
        <v/>
      </c>
      <c r="H438" s="1605"/>
      <c r="I438" s="1605"/>
      <c r="J438" s="1605"/>
      <c r="K438" s="1605"/>
      <c r="L438" s="1605"/>
      <c r="M438" s="1605"/>
      <c r="N438" s="1605"/>
      <c r="O438" s="1605"/>
      <c r="P438" s="1605"/>
      <c r="Q438" s="1605"/>
      <c r="R438" s="1605"/>
      <c r="S438" s="1605"/>
      <c r="T438" s="1605"/>
      <c r="U438" s="1605"/>
      <c r="V438" s="1605"/>
      <c r="W438" s="1605"/>
      <c r="X438" s="1605"/>
      <c r="Y438" s="1605"/>
      <c r="Z438" s="1605"/>
      <c r="AA438" s="1605"/>
      <c r="AB438" s="1605"/>
      <c r="AC438" s="1605"/>
      <c r="AD438" s="1605"/>
      <c r="AE438" s="1605"/>
      <c r="AF438" s="1605"/>
      <c r="AG438" s="1605"/>
      <c r="AH438" s="1605"/>
      <c r="AI438" s="1605"/>
      <c r="AJ438" s="1605"/>
      <c r="AK438" s="1605"/>
      <c r="AL438" s="1605"/>
      <c r="AM438" s="1605"/>
      <c r="AN438" s="1605"/>
      <c r="AO438" s="1605"/>
      <c r="AP438" s="1605"/>
      <c r="AQ438" s="1605"/>
      <c r="AR438" s="1605"/>
      <c r="AS438" s="1605"/>
      <c r="AT438" s="1605"/>
      <c r="AU438" s="1605"/>
      <c r="AV438" s="1605"/>
      <c r="AW438" s="1605"/>
      <c r="AX438" s="1605"/>
      <c r="AY438" s="1605"/>
      <c r="AZ438" s="1605"/>
      <c r="BA438" s="1605"/>
      <c r="BB438" s="1605"/>
      <c r="BC438" s="1605"/>
      <c r="BD438" s="1605"/>
      <c r="BE438" s="1605"/>
      <c r="BF438" s="1605"/>
      <c r="BG438" s="1605"/>
      <c r="BH438" s="1605"/>
      <c r="BI438" s="1605"/>
      <c r="BJ438" s="1605"/>
      <c r="BK438" s="1605"/>
      <c r="BL438" s="1605"/>
      <c r="BM438" s="1605"/>
      <c r="BN438" s="1605"/>
      <c r="BO438" s="1605"/>
      <c r="BP438" s="1605"/>
      <c r="BQ438" s="1605"/>
      <c r="BR438" s="1605"/>
      <c r="BS438" s="1605"/>
      <c r="BT438" s="1605"/>
      <c r="BU438" s="1605"/>
      <c r="BV438" s="1605"/>
      <c r="BW438" s="1605"/>
      <c r="BX438" s="1605"/>
      <c r="BY438" s="1605"/>
      <c r="BZ438" s="1605"/>
      <c r="CA438" s="1605"/>
      <c r="CB438" s="1605"/>
      <c r="CC438" s="1605"/>
      <c r="CD438" s="1605"/>
      <c r="CE438" s="1605"/>
      <c r="CF438" s="1605"/>
      <c r="CG438" s="1605"/>
      <c r="CH438" s="1605"/>
      <c r="CI438" s="1605"/>
      <c r="CJ438" s="1605"/>
      <c r="CK438" s="1605"/>
      <c r="CL438" s="1605"/>
      <c r="CM438" s="1605"/>
      <c r="CN438" s="1605"/>
      <c r="CO438" s="1605"/>
      <c r="CP438" s="1605"/>
      <c r="CQ438" s="1605"/>
      <c r="CR438" s="1605"/>
      <c r="CS438" s="1605"/>
      <c r="CT438" s="1605"/>
      <c r="CU438" s="1605"/>
      <c r="CV438" s="1605"/>
      <c r="CW438" s="1605"/>
      <c r="CX438" s="1605"/>
      <c r="CY438" s="1605"/>
      <c r="CZ438" s="1605"/>
      <c r="DA438" s="1605"/>
      <c r="DB438" s="1605"/>
      <c r="DC438" s="1605"/>
      <c r="DD438" s="1605"/>
      <c r="DE438" s="1605"/>
      <c r="DF438" s="1605"/>
      <c r="DG438" s="1605"/>
      <c r="DH438" s="1605"/>
      <c r="DI438" s="1605"/>
      <c r="DJ438" s="1605"/>
      <c r="DK438" s="1605"/>
      <c r="DL438" s="1605"/>
      <c r="DM438" s="1605"/>
      <c r="DN438" s="1605"/>
      <c r="DO438" s="1605"/>
      <c r="DP438" s="1605"/>
      <c r="DQ438" s="1605"/>
      <c r="DR438" s="1605"/>
      <c r="DS438" s="1605"/>
      <c r="DT438" s="1605"/>
      <c r="DU438" s="1605"/>
      <c r="DV438" s="1605"/>
      <c r="DW438" s="1605"/>
      <c r="DX438" s="1605"/>
      <c r="DY438" s="1605"/>
      <c r="DZ438" s="1605"/>
      <c r="EA438" s="1605"/>
      <c r="EB438" s="1605"/>
      <c r="EC438" s="1605"/>
      <c r="ED438" s="1605"/>
      <c r="EE438" s="1605"/>
      <c r="EF438" s="1605"/>
      <c r="EG438" s="1605"/>
      <c r="EH438" s="1605"/>
      <c r="EI438" s="1605"/>
      <c r="EJ438" s="1605"/>
      <c r="EK438" s="1605"/>
      <c r="EL438" s="1605"/>
      <c r="EM438" s="1605"/>
      <c r="EN438" s="1605"/>
      <c r="EO438" s="1605"/>
      <c r="EP438" s="1605"/>
      <c r="EQ438" s="1605"/>
      <c r="ER438" s="1605"/>
      <c r="ES438" s="1605"/>
      <c r="ET438" s="1605"/>
      <c r="EU438" s="1605"/>
      <c r="EV438" s="1605"/>
      <c r="EW438" s="1605"/>
      <c r="EX438" s="1605"/>
      <c r="EY438" s="1605"/>
      <c r="EZ438" s="1605"/>
      <c r="FA438" s="1605"/>
      <c r="FB438" s="1605"/>
      <c r="FC438" s="1605"/>
      <c r="FD438" s="1605"/>
      <c r="FE438" s="1605"/>
      <c r="FF438" s="1605"/>
      <c r="FG438" s="1605"/>
      <c r="FH438" s="1605"/>
      <c r="FI438" s="1605"/>
      <c r="FJ438" s="1605"/>
      <c r="FK438" s="1605"/>
      <c r="FL438" s="1605"/>
      <c r="FM438" s="1605"/>
      <c r="FN438" s="1605"/>
      <c r="FO438" s="1605"/>
      <c r="FP438" s="1605"/>
      <c r="FQ438" s="1605"/>
      <c r="FR438" s="1605"/>
      <c r="FS438" s="1605"/>
      <c r="FT438" s="1605"/>
      <c r="FU438" s="1605"/>
      <c r="FV438" s="1605"/>
      <c r="FW438" s="1605"/>
      <c r="FX438" s="1605"/>
      <c r="FY438" s="1605"/>
      <c r="FZ438" s="1605"/>
      <c r="GA438" s="1605"/>
      <c r="GB438" s="1605"/>
      <c r="GC438" s="1605"/>
      <c r="GD438" s="1605"/>
      <c r="GE438" s="1605"/>
      <c r="GF438" s="1605"/>
      <c r="GG438" s="1605"/>
      <c r="GH438" s="1605"/>
      <c r="GI438" s="1605"/>
      <c r="GJ438" s="1605"/>
      <c r="GK438" s="1605"/>
      <c r="GL438" s="1605"/>
      <c r="GM438" s="1605"/>
      <c r="GN438" s="1605"/>
      <c r="GO438" s="1605"/>
      <c r="GP438" s="1605"/>
      <c r="GQ438" s="1605"/>
      <c r="GR438" s="1605"/>
      <c r="GS438" s="1605"/>
      <c r="GT438" s="1605"/>
      <c r="GU438" s="1605"/>
      <c r="GV438" s="1605"/>
      <c r="GW438" s="1605"/>
      <c r="GX438" s="1605"/>
      <c r="GY438" s="1605"/>
      <c r="GZ438" s="1605"/>
      <c r="HA438" s="1605"/>
      <c r="HB438" s="1605"/>
      <c r="HC438" s="1605"/>
      <c r="HD438" s="1605"/>
      <c r="HE438" s="1605"/>
      <c r="HF438" s="1605"/>
      <c r="HG438" s="1605"/>
      <c r="HH438" s="1605"/>
      <c r="HI438" s="1605"/>
      <c r="HJ438" s="1605"/>
      <c r="HK438" s="1605"/>
      <c r="HL438" s="1605"/>
      <c r="HM438" s="1605"/>
      <c r="HN438" s="1605"/>
      <c r="HO438" s="1605"/>
      <c r="HP438" s="1605"/>
      <c r="HQ438" s="1605"/>
      <c r="HR438" s="1605"/>
      <c r="HS438" s="1605"/>
      <c r="HT438" s="1605"/>
      <c r="HU438" s="1605"/>
      <c r="HV438" s="1605"/>
      <c r="HW438" s="1605"/>
      <c r="HX438" s="1605"/>
      <c r="HY438" s="1605"/>
      <c r="HZ438" s="1605"/>
      <c r="IA438" s="1605"/>
      <c r="IB438" s="1605"/>
      <c r="IC438" s="1605"/>
      <c r="ID438" s="1605"/>
      <c r="IE438" s="1605"/>
      <c r="IF438" s="1605"/>
      <c r="IG438" s="1605"/>
      <c r="IH438" s="1605"/>
      <c r="II438" s="1605"/>
      <c r="IJ438" s="1605"/>
      <c r="IK438" s="1605"/>
      <c r="IL438" s="1605"/>
      <c r="IM438" s="1605"/>
      <c r="IN438" s="1605"/>
      <c r="IO438" s="1605"/>
      <c r="IP438" s="1605"/>
      <c r="IQ438" s="1605"/>
      <c r="IR438" s="1605"/>
      <c r="IS438" s="1605"/>
      <c r="IT438" s="1605"/>
      <c r="IU438" s="1605"/>
      <c r="IV438" s="1605"/>
      <c r="IW438" s="1605"/>
      <c r="IX438" s="1605"/>
      <c r="IY438" s="1605"/>
      <c r="IZ438" s="1605"/>
      <c r="JA438" s="1605"/>
      <c r="JB438" s="1605"/>
      <c r="JC438" s="1605"/>
      <c r="JD438" s="1605"/>
      <c r="JE438" s="1605"/>
      <c r="JF438" s="1605"/>
      <c r="JG438" s="1605"/>
      <c r="JH438" s="1605"/>
      <c r="JI438" s="1605"/>
      <c r="JJ438" s="1605"/>
      <c r="JK438" s="1605"/>
      <c r="JL438" s="1605"/>
      <c r="JM438" s="1605"/>
      <c r="JN438" s="1605"/>
      <c r="JO438" s="1605"/>
      <c r="JP438" s="1605"/>
      <c r="JQ438" s="1605"/>
      <c r="JR438" s="1605"/>
      <c r="JS438" s="1605"/>
      <c r="JT438" s="1605"/>
      <c r="JU438" s="1605"/>
      <c r="JV438" s="1605"/>
      <c r="JW438" s="1605"/>
      <c r="JX438" s="1605"/>
      <c r="JY438" s="1605"/>
      <c r="JZ438" s="1605"/>
      <c r="KA438" s="1605"/>
      <c r="KB438" s="1606"/>
    </row>
    <row r="439" spans="2:288" ht="15" customHeight="1" x14ac:dyDescent="0.25">
      <c r="B439" s="216" t="str">
        <f t="shared" si="36"/>
        <v>Desk 15</v>
      </c>
      <c r="C439" s="218" t="str">
        <v/>
      </c>
      <c r="D439" s="218" t="str">
        <v/>
      </c>
      <c r="E439" s="218" t="str">
        <v/>
      </c>
      <c r="F439" s="218" t="str">
        <v/>
      </c>
      <c r="G439" s="402" t="str">
        <v/>
      </c>
      <c r="H439" s="1605"/>
      <c r="I439" s="1605"/>
      <c r="J439" s="1605"/>
      <c r="K439" s="1605"/>
      <c r="L439" s="1605"/>
      <c r="M439" s="1605"/>
      <c r="N439" s="1605"/>
      <c r="O439" s="1605"/>
      <c r="P439" s="1605"/>
      <c r="Q439" s="1605"/>
      <c r="R439" s="1605"/>
      <c r="S439" s="1605"/>
      <c r="T439" s="1605"/>
      <c r="U439" s="1605"/>
      <c r="V439" s="1605"/>
      <c r="W439" s="1605"/>
      <c r="X439" s="1605"/>
      <c r="Y439" s="1605"/>
      <c r="Z439" s="1605"/>
      <c r="AA439" s="1605"/>
      <c r="AB439" s="1605"/>
      <c r="AC439" s="1605"/>
      <c r="AD439" s="1605"/>
      <c r="AE439" s="1605"/>
      <c r="AF439" s="1605"/>
      <c r="AG439" s="1605"/>
      <c r="AH439" s="1605"/>
      <c r="AI439" s="1605"/>
      <c r="AJ439" s="1605"/>
      <c r="AK439" s="1605"/>
      <c r="AL439" s="1605"/>
      <c r="AM439" s="1605"/>
      <c r="AN439" s="1605"/>
      <c r="AO439" s="1605"/>
      <c r="AP439" s="1605"/>
      <c r="AQ439" s="1605"/>
      <c r="AR439" s="1605"/>
      <c r="AS439" s="1605"/>
      <c r="AT439" s="1605"/>
      <c r="AU439" s="1605"/>
      <c r="AV439" s="1605"/>
      <c r="AW439" s="1605"/>
      <c r="AX439" s="1605"/>
      <c r="AY439" s="1605"/>
      <c r="AZ439" s="1605"/>
      <c r="BA439" s="1605"/>
      <c r="BB439" s="1605"/>
      <c r="BC439" s="1605"/>
      <c r="BD439" s="1605"/>
      <c r="BE439" s="1605"/>
      <c r="BF439" s="1605"/>
      <c r="BG439" s="1605"/>
      <c r="BH439" s="1605"/>
      <c r="BI439" s="1605"/>
      <c r="BJ439" s="1605"/>
      <c r="BK439" s="1605"/>
      <c r="BL439" s="1605"/>
      <c r="BM439" s="1605"/>
      <c r="BN439" s="1605"/>
      <c r="BO439" s="1605"/>
      <c r="BP439" s="1605"/>
      <c r="BQ439" s="1605"/>
      <c r="BR439" s="1605"/>
      <c r="BS439" s="1605"/>
      <c r="BT439" s="1605"/>
      <c r="BU439" s="1605"/>
      <c r="BV439" s="1605"/>
      <c r="BW439" s="1605"/>
      <c r="BX439" s="1605"/>
      <c r="BY439" s="1605"/>
      <c r="BZ439" s="1605"/>
      <c r="CA439" s="1605"/>
      <c r="CB439" s="1605"/>
      <c r="CC439" s="1605"/>
      <c r="CD439" s="1605"/>
      <c r="CE439" s="1605"/>
      <c r="CF439" s="1605"/>
      <c r="CG439" s="1605"/>
      <c r="CH439" s="1605"/>
      <c r="CI439" s="1605"/>
      <c r="CJ439" s="1605"/>
      <c r="CK439" s="1605"/>
      <c r="CL439" s="1605"/>
      <c r="CM439" s="1605"/>
      <c r="CN439" s="1605"/>
      <c r="CO439" s="1605"/>
      <c r="CP439" s="1605"/>
      <c r="CQ439" s="1605"/>
      <c r="CR439" s="1605"/>
      <c r="CS439" s="1605"/>
      <c r="CT439" s="1605"/>
      <c r="CU439" s="1605"/>
      <c r="CV439" s="1605"/>
      <c r="CW439" s="1605"/>
      <c r="CX439" s="1605"/>
      <c r="CY439" s="1605"/>
      <c r="CZ439" s="1605"/>
      <c r="DA439" s="1605"/>
      <c r="DB439" s="1605"/>
      <c r="DC439" s="1605"/>
      <c r="DD439" s="1605"/>
      <c r="DE439" s="1605"/>
      <c r="DF439" s="1605"/>
      <c r="DG439" s="1605"/>
      <c r="DH439" s="1605"/>
      <c r="DI439" s="1605"/>
      <c r="DJ439" s="1605"/>
      <c r="DK439" s="1605"/>
      <c r="DL439" s="1605"/>
      <c r="DM439" s="1605"/>
      <c r="DN439" s="1605"/>
      <c r="DO439" s="1605"/>
      <c r="DP439" s="1605"/>
      <c r="DQ439" s="1605"/>
      <c r="DR439" s="1605"/>
      <c r="DS439" s="1605"/>
      <c r="DT439" s="1605"/>
      <c r="DU439" s="1605"/>
      <c r="DV439" s="1605"/>
      <c r="DW439" s="1605"/>
      <c r="DX439" s="1605"/>
      <c r="DY439" s="1605"/>
      <c r="DZ439" s="1605"/>
      <c r="EA439" s="1605"/>
      <c r="EB439" s="1605"/>
      <c r="EC439" s="1605"/>
      <c r="ED439" s="1605"/>
      <c r="EE439" s="1605"/>
      <c r="EF439" s="1605"/>
      <c r="EG439" s="1605"/>
      <c r="EH439" s="1605"/>
      <c r="EI439" s="1605"/>
      <c r="EJ439" s="1605"/>
      <c r="EK439" s="1605"/>
      <c r="EL439" s="1605"/>
      <c r="EM439" s="1605"/>
      <c r="EN439" s="1605"/>
      <c r="EO439" s="1605"/>
      <c r="EP439" s="1605"/>
      <c r="EQ439" s="1605"/>
      <c r="ER439" s="1605"/>
      <c r="ES439" s="1605"/>
      <c r="ET439" s="1605"/>
      <c r="EU439" s="1605"/>
      <c r="EV439" s="1605"/>
      <c r="EW439" s="1605"/>
      <c r="EX439" s="1605"/>
      <c r="EY439" s="1605"/>
      <c r="EZ439" s="1605"/>
      <c r="FA439" s="1605"/>
      <c r="FB439" s="1605"/>
      <c r="FC439" s="1605"/>
      <c r="FD439" s="1605"/>
      <c r="FE439" s="1605"/>
      <c r="FF439" s="1605"/>
      <c r="FG439" s="1605"/>
      <c r="FH439" s="1605"/>
      <c r="FI439" s="1605"/>
      <c r="FJ439" s="1605"/>
      <c r="FK439" s="1605"/>
      <c r="FL439" s="1605"/>
      <c r="FM439" s="1605"/>
      <c r="FN439" s="1605"/>
      <c r="FO439" s="1605"/>
      <c r="FP439" s="1605"/>
      <c r="FQ439" s="1605"/>
      <c r="FR439" s="1605"/>
      <c r="FS439" s="1605"/>
      <c r="FT439" s="1605"/>
      <c r="FU439" s="1605"/>
      <c r="FV439" s="1605"/>
      <c r="FW439" s="1605"/>
      <c r="FX439" s="1605"/>
      <c r="FY439" s="1605"/>
      <c r="FZ439" s="1605"/>
      <c r="GA439" s="1605"/>
      <c r="GB439" s="1605"/>
      <c r="GC439" s="1605"/>
      <c r="GD439" s="1605"/>
      <c r="GE439" s="1605"/>
      <c r="GF439" s="1605"/>
      <c r="GG439" s="1605"/>
      <c r="GH439" s="1605"/>
      <c r="GI439" s="1605"/>
      <c r="GJ439" s="1605"/>
      <c r="GK439" s="1605"/>
      <c r="GL439" s="1605"/>
      <c r="GM439" s="1605"/>
      <c r="GN439" s="1605"/>
      <c r="GO439" s="1605"/>
      <c r="GP439" s="1605"/>
      <c r="GQ439" s="1605"/>
      <c r="GR439" s="1605"/>
      <c r="GS439" s="1605"/>
      <c r="GT439" s="1605"/>
      <c r="GU439" s="1605"/>
      <c r="GV439" s="1605"/>
      <c r="GW439" s="1605"/>
      <c r="GX439" s="1605"/>
      <c r="GY439" s="1605"/>
      <c r="GZ439" s="1605"/>
      <c r="HA439" s="1605"/>
      <c r="HB439" s="1605"/>
      <c r="HC439" s="1605"/>
      <c r="HD439" s="1605"/>
      <c r="HE439" s="1605"/>
      <c r="HF439" s="1605"/>
      <c r="HG439" s="1605"/>
      <c r="HH439" s="1605"/>
      <c r="HI439" s="1605"/>
      <c r="HJ439" s="1605"/>
      <c r="HK439" s="1605"/>
      <c r="HL439" s="1605"/>
      <c r="HM439" s="1605"/>
      <c r="HN439" s="1605"/>
      <c r="HO439" s="1605"/>
      <c r="HP439" s="1605"/>
      <c r="HQ439" s="1605"/>
      <c r="HR439" s="1605"/>
      <c r="HS439" s="1605"/>
      <c r="HT439" s="1605"/>
      <c r="HU439" s="1605"/>
      <c r="HV439" s="1605"/>
      <c r="HW439" s="1605"/>
      <c r="HX439" s="1605"/>
      <c r="HY439" s="1605"/>
      <c r="HZ439" s="1605"/>
      <c r="IA439" s="1605"/>
      <c r="IB439" s="1605"/>
      <c r="IC439" s="1605"/>
      <c r="ID439" s="1605"/>
      <c r="IE439" s="1605"/>
      <c r="IF439" s="1605"/>
      <c r="IG439" s="1605"/>
      <c r="IH439" s="1605"/>
      <c r="II439" s="1605"/>
      <c r="IJ439" s="1605"/>
      <c r="IK439" s="1605"/>
      <c r="IL439" s="1605"/>
      <c r="IM439" s="1605"/>
      <c r="IN439" s="1605"/>
      <c r="IO439" s="1605"/>
      <c r="IP439" s="1605"/>
      <c r="IQ439" s="1605"/>
      <c r="IR439" s="1605"/>
      <c r="IS439" s="1605"/>
      <c r="IT439" s="1605"/>
      <c r="IU439" s="1605"/>
      <c r="IV439" s="1605"/>
      <c r="IW439" s="1605"/>
      <c r="IX439" s="1605"/>
      <c r="IY439" s="1605"/>
      <c r="IZ439" s="1605"/>
      <c r="JA439" s="1605"/>
      <c r="JB439" s="1605"/>
      <c r="JC439" s="1605"/>
      <c r="JD439" s="1605"/>
      <c r="JE439" s="1605"/>
      <c r="JF439" s="1605"/>
      <c r="JG439" s="1605"/>
      <c r="JH439" s="1605"/>
      <c r="JI439" s="1605"/>
      <c r="JJ439" s="1605"/>
      <c r="JK439" s="1605"/>
      <c r="JL439" s="1605"/>
      <c r="JM439" s="1605"/>
      <c r="JN439" s="1605"/>
      <c r="JO439" s="1605"/>
      <c r="JP439" s="1605"/>
      <c r="JQ439" s="1605"/>
      <c r="JR439" s="1605"/>
      <c r="JS439" s="1605"/>
      <c r="JT439" s="1605"/>
      <c r="JU439" s="1605"/>
      <c r="JV439" s="1605"/>
      <c r="JW439" s="1605"/>
      <c r="JX439" s="1605"/>
      <c r="JY439" s="1605"/>
      <c r="JZ439" s="1605"/>
      <c r="KA439" s="1605"/>
      <c r="KB439" s="1606"/>
    </row>
    <row r="440" spans="2:288" ht="15" customHeight="1" x14ac:dyDescent="0.25">
      <c r="B440" s="216" t="str">
        <f t="shared" si="36"/>
        <v>Desk 16</v>
      </c>
      <c r="C440" s="218" t="str">
        <v/>
      </c>
      <c r="D440" s="218" t="str">
        <v/>
      </c>
      <c r="E440" s="218" t="str">
        <v/>
      </c>
      <c r="F440" s="218" t="str">
        <v/>
      </c>
      <c r="G440" s="402" t="str">
        <v/>
      </c>
      <c r="H440" s="1605"/>
      <c r="I440" s="1605"/>
      <c r="J440" s="1605"/>
      <c r="K440" s="1605"/>
      <c r="L440" s="1605"/>
      <c r="M440" s="1605"/>
      <c r="N440" s="1605"/>
      <c r="O440" s="1605"/>
      <c r="P440" s="1605"/>
      <c r="Q440" s="1605"/>
      <c r="R440" s="1605"/>
      <c r="S440" s="1605"/>
      <c r="T440" s="1605"/>
      <c r="U440" s="1605"/>
      <c r="V440" s="1605"/>
      <c r="W440" s="1605"/>
      <c r="X440" s="1605"/>
      <c r="Y440" s="1605"/>
      <c r="Z440" s="1605"/>
      <c r="AA440" s="1605"/>
      <c r="AB440" s="1605"/>
      <c r="AC440" s="1605"/>
      <c r="AD440" s="1605"/>
      <c r="AE440" s="1605"/>
      <c r="AF440" s="1605"/>
      <c r="AG440" s="1605"/>
      <c r="AH440" s="1605"/>
      <c r="AI440" s="1605"/>
      <c r="AJ440" s="1605"/>
      <c r="AK440" s="1605"/>
      <c r="AL440" s="1605"/>
      <c r="AM440" s="1605"/>
      <c r="AN440" s="1605"/>
      <c r="AO440" s="1605"/>
      <c r="AP440" s="1605"/>
      <c r="AQ440" s="1605"/>
      <c r="AR440" s="1605"/>
      <c r="AS440" s="1605"/>
      <c r="AT440" s="1605"/>
      <c r="AU440" s="1605"/>
      <c r="AV440" s="1605"/>
      <c r="AW440" s="1605"/>
      <c r="AX440" s="1605"/>
      <c r="AY440" s="1605"/>
      <c r="AZ440" s="1605"/>
      <c r="BA440" s="1605"/>
      <c r="BB440" s="1605"/>
      <c r="BC440" s="1605"/>
      <c r="BD440" s="1605"/>
      <c r="BE440" s="1605"/>
      <c r="BF440" s="1605"/>
      <c r="BG440" s="1605"/>
      <c r="BH440" s="1605"/>
      <c r="BI440" s="1605"/>
      <c r="BJ440" s="1605"/>
      <c r="BK440" s="1605"/>
      <c r="BL440" s="1605"/>
      <c r="BM440" s="1605"/>
      <c r="BN440" s="1605"/>
      <c r="BO440" s="1605"/>
      <c r="BP440" s="1605"/>
      <c r="BQ440" s="1605"/>
      <c r="BR440" s="1605"/>
      <c r="BS440" s="1605"/>
      <c r="BT440" s="1605"/>
      <c r="BU440" s="1605"/>
      <c r="BV440" s="1605"/>
      <c r="BW440" s="1605"/>
      <c r="BX440" s="1605"/>
      <c r="BY440" s="1605"/>
      <c r="BZ440" s="1605"/>
      <c r="CA440" s="1605"/>
      <c r="CB440" s="1605"/>
      <c r="CC440" s="1605"/>
      <c r="CD440" s="1605"/>
      <c r="CE440" s="1605"/>
      <c r="CF440" s="1605"/>
      <c r="CG440" s="1605"/>
      <c r="CH440" s="1605"/>
      <c r="CI440" s="1605"/>
      <c r="CJ440" s="1605"/>
      <c r="CK440" s="1605"/>
      <c r="CL440" s="1605"/>
      <c r="CM440" s="1605"/>
      <c r="CN440" s="1605"/>
      <c r="CO440" s="1605"/>
      <c r="CP440" s="1605"/>
      <c r="CQ440" s="1605"/>
      <c r="CR440" s="1605"/>
      <c r="CS440" s="1605"/>
      <c r="CT440" s="1605"/>
      <c r="CU440" s="1605"/>
      <c r="CV440" s="1605"/>
      <c r="CW440" s="1605"/>
      <c r="CX440" s="1605"/>
      <c r="CY440" s="1605"/>
      <c r="CZ440" s="1605"/>
      <c r="DA440" s="1605"/>
      <c r="DB440" s="1605"/>
      <c r="DC440" s="1605"/>
      <c r="DD440" s="1605"/>
      <c r="DE440" s="1605"/>
      <c r="DF440" s="1605"/>
      <c r="DG440" s="1605"/>
      <c r="DH440" s="1605"/>
      <c r="DI440" s="1605"/>
      <c r="DJ440" s="1605"/>
      <c r="DK440" s="1605"/>
      <c r="DL440" s="1605"/>
      <c r="DM440" s="1605"/>
      <c r="DN440" s="1605"/>
      <c r="DO440" s="1605"/>
      <c r="DP440" s="1605"/>
      <c r="DQ440" s="1605"/>
      <c r="DR440" s="1605"/>
      <c r="DS440" s="1605"/>
      <c r="DT440" s="1605"/>
      <c r="DU440" s="1605"/>
      <c r="DV440" s="1605"/>
      <c r="DW440" s="1605"/>
      <c r="DX440" s="1605"/>
      <c r="DY440" s="1605"/>
      <c r="DZ440" s="1605"/>
      <c r="EA440" s="1605"/>
      <c r="EB440" s="1605"/>
      <c r="EC440" s="1605"/>
      <c r="ED440" s="1605"/>
      <c r="EE440" s="1605"/>
      <c r="EF440" s="1605"/>
      <c r="EG440" s="1605"/>
      <c r="EH440" s="1605"/>
      <c r="EI440" s="1605"/>
      <c r="EJ440" s="1605"/>
      <c r="EK440" s="1605"/>
      <c r="EL440" s="1605"/>
      <c r="EM440" s="1605"/>
      <c r="EN440" s="1605"/>
      <c r="EO440" s="1605"/>
      <c r="EP440" s="1605"/>
      <c r="EQ440" s="1605"/>
      <c r="ER440" s="1605"/>
      <c r="ES440" s="1605"/>
      <c r="ET440" s="1605"/>
      <c r="EU440" s="1605"/>
      <c r="EV440" s="1605"/>
      <c r="EW440" s="1605"/>
      <c r="EX440" s="1605"/>
      <c r="EY440" s="1605"/>
      <c r="EZ440" s="1605"/>
      <c r="FA440" s="1605"/>
      <c r="FB440" s="1605"/>
      <c r="FC440" s="1605"/>
      <c r="FD440" s="1605"/>
      <c r="FE440" s="1605"/>
      <c r="FF440" s="1605"/>
      <c r="FG440" s="1605"/>
      <c r="FH440" s="1605"/>
      <c r="FI440" s="1605"/>
      <c r="FJ440" s="1605"/>
      <c r="FK440" s="1605"/>
      <c r="FL440" s="1605"/>
      <c r="FM440" s="1605"/>
      <c r="FN440" s="1605"/>
      <c r="FO440" s="1605"/>
      <c r="FP440" s="1605"/>
      <c r="FQ440" s="1605"/>
      <c r="FR440" s="1605"/>
      <c r="FS440" s="1605"/>
      <c r="FT440" s="1605"/>
      <c r="FU440" s="1605"/>
      <c r="FV440" s="1605"/>
      <c r="FW440" s="1605"/>
      <c r="FX440" s="1605"/>
      <c r="FY440" s="1605"/>
      <c r="FZ440" s="1605"/>
      <c r="GA440" s="1605"/>
      <c r="GB440" s="1605"/>
      <c r="GC440" s="1605"/>
      <c r="GD440" s="1605"/>
      <c r="GE440" s="1605"/>
      <c r="GF440" s="1605"/>
      <c r="GG440" s="1605"/>
      <c r="GH440" s="1605"/>
      <c r="GI440" s="1605"/>
      <c r="GJ440" s="1605"/>
      <c r="GK440" s="1605"/>
      <c r="GL440" s="1605"/>
      <c r="GM440" s="1605"/>
      <c r="GN440" s="1605"/>
      <c r="GO440" s="1605"/>
      <c r="GP440" s="1605"/>
      <c r="GQ440" s="1605"/>
      <c r="GR440" s="1605"/>
      <c r="GS440" s="1605"/>
      <c r="GT440" s="1605"/>
      <c r="GU440" s="1605"/>
      <c r="GV440" s="1605"/>
      <c r="GW440" s="1605"/>
      <c r="GX440" s="1605"/>
      <c r="GY440" s="1605"/>
      <c r="GZ440" s="1605"/>
      <c r="HA440" s="1605"/>
      <c r="HB440" s="1605"/>
      <c r="HC440" s="1605"/>
      <c r="HD440" s="1605"/>
      <c r="HE440" s="1605"/>
      <c r="HF440" s="1605"/>
      <c r="HG440" s="1605"/>
      <c r="HH440" s="1605"/>
      <c r="HI440" s="1605"/>
      <c r="HJ440" s="1605"/>
      <c r="HK440" s="1605"/>
      <c r="HL440" s="1605"/>
      <c r="HM440" s="1605"/>
      <c r="HN440" s="1605"/>
      <c r="HO440" s="1605"/>
      <c r="HP440" s="1605"/>
      <c r="HQ440" s="1605"/>
      <c r="HR440" s="1605"/>
      <c r="HS440" s="1605"/>
      <c r="HT440" s="1605"/>
      <c r="HU440" s="1605"/>
      <c r="HV440" s="1605"/>
      <c r="HW440" s="1605"/>
      <c r="HX440" s="1605"/>
      <c r="HY440" s="1605"/>
      <c r="HZ440" s="1605"/>
      <c r="IA440" s="1605"/>
      <c r="IB440" s="1605"/>
      <c r="IC440" s="1605"/>
      <c r="ID440" s="1605"/>
      <c r="IE440" s="1605"/>
      <c r="IF440" s="1605"/>
      <c r="IG440" s="1605"/>
      <c r="IH440" s="1605"/>
      <c r="II440" s="1605"/>
      <c r="IJ440" s="1605"/>
      <c r="IK440" s="1605"/>
      <c r="IL440" s="1605"/>
      <c r="IM440" s="1605"/>
      <c r="IN440" s="1605"/>
      <c r="IO440" s="1605"/>
      <c r="IP440" s="1605"/>
      <c r="IQ440" s="1605"/>
      <c r="IR440" s="1605"/>
      <c r="IS440" s="1605"/>
      <c r="IT440" s="1605"/>
      <c r="IU440" s="1605"/>
      <c r="IV440" s="1605"/>
      <c r="IW440" s="1605"/>
      <c r="IX440" s="1605"/>
      <c r="IY440" s="1605"/>
      <c r="IZ440" s="1605"/>
      <c r="JA440" s="1605"/>
      <c r="JB440" s="1605"/>
      <c r="JC440" s="1605"/>
      <c r="JD440" s="1605"/>
      <c r="JE440" s="1605"/>
      <c r="JF440" s="1605"/>
      <c r="JG440" s="1605"/>
      <c r="JH440" s="1605"/>
      <c r="JI440" s="1605"/>
      <c r="JJ440" s="1605"/>
      <c r="JK440" s="1605"/>
      <c r="JL440" s="1605"/>
      <c r="JM440" s="1605"/>
      <c r="JN440" s="1605"/>
      <c r="JO440" s="1605"/>
      <c r="JP440" s="1605"/>
      <c r="JQ440" s="1605"/>
      <c r="JR440" s="1605"/>
      <c r="JS440" s="1605"/>
      <c r="JT440" s="1605"/>
      <c r="JU440" s="1605"/>
      <c r="JV440" s="1605"/>
      <c r="JW440" s="1605"/>
      <c r="JX440" s="1605"/>
      <c r="JY440" s="1605"/>
      <c r="JZ440" s="1605"/>
      <c r="KA440" s="1605"/>
      <c r="KB440" s="1606"/>
    </row>
    <row r="441" spans="2:288" ht="15" customHeight="1" x14ac:dyDescent="0.25">
      <c r="B441" s="216" t="str">
        <f t="shared" si="36"/>
        <v>Desk 17</v>
      </c>
      <c r="C441" s="218" t="str">
        <v/>
      </c>
      <c r="D441" s="218" t="str">
        <v/>
      </c>
      <c r="E441" s="218" t="str">
        <v/>
      </c>
      <c r="F441" s="218" t="str">
        <v/>
      </c>
      <c r="G441" s="402" t="str">
        <v/>
      </c>
      <c r="H441" s="1605"/>
      <c r="I441" s="1605"/>
      <c r="J441" s="1605"/>
      <c r="K441" s="1605"/>
      <c r="L441" s="1605"/>
      <c r="M441" s="1605"/>
      <c r="N441" s="1605"/>
      <c r="O441" s="1605"/>
      <c r="P441" s="1605"/>
      <c r="Q441" s="1605"/>
      <c r="R441" s="1605"/>
      <c r="S441" s="1605"/>
      <c r="T441" s="1605"/>
      <c r="U441" s="1605"/>
      <c r="V441" s="1605"/>
      <c r="W441" s="1605"/>
      <c r="X441" s="1605"/>
      <c r="Y441" s="1605"/>
      <c r="Z441" s="1605"/>
      <c r="AA441" s="1605"/>
      <c r="AB441" s="1605"/>
      <c r="AC441" s="1605"/>
      <c r="AD441" s="1605"/>
      <c r="AE441" s="1605"/>
      <c r="AF441" s="1605"/>
      <c r="AG441" s="1605"/>
      <c r="AH441" s="1605"/>
      <c r="AI441" s="1605"/>
      <c r="AJ441" s="1605"/>
      <c r="AK441" s="1605"/>
      <c r="AL441" s="1605"/>
      <c r="AM441" s="1605"/>
      <c r="AN441" s="1605"/>
      <c r="AO441" s="1605"/>
      <c r="AP441" s="1605"/>
      <c r="AQ441" s="1605"/>
      <c r="AR441" s="1605"/>
      <c r="AS441" s="1605"/>
      <c r="AT441" s="1605"/>
      <c r="AU441" s="1605"/>
      <c r="AV441" s="1605"/>
      <c r="AW441" s="1605"/>
      <c r="AX441" s="1605"/>
      <c r="AY441" s="1605"/>
      <c r="AZ441" s="1605"/>
      <c r="BA441" s="1605"/>
      <c r="BB441" s="1605"/>
      <c r="BC441" s="1605"/>
      <c r="BD441" s="1605"/>
      <c r="BE441" s="1605"/>
      <c r="BF441" s="1605"/>
      <c r="BG441" s="1605"/>
      <c r="BH441" s="1605"/>
      <c r="BI441" s="1605"/>
      <c r="BJ441" s="1605"/>
      <c r="BK441" s="1605"/>
      <c r="BL441" s="1605"/>
      <c r="BM441" s="1605"/>
      <c r="BN441" s="1605"/>
      <c r="BO441" s="1605"/>
      <c r="BP441" s="1605"/>
      <c r="BQ441" s="1605"/>
      <c r="BR441" s="1605"/>
      <c r="BS441" s="1605"/>
      <c r="BT441" s="1605"/>
      <c r="BU441" s="1605"/>
      <c r="BV441" s="1605"/>
      <c r="BW441" s="1605"/>
      <c r="BX441" s="1605"/>
      <c r="BY441" s="1605"/>
      <c r="BZ441" s="1605"/>
      <c r="CA441" s="1605"/>
      <c r="CB441" s="1605"/>
      <c r="CC441" s="1605"/>
      <c r="CD441" s="1605"/>
      <c r="CE441" s="1605"/>
      <c r="CF441" s="1605"/>
      <c r="CG441" s="1605"/>
      <c r="CH441" s="1605"/>
      <c r="CI441" s="1605"/>
      <c r="CJ441" s="1605"/>
      <c r="CK441" s="1605"/>
      <c r="CL441" s="1605"/>
      <c r="CM441" s="1605"/>
      <c r="CN441" s="1605"/>
      <c r="CO441" s="1605"/>
      <c r="CP441" s="1605"/>
      <c r="CQ441" s="1605"/>
      <c r="CR441" s="1605"/>
      <c r="CS441" s="1605"/>
      <c r="CT441" s="1605"/>
      <c r="CU441" s="1605"/>
      <c r="CV441" s="1605"/>
      <c r="CW441" s="1605"/>
      <c r="CX441" s="1605"/>
      <c r="CY441" s="1605"/>
      <c r="CZ441" s="1605"/>
      <c r="DA441" s="1605"/>
      <c r="DB441" s="1605"/>
      <c r="DC441" s="1605"/>
      <c r="DD441" s="1605"/>
      <c r="DE441" s="1605"/>
      <c r="DF441" s="1605"/>
      <c r="DG441" s="1605"/>
      <c r="DH441" s="1605"/>
      <c r="DI441" s="1605"/>
      <c r="DJ441" s="1605"/>
      <c r="DK441" s="1605"/>
      <c r="DL441" s="1605"/>
      <c r="DM441" s="1605"/>
      <c r="DN441" s="1605"/>
      <c r="DO441" s="1605"/>
      <c r="DP441" s="1605"/>
      <c r="DQ441" s="1605"/>
      <c r="DR441" s="1605"/>
      <c r="DS441" s="1605"/>
      <c r="DT441" s="1605"/>
      <c r="DU441" s="1605"/>
      <c r="DV441" s="1605"/>
      <c r="DW441" s="1605"/>
      <c r="DX441" s="1605"/>
      <c r="DY441" s="1605"/>
      <c r="DZ441" s="1605"/>
      <c r="EA441" s="1605"/>
      <c r="EB441" s="1605"/>
      <c r="EC441" s="1605"/>
      <c r="ED441" s="1605"/>
      <c r="EE441" s="1605"/>
      <c r="EF441" s="1605"/>
      <c r="EG441" s="1605"/>
      <c r="EH441" s="1605"/>
      <c r="EI441" s="1605"/>
      <c r="EJ441" s="1605"/>
      <c r="EK441" s="1605"/>
      <c r="EL441" s="1605"/>
      <c r="EM441" s="1605"/>
      <c r="EN441" s="1605"/>
      <c r="EO441" s="1605"/>
      <c r="EP441" s="1605"/>
      <c r="EQ441" s="1605"/>
      <c r="ER441" s="1605"/>
      <c r="ES441" s="1605"/>
      <c r="ET441" s="1605"/>
      <c r="EU441" s="1605"/>
      <c r="EV441" s="1605"/>
      <c r="EW441" s="1605"/>
      <c r="EX441" s="1605"/>
      <c r="EY441" s="1605"/>
      <c r="EZ441" s="1605"/>
      <c r="FA441" s="1605"/>
      <c r="FB441" s="1605"/>
      <c r="FC441" s="1605"/>
      <c r="FD441" s="1605"/>
      <c r="FE441" s="1605"/>
      <c r="FF441" s="1605"/>
      <c r="FG441" s="1605"/>
      <c r="FH441" s="1605"/>
      <c r="FI441" s="1605"/>
      <c r="FJ441" s="1605"/>
      <c r="FK441" s="1605"/>
      <c r="FL441" s="1605"/>
      <c r="FM441" s="1605"/>
      <c r="FN441" s="1605"/>
      <c r="FO441" s="1605"/>
      <c r="FP441" s="1605"/>
      <c r="FQ441" s="1605"/>
      <c r="FR441" s="1605"/>
      <c r="FS441" s="1605"/>
      <c r="FT441" s="1605"/>
      <c r="FU441" s="1605"/>
      <c r="FV441" s="1605"/>
      <c r="FW441" s="1605"/>
      <c r="FX441" s="1605"/>
      <c r="FY441" s="1605"/>
      <c r="FZ441" s="1605"/>
      <c r="GA441" s="1605"/>
      <c r="GB441" s="1605"/>
      <c r="GC441" s="1605"/>
      <c r="GD441" s="1605"/>
      <c r="GE441" s="1605"/>
      <c r="GF441" s="1605"/>
      <c r="GG441" s="1605"/>
      <c r="GH441" s="1605"/>
      <c r="GI441" s="1605"/>
      <c r="GJ441" s="1605"/>
      <c r="GK441" s="1605"/>
      <c r="GL441" s="1605"/>
      <c r="GM441" s="1605"/>
      <c r="GN441" s="1605"/>
      <c r="GO441" s="1605"/>
      <c r="GP441" s="1605"/>
      <c r="GQ441" s="1605"/>
      <c r="GR441" s="1605"/>
      <c r="GS441" s="1605"/>
      <c r="GT441" s="1605"/>
      <c r="GU441" s="1605"/>
      <c r="GV441" s="1605"/>
      <c r="GW441" s="1605"/>
      <c r="GX441" s="1605"/>
      <c r="GY441" s="1605"/>
      <c r="GZ441" s="1605"/>
      <c r="HA441" s="1605"/>
      <c r="HB441" s="1605"/>
      <c r="HC441" s="1605"/>
      <c r="HD441" s="1605"/>
      <c r="HE441" s="1605"/>
      <c r="HF441" s="1605"/>
      <c r="HG441" s="1605"/>
      <c r="HH441" s="1605"/>
      <c r="HI441" s="1605"/>
      <c r="HJ441" s="1605"/>
      <c r="HK441" s="1605"/>
      <c r="HL441" s="1605"/>
      <c r="HM441" s="1605"/>
      <c r="HN441" s="1605"/>
      <c r="HO441" s="1605"/>
      <c r="HP441" s="1605"/>
      <c r="HQ441" s="1605"/>
      <c r="HR441" s="1605"/>
      <c r="HS441" s="1605"/>
      <c r="HT441" s="1605"/>
      <c r="HU441" s="1605"/>
      <c r="HV441" s="1605"/>
      <c r="HW441" s="1605"/>
      <c r="HX441" s="1605"/>
      <c r="HY441" s="1605"/>
      <c r="HZ441" s="1605"/>
      <c r="IA441" s="1605"/>
      <c r="IB441" s="1605"/>
      <c r="IC441" s="1605"/>
      <c r="ID441" s="1605"/>
      <c r="IE441" s="1605"/>
      <c r="IF441" s="1605"/>
      <c r="IG441" s="1605"/>
      <c r="IH441" s="1605"/>
      <c r="II441" s="1605"/>
      <c r="IJ441" s="1605"/>
      <c r="IK441" s="1605"/>
      <c r="IL441" s="1605"/>
      <c r="IM441" s="1605"/>
      <c r="IN441" s="1605"/>
      <c r="IO441" s="1605"/>
      <c r="IP441" s="1605"/>
      <c r="IQ441" s="1605"/>
      <c r="IR441" s="1605"/>
      <c r="IS441" s="1605"/>
      <c r="IT441" s="1605"/>
      <c r="IU441" s="1605"/>
      <c r="IV441" s="1605"/>
      <c r="IW441" s="1605"/>
      <c r="IX441" s="1605"/>
      <c r="IY441" s="1605"/>
      <c r="IZ441" s="1605"/>
      <c r="JA441" s="1605"/>
      <c r="JB441" s="1605"/>
      <c r="JC441" s="1605"/>
      <c r="JD441" s="1605"/>
      <c r="JE441" s="1605"/>
      <c r="JF441" s="1605"/>
      <c r="JG441" s="1605"/>
      <c r="JH441" s="1605"/>
      <c r="JI441" s="1605"/>
      <c r="JJ441" s="1605"/>
      <c r="JK441" s="1605"/>
      <c r="JL441" s="1605"/>
      <c r="JM441" s="1605"/>
      <c r="JN441" s="1605"/>
      <c r="JO441" s="1605"/>
      <c r="JP441" s="1605"/>
      <c r="JQ441" s="1605"/>
      <c r="JR441" s="1605"/>
      <c r="JS441" s="1605"/>
      <c r="JT441" s="1605"/>
      <c r="JU441" s="1605"/>
      <c r="JV441" s="1605"/>
      <c r="JW441" s="1605"/>
      <c r="JX441" s="1605"/>
      <c r="JY441" s="1605"/>
      <c r="JZ441" s="1605"/>
      <c r="KA441" s="1605"/>
      <c r="KB441" s="1606"/>
    </row>
    <row r="442" spans="2:288" ht="15" customHeight="1" x14ac:dyDescent="0.25">
      <c r="B442" s="216" t="str">
        <f t="shared" si="36"/>
        <v>Desk 18</v>
      </c>
      <c r="C442" s="218" t="str">
        <v/>
      </c>
      <c r="D442" s="218" t="str">
        <v/>
      </c>
      <c r="E442" s="218" t="str">
        <v/>
      </c>
      <c r="F442" s="218" t="str">
        <v/>
      </c>
      <c r="G442" s="402" t="str">
        <v/>
      </c>
      <c r="H442" s="1605"/>
      <c r="I442" s="1605"/>
      <c r="J442" s="1605"/>
      <c r="K442" s="1605"/>
      <c r="L442" s="1605"/>
      <c r="M442" s="1605"/>
      <c r="N442" s="1605"/>
      <c r="O442" s="1605"/>
      <c r="P442" s="1605"/>
      <c r="Q442" s="1605"/>
      <c r="R442" s="1605"/>
      <c r="S442" s="1605"/>
      <c r="T442" s="1605"/>
      <c r="U442" s="1605"/>
      <c r="V442" s="1605"/>
      <c r="W442" s="1605"/>
      <c r="X442" s="1605"/>
      <c r="Y442" s="1605"/>
      <c r="Z442" s="1605"/>
      <c r="AA442" s="1605"/>
      <c r="AB442" s="1605"/>
      <c r="AC442" s="1605"/>
      <c r="AD442" s="1605"/>
      <c r="AE442" s="1605"/>
      <c r="AF442" s="1605"/>
      <c r="AG442" s="1605"/>
      <c r="AH442" s="1605"/>
      <c r="AI442" s="1605"/>
      <c r="AJ442" s="1605"/>
      <c r="AK442" s="1605"/>
      <c r="AL442" s="1605"/>
      <c r="AM442" s="1605"/>
      <c r="AN442" s="1605"/>
      <c r="AO442" s="1605"/>
      <c r="AP442" s="1605"/>
      <c r="AQ442" s="1605"/>
      <c r="AR442" s="1605"/>
      <c r="AS442" s="1605"/>
      <c r="AT442" s="1605"/>
      <c r="AU442" s="1605"/>
      <c r="AV442" s="1605"/>
      <c r="AW442" s="1605"/>
      <c r="AX442" s="1605"/>
      <c r="AY442" s="1605"/>
      <c r="AZ442" s="1605"/>
      <c r="BA442" s="1605"/>
      <c r="BB442" s="1605"/>
      <c r="BC442" s="1605"/>
      <c r="BD442" s="1605"/>
      <c r="BE442" s="1605"/>
      <c r="BF442" s="1605"/>
      <c r="BG442" s="1605"/>
      <c r="BH442" s="1605"/>
      <c r="BI442" s="1605"/>
      <c r="BJ442" s="1605"/>
      <c r="BK442" s="1605"/>
      <c r="BL442" s="1605"/>
      <c r="BM442" s="1605"/>
      <c r="BN442" s="1605"/>
      <c r="BO442" s="1605"/>
      <c r="BP442" s="1605"/>
      <c r="BQ442" s="1605"/>
      <c r="BR442" s="1605"/>
      <c r="BS442" s="1605"/>
      <c r="BT442" s="1605"/>
      <c r="BU442" s="1605"/>
      <c r="BV442" s="1605"/>
      <c r="BW442" s="1605"/>
      <c r="BX442" s="1605"/>
      <c r="BY442" s="1605"/>
      <c r="BZ442" s="1605"/>
      <c r="CA442" s="1605"/>
      <c r="CB442" s="1605"/>
      <c r="CC442" s="1605"/>
      <c r="CD442" s="1605"/>
      <c r="CE442" s="1605"/>
      <c r="CF442" s="1605"/>
      <c r="CG442" s="1605"/>
      <c r="CH442" s="1605"/>
      <c r="CI442" s="1605"/>
      <c r="CJ442" s="1605"/>
      <c r="CK442" s="1605"/>
      <c r="CL442" s="1605"/>
      <c r="CM442" s="1605"/>
      <c r="CN442" s="1605"/>
      <c r="CO442" s="1605"/>
      <c r="CP442" s="1605"/>
      <c r="CQ442" s="1605"/>
      <c r="CR442" s="1605"/>
      <c r="CS442" s="1605"/>
      <c r="CT442" s="1605"/>
      <c r="CU442" s="1605"/>
      <c r="CV442" s="1605"/>
      <c r="CW442" s="1605"/>
      <c r="CX442" s="1605"/>
      <c r="CY442" s="1605"/>
      <c r="CZ442" s="1605"/>
      <c r="DA442" s="1605"/>
      <c r="DB442" s="1605"/>
      <c r="DC442" s="1605"/>
      <c r="DD442" s="1605"/>
      <c r="DE442" s="1605"/>
      <c r="DF442" s="1605"/>
      <c r="DG442" s="1605"/>
      <c r="DH442" s="1605"/>
      <c r="DI442" s="1605"/>
      <c r="DJ442" s="1605"/>
      <c r="DK442" s="1605"/>
      <c r="DL442" s="1605"/>
      <c r="DM442" s="1605"/>
      <c r="DN442" s="1605"/>
      <c r="DO442" s="1605"/>
      <c r="DP442" s="1605"/>
      <c r="DQ442" s="1605"/>
      <c r="DR442" s="1605"/>
      <c r="DS442" s="1605"/>
      <c r="DT442" s="1605"/>
      <c r="DU442" s="1605"/>
      <c r="DV442" s="1605"/>
      <c r="DW442" s="1605"/>
      <c r="DX442" s="1605"/>
      <c r="DY442" s="1605"/>
      <c r="DZ442" s="1605"/>
      <c r="EA442" s="1605"/>
      <c r="EB442" s="1605"/>
      <c r="EC442" s="1605"/>
      <c r="ED442" s="1605"/>
      <c r="EE442" s="1605"/>
      <c r="EF442" s="1605"/>
      <c r="EG442" s="1605"/>
      <c r="EH442" s="1605"/>
      <c r="EI442" s="1605"/>
      <c r="EJ442" s="1605"/>
      <c r="EK442" s="1605"/>
      <c r="EL442" s="1605"/>
      <c r="EM442" s="1605"/>
      <c r="EN442" s="1605"/>
      <c r="EO442" s="1605"/>
      <c r="EP442" s="1605"/>
      <c r="EQ442" s="1605"/>
      <c r="ER442" s="1605"/>
      <c r="ES442" s="1605"/>
      <c r="ET442" s="1605"/>
      <c r="EU442" s="1605"/>
      <c r="EV442" s="1605"/>
      <c r="EW442" s="1605"/>
      <c r="EX442" s="1605"/>
      <c r="EY442" s="1605"/>
      <c r="EZ442" s="1605"/>
      <c r="FA442" s="1605"/>
      <c r="FB442" s="1605"/>
      <c r="FC442" s="1605"/>
      <c r="FD442" s="1605"/>
      <c r="FE442" s="1605"/>
      <c r="FF442" s="1605"/>
      <c r="FG442" s="1605"/>
      <c r="FH442" s="1605"/>
      <c r="FI442" s="1605"/>
      <c r="FJ442" s="1605"/>
      <c r="FK442" s="1605"/>
      <c r="FL442" s="1605"/>
      <c r="FM442" s="1605"/>
      <c r="FN442" s="1605"/>
      <c r="FO442" s="1605"/>
      <c r="FP442" s="1605"/>
      <c r="FQ442" s="1605"/>
      <c r="FR442" s="1605"/>
      <c r="FS442" s="1605"/>
      <c r="FT442" s="1605"/>
      <c r="FU442" s="1605"/>
      <c r="FV442" s="1605"/>
      <c r="FW442" s="1605"/>
      <c r="FX442" s="1605"/>
      <c r="FY442" s="1605"/>
      <c r="FZ442" s="1605"/>
      <c r="GA442" s="1605"/>
      <c r="GB442" s="1605"/>
      <c r="GC442" s="1605"/>
      <c r="GD442" s="1605"/>
      <c r="GE442" s="1605"/>
      <c r="GF442" s="1605"/>
      <c r="GG442" s="1605"/>
      <c r="GH442" s="1605"/>
      <c r="GI442" s="1605"/>
      <c r="GJ442" s="1605"/>
      <c r="GK442" s="1605"/>
      <c r="GL442" s="1605"/>
      <c r="GM442" s="1605"/>
      <c r="GN442" s="1605"/>
      <c r="GO442" s="1605"/>
      <c r="GP442" s="1605"/>
      <c r="GQ442" s="1605"/>
      <c r="GR442" s="1605"/>
      <c r="GS442" s="1605"/>
      <c r="GT442" s="1605"/>
      <c r="GU442" s="1605"/>
      <c r="GV442" s="1605"/>
      <c r="GW442" s="1605"/>
      <c r="GX442" s="1605"/>
      <c r="GY442" s="1605"/>
      <c r="GZ442" s="1605"/>
      <c r="HA442" s="1605"/>
      <c r="HB442" s="1605"/>
      <c r="HC442" s="1605"/>
      <c r="HD442" s="1605"/>
      <c r="HE442" s="1605"/>
      <c r="HF442" s="1605"/>
      <c r="HG442" s="1605"/>
      <c r="HH442" s="1605"/>
      <c r="HI442" s="1605"/>
      <c r="HJ442" s="1605"/>
      <c r="HK442" s="1605"/>
      <c r="HL442" s="1605"/>
      <c r="HM442" s="1605"/>
      <c r="HN442" s="1605"/>
      <c r="HO442" s="1605"/>
      <c r="HP442" s="1605"/>
      <c r="HQ442" s="1605"/>
      <c r="HR442" s="1605"/>
      <c r="HS442" s="1605"/>
      <c r="HT442" s="1605"/>
      <c r="HU442" s="1605"/>
      <c r="HV442" s="1605"/>
      <c r="HW442" s="1605"/>
      <c r="HX442" s="1605"/>
      <c r="HY442" s="1605"/>
      <c r="HZ442" s="1605"/>
      <c r="IA442" s="1605"/>
      <c r="IB442" s="1605"/>
      <c r="IC442" s="1605"/>
      <c r="ID442" s="1605"/>
      <c r="IE442" s="1605"/>
      <c r="IF442" s="1605"/>
      <c r="IG442" s="1605"/>
      <c r="IH442" s="1605"/>
      <c r="II442" s="1605"/>
      <c r="IJ442" s="1605"/>
      <c r="IK442" s="1605"/>
      <c r="IL442" s="1605"/>
      <c r="IM442" s="1605"/>
      <c r="IN442" s="1605"/>
      <c r="IO442" s="1605"/>
      <c r="IP442" s="1605"/>
      <c r="IQ442" s="1605"/>
      <c r="IR442" s="1605"/>
      <c r="IS442" s="1605"/>
      <c r="IT442" s="1605"/>
      <c r="IU442" s="1605"/>
      <c r="IV442" s="1605"/>
      <c r="IW442" s="1605"/>
      <c r="IX442" s="1605"/>
      <c r="IY442" s="1605"/>
      <c r="IZ442" s="1605"/>
      <c r="JA442" s="1605"/>
      <c r="JB442" s="1605"/>
      <c r="JC442" s="1605"/>
      <c r="JD442" s="1605"/>
      <c r="JE442" s="1605"/>
      <c r="JF442" s="1605"/>
      <c r="JG442" s="1605"/>
      <c r="JH442" s="1605"/>
      <c r="JI442" s="1605"/>
      <c r="JJ442" s="1605"/>
      <c r="JK442" s="1605"/>
      <c r="JL442" s="1605"/>
      <c r="JM442" s="1605"/>
      <c r="JN442" s="1605"/>
      <c r="JO442" s="1605"/>
      <c r="JP442" s="1605"/>
      <c r="JQ442" s="1605"/>
      <c r="JR442" s="1605"/>
      <c r="JS442" s="1605"/>
      <c r="JT442" s="1605"/>
      <c r="JU442" s="1605"/>
      <c r="JV442" s="1605"/>
      <c r="JW442" s="1605"/>
      <c r="JX442" s="1605"/>
      <c r="JY442" s="1605"/>
      <c r="JZ442" s="1605"/>
      <c r="KA442" s="1605"/>
      <c r="KB442" s="1606"/>
    </row>
    <row r="443" spans="2:288" ht="15" customHeight="1" x14ac:dyDescent="0.25">
      <c r="B443" s="216" t="str">
        <f t="shared" si="36"/>
        <v>Desk 19</v>
      </c>
      <c r="C443" s="218" t="str">
        <v/>
      </c>
      <c r="D443" s="218" t="str">
        <v/>
      </c>
      <c r="E443" s="218" t="str">
        <v/>
      </c>
      <c r="F443" s="218" t="str">
        <v/>
      </c>
      <c r="G443" s="402" t="str">
        <v/>
      </c>
      <c r="H443" s="1605"/>
      <c r="I443" s="1605"/>
      <c r="J443" s="1605"/>
      <c r="K443" s="1605"/>
      <c r="L443" s="1605"/>
      <c r="M443" s="1605"/>
      <c r="N443" s="1605"/>
      <c r="O443" s="1605"/>
      <c r="P443" s="1605"/>
      <c r="Q443" s="1605"/>
      <c r="R443" s="1605"/>
      <c r="S443" s="1605"/>
      <c r="T443" s="1605"/>
      <c r="U443" s="1605"/>
      <c r="V443" s="1605"/>
      <c r="W443" s="1605"/>
      <c r="X443" s="1605"/>
      <c r="Y443" s="1605"/>
      <c r="Z443" s="1605"/>
      <c r="AA443" s="1605"/>
      <c r="AB443" s="1605"/>
      <c r="AC443" s="1605"/>
      <c r="AD443" s="1605"/>
      <c r="AE443" s="1605"/>
      <c r="AF443" s="1605"/>
      <c r="AG443" s="1605"/>
      <c r="AH443" s="1605"/>
      <c r="AI443" s="1605"/>
      <c r="AJ443" s="1605"/>
      <c r="AK443" s="1605"/>
      <c r="AL443" s="1605"/>
      <c r="AM443" s="1605"/>
      <c r="AN443" s="1605"/>
      <c r="AO443" s="1605"/>
      <c r="AP443" s="1605"/>
      <c r="AQ443" s="1605"/>
      <c r="AR443" s="1605"/>
      <c r="AS443" s="1605"/>
      <c r="AT443" s="1605"/>
      <c r="AU443" s="1605"/>
      <c r="AV443" s="1605"/>
      <c r="AW443" s="1605"/>
      <c r="AX443" s="1605"/>
      <c r="AY443" s="1605"/>
      <c r="AZ443" s="1605"/>
      <c r="BA443" s="1605"/>
      <c r="BB443" s="1605"/>
      <c r="BC443" s="1605"/>
      <c r="BD443" s="1605"/>
      <c r="BE443" s="1605"/>
      <c r="BF443" s="1605"/>
      <c r="BG443" s="1605"/>
      <c r="BH443" s="1605"/>
      <c r="BI443" s="1605"/>
      <c r="BJ443" s="1605"/>
      <c r="BK443" s="1605"/>
      <c r="BL443" s="1605"/>
      <c r="BM443" s="1605"/>
      <c r="BN443" s="1605"/>
      <c r="BO443" s="1605"/>
      <c r="BP443" s="1605"/>
      <c r="BQ443" s="1605"/>
      <c r="BR443" s="1605"/>
      <c r="BS443" s="1605"/>
      <c r="BT443" s="1605"/>
      <c r="BU443" s="1605"/>
      <c r="BV443" s="1605"/>
      <c r="BW443" s="1605"/>
      <c r="BX443" s="1605"/>
      <c r="BY443" s="1605"/>
      <c r="BZ443" s="1605"/>
      <c r="CA443" s="1605"/>
      <c r="CB443" s="1605"/>
      <c r="CC443" s="1605"/>
      <c r="CD443" s="1605"/>
      <c r="CE443" s="1605"/>
      <c r="CF443" s="1605"/>
      <c r="CG443" s="1605"/>
      <c r="CH443" s="1605"/>
      <c r="CI443" s="1605"/>
      <c r="CJ443" s="1605"/>
      <c r="CK443" s="1605"/>
      <c r="CL443" s="1605"/>
      <c r="CM443" s="1605"/>
      <c r="CN443" s="1605"/>
      <c r="CO443" s="1605"/>
      <c r="CP443" s="1605"/>
      <c r="CQ443" s="1605"/>
      <c r="CR443" s="1605"/>
      <c r="CS443" s="1605"/>
      <c r="CT443" s="1605"/>
      <c r="CU443" s="1605"/>
      <c r="CV443" s="1605"/>
      <c r="CW443" s="1605"/>
      <c r="CX443" s="1605"/>
      <c r="CY443" s="1605"/>
      <c r="CZ443" s="1605"/>
      <c r="DA443" s="1605"/>
      <c r="DB443" s="1605"/>
      <c r="DC443" s="1605"/>
      <c r="DD443" s="1605"/>
      <c r="DE443" s="1605"/>
      <c r="DF443" s="1605"/>
      <c r="DG443" s="1605"/>
      <c r="DH443" s="1605"/>
      <c r="DI443" s="1605"/>
      <c r="DJ443" s="1605"/>
      <c r="DK443" s="1605"/>
      <c r="DL443" s="1605"/>
      <c r="DM443" s="1605"/>
      <c r="DN443" s="1605"/>
      <c r="DO443" s="1605"/>
      <c r="DP443" s="1605"/>
      <c r="DQ443" s="1605"/>
      <c r="DR443" s="1605"/>
      <c r="DS443" s="1605"/>
      <c r="DT443" s="1605"/>
      <c r="DU443" s="1605"/>
      <c r="DV443" s="1605"/>
      <c r="DW443" s="1605"/>
      <c r="DX443" s="1605"/>
      <c r="DY443" s="1605"/>
      <c r="DZ443" s="1605"/>
      <c r="EA443" s="1605"/>
      <c r="EB443" s="1605"/>
      <c r="EC443" s="1605"/>
      <c r="ED443" s="1605"/>
      <c r="EE443" s="1605"/>
      <c r="EF443" s="1605"/>
      <c r="EG443" s="1605"/>
      <c r="EH443" s="1605"/>
      <c r="EI443" s="1605"/>
      <c r="EJ443" s="1605"/>
      <c r="EK443" s="1605"/>
      <c r="EL443" s="1605"/>
      <c r="EM443" s="1605"/>
      <c r="EN443" s="1605"/>
      <c r="EO443" s="1605"/>
      <c r="EP443" s="1605"/>
      <c r="EQ443" s="1605"/>
      <c r="ER443" s="1605"/>
      <c r="ES443" s="1605"/>
      <c r="ET443" s="1605"/>
      <c r="EU443" s="1605"/>
      <c r="EV443" s="1605"/>
      <c r="EW443" s="1605"/>
      <c r="EX443" s="1605"/>
      <c r="EY443" s="1605"/>
      <c r="EZ443" s="1605"/>
      <c r="FA443" s="1605"/>
      <c r="FB443" s="1605"/>
      <c r="FC443" s="1605"/>
      <c r="FD443" s="1605"/>
      <c r="FE443" s="1605"/>
      <c r="FF443" s="1605"/>
      <c r="FG443" s="1605"/>
      <c r="FH443" s="1605"/>
      <c r="FI443" s="1605"/>
      <c r="FJ443" s="1605"/>
      <c r="FK443" s="1605"/>
      <c r="FL443" s="1605"/>
      <c r="FM443" s="1605"/>
      <c r="FN443" s="1605"/>
      <c r="FO443" s="1605"/>
      <c r="FP443" s="1605"/>
      <c r="FQ443" s="1605"/>
      <c r="FR443" s="1605"/>
      <c r="FS443" s="1605"/>
      <c r="FT443" s="1605"/>
      <c r="FU443" s="1605"/>
      <c r="FV443" s="1605"/>
      <c r="FW443" s="1605"/>
      <c r="FX443" s="1605"/>
      <c r="FY443" s="1605"/>
      <c r="FZ443" s="1605"/>
      <c r="GA443" s="1605"/>
      <c r="GB443" s="1605"/>
      <c r="GC443" s="1605"/>
      <c r="GD443" s="1605"/>
      <c r="GE443" s="1605"/>
      <c r="GF443" s="1605"/>
      <c r="GG443" s="1605"/>
      <c r="GH443" s="1605"/>
      <c r="GI443" s="1605"/>
      <c r="GJ443" s="1605"/>
      <c r="GK443" s="1605"/>
      <c r="GL443" s="1605"/>
      <c r="GM443" s="1605"/>
      <c r="GN443" s="1605"/>
      <c r="GO443" s="1605"/>
      <c r="GP443" s="1605"/>
      <c r="GQ443" s="1605"/>
      <c r="GR443" s="1605"/>
      <c r="GS443" s="1605"/>
      <c r="GT443" s="1605"/>
      <c r="GU443" s="1605"/>
      <c r="GV443" s="1605"/>
      <c r="GW443" s="1605"/>
      <c r="GX443" s="1605"/>
      <c r="GY443" s="1605"/>
      <c r="GZ443" s="1605"/>
      <c r="HA443" s="1605"/>
      <c r="HB443" s="1605"/>
      <c r="HC443" s="1605"/>
      <c r="HD443" s="1605"/>
      <c r="HE443" s="1605"/>
      <c r="HF443" s="1605"/>
      <c r="HG443" s="1605"/>
      <c r="HH443" s="1605"/>
      <c r="HI443" s="1605"/>
      <c r="HJ443" s="1605"/>
      <c r="HK443" s="1605"/>
      <c r="HL443" s="1605"/>
      <c r="HM443" s="1605"/>
      <c r="HN443" s="1605"/>
      <c r="HO443" s="1605"/>
      <c r="HP443" s="1605"/>
      <c r="HQ443" s="1605"/>
      <c r="HR443" s="1605"/>
      <c r="HS443" s="1605"/>
      <c r="HT443" s="1605"/>
      <c r="HU443" s="1605"/>
      <c r="HV443" s="1605"/>
      <c r="HW443" s="1605"/>
      <c r="HX443" s="1605"/>
      <c r="HY443" s="1605"/>
      <c r="HZ443" s="1605"/>
      <c r="IA443" s="1605"/>
      <c r="IB443" s="1605"/>
      <c r="IC443" s="1605"/>
      <c r="ID443" s="1605"/>
      <c r="IE443" s="1605"/>
      <c r="IF443" s="1605"/>
      <c r="IG443" s="1605"/>
      <c r="IH443" s="1605"/>
      <c r="II443" s="1605"/>
      <c r="IJ443" s="1605"/>
      <c r="IK443" s="1605"/>
      <c r="IL443" s="1605"/>
      <c r="IM443" s="1605"/>
      <c r="IN443" s="1605"/>
      <c r="IO443" s="1605"/>
      <c r="IP443" s="1605"/>
      <c r="IQ443" s="1605"/>
      <c r="IR443" s="1605"/>
      <c r="IS443" s="1605"/>
      <c r="IT443" s="1605"/>
      <c r="IU443" s="1605"/>
      <c r="IV443" s="1605"/>
      <c r="IW443" s="1605"/>
      <c r="IX443" s="1605"/>
      <c r="IY443" s="1605"/>
      <c r="IZ443" s="1605"/>
      <c r="JA443" s="1605"/>
      <c r="JB443" s="1605"/>
      <c r="JC443" s="1605"/>
      <c r="JD443" s="1605"/>
      <c r="JE443" s="1605"/>
      <c r="JF443" s="1605"/>
      <c r="JG443" s="1605"/>
      <c r="JH443" s="1605"/>
      <c r="JI443" s="1605"/>
      <c r="JJ443" s="1605"/>
      <c r="JK443" s="1605"/>
      <c r="JL443" s="1605"/>
      <c r="JM443" s="1605"/>
      <c r="JN443" s="1605"/>
      <c r="JO443" s="1605"/>
      <c r="JP443" s="1605"/>
      <c r="JQ443" s="1605"/>
      <c r="JR443" s="1605"/>
      <c r="JS443" s="1605"/>
      <c r="JT443" s="1605"/>
      <c r="JU443" s="1605"/>
      <c r="JV443" s="1605"/>
      <c r="JW443" s="1605"/>
      <c r="JX443" s="1605"/>
      <c r="JY443" s="1605"/>
      <c r="JZ443" s="1605"/>
      <c r="KA443" s="1605"/>
      <c r="KB443" s="1606"/>
    </row>
    <row r="444" spans="2:288" ht="15" customHeight="1" x14ac:dyDescent="0.25">
      <c r="B444" s="216" t="str">
        <f t="shared" si="36"/>
        <v>Desk 20</v>
      </c>
      <c r="C444" s="218" t="str">
        <v/>
      </c>
      <c r="D444" s="218" t="str">
        <v/>
      </c>
      <c r="E444" s="218" t="str">
        <v/>
      </c>
      <c r="F444" s="218" t="str">
        <v/>
      </c>
      <c r="G444" s="402" t="str">
        <v/>
      </c>
      <c r="H444" s="1605"/>
      <c r="I444" s="1605"/>
      <c r="J444" s="1605"/>
      <c r="K444" s="1605"/>
      <c r="L444" s="1605"/>
      <c r="M444" s="1605"/>
      <c r="N444" s="1605"/>
      <c r="O444" s="1605"/>
      <c r="P444" s="1605"/>
      <c r="Q444" s="1605"/>
      <c r="R444" s="1605"/>
      <c r="S444" s="1605"/>
      <c r="T444" s="1605"/>
      <c r="U444" s="1605"/>
      <c r="V444" s="1605"/>
      <c r="W444" s="1605"/>
      <c r="X444" s="1605"/>
      <c r="Y444" s="1605"/>
      <c r="Z444" s="1605"/>
      <c r="AA444" s="1605"/>
      <c r="AB444" s="1605"/>
      <c r="AC444" s="1605"/>
      <c r="AD444" s="1605"/>
      <c r="AE444" s="1605"/>
      <c r="AF444" s="1605"/>
      <c r="AG444" s="1605"/>
      <c r="AH444" s="1605"/>
      <c r="AI444" s="1605"/>
      <c r="AJ444" s="1605"/>
      <c r="AK444" s="1605"/>
      <c r="AL444" s="1605"/>
      <c r="AM444" s="1605"/>
      <c r="AN444" s="1605"/>
      <c r="AO444" s="1605"/>
      <c r="AP444" s="1605"/>
      <c r="AQ444" s="1605"/>
      <c r="AR444" s="1605"/>
      <c r="AS444" s="1605"/>
      <c r="AT444" s="1605"/>
      <c r="AU444" s="1605"/>
      <c r="AV444" s="1605"/>
      <c r="AW444" s="1605"/>
      <c r="AX444" s="1605"/>
      <c r="AY444" s="1605"/>
      <c r="AZ444" s="1605"/>
      <c r="BA444" s="1605"/>
      <c r="BB444" s="1605"/>
      <c r="BC444" s="1605"/>
      <c r="BD444" s="1605"/>
      <c r="BE444" s="1605"/>
      <c r="BF444" s="1605"/>
      <c r="BG444" s="1605"/>
      <c r="BH444" s="1605"/>
      <c r="BI444" s="1605"/>
      <c r="BJ444" s="1605"/>
      <c r="BK444" s="1605"/>
      <c r="BL444" s="1605"/>
      <c r="BM444" s="1605"/>
      <c r="BN444" s="1605"/>
      <c r="BO444" s="1605"/>
      <c r="BP444" s="1605"/>
      <c r="BQ444" s="1605"/>
      <c r="BR444" s="1605"/>
      <c r="BS444" s="1605"/>
      <c r="BT444" s="1605"/>
      <c r="BU444" s="1605"/>
      <c r="BV444" s="1605"/>
      <c r="BW444" s="1605"/>
      <c r="BX444" s="1605"/>
      <c r="BY444" s="1605"/>
      <c r="BZ444" s="1605"/>
      <c r="CA444" s="1605"/>
      <c r="CB444" s="1605"/>
      <c r="CC444" s="1605"/>
      <c r="CD444" s="1605"/>
      <c r="CE444" s="1605"/>
      <c r="CF444" s="1605"/>
      <c r="CG444" s="1605"/>
      <c r="CH444" s="1605"/>
      <c r="CI444" s="1605"/>
      <c r="CJ444" s="1605"/>
      <c r="CK444" s="1605"/>
      <c r="CL444" s="1605"/>
      <c r="CM444" s="1605"/>
      <c r="CN444" s="1605"/>
      <c r="CO444" s="1605"/>
      <c r="CP444" s="1605"/>
      <c r="CQ444" s="1605"/>
      <c r="CR444" s="1605"/>
      <c r="CS444" s="1605"/>
      <c r="CT444" s="1605"/>
      <c r="CU444" s="1605"/>
      <c r="CV444" s="1605"/>
      <c r="CW444" s="1605"/>
      <c r="CX444" s="1605"/>
      <c r="CY444" s="1605"/>
      <c r="CZ444" s="1605"/>
      <c r="DA444" s="1605"/>
      <c r="DB444" s="1605"/>
      <c r="DC444" s="1605"/>
      <c r="DD444" s="1605"/>
      <c r="DE444" s="1605"/>
      <c r="DF444" s="1605"/>
      <c r="DG444" s="1605"/>
      <c r="DH444" s="1605"/>
      <c r="DI444" s="1605"/>
      <c r="DJ444" s="1605"/>
      <c r="DK444" s="1605"/>
      <c r="DL444" s="1605"/>
      <c r="DM444" s="1605"/>
      <c r="DN444" s="1605"/>
      <c r="DO444" s="1605"/>
      <c r="DP444" s="1605"/>
      <c r="DQ444" s="1605"/>
      <c r="DR444" s="1605"/>
      <c r="DS444" s="1605"/>
      <c r="DT444" s="1605"/>
      <c r="DU444" s="1605"/>
      <c r="DV444" s="1605"/>
      <c r="DW444" s="1605"/>
      <c r="DX444" s="1605"/>
      <c r="DY444" s="1605"/>
      <c r="DZ444" s="1605"/>
      <c r="EA444" s="1605"/>
      <c r="EB444" s="1605"/>
      <c r="EC444" s="1605"/>
      <c r="ED444" s="1605"/>
      <c r="EE444" s="1605"/>
      <c r="EF444" s="1605"/>
      <c r="EG444" s="1605"/>
      <c r="EH444" s="1605"/>
      <c r="EI444" s="1605"/>
      <c r="EJ444" s="1605"/>
      <c r="EK444" s="1605"/>
      <c r="EL444" s="1605"/>
      <c r="EM444" s="1605"/>
      <c r="EN444" s="1605"/>
      <c r="EO444" s="1605"/>
      <c r="EP444" s="1605"/>
      <c r="EQ444" s="1605"/>
      <c r="ER444" s="1605"/>
      <c r="ES444" s="1605"/>
      <c r="ET444" s="1605"/>
      <c r="EU444" s="1605"/>
      <c r="EV444" s="1605"/>
      <c r="EW444" s="1605"/>
      <c r="EX444" s="1605"/>
      <c r="EY444" s="1605"/>
      <c r="EZ444" s="1605"/>
      <c r="FA444" s="1605"/>
      <c r="FB444" s="1605"/>
      <c r="FC444" s="1605"/>
      <c r="FD444" s="1605"/>
      <c r="FE444" s="1605"/>
      <c r="FF444" s="1605"/>
      <c r="FG444" s="1605"/>
      <c r="FH444" s="1605"/>
      <c r="FI444" s="1605"/>
      <c r="FJ444" s="1605"/>
      <c r="FK444" s="1605"/>
      <c r="FL444" s="1605"/>
      <c r="FM444" s="1605"/>
      <c r="FN444" s="1605"/>
      <c r="FO444" s="1605"/>
      <c r="FP444" s="1605"/>
      <c r="FQ444" s="1605"/>
      <c r="FR444" s="1605"/>
      <c r="FS444" s="1605"/>
      <c r="FT444" s="1605"/>
      <c r="FU444" s="1605"/>
      <c r="FV444" s="1605"/>
      <c r="FW444" s="1605"/>
      <c r="FX444" s="1605"/>
      <c r="FY444" s="1605"/>
      <c r="FZ444" s="1605"/>
      <c r="GA444" s="1605"/>
      <c r="GB444" s="1605"/>
      <c r="GC444" s="1605"/>
      <c r="GD444" s="1605"/>
      <c r="GE444" s="1605"/>
      <c r="GF444" s="1605"/>
      <c r="GG444" s="1605"/>
      <c r="GH444" s="1605"/>
      <c r="GI444" s="1605"/>
      <c r="GJ444" s="1605"/>
      <c r="GK444" s="1605"/>
      <c r="GL444" s="1605"/>
      <c r="GM444" s="1605"/>
      <c r="GN444" s="1605"/>
      <c r="GO444" s="1605"/>
      <c r="GP444" s="1605"/>
      <c r="GQ444" s="1605"/>
      <c r="GR444" s="1605"/>
      <c r="GS444" s="1605"/>
      <c r="GT444" s="1605"/>
      <c r="GU444" s="1605"/>
      <c r="GV444" s="1605"/>
      <c r="GW444" s="1605"/>
      <c r="GX444" s="1605"/>
      <c r="GY444" s="1605"/>
      <c r="GZ444" s="1605"/>
      <c r="HA444" s="1605"/>
      <c r="HB444" s="1605"/>
      <c r="HC444" s="1605"/>
      <c r="HD444" s="1605"/>
      <c r="HE444" s="1605"/>
      <c r="HF444" s="1605"/>
      <c r="HG444" s="1605"/>
      <c r="HH444" s="1605"/>
      <c r="HI444" s="1605"/>
      <c r="HJ444" s="1605"/>
      <c r="HK444" s="1605"/>
      <c r="HL444" s="1605"/>
      <c r="HM444" s="1605"/>
      <c r="HN444" s="1605"/>
      <c r="HO444" s="1605"/>
      <c r="HP444" s="1605"/>
      <c r="HQ444" s="1605"/>
      <c r="HR444" s="1605"/>
      <c r="HS444" s="1605"/>
      <c r="HT444" s="1605"/>
      <c r="HU444" s="1605"/>
      <c r="HV444" s="1605"/>
      <c r="HW444" s="1605"/>
      <c r="HX444" s="1605"/>
      <c r="HY444" s="1605"/>
      <c r="HZ444" s="1605"/>
      <c r="IA444" s="1605"/>
      <c r="IB444" s="1605"/>
      <c r="IC444" s="1605"/>
      <c r="ID444" s="1605"/>
      <c r="IE444" s="1605"/>
      <c r="IF444" s="1605"/>
      <c r="IG444" s="1605"/>
      <c r="IH444" s="1605"/>
      <c r="II444" s="1605"/>
      <c r="IJ444" s="1605"/>
      <c r="IK444" s="1605"/>
      <c r="IL444" s="1605"/>
      <c r="IM444" s="1605"/>
      <c r="IN444" s="1605"/>
      <c r="IO444" s="1605"/>
      <c r="IP444" s="1605"/>
      <c r="IQ444" s="1605"/>
      <c r="IR444" s="1605"/>
      <c r="IS444" s="1605"/>
      <c r="IT444" s="1605"/>
      <c r="IU444" s="1605"/>
      <c r="IV444" s="1605"/>
      <c r="IW444" s="1605"/>
      <c r="IX444" s="1605"/>
      <c r="IY444" s="1605"/>
      <c r="IZ444" s="1605"/>
      <c r="JA444" s="1605"/>
      <c r="JB444" s="1605"/>
      <c r="JC444" s="1605"/>
      <c r="JD444" s="1605"/>
      <c r="JE444" s="1605"/>
      <c r="JF444" s="1605"/>
      <c r="JG444" s="1605"/>
      <c r="JH444" s="1605"/>
      <c r="JI444" s="1605"/>
      <c r="JJ444" s="1605"/>
      <c r="JK444" s="1605"/>
      <c r="JL444" s="1605"/>
      <c r="JM444" s="1605"/>
      <c r="JN444" s="1605"/>
      <c r="JO444" s="1605"/>
      <c r="JP444" s="1605"/>
      <c r="JQ444" s="1605"/>
      <c r="JR444" s="1605"/>
      <c r="JS444" s="1605"/>
      <c r="JT444" s="1605"/>
      <c r="JU444" s="1605"/>
      <c r="JV444" s="1605"/>
      <c r="JW444" s="1605"/>
      <c r="JX444" s="1605"/>
      <c r="JY444" s="1605"/>
      <c r="JZ444" s="1605"/>
      <c r="KA444" s="1605"/>
      <c r="KB444" s="1606"/>
    </row>
    <row r="445" spans="2:288" ht="15" customHeight="1" x14ac:dyDescent="0.25">
      <c r="B445" s="216" t="str">
        <f t="shared" si="36"/>
        <v>Desk 21</v>
      </c>
      <c r="C445" s="218" t="str">
        <v/>
      </c>
      <c r="D445" s="218" t="str">
        <v/>
      </c>
      <c r="E445" s="218" t="str">
        <v/>
      </c>
      <c r="F445" s="218" t="str">
        <v/>
      </c>
      <c r="G445" s="402" t="str">
        <v/>
      </c>
      <c r="H445" s="1605"/>
      <c r="I445" s="1605"/>
      <c r="J445" s="1605"/>
      <c r="K445" s="1605"/>
      <c r="L445" s="1605"/>
      <c r="M445" s="1605"/>
      <c r="N445" s="1605"/>
      <c r="O445" s="1605"/>
      <c r="P445" s="1605"/>
      <c r="Q445" s="1605"/>
      <c r="R445" s="1605"/>
      <c r="S445" s="1605"/>
      <c r="T445" s="1605"/>
      <c r="U445" s="1605"/>
      <c r="V445" s="1605"/>
      <c r="W445" s="1605"/>
      <c r="X445" s="1605"/>
      <c r="Y445" s="1605"/>
      <c r="Z445" s="1605"/>
      <c r="AA445" s="1605"/>
      <c r="AB445" s="1605"/>
      <c r="AC445" s="1605"/>
      <c r="AD445" s="1605"/>
      <c r="AE445" s="1605"/>
      <c r="AF445" s="1605"/>
      <c r="AG445" s="1605"/>
      <c r="AH445" s="1605"/>
      <c r="AI445" s="1605"/>
      <c r="AJ445" s="1605"/>
      <c r="AK445" s="1605"/>
      <c r="AL445" s="1605"/>
      <c r="AM445" s="1605"/>
      <c r="AN445" s="1605"/>
      <c r="AO445" s="1605"/>
      <c r="AP445" s="1605"/>
      <c r="AQ445" s="1605"/>
      <c r="AR445" s="1605"/>
      <c r="AS445" s="1605"/>
      <c r="AT445" s="1605"/>
      <c r="AU445" s="1605"/>
      <c r="AV445" s="1605"/>
      <c r="AW445" s="1605"/>
      <c r="AX445" s="1605"/>
      <c r="AY445" s="1605"/>
      <c r="AZ445" s="1605"/>
      <c r="BA445" s="1605"/>
      <c r="BB445" s="1605"/>
      <c r="BC445" s="1605"/>
      <c r="BD445" s="1605"/>
      <c r="BE445" s="1605"/>
      <c r="BF445" s="1605"/>
      <c r="BG445" s="1605"/>
      <c r="BH445" s="1605"/>
      <c r="BI445" s="1605"/>
      <c r="BJ445" s="1605"/>
      <c r="BK445" s="1605"/>
      <c r="BL445" s="1605"/>
      <c r="BM445" s="1605"/>
      <c r="BN445" s="1605"/>
      <c r="BO445" s="1605"/>
      <c r="BP445" s="1605"/>
      <c r="BQ445" s="1605"/>
      <c r="BR445" s="1605"/>
      <c r="BS445" s="1605"/>
      <c r="BT445" s="1605"/>
      <c r="BU445" s="1605"/>
      <c r="BV445" s="1605"/>
      <c r="BW445" s="1605"/>
      <c r="BX445" s="1605"/>
      <c r="BY445" s="1605"/>
      <c r="BZ445" s="1605"/>
      <c r="CA445" s="1605"/>
      <c r="CB445" s="1605"/>
      <c r="CC445" s="1605"/>
      <c r="CD445" s="1605"/>
      <c r="CE445" s="1605"/>
      <c r="CF445" s="1605"/>
      <c r="CG445" s="1605"/>
      <c r="CH445" s="1605"/>
      <c r="CI445" s="1605"/>
      <c r="CJ445" s="1605"/>
      <c r="CK445" s="1605"/>
      <c r="CL445" s="1605"/>
      <c r="CM445" s="1605"/>
      <c r="CN445" s="1605"/>
      <c r="CO445" s="1605"/>
      <c r="CP445" s="1605"/>
      <c r="CQ445" s="1605"/>
      <c r="CR445" s="1605"/>
      <c r="CS445" s="1605"/>
      <c r="CT445" s="1605"/>
      <c r="CU445" s="1605"/>
      <c r="CV445" s="1605"/>
      <c r="CW445" s="1605"/>
      <c r="CX445" s="1605"/>
      <c r="CY445" s="1605"/>
      <c r="CZ445" s="1605"/>
      <c r="DA445" s="1605"/>
      <c r="DB445" s="1605"/>
      <c r="DC445" s="1605"/>
      <c r="DD445" s="1605"/>
      <c r="DE445" s="1605"/>
      <c r="DF445" s="1605"/>
      <c r="DG445" s="1605"/>
      <c r="DH445" s="1605"/>
      <c r="DI445" s="1605"/>
      <c r="DJ445" s="1605"/>
      <c r="DK445" s="1605"/>
      <c r="DL445" s="1605"/>
      <c r="DM445" s="1605"/>
      <c r="DN445" s="1605"/>
      <c r="DO445" s="1605"/>
      <c r="DP445" s="1605"/>
      <c r="DQ445" s="1605"/>
      <c r="DR445" s="1605"/>
      <c r="DS445" s="1605"/>
      <c r="DT445" s="1605"/>
      <c r="DU445" s="1605"/>
      <c r="DV445" s="1605"/>
      <c r="DW445" s="1605"/>
      <c r="DX445" s="1605"/>
      <c r="DY445" s="1605"/>
      <c r="DZ445" s="1605"/>
      <c r="EA445" s="1605"/>
      <c r="EB445" s="1605"/>
      <c r="EC445" s="1605"/>
      <c r="ED445" s="1605"/>
      <c r="EE445" s="1605"/>
      <c r="EF445" s="1605"/>
      <c r="EG445" s="1605"/>
      <c r="EH445" s="1605"/>
      <c r="EI445" s="1605"/>
      <c r="EJ445" s="1605"/>
      <c r="EK445" s="1605"/>
      <c r="EL445" s="1605"/>
      <c r="EM445" s="1605"/>
      <c r="EN445" s="1605"/>
      <c r="EO445" s="1605"/>
      <c r="EP445" s="1605"/>
      <c r="EQ445" s="1605"/>
      <c r="ER445" s="1605"/>
      <c r="ES445" s="1605"/>
      <c r="ET445" s="1605"/>
      <c r="EU445" s="1605"/>
      <c r="EV445" s="1605"/>
      <c r="EW445" s="1605"/>
      <c r="EX445" s="1605"/>
      <c r="EY445" s="1605"/>
      <c r="EZ445" s="1605"/>
      <c r="FA445" s="1605"/>
      <c r="FB445" s="1605"/>
      <c r="FC445" s="1605"/>
      <c r="FD445" s="1605"/>
      <c r="FE445" s="1605"/>
      <c r="FF445" s="1605"/>
      <c r="FG445" s="1605"/>
      <c r="FH445" s="1605"/>
      <c r="FI445" s="1605"/>
      <c r="FJ445" s="1605"/>
      <c r="FK445" s="1605"/>
      <c r="FL445" s="1605"/>
      <c r="FM445" s="1605"/>
      <c r="FN445" s="1605"/>
      <c r="FO445" s="1605"/>
      <c r="FP445" s="1605"/>
      <c r="FQ445" s="1605"/>
      <c r="FR445" s="1605"/>
      <c r="FS445" s="1605"/>
      <c r="FT445" s="1605"/>
      <c r="FU445" s="1605"/>
      <c r="FV445" s="1605"/>
      <c r="FW445" s="1605"/>
      <c r="FX445" s="1605"/>
      <c r="FY445" s="1605"/>
      <c r="FZ445" s="1605"/>
      <c r="GA445" s="1605"/>
      <c r="GB445" s="1605"/>
      <c r="GC445" s="1605"/>
      <c r="GD445" s="1605"/>
      <c r="GE445" s="1605"/>
      <c r="GF445" s="1605"/>
      <c r="GG445" s="1605"/>
      <c r="GH445" s="1605"/>
      <c r="GI445" s="1605"/>
      <c r="GJ445" s="1605"/>
      <c r="GK445" s="1605"/>
      <c r="GL445" s="1605"/>
      <c r="GM445" s="1605"/>
      <c r="GN445" s="1605"/>
      <c r="GO445" s="1605"/>
      <c r="GP445" s="1605"/>
      <c r="GQ445" s="1605"/>
      <c r="GR445" s="1605"/>
      <c r="GS445" s="1605"/>
      <c r="GT445" s="1605"/>
      <c r="GU445" s="1605"/>
      <c r="GV445" s="1605"/>
      <c r="GW445" s="1605"/>
      <c r="GX445" s="1605"/>
      <c r="GY445" s="1605"/>
      <c r="GZ445" s="1605"/>
      <c r="HA445" s="1605"/>
      <c r="HB445" s="1605"/>
      <c r="HC445" s="1605"/>
      <c r="HD445" s="1605"/>
      <c r="HE445" s="1605"/>
      <c r="HF445" s="1605"/>
      <c r="HG445" s="1605"/>
      <c r="HH445" s="1605"/>
      <c r="HI445" s="1605"/>
      <c r="HJ445" s="1605"/>
      <c r="HK445" s="1605"/>
      <c r="HL445" s="1605"/>
      <c r="HM445" s="1605"/>
      <c r="HN445" s="1605"/>
      <c r="HO445" s="1605"/>
      <c r="HP445" s="1605"/>
      <c r="HQ445" s="1605"/>
      <c r="HR445" s="1605"/>
      <c r="HS445" s="1605"/>
      <c r="HT445" s="1605"/>
      <c r="HU445" s="1605"/>
      <c r="HV445" s="1605"/>
      <c r="HW445" s="1605"/>
      <c r="HX445" s="1605"/>
      <c r="HY445" s="1605"/>
      <c r="HZ445" s="1605"/>
      <c r="IA445" s="1605"/>
      <c r="IB445" s="1605"/>
      <c r="IC445" s="1605"/>
      <c r="ID445" s="1605"/>
      <c r="IE445" s="1605"/>
      <c r="IF445" s="1605"/>
      <c r="IG445" s="1605"/>
      <c r="IH445" s="1605"/>
      <c r="II445" s="1605"/>
      <c r="IJ445" s="1605"/>
      <c r="IK445" s="1605"/>
      <c r="IL445" s="1605"/>
      <c r="IM445" s="1605"/>
      <c r="IN445" s="1605"/>
      <c r="IO445" s="1605"/>
      <c r="IP445" s="1605"/>
      <c r="IQ445" s="1605"/>
      <c r="IR445" s="1605"/>
      <c r="IS445" s="1605"/>
      <c r="IT445" s="1605"/>
      <c r="IU445" s="1605"/>
      <c r="IV445" s="1605"/>
      <c r="IW445" s="1605"/>
      <c r="IX445" s="1605"/>
      <c r="IY445" s="1605"/>
      <c r="IZ445" s="1605"/>
      <c r="JA445" s="1605"/>
      <c r="JB445" s="1605"/>
      <c r="JC445" s="1605"/>
      <c r="JD445" s="1605"/>
      <c r="JE445" s="1605"/>
      <c r="JF445" s="1605"/>
      <c r="JG445" s="1605"/>
      <c r="JH445" s="1605"/>
      <c r="JI445" s="1605"/>
      <c r="JJ445" s="1605"/>
      <c r="JK445" s="1605"/>
      <c r="JL445" s="1605"/>
      <c r="JM445" s="1605"/>
      <c r="JN445" s="1605"/>
      <c r="JO445" s="1605"/>
      <c r="JP445" s="1605"/>
      <c r="JQ445" s="1605"/>
      <c r="JR445" s="1605"/>
      <c r="JS445" s="1605"/>
      <c r="JT445" s="1605"/>
      <c r="JU445" s="1605"/>
      <c r="JV445" s="1605"/>
      <c r="JW445" s="1605"/>
      <c r="JX445" s="1605"/>
      <c r="JY445" s="1605"/>
      <c r="JZ445" s="1605"/>
      <c r="KA445" s="1605"/>
      <c r="KB445" s="1606"/>
    </row>
    <row r="446" spans="2:288" ht="15" customHeight="1" x14ac:dyDescent="0.25">
      <c r="B446" s="216" t="str">
        <f t="shared" si="36"/>
        <v>Desk 22</v>
      </c>
      <c r="C446" s="218" t="str">
        <v/>
      </c>
      <c r="D446" s="218" t="str">
        <v/>
      </c>
      <c r="E446" s="218" t="str">
        <v/>
      </c>
      <c r="F446" s="218" t="str">
        <v/>
      </c>
      <c r="G446" s="402" t="str">
        <v/>
      </c>
      <c r="H446" s="1605"/>
      <c r="I446" s="1605"/>
      <c r="J446" s="1605"/>
      <c r="K446" s="1605"/>
      <c r="L446" s="1605"/>
      <c r="M446" s="1605"/>
      <c r="N446" s="1605"/>
      <c r="O446" s="1605"/>
      <c r="P446" s="1605"/>
      <c r="Q446" s="1605"/>
      <c r="R446" s="1605"/>
      <c r="S446" s="1605"/>
      <c r="T446" s="1605"/>
      <c r="U446" s="1605"/>
      <c r="V446" s="1605"/>
      <c r="W446" s="1605"/>
      <c r="X446" s="1605"/>
      <c r="Y446" s="1605"/>
      <c r="Z446" s="1605"/>
      <c r="AA446" s="1605"/>
      <c r="AB446" s="1605"/>
      <c r="AC446" s="1605"/>
      <c r="AD446" s="1605"/>
      <c r="AE446" s="1605"/>
      <c r="AF446" s="1605"/>
      <c r="AG446" s="1605"/>
      <c r="AH446" s="1605"/>
      <c r="AI446" s="1605"/>
      <c r="AJ446" s="1605"/>
      <c r="AK446" s="1605"/>
      <c r="AL446" s="1605"/>
      <c r="AM446" s="1605"/>
      <c r="AN446" s="1605"/>
      <c r="AO446" s="1605"/>
      <c r="AP446" s="1605"/>
      <c r="AQ446" s="1605"/>
      <c r="AR446" s="1605"/>
      <c r="AS446" s="1605"/>
      <c r="AT446" s="1605"/>
      <c r="AU446" s="1605"/>
      <c r="AV446" s="1605"/>
      <c r="AW446" s="1605"/>
      <c r="AX446" s="1605"/>
      <c r="AY446" s="1605"/>
      <c r="AZ446" s="1605"/>
      <c r="BA446" s="1605"/>
      <c r="BB446" s="1605"/>
      <c r="BC446" s="1605"/>
      <c r="BD446" s="1605"/>
      <c r="BE446" s="1605"/>
      <c r="BF446" s="1605"/>
      <c r="BG446" s="1605"/>
      <c r="BH446" s="1605"/>
      <c r="BI446" s="1605"/>
      <c r="BJ446" s="1605"/>
      <c r="BK446" s="1605"/>
      <c r="BL446" s="1605"/>
      <c r="BM446" s="1605"/>
      <c r="BN446" s="1605"/>
      <c r="BO446" s="1605"/>
      <c r="BP446" s="1605"/>
      <c r="BQ446" s="1605"/>
      <c r="BR446" s="1605"/>
      <c r="BS446" s="1605"/>
      <c r="BT446" s="1605"/>
      <c r="BU446" s="1605"/>
      <c r="BV446" s="1605"/>
      <c r="BW446" s="1605"/>
      <c r="BX446" s="1605"/>
      <c r="BY446" s="1605"/>
      <c r="BZ446" s="1605"/>
      <c r="CA446" s="1605"/>
      <c r="CB446" s="1605"/>
      <c r="CC446" s="1605"/>
      <c r="CD446" s="1605"/>
      <c r="CE446" s="1605"/>
      <c r="CF446" s="1605"/>
      <c r="CG446" s="1605"/>
      <c r="CH446" s="1605"/>
      <c r="CI446" s="1605"/>
      <c r="CJ446" s="1605"/>
      <c r="CK446" s="1605"/>
      <c r="CL446" s="1605"/>
      <c r="CM446" s="1605"/>
      <c r="CN446" s="1605"/>
      <c r="CO446" s="1605"/>
      <c r="CP446" s="1605"/>
      <c r="CQ446" s="1605"/>
      <c r="CR446" s="1605"/>
      <c r="CS446" s="1605"/>
      <c r="CT446" s="1605"/>
      <c r="CU446" s="1605"/>
      <c r="CV446" s="1605"/>
      <c r="CW446" s="1605"/>
      <c r="CX446" s="1605"/>
      <c r="CY446" s="1605"/>
      <c r="CZ446" s="1605"/>
      <c r="DA446" s="1605"/>
      <c r="DB446" s="1605"/>
      <c r="DC446" s="1605"/>
      <c r="DD446" s="1605"/>
      <c r="DE446" s="1605"/>
      <c r="DF446" s="1605"/>
      <c r="DG446" s="1605"/>
      <c r="DH446" s="1605"/>
      <c r="DI446" s="1605"/>
      <c r="DJ446" s="1605"/>
      <c r="DK446" s="1605"/>
      <c r="DL446" s="1605"/>
      <c r="DM446" s="1605"/>
      <c r="DN446" s="1605"/>
      <c r="DO446" s="1605"/>
      <c r="DP446" s="1605"/>
      <c r="DQ446" s="1605"/>
      <c r="DR446" s="1605"/>
      <c r="DS446" s="1605"/>
      <c r="DT446" s="1605"/>
      <c r="DU446" s="1605"/>
      <c r="DV446" s="1605"/>
      <c r="DW446" s="1605"/>
      <c r="DX446" s="1605"/>
      <c r="DY446" s="1605"/>
      <c r="DZ446" s="1605"/>
      <c r="EA446" s="1605"/>
      <c r="EB446" s="1605"/>
      <c r="EC446" s="1605"/>
      <c r="ED446" s="1605"/>
      <c r="EE446" s="1605"/>
      <c r="EF446" s="1605"/>
      <c r="EG446" s="1605"/>
      <c r="EH446" s="1605"/>
      <c r="EI446" s="1605"/>
      <c r="EJ446" s="1605"/>
      <c r="EK446" s="1605"/>
      <c r="EL446" s="1605"/>
      <c r="EM446" s="1605"/>
      <c r="EN446" s="1605"/>
      <c r="EO446" s="1605"/>
      <c r="EP446" s="1605"/>
      <c r="EQ446" s="1605"/>
      <c r="ER446" s="1605"/>
      <c r="ES446" s="1605"/>
      <c r="ET446" s="1605"/>
      <c r="EU446" s="1605"/>
      <c r="EV446" s="1605"/>
      <c r="EW446" s="1605"/>
      <c r="EX446" s="1605"/>
      <c r="EY446" s="1605"/>
      <c r="EZ446" s="1605"/>
      <c r="FA446" s="1605"/>
      <c r="FB446" s="1605"/>
      <c r="FC446" s="1605"/>
      <c r="FD446" s="1605"/>
      <c r="FE446" s="1605"/>
      <c r="FF446" s="1605"/>
      <c r="FG446" s="1605"/>
      <c r="FH446" s="1605"/>
      <c r="FI446" s="1605"/>
      <c r="FJ446" s="1605"/>
      <c r="FK446" s="1605"/>
      <c r="FL446" s="1605"/>
      <c r="FM446" s="1605"/>
      <c r="FN446" s="1605"/>
      <c r="FO446" s="1605"/>
      <c r="FP446" s="1605"/>
      <c r="FQ446" s="1605"/>
      <c r="FR446" s="1605"/>
      <c r="FS446" s="1605"/>
      <c r="FT446" s="1605"/>
      <c r="FU446" s="1605"/>
      <c r="FV446" s="1605"/>
      <c r="FW446" s="1605"/>
      <c r="FX446" s="1605"/>
      <c r="FY446" s="1605"/>
      <c r="FZ446" s="1605"/>
      <c r="GA446" s="1605"/>
      <c r="GB446" s="1605"/>
      <c r="GC446" s="1605"/>
      <c r="GD446" s="1605"/>
      <c r="GE446" s="1605"/>
      <c r="GF446" s="1605"/>
      <c r="GG446" s="1605"/>
      <c r="GH446" s="1605"/>
      <c r="GI446" s="1605"/>
      <c r="GJ446" s="1605"/>
      <c r="GK446" s="1605"/>
      <c r="GL446" s="1605"/>
      <c r="GM446" s="1605"/>
      <c r="GN446" s="1605"/>
      <c r="GO446" s="1605"/>
      <c r="GP446" s="1605"/>
      <c r="GQ446" s="1605"/>
      <c r="GR446" s="1605"/>
      <c r="GS446" s="1605"/>
      <c r="GT446" s="1605"/>
      <c r="GU446" s="1605"/>
      <c r="GV446" s="1605"/>
      <c r="GW446" s="1605"/>
      <c r="GX446" s="1605"/>
      <c r="GY446" s="1605"/>
      <c r="GZ446" s="1605"/>
      <c r="HA446" s="1605"/>
      <c r="HB446" s="1605"/>
      <c r="HC446" s="1605"/>
      <c r="HD446" s="1605"/>
      <c r="HE446" s="1605"/>
      <c r="HF446" s="1605"/>
      <c r="HG446" s="1605"/>
      <c r="HH446" s="1605"/>
      <c r="HI446" s="1605"/>
      <c r="HJ446" s="1605"/>
      <c r="HK446" s="1605"/>
      <c r="HL446" s="1605"/>
      <c r="HM446" s="1605"/>
      <c r="HN446" s="1605"/>
      <c r="HO446" s="1605"/>
      <c r="HP446" s="1605"/>
      <c r="HQ446" s="1605"/>
      <c r="HR446" s="1605"/>
      <c r="HS446" s="1605"/>
      <c r="HT446" s="1605"/>
      <c r="HU446" s="1605"/>
      <c r="HV446" s="1605"/>
      <c r="HW446" s="1605"/>
      <c r="HX446" s="1605"/>
      <c r="HY446" s="1605"/>
      <c r="HZ446" s="1605"/>
      <c r="IA446" s="1605"/>
      <c r="IB446" s="1605"/>
      <c r="IC446" s="1605"/>
      <c r="ID446" s="1605"/>
      <c r="IE446" s="1605"/>
      <c r="IF446" s="1605"/>
      <c r="IG446" s="1605"/>
      <c r="IH446" s="1605"/>
      <c r="II446" s="1605"/>
      <c r="IJ446" s="1605"/>
      <c r="IK446" s="1605"/>
      <c r="IL446" s="1605"/>
      <c r="IM446" s="1605"/>
      <c r="IN446" s="1605"/>
      <c r="IO446" s="1605"/>
      <c r="IP446" s="1605"/>
      <c r="IQ446" s="1605"/>
      <c r="IR446" s="1605"/>
      <c r="IS446" s="1605"/>
      <c r="IT446" s="1605"/>
      <c r="IU446" s="1605"/>
      <c r="IV446" s="1605"/>
      <c r="IW446" s="1605"/>
      <c r="IX446" s="1605"/>
      <c r="IY446" s="1605"/>
      <c r="IZ446" s="1605"/>
      <c r="JA446" s="1605"/>
      <c r="JB446" s="1605"/>
      <c r="JC446" s="1605"/>
      <c r="JD446" s="1605"/>
      <c r="JE446" s="1605"/>
      <c r="JF446" s="1605"/>
      <c r="JG446" s="1605"/>
      <c r="JH446" s="1605"/>
      <c r="JI446" s="1605"/>
      <c r="JJ446" s="1605"/>
      <c r="JK446" s="1605"/>
      <c r="JL446" s="1605"/>
      <c r="JM446" s="1605"/>
      <c r="JN446" s="1605"/>
      <c r="JO446" s="1605"/>
      <c r="JP446" s="1605"/>
      <c r="JQ446" s="1605"/>
      <c r="JR446" s="1605"/>
      <c r="JS446" s="1605"/>
      <c r="JT446" s="1605"/>
      <c r="JU446" s="1605"/>
      <c r="JV446" s="1605"/>
      <c r="JW446" s="1605"/>
      <c r="JX446" s="1605"/>
      <c r="JY446" s="1605"/>
      <c r="JZ446" s="1605"/>
      <c r="KA446" s="1605"/>
      <c r="KB446" s="1606"/>
    </row>
    <row r="447" spans="2:288" ht="15" customHeight="1" x14ac:dyDescent="0.25">
      <c r="B447" s="216" t="str">
        <f t="shared" si="36"/>
        <v>Desk 23</v>
      </c>
      <c r="C447" s="218" t="str">
        <v/>
      </c>
      <c r="D447" s="218" t="str">
        <v/>
      </c>
      <c r="E447" s="218" t="str">
        <v/>
      </c>
      <c r="F447" s="218" t="str">
        <v/>
      </c>
      <c r="G447" s="402" t="str">
        <v/>
      </c>
      <c r="H447" s="1605"/>
      <c r="I447" s="1605"/>
      <c r="J447" s="1605"/>
      <c r="K447" s="1605"/>
      <c r="L447" s="1605"/>
      <c r="M447" s="1605"/>
      <c r="N447" s="1605"/>
      <c r="O447" s="1605"/>
      <c r="P447" s="1605"/>
      <c r="Q447" s="1605"/>
      <c r="R447" s="1605"/>
      <c r="S447" s="1605"/>
      <c r="T447" s="1605"/>
      <c r="U447" s="1605"/>
      <c r="V447" s="1605"/>
      <c r="W447" s="1605"/>
      <c r="X447" s="1605"/>
      <c r="Y447" s="1605"/>
      <c r="Z447" s="1605"/>
      <c r="AA447" s="1605"/>
      <c r="AB447" s="1605"/>
      <c r="AC447" s="1605"/>
      <c r="AD447" s="1605"/>
      <c r="AE447" s="1605"/>
      <c r="AF447" s="1605"/>
      <c r="AG447" s="1605"/>
      <c r="AH447" s="1605"/>
      <c r="AI447" s="1605"/>
      <c r="AJ447" s="1605"/>
      <c r="AK447" s="1605"/>
      <c r="AL447" s="1605"/>
      <c r="AM447" s="1605"/>
      <c r="AN447" s="1605"/>
      <c r="AO447" s="1605"/>
      <c r="AP447" s="1605"/>
      <c r="AQ447" s="1605"/>
      <c r="AR447" s="1605"/>
      <c r="AS447" s="1605"/>
      <c r="AT447" s="1605"/>
      <c r="AU447" s="1605"/>
      <c r="AV447" s="1605"/>
      <c r="AW447" s="1605"/>
      <c r="AX447" s="1605"/>
      <c r="AY447" s="1605"/>
      <c r="AZ447" s="1605"/>
      <c r="BA447" s="1605"/>
      <c r="BB447" s="1605"/>
      <c r="BC447" s="1605"/>
      <c r="BD447" s="1605"/>
      <c r="BE447" s="1605"/>
      <c r="BF447" s="1605"/>
      <c r="BG447" s="1605"/>
      <c r="BH447" s="1605"/>
      <c r="BI447" s="1605"/>
      <c r="BJ447" s="1605"/>
      <c r="BK447" s="1605"/>
      <c r="BL447" s="1605"/>
      <c r="BM447" s="1605"/>
      <c r="BN447" s="1605"/>
      <c r="BO447" s="1605"/>
      <c r="BP447" s="1605"/>
      <c r="BQ447" s="1605"/>
      <c r="BR447" s="1605"/>
      <c r="BS447" s="1605"/>
      <c r="BT447" s="1605"/>
      <c r="BU447" s="1605"/>
      <c r="BV447" s="1605"/>
      <c r="BW447" s="1605"/>
      <c r="BX447" s="1605"/>
      <c r="BY447" s="1605"/>
      <c r="BZ447" s="1605"/>
      <c r="CA447" s="1605"/>
      <c r="CB447" s="1605"/>
      <c r="CC447" s="1605"/>
      <c r="CD447" s="1605"/>
      <c r="CE447" s="1605"/>
      <c r="CF447" s="1605"/>
      <c r="CG447" s="1605"/>
      <c r="CH447" s="1605"/>
      <c r="CI447" s="1605"/>
      <c r="CJ447" s="1605"/>
      <c r="CK447" s="1605"/>
      <c r="CL447" s="1605"/>
      <c r="CM447" s="1605"/>
      <c r="CN447" s="1605"/>
      <c r="CO447" s="1605"/>
      <c r="CP447" s="1605"/>
      <c r="CQ447" s="1605"/>
      <c r="CR447" s="1605"/>
      <c r="CS447" s="1605"/>
      <c r="CT447" s="1605"/>
      <c r="CU447" s="1605"/>
      <c r="CV447" s="1605"/>
      <c r="CW447" s="1605"/>
      <c r="CX447" s="1605"/>
      <c r="CY447" s="1605"/>
      <c r="CZ447" s="1605"/>
      <c r="DA447" s="1605"/>
      <c r="DB447" s="1605"/>
      <c r="DC447" s="1605"/>
      <c r="DD447" s="1605"/>
      <c r="DE447" s="1605"/>
      <c r="DF447" s="1605"/>
      <c r="DG447" s="1605"/>
      <c r="DH447" s="1605"/>
      <c r="DI447" s="1605"/>
      <c r="DJ447" s="1605"/>
      <c r="DK447" s="1605"/>
      <c r="DL447" s="1605"/>
      <c r="DM447" s="1605"/>
      <c r="DN447" s="1605"/>
      <c r="DO447" s="1605"/>
      <c r="DP447" s="1605"/>
      <c r="DQ447" s="1605"/>
      <c r="DR447" s="1605"/>
      <c r="DS447" s="1605"/>
      <c r="DT447" s="1605"/>
      <c r="DU447" s="1605"/>
      <c r="DV447" s="1605"/>
      <c r="DW447" s="1605"/>
      <c r="DX447" s="1605"/>
      <c r="DY447" s="1605"/>
      <c r="DZ447" s="1605"/>
      <c r="EA447" s="1605"/>
      <c r="EB447" s="1605"/>
      <c r="EC447" s="1605"/>
      <c r="ED447" s="1605"/>
      <c r="EE447" s="1605"/>
      <c r="EF447" s="1605"/>
      <c r="EG447" s="1605"/>
      <c r="EH447" s="1605"/>
      <c r="EI447" s="1605"/>
      <c r="EJ447" s="1605"/>
      <c r="EK447" s="1605"/>
      <c r="EL447" s="1605"/>
      <c r="EM447" s="1605"/>
      <c r="EN447" s="1605"/>
      <c r="EO447" s="1605"/>
      <c r="EP447" s="1605"/>
      <c r="EQ447" s="1605"/>
      <c r="ER447" s="1605"/>
      <c r="ES447" s="1605"/>
      <c r="ET447" s="1605"/>
      <c r="EU447" s="1605"/>
      <c r="EV447" s="1605"/>
      <c r="EW447" s="1605"/>
      <c r="EX447" s="1605"/>
      <c r="EY447" s="1605"/>
      <c r="EZ447" s="1605"/>
      <c r="FA447" s="1605"/>
      <c r="FB447" s="1605"/>
      <c r="FC447" s="1605"/>
      <c r="FD447" s="1605"/>
      <c r="FE447" s="1605"/>
      <c r="FF447" s="1605"/>
      <c r="FG447" s="1605"/>
      <c r="FH447" s="1605"/>
      <c r="FI447" s="1605"/>
      <c r="FJ447" s="1605"/>
      <c r="FK447" s="1605"/>
      <c r="FL447" s="1605"/>
      <c r="FM447" s="1605"/>
      <c r="FN447" s="1605"/>
      <c r="FO447" s="1605"/>
      <c r="FP447" s="1605"/>
      <c r="FQ447" s="1605"/>
      <c r="FR447" s="1605"/>
      <c r="FS447" s="1605"/>
      <c r="FT447" s="1605"/>
      <c r="FU447" s="1605"/>
      <c r="FV447" s="1605"/>
      <c r="FW447" s="1605"/>
      <c r="FX447" s="1605"/>
      <c r="FY447" s="1605"/>
      <c r="FZ447" s="1605"/>
      <c r="GA447" s="1605"/>
      <c r="GB447" s="1605"/>
      <c r="GC447" s="1605"/>
      <c r="GD447" s="1605"/>
      <c r="GE447" s="1605"/>
      <c r="GF447" s="1605"/>
      <c r="GG447" s="1605"/>
      <c r="GH447" s="1605"/>
      <c r="GI447" s="1605"/>
      <c r="GJ447" s="1605"/>
      <c r="GK447" s="1605"/>
      <c r="GL447" s="1605"/>
      <c r="GM447" s="1605"/>
      <c r="GN447" s="1605"/>
      <c r="GO447" s="1605"/>
      <c r="GP447" s="1605"/>
      <c r="GQ447" s="1605"/>
      <c r="GR447" s="1605"/>
      <c r="GS447" s="1605"/>
      <c r="GT447" s="1605"/>
      <c r="GU447" s="1605"/>
      <c r="GV447" s="1605"/>
      <c r="GW447" s="1605"/>
      <c r="GX447" s="1605"/>
      <c r="GY447" s="1605"/>
      <c r="GZ447" s="1605"/>
      <c r="HA447" s="1605"/>
      <c r="HB447" s="1605"/>
      <c r="HC447" s="1605"/>
      <c r="HD447" s="1605"/>
      <c r="HE447" s="1605"/>
      <c r="HF447" s="1605"/>
      <c r="HG447" s="1605"/>
      <c r="HH447" s="1605"/>
      <c r="HI447" s="1605"/>
      <c r="HJ447" s="1605"/>
      <c r="HK447" s="1605"/>
      <c r="HL447" s="1605"/>
      <c r="HM447" s="1605"/>
      <c r="HN447" s="1605"/>
      <c r="HO447" s="1605"/>
      <c r="HP447" s="1605"/>
      <c r="HQ447" s="1605"/>
      <c r="HR447" s="1605"/>
      <c r="HS447" s="1605"/>
      <c r="HT447" s="1605"/>
      <c r="HU447" s="1605"/>
      <c r="HV447" s="1605"/>
      <c r="HW447" s="1605"/>
      <c r="HX447" s="1605"/>
      <c r="HY447" s="1605"/>
      <c r="HZ447" s="1605"/>
      <c r="IA447" s="1605"/>
      <c r="IB447" s="1605"/>
      <c r="IC447" s="1605"/>
      <c r="ID447" s="1605"/>
      <c r="IE447" s="1605"/>
      <c r="IF447" s="1605"/>
      <c r="IG447" s="1605"/>
      <c r="IH447" s="1605"/>
      <c r="II447" s="1605"/>
      <c r="IJ447" s="1605"/>
      <c r="IK447" s="1605"/>
      <c r="IL447" s="1605"/>
      <c r="IM447" s="1605"/>
      <c r="IN447" s="1605"/>
      <c r="IO447" s="1605"/>
      <c r="IP447" s="1605"/>
      <c r="IQ447" s="1605"/>
      <c r="IR447" s="1605"/>
      <c r="IS447" s="1605"/>
      <c r="IT447" s="1605"/>
      <c r="IU447" s="1605"/>
      <c r="IV447" s="1605"/>
      <c r="IW447" s="1605"/>
      <c r="IX447" s="1605"/>
      <c r="IY447" s="1605"/>
      <c r="IZ447" s="1605"/>
      <c r="JA447" s="1605"/>
      <c r="JB447" s="1605"/>
      <c r="JC447" s="1605"/>
      <c r="JD447" s="1605"/>
      <c r="JE447" s="1605"/>
      <c r="JF447" s="1605"/>
      <c r="JG447" s="1605"/>
      <c r="JH447" s="1605"/>
      <c r="JI447" s="1605"/>
      <c r="JJ447" s="1605"/>
      <c r="JK447" s="1605"/>
      <c r="JL447" s="1605"/>
      <c r="JM447" s="1605"/>
      <c r="JN447" s="1605"/>
      <c r="JO447" s="1605"/>
      <c r="JP447" s="1605"/>
      <c r="JQ447" s="1605"/>
      <c r="JR447" s="1605"/>
      <c r="JS447" s="1605"/>
      <c r="JT447" s="1605"/>
      <c r="JU447" s="1605"/>
      <c r="JV447" s="1605"/>
      <c r="JW447" s="1605"/>
      <c r="JX447" s="1605"/>
      <c r="JY447" s="1605"/>
      <c r="JZ447" s="1605"/>
      <c r="KA447" s="1605"/>
      <c r="KB447" s="1606"/>
    </row>
    <row r="448" spans="2:288" ht="15" customHeight="1" x14ac:dyDescent="0.25">
      <c r="B448" s="216" t="str">
        <f t="shared" si="36"/>
        <v>Desk 24</v>
      </c>
      <c r="C448" s="218" t="str">
        <v/>
      </c>
      <c r="D448" s="218" t="str">
        <v/>
      </c>
      <c r="E448" s="218" t="str">
        <v/>
      </c>
      <c r="F448" s="218" t="str">
        <v/>
      </c>
      <c r="G448" s="402" t="str">
        <v/>
      </c>
      <c r="H448" s="1605"/>
      <c r="I448" s="1605"/>
      <c r="J448" s="1605"/>
      <c r="K448" s="1605"/>
      <c r="L448" s="1605"/>
      <c r="M448" s="1605"/>
      <c r="N448" s="1605"/>
      <c r="O448" s="1605"/>
      <c r="P448" s="1605"/>
      <c r="Q448" s="1605"/>
      <c r="R448" s="1605"/>
      <c r="S448" s="1605"/>
      <c r="T448" s="1605"/>
      <c r="U448" s="1605"/>
      <c r="V448" s="1605"/>
      <c r="W448" s="1605"/>
      <c r="X448" s="1605"/>
      <c r="Y448" s="1605"/>
      <c r="Z448" s="1605"/>
      <c r="AA448" s="1605"/>
      <c r="AB448" s="1605"/>
      <c r="AC448" s="1605"/>
      <c r="AD448" s="1605"/>
      <c r="AE448" s="1605"/>
      <c r="AF448" s="1605"/>
      <c r="AG448" s="1605"/>
      <c r="AH448" s="1605"/>
      <c r="AI448" s="1605"/>
      <c r="AJ448" s="1605"/>
      <c r="AK448" s="1605"/>
      <c r="AL448" s="1605"/>
      <c r="AM448" s="1605"/>
      <c r="AN448" s="1605"/>
      <c r="AO448" s="1605"/>
      <c r="AP448" s="1605"/>
      <c r="AQ448" s="1605"/>
      <c r="AR448" s="1605"/>
      <c r="AS448" s="1605"/>
      <c r="AT448" s="1605"/>
      <c r="AU448" s="1605"/>
      <c r="AV448" s="1605"/>
      <c r="AW448" s="1605"/>
      <c r="AX448" s="1605"/>
      <c r="AY448" s="1605"/>
      <c r="AZ448" s="1605"/>
      <c r="BA448" s="1605"/>
      <c r="BB448" s="1605"/>
      <c r="BC448" s="1605"/>
      <c r="BD448" s="1605"/>
      <c r="BE448" s="1605"/>
      <c r="BF448" s="1605"/>
      <c r="BG448" s="1605"/>
      <c r="BH448" s="1605"/>
      <c r="BI448" s="1605"/>
      <c r="BJ448" s="1605"/>
      <c r="BK448" s="1605"/>
      <c r="BL448" s="1605"/>
      <c r="BM448" s="1605"/>
      <c r="BN448" s="1605"/>
      <c r="BO448" s="1605"/>
      <c r="BP448" s="1605"/>
      <c r="BQ448" s="1605"/>
      <c r="BR448" s="1605"/>
      <c r="BS448" s="1605"/>
      <c r="BT448" s="1605"/>
      <c r="BU448" s="1605"/>
      <c r="BV448" s="1605"/>
      <c r="BW448" s="1605"/>
      <c r="BX448" s="1605"/>
      <c r="BY448" s="1605"/>
      <c r="BZ448" s="1605"/>
      <c r="CA448" s="1605"/>
      <c r="CB448" s="1605"/>
      <c r="CC448" s="1605"/>
      <c r="CD448" s="1605"/>
      <c r="CE448" s="1605"/>
      <c r="CF448" s="1605"/>
      <c r="CG448" s="1605"/>
      <c r="CH448" s="1605"/>
      <c r="CI448" s="1605"/>
      <c r="CJ448" s="1605"/>
      <c r="CK448" s="1605"/>
      <c r="CL448" s="1605"/>
      <c r="CM448" s="1605"/>
      <c r="CN448" s="1605"/>
      <c r="CO448" s="1605"/>
      <c r="CP448" s="1605"/>
      <c r="CQ448" s="1605"/>
      <c r="CR448" s="1605"/>
      <c r="CS448" s="1605"/>
      <c r="CT448" s="1605"/>
      <c r="CU448" s="1605"/>
      <c r="CV448" s="1605"/>
      <c r="CW448" s="1605"/>
      <c r="CX448" s="1605"/>
      <c r="CY448" s="1605"/>
      <c r="CZ448" s="1605"/>
      <c r="DA448" s="1605"/>
      <c r="DB448" s="1605"/>
      <c r="DC448" s="1605"/>
      <c r="DD448" s="1605"/>
      <c r="DE448" s="1605"/>
      <c r="DF448" s="1605"/>
      <c r="DG448" s="1605"/>
      <c r="DH448" s="1605"/>
      <c r="DI448" s="1605"/>
      <c r="DJ448" s="1605"/>
      <c r="DK448" s="1605"/>
      <c r="DL448" s="1605"/>
      <c r="DM448" s="1605"/>
      <c r="DN448" s="1605"/>
      <c r="DO448" s="1605"/>
      <c r="DP448" s="1605"/>
      <c r="DQ448" s="1605"/>
      <c r="DR448" s="1605"/>
      <c r="DS448" s="1605"/>
      <c r="DT448" s="1605"/>
      <c r="DU448" s="1605"/>
      <c r="DV448" s="1605"/>
      <c r="DW448" s="1605"/>
      <c r="DX448" s="1605"/>
      <c r="DY448" s="1605"/>
      <c r="DZ448" s="1605"/>
      <c r="EA448" s="1605"/>
      <c r="EB448" s="1605"/>
      <c r="EC448" s="1605"/>
      <c r="ED448" s="1605"/>
      <c r="EE448" s="1605"/>
      <c r="EF448" s="1605"/>
      <c r="EG448" s="1605"/>
      <c r="EH448" s="1605"/>
      <c r="EI448" s="1605"/>
      <c r="EJ448" s="1605"/>
      <c r="EK448" s="1605"/>
      <c r="EL448" s="1605"/>
      <c r="EM448" s="1605"/>
      <c r="EN448" s="1605"/>
      <c r="EO448" s="1605"/>
      <c r="EP448" s="1605"/>
      <c r="EQ448" s="1605"/>
      <c r="ER448" s="1605"/>
      <c r="ES448" s="1605"/>
      <c r="ET448" s="1605"/>
      <c r="EU448" s="1605"/>
      <c r="EV448" s="1605"/>
      <c r="EW448" s="1605"/>
      <c r="EX448" s="1605"/>
      <c r="EY448" s="1605"/>
      <c r="EZ448" s="1605"/>
      <c r="FA448" s="1605"/>
      <c r="FB448" s="1605"/>
      <c r="FC448" s="1605"/>
      <c r="FD448" s="1605"/>
      <c r="FE448" s="1605"/>
      <c r="FF448" s="1605"/>
      <c r="FG448" s="1605"/>
      <c r="FH448" s="1605"/>
      <c r="FI448" s="1605"/>
      <c r="FJ448" s="1605"/>
      <c r="FK448" s="1605"/>
      <c r="FL448" s="1605"/>
      <c r="FM448" s="1605"/>
      <c r="FN448" s="1605"/>
      <c r="FO448" s="1605"/>
      <c r="FP448" s="1605"/>
      <c r="FQ448" s="1605"/>
      <c r="FR448" s="1605"/>
      <c r="FS448" s="1605"/>
      <c r="FT448" s="1605"/>
      <c r="FU448" s="1605"/>
      <c r="FV448" s="1605"/>
      <c r="FW448" s="1605"/>
      <c r="FX448" s="1605"/>
      <c r="FY448" s="1605"/>
      <c r="FZ448" s="1605"/>
      <c r="GA448" s="1605"/>
      <c r="GB448" s="1605"/>
      <c r="GC448" s="1605"/>
      <c r="GD448" s="1605"/>
      <c r="GE448" s="1605"/>
      <c r="GF448" s="1605"/>
      <c r="GG448" s="1605"/>
      <c r="GH448" s="1605"/>
      <c r="GI448" s="1605"/>
      <c r="GJ448" s="1605"/>
      <c r="GK448" s="1605"/>
      <c r="GL448" s="1605"/>
      <c r="GM448" s="1605"/>
      <c r="GN448" s="1605"/>
      <c r="GO448" s="1605"/>
      <c r="GP448" s="1605"/>
      <c r="GQ448" s="1605"/>
      <c r="GR448" s="1605"/>
      <c r="GS448" s="1605"/>
      <c r="GT448" s="1605"/>
      <c r="GU448" s="1605"/>
      <c r="GV448" s="1605"/>
      <c r="GW448" s="1605"/>
      <c r="GX448" s="1605"/>
      <c r="GY448" s="1605"/>
      <c r="GZ448" s="1605"/>
      <c r="HA448" s="1605"/>
      <c r="HB448" s="1605"/>
      <c r="HC448" s="1605"/>
      <c r="HD448" s="1605"/>
      <c r="HE448" s="1605"/>
      <c r="HF448" s="1605"/>
      <c r="HG448" s="1605"/>
      <c r="HH448" s="1605"/>
      <c r="HI448" s="1605"/>
      <c r="HJ448" s="1605"/>
      <c r="HK448" s="1605"/>
      <c r="HL448" s="1605"/>
      <c r="HM448" s="1605"/>
      <c r="HN448" s="1605"/>
      <c r="HO448" s="1605"/>
      <c r="HP448" s="1605"/>
      <c r="HQ448" s="1605"/>
      <c r="HR448" s="1605"/>
      <c r="HS448" s="1605"/>
      <c r="HT448" s="1605"/>
      <c r="HU448" s="1605"/>
      <c r="HV448" s="1605"/>
      <c r="HW448" s="1605"/>
      <c r="HX448" s="1605"/>
      <c r="HY448" s="1605"/>
      <c r="HZ448" s="1605"/>
      <c r="IA448" s="1605"/>
      <c r="IB448" s="1605"/>
      <c r="IC448" s="1605"/>
      <c r="ID448" s="1605"/>
      <c r="IE448" s="1605"/>
      <c r="IF448" s="1605"/>
      <c r="IG448" s="1605"/>
      <c r="IH448" s="1605"/>
      <c r="II448" s="1605"/>
      <c r="IJ448" s="1605"/>
      <c r="IK448" s="1605"/>
      <c r="IL448" s="1605"/>
      <c r="IM448" s="1605"/>
      <c r="IN448" s="1605"/>
      <c r="IO448" s="1605"/>
      <c r="IP448" s="1605"/>
      <c r="IQ448" s="1605"/>
      <c r="IR448" s="1605"/>
      <c r="IS448" s="1605"/>
      <c r="IT448" s="1605"/>
      <c r="IU448" s="1605"/>
      <c r="IV448" s="1605"/>
      <c r="IW448" s="1605"/>
      <c r="IX448" s="1605"/>
      <c r="IY448" s="1605"/>
      <c r="IZ448" s="1605"/>
      <c r="JA448" s="1605"/>
      <c r="JB448" s="1605"/>
      <c r="JC448" s="1605"/>
      <c r="JD448" s="1605"/>
      <c r="JE448" s="1605"/>
      <c r="JF448" s="1605"/>
      <c r="JG448" s="1605"/>
      <c r="JH448" s="1605"/>
      <c r="JI448" s="1605"/>
      <c r="JJ448" s="1605"/>
      <c r="JK448" s="1605"/>
      <c r="JL448" s="1605"/>
      <c r="JM448" s="1605"/>
      <c r="JN448" s="1605"/>
      <c r="JO448" s="1605"/>
      <c r="JP448" s="1605"/>
      <c r="JQ448" s="1605"/>
      <c r="JR448" s="1605"/>
      <c r="JS448" s="1605"/>
      <c r="JT448" s="1605"/>
      <c r="JU448" s="1605"/>
      <c r="JV448" s="1605"/>
      <c r="JW448" s="1605"/>
      <c r="JX448" s="1605"/>
      <c r="JY448" s="1605"/>
      <c r="JZ448" s="1605"/>
      <c r="KA448" s="1605"/>
      <c r="KB448" s="1606"/>
    </row>
    <row r="449" spans="2:288" ht="15" customHeight="1" x14ac:dyDescent="0.25">
      <c r="B449" s="216" t="str">
        <f t="shared" si="36"/>
        <v>Desk 25</v>
      </c>
      <c r="C449" s="218" t="str">
        <v/>
      </c>
      <c r="D449" s="218" t="str">
        <v/>
      </c>
      <c r="E449" s="218" t="str">
        <v/>
      </c>
      <c r="F449" s="218" t="str">
        <v/>
      </c>
      <c r="G449" s="402" t="str">
        <v/>
      </c>
      <c r="H449" s="1605"/>
      <c r="I449" s="1605"/>
      <c r="J449" s="1605"/>
      <c r="K449" s="1605"/>
      <c r="L449" s="1605"/>
      <c r="M449" s="1605"/>
      <c r="N449" s="1605"/>
      <c r="O449" s="1605"/>
      <c r="P449" s="1605"/>
      <c r="Q449" s="1605"/>
      <c r="R449" s="1605"/>
      <c r="S449" s="1605"/>
      <c r="T449" s="1605"/>
      <c r="U449" s="1605"/>
      <c r="V449" s="1605"/>
      <c r="W449" s="1605"/>
      <c r="X449" s="1605"/>
      <c r="Y449" s="1605"/>
      <c r="Z449" s="1605"/>
      <c r="AA449" s="1605"/>
      <c r="AB449" s="1605"/>
      <c r="AC449" s="1605"/>
      <c r="AD449" s="1605"/>
      <c r="AE449" s="1605"/>
      <c r="AF449" s="1605"/>
      <c r="AG449" s="1605"/>
      <c r="AH449" s="1605"/>
      <c r="AI449" s="1605"/>
      <c r="AJ449" s="1605"/>
      <c r="AK449" s="1605"/>
      <c r="AL449" s="1605"/>
      <c r="AM449" s="1605"/>
      <c r="AN449" s="1605"/>
      <c r="AO449" s="1605"/>
      <c r="AP449" s="1605"/>
      <c r="AQ449" s="1605"/>
      <c r="AR449" s="1605"/>
      <c r="AS449" s="1605"/>
      <c r="AT449" s="1605"/>
      <c r="AU449" s="1605"/>
      <c r="AV449" s="1605"/>
      <c r="AW449" s="1605"/>
      <c r="AX449" s="1605"/>
      <c r="AY449" s="1605"/>
      <c r="AZ449" s="1605"/>
      <c r="BA449" s="1605"/>
      <c r="BB449" s="1605"/>
      <c r="BC449" s="1605"/>
      <c r="BD449" s="1605"/>
      <c r="BE449" s="1605"/>
      <c r="BF449" s="1605"/>
      <c r="BG449" s="1605"/>
      <c r="BH449" s="1605"/>
      <c r="BI449" s="1605"/>
      <c r="BJ449" s="1605"/>
      <c r="BK449" s="1605"/>
      <c r="BL449" s="1605"/>
      <c r="BM449" s="1605"/>
      <c r="BN449" s="1605"/>
      <c r="BO449" s="1605"/>
      <c r="BP449" s="1605"/>
      <c r="BQ449" s="1605"/>
      <c r="BR449" s="1605"/>
      <c r="BS449" s="1605"/>
      <c r="BT449" s="1605"/>
      <c r="BU449" s="1605"/>
      <c r="BV449" s="1605"/>
      <c r="BW449" s="1605"/>
      <c r="BX449" s="1605"/>
      <c r="BY449" s="1605"/>
      <c r="BZ449" s="1605"/>
      <c r="CA449" s="1605"/>
      <c r="CB449" s="1605"/>
      <c r="CC449" s="1605"/>
      <c r="CD449" s="1605"/>
      <c r="CE449" s="1605"/>
      <c r="CF449" s="1605"/>
      <c r="CG449" s="1605"/>
      <c r="CH449" s="1605"/>
      <c r="CI449" s="1605"/>
      <c r="CJ449" s="1605"/>
      <c r="CK449" s="1605"/>
      <c r="CL449" s="1605"/>
      <c r="CM449" s="1605"/>
      <c r="CN449" s="1605"/>
      <c r="CO449" s="1605"/>
      <c r="CP449" s="1605"/>
      <c r="CQ449" s="1605"/>
      <c r="CR449" s="1605"/>
      <c r="CS449" s="1605"/>
      <c r="CT449" s="1605"/>
      <c r="CU449" s="1605"/>
      <c r="CV449" s="1605"/>
      <c r="CW449" s="1605"/>
      <c r="CX449" s="1605"/>
      <c r="CY449" s="1605"/>
      <c r="CZ449" s="1605"/>
      <c r="DA449" s="1605"/>
      <c r="DB449" s="1605"/>
      <c r="DC449" s="1605"/>
      <c r="DD449" s="1605"/>
      <c r="DE449" s="1605"/>
      <c r="DF449" s="1605"/>
      <c r="DG449" s="1605"/>
      <c r="DH449" s="1605"/>
      <c r="DI449" s="1605"/>
      <c r="DJ449" s="1605"/>
      <c r="DK449" s="1605"/>
      <c r="DL449" s="1605"/>
      <c r="DM449" s="1605"/>
      <c r="DN449" s="1605"/>
      <c r="DO449" s="1605"/>
      <c r="DP449" s="1605"/>
      <c r="DQ449" s="1605"/>
      <c r="DR449" s="1605"/>
      <c r="DS449" s="1605"/>
      <c r="DT449" s="1605"/>
      <c r="DU449" s="1605"/>
      <c r="DV449" s="1605"/>
      <c r="DW449" s="1605"/>
      <c r="DX449" s="1605"/>
      <c r="DY449" s="1605"/>
      <c r="DZ449" s="1605"/>
      <c r="EA449" s="1605"/>
      <c r="EB449" s="1605"/>
      <c r="EC449" s="1605"/>
      <c r="ED449" s="1605"/>
      <c r="EE449" s="1605"/>
      <c r="EF449" s="1605"/>
      <c r="EG449" s="1605"/>
      <c r="EH449" s="1605"/>
      <c r="EI449" s="1605"/>
      <c r="EJ449" s="1605"/>
      <c r="EK449" s="1605"/>
      <c r="EL449" s="1605"/>
      <c r="EM449" s="1605"/>
      <c r="EN449" s="1605"/>
      <c r="EO449" s="1605"/>
      <c r="EP449" s="1605"/>
      <c r="EQ449" s="1605"/>
      <c r="ER449" s="1605"/>
      <c r="ES449" s="1605"/>
      <c r="ET449" s="1605"/>
      <c r="EU449" s="1605"/>
      <c r="EV449" s="1605"/>
      <c r="EW449" s="1605"/>
      <c r="EX449" s="1605"/>
      <c r="EY449" s="1605"/>
      <c r="EZ449" s="1605"/>
      <c r="FA449" s="1605"/>
      <c r="FB449" s="1605"/>
      <c r="FC449" s="1605"/>
      <c r="FD449" s="1605"/>
      <c r="FE449" s="1605"/>
      <c r="FF449" s="1605"/>
      <c r="FG449" s="1605"/>
      <c r="FH449" s="1605"/>
      <c r="FI449" s="1605"/>
      <c r="FJ449" s="1605"/>
      <c r="FK449" s="1605"/>
      <c r="FL449" s="1605"/>
      <c r="FM449" s="1605"/>
      <c r="FN449" s="1605"/>
      <c r="FO449" s="1605"/>
      <c r="FP449" s="1605"/>
      <c r="FQ449" s="1605"/>
      <c r="FR449" s="1605"/>
      <c r="FS449" s="1605"/>
      <c r="FT449" s="1605"/>
      <c r="FU449" s="1605"/>
      <c r="FV449" s="1605"/>
      <c r="FW449" s="1605"/>
      <c r="FX449" s="1605"/>
      <c r="FY449" s="1605"/>
      <c r="FZ449" s="1605"/>
      <c r="GA449" s="1605"/>
      <c r="GB449" s="1605"/>
      <c r="GC449" s="1605"/>
      <c r="GD449" s="1605"/>
      <c r="GE449" s="1605"/>
      <c r="GF449" s="1605"/>
      <c r="GG449" s="1605"/>
      <c r="GH449" s="1605"/>
      <c r="GI449" s="1605"/>
      <c r="GJ449" s="1605"/>
      <c r="GK449" s="1605"/>
      <c r="GL449" s="1605"/>
      <c r="GM449" s="1605"/>
      <c r="GN449" s="1605"/>
      <c r="GO449" s="1605"/>
      <c r="GP449" s="1605"/>
      <c r="GQ449" s="1605"/>
      <c r="GR449" s="1605"/>
      <c r="GS449" s="1605"/>
      <c r="GT449" s="1605"/>
      <c r="GU449" s="1605"/>
      <c r="GV449" s="1605"/>
      <c r="GW449" s="1605"/>
      <c r="GX449" s="1605"/>
      <c r="GY449" s="1605"/>
      <c r="GZ449" s="1605"/>
      <c r="HA449" s="1605"/>
      <c r="HB449" s="1605"/>
      <c r="HC449" s="1605"/>
      <c r="HD449" s="1605"/>
      <c r="HE449" s="1605"/>
      <c r="HF449" s="1605"/>
      <c r="HG449" s="1605"/>
      <c r="HH449" s="1605"/>
      <c r="HI449" s="1605"/>
      <c r="HJ449" s="1605"/>
      <c r="HK449" s="1605"/>
      <c r="HL449" s="1605"/>
      <c r="HM449" s="1605"/>
      <c r="HN449" s="1605"/>
      <c r="HO449" s="1605"/>
      <c r="HP449" s="1605"/>
      <c r="HQ449" s="1605"/>
      <c r="HR449" s="1605"/>
      <c r="HS449" s="1605"/>
      <c r="HT449" s="1605"/>
      <c r="HU449" s="1605"/>
      <c r="HV449" s="1605"/>
      <c r="HW449" s="1605"/>
      <c r="HX449" s="1605"/>
      <c r="HY449" s="1605"/>
      <c r="HZ449" s="1605"/>
      <c r="IA449" s="1605"/>
      <c r="IB449" s="1605"/>
      <c r="IC449" s="1605"/>
      <c r="ID449" s="1605"/>
      <c r="IE449" s="1605"/>
      <c r="IF449" s="1605"/>
      <c r="IG449" s="1605"/>
      <c r="IH449" s="1605"/>
      <c r="II449" s="1605"/>
      <c r="IJ449" s="1605"/>
      <c r="IK449" s="1605"/>
      <c r="IL449" s="1605"/>
      <c r="IM449" s="1605"/>
      <c r="IN449" s="1605"/>
      <c r="IO449" s="1605"/>
      <c r="IP449" s="1605"/>
      <c r="IQ449" s="1605"/>
      <c r="IR449" s="1605"/>
      <c r="IS449" s="1605"/>
      <c r="IT449" s="1605"/>
      <c r="IU449" s="1605"/>
      <c r="IV449" s="1605"/>
      <c r="IW449" s="1605"/>
      <c r="IX449" s="1605"/>
      <c r="IY449" s="1605"/>
      <c r="IZ449" s="1605"/>
      <c r="JA449" s="1605"/>
      <c r="JB449" s="1605"/>
      <c r="JC449" s="1605"/>
      <c r="JD449" s="1605"/>
      <c r="JE449" s="1605"/>
      <c r="JF449" s="1605"/>
      <c r="JG449" s="1605"/>
      <c r="JH449" s="1605"/>
      <c r="JI449" s="1605"/>
      <c r="JJ449" s="1605"/>
      <c r="JK449" s="1605"/>
      <c r="JL449" s="1605"/>
      <c r="JM449" s="1605"/>
      <c r="JN449" s="1605"/>
      <c r="JO449" s="1605"/>
      <c r="JP449" s="1605"/>
      <c r="JQ449" s="1605"/>
      <c r="JR449" s="1605"/>
      <c r="JS449" s="1605"/>
      <c r="JT449" s="1605"/>
      <c r="JU449" s="1605"/>
      <c r="JV449" s="1605"/>
      <c r="JW449" s="1605"/>
      <c r="JX449" s="1605"/>
      <c r="JY449" s="1605"/>
      <c r="JZ449" s="1605"/>
      <c r="KA449" s="1605"/>
      <c r="KB449" s="1606"/>
    </row>
    <row r="450" spans="2:288" ht="15" customHeight="1" x14ac:dyDescent="0.25">
      <c r="B450" s="216" t="str">
        <f t="shared" si="36"/>
        <v>Desk 26</v>
      </c>
      <c r="C450" s="218" t="str">
        <v/>
      </c>
      <c r="D450" s="218" t="str">
        <v/>
      </c>
      <c r="E450" s="218" t="str">
        <v/>
      </c>
      <c r="F450" s="218" t="str">
        <v/>
      </c>
      <c r="G450" s="402" t="str">
        <v/>
      </c>
      <c r="H450" s="1605"/>
      <c r="I450" s="1605"/>
      <c r="J450" s="1605"/>
      <c r="K450" s="1605"/>
      <c r="L450" s="1605"/>
      <c r="M450" s="1605"/>
      <c r="N450" s="1605"/>
      <c r="O450" s="1605"/>
      <c r="P450" s="1605"/>
      <c r="Q450" s="1605"/>
      <c r="R450" s="1605"/>
      <c r="S450" s="1605"/>
      <c r="T450" s="1605"/>
      <c r="U450" s="1605"/>
      <c r="V450" s="1605"/>
      <c r="W450" s="1605"/>
      <c r="X450" s="1605"/>
      <c r="Y450" s="1605"/>
      <c r="Z450" s="1605"/>
      <c r="AA450" s="1605"/>
      <c r="AB450" s="1605"/>
      <c r="AC450" s="1605"/>
      <c r="AD450" s="1605"/>
      <c r="AE450" s="1605"/>
      <c r="AF450" s="1605"/>
      <c r="AG450" s="1605"/>
      <c r="AH450" s="1605"/>
      <c r="AI450" s="1605"/>
      <c r="AJ450" s="1605"/>
      <c r="AK450" s="1605"/>
      <c r="AL450" s="1605"/>
      <c r="AM450" s="1605"/>
      <c r="AN450" s="1605"/>
      <c r="AO450" s="1605"/>
      <c r="AP450" s="1605"/>
      <c r="AQ450" s="1605"/>
      <c r="AR450" s="1605"/>
      <c r="AS450" s="1605"/>
      <c r="AT450" s="1605"/>
      <c r="AU450" s="1605"/>
      <c r="AV450" s="1605"/>
      <c r="AW450" s="1605"/>
      <c r="AX450" s="1605"/>
      <c r="AY450" s="1605"/>
      <c r="AZ450" s="1605"/>
      <c r="BA450" s="1605"/>
      <c r="BB450" s="1605"/>
      <c r="BC450" s="1605"/>
      <c r="BD450" s="1605"/>
      <c r="BE450" s="1605"/>
      <c r="BF450" s="1605"/>
      <c r="BG450" s="1605"/>
      <c r="BH450" s="1605"/>
      <c r="BI450" s="1605"/>
      <c r="BJ450" s="1605"/>
      <c r="BK450" s="1605"/>
      <c r="BL450" s="1605"/>
      <c r="BM450" s="1605"/>
      <c r="BN450" s="1605"/>
      <c r="BO450" s="1605"/>
      <c r="BP450" s="1605"/>
      <c r="BQ450" s="1605"/>
      <c r="BR450" s="1605"/>
      <c r="BS450" s="1605"/>
      <c r="BT450" s="1605"/>
      <c r="BU450" s="1605"/>
      <c r="BV450" s="1605"/>
      <c r="BW450" s="1605"/>
      <c r="BX450" s="1605"/>
      <c r="BY450" s="1605"/>
      <c r="BZ450" s="1605"/>
      <c r="CA450" s="1605"/>
      <c r="CB450" s="1605"/>
      <c r="CC450" s="1605"/>
      <c r="CD450" s="1605"/>
      <c r="CE450" s="1605"/>
      <c r="CF450" s="1605"/>
      <c r="CG450" s="1605"/>
      <c r="CH450" s="1605"/>
      <c r="CI450" s="1605"/>
      <c r="CJ450" s="1605"/>
      <c r="CK450" s="1605"/>
      <c r="CL450" s="1605"/>
      <c r="CM450" s="1605"/>
      <c r="CN450" s="1605"/>
      <c r="CO450" s="1605"/>
      <c r="CP450" s="1605"/>
      <c r="CQ450" s="1605"/>
      <c r="CR450" s="1605"/>
      <c r="CS450" s="1605"/>
      <c r="CT450" s="1605"/>
      <c r="CU450" s="1605"/>
      <c r="CV450" s="1605"/>
      <c r="CW450" s="1605"/>
      <c r="CX450" s="1605"/>
      <c r="CY450" s="1605"/>
      <c r="CZ450" s="1605"/>
      <c r="DA450" s="1605"/>
      <c r="DB450" s="1605"/>
      <c r="DC450" s="1605"/>
      <c r="DD450" s="1605"/>
      <c r="DE450" s="1605"/>
      <c r="DF450" s="1605"/>
      <c r="DG450" s="1605"/>
      <c r="DH450" s="1605"/>
      <c r="DI450" s="1605"/>
      <c r="DJ450" s="1605"/>
      <c r="DK450" s="1605"/>
      <c r="DL450" s="1605"/>
      <c r="DM450" s="1605"/>
      <c r="DN450" s="1605"/>
      <c r="DO450" s="1605"/>
      <c r="DP450" s="1605"/>
      <c r="DQ450" s="1605"/>
      <c r="DR450" s="1605"/>
      <c r="DS450" s="1605"/>
      <c r="DT450" s="1605"/>
      <c r="DU450" s="1605"/>
      <c r="DV450" s="1605"/>
      <c r="DW450" s="1605"/>
      <c r="DX450" s="1605"/>
      <c r="DY450" s="1605"/>
      <c r="DZ450" s="1605"/>
      <c r="EA450" s="1605"/>
      <c r="EB450" s="1605"/>
      <c r="EC450" s="1605"/>
      <c r="ED450" s="1605"/>
      <c r="EE450" s="1605"/>
      <c r="EF450" s="1605"/>
      <c r="EG450" s="1605"/>
      <c r="EH450" s="1605"/>
      <c r="EI450" s="1605"/>
      <c r="EJ450" s="1605"/>
      <c r="EK450" s="1605"/>
      <c r="EL450" s="1605"/>
      <c r="EM450" s="1605"/>
      <c r="EN450" s="1605"/>
      <c r="EO450" s="1605"/>
      <c r="EP450" s="1605"/>
      <c r="EQ450" s="1605"/>
      <c r="ER450" s="1605"/>
      <c r="ES450" s="1605"/>
      <c r="ET450" s="1605"/>
      <c r="EU450" s="1605"/>
      <c r="EV450" s="1605"/>
      <c r="EW450" s="1605"/>
      <c r="EX450" s="1605"/>
      <c r="EY450" s="1605"/>
      <c r="EZ450" s="1605"/>
      <c r="FA450" s="1605"/>
      <c r="FB450" s="1605"/>
      <c r="FC450" s="1605"/>
      <c r="FD450" s="1605"/>
      <c r="FE450" s="1605"/>
      <c r="FF450" s="1605"/>
      <c r="FG450" s="1605"/>
      <c r="FH450" s="1605"/>
      <c r="FI450" s="1605"/>
      <c r="FJ450" s="1605"/>
      <c r="FK450" s="1605"/>
      <c r="FL450" s="1605"/>
      <c r="FM450" s="1605"/>
      <c r="FN450" s="1605"/>
      <c r="FO450" s="1605"/>
      <c r="FP450" s="1605"/>
      <c r="FQ450" s="1605"/>
      <c r="FR450" s="1605"/>
      <c r="FS450" s="1605"/>
      <c r="FT450" s="1605"/>
      <c r="FU450" s="1605"/>
      <c r="FV450" s="1605"/>
      <c r="FW450" s="1605"/>
      <c r="FX450" s="1605"/>
      <c r="FY450" s="1605"/>
      <c r="FZ450" s="1605"/>
      <c r="GA450" s="1605"/>
      <c r="GB450" s="1605"/>
      <c r="GC450" s="1605"/>
      <c r="GD450" s="1605"/>
      <c r="GE450" s="1605"/>
      <c r="GF450" s="1605"/>
      <c r="GG450" s="1605"/>
      <c r="GH450" s="1605"/>
      <c r="GI450" s="1605"/>
      <c r="GJ450" s="1605"/>
      <c r="GK450" s="1605"/>
      <c r="GL450" s="1605"/>
      <c r="GM450" s="1605"/>
      <c r="GN450" s="1605"/>
      <c r="GO450" s="1605"/>
      <c r="GP450" s="1605"/>
      <c r="GQ450" s="1605"/>
      <c r="GR450" s="1605"/>
      <c r="GS450" s="1605"/>
      <c r="GT450" s="1605"/>
      <c r="GU450" s="1605"/>
      <c r="GV450" s="1605"/>
      <c r="GW450" s="1605"/>
      <c r="GX450" s="1605"/>
      <c r="GY450" s="1605"/>
      <c r="GZ450" s="1605"/>
      <c r="HA450" s="1605"/>
      <c r="HB450" s="1605"/>
      <c r="HC450" s="1605"/>
      <c r="HD450" s="1605"/>
      <c r="HE450" s="1605"/>
      <c r="HF450" s="1605"/>
      <c r="HG450" s="1605"/>
      <c r="HH450" s="1605"/>
      <c r="HI450" s="1605"/>
      <c r="HJ450" s="1605"/>
      <c r="HK450" s="1605"/>
      <c r="HL450" s="1605"/>
      <c r="HM450" s="1605"/>
      <c r="HN450" s="1605"/>
      <c r="HO450" s="1605"/>
      <c r="HP450" s="1605"/>
      <c r="HQ450" s="1605"/>
      <c r="HR450" s="1605"/>
      <c r="HS450" s="1605"/>
      <c r="HT450" s="1605"/>
      <c r="HU450" s="1605"/>
      <c r="HV450" s="1605"/>
      <c r="HW450" s="1605"/>
      <c r="HX450" s="1605"/>
      <c r="HY450" s="1605"/>
      <c r="HZ450" s="1605"/>
      <c r="IA450" s="1605"/>
      <c r="IB450" s="1605"/>
      <c r="IC450" s="1605"/>
      <c r="ID450" s="1605"/>
      <c r="IE450" s="1605"/>
      <c r="IF450" s="1605"/>
      <c r="IG450" s="1605"/>
      <c r="IH450" s="1605"/>
      <c r="II450" s="1605"/>
      <c r="IJ450" s="1605"/>
      <c r="IK450" s="1605"/>
      <c r="IL450" s="1605"/>
      <c r="IM450" s="1605"/>
      <c r="IN450" s="1605"/>
      <c r="IO450" s="1605"/>
      <c r="IP450" s="1605"/>
      <c r="IQ450" s="1605"/>
      <c r="IR450" s="1605"/>
      <c r="IS450" s="1605"/>
      <c r="IT450" s="1605"/>
      <c r="IU450" s="1605"/>
      <c r="IV450" s="1605"/>
      <c r="IW450" s="1605"/>
      <c r="IX450" s="1605"/>
      <c r="IY450" s="1605"/>
      <c r="IZ450" s="1605"/>
      <c r="JA450" s="1605"/>
      <c r="JB450" s="1605"/>
      <c r="JC450" s="1605"/>
      <c r="JD450" s="1605"/>
      <c r="JE450" s="1605"/>
      <c r="JF450" s="1605"/>
      <c r="JG450" s="1605"/>
      <c r="JH450" s="1605"/>
      <c r="JI450" s="1605"/>
      <c r="JJ450" s="1605"/>
      <c r="JK450" s="1605"/>
      <c r="JL450" s="1605"/>
      <c r="JM450" s="1605"/>
      <c r="JN450" s="1605"/>
      <c r="JO450" s="1605"/>
      <c r="JP450" s="1605"/>
      <c r="JQ450" s="1605"/>
      <c r="JR450" s="1605"/>
      <c r="JS450" s="1605"/>
      <c r="JT450" s="1605"/>
      <c r="JU450" s="1605"/>
      <c r="JV450" s="1605"/>
      <c r="JW450" s="1605"/>
      <c r="JX450" s="1605"/>
      <c r="JY450" s="1605"/>
      <c r="JZ450" s="1605"/>
      <c r="KA450" s="1605"/>
      <c r="KB450" s="1606"/>
    </row>
    <row r="451" spans="2:288" ht="15" customHeight="1" x14ac:dyDescent="0.25">
      <c r="B451" s="216" t="str">
        <f t="shared" si="36"/>
        <v>Desk 27</v>
      </c>
      <c r="C451" s="218" t="str">
        <v/>
      </c>
      <c r="D451" s="218" t="str">
        <v/>
      </c>
      <c r="E451" s="218" t="str">
        <v/>
      </c>
      <c r="F451" s="218" t="str">
        <v/>
      </c>
      <c r="G451" s="402" t="str">
        <v/>
      </c>
      <c r="H451" s="1605"/>
      <c r="I451" s="1605"/>
      <c r="J451" s="1605"/>
      <c r="K451" s="1605"/>
      <c r="L451" s="1605"/>
      <c r="M451" s="1605"/>
      <c r="N451" s="1605"/>
      <c r="O451" s="1605"/>
      <c r="P451" s="1605"/>
      <c r="Q451" s="1605"/>
      <c r="R451" s="1605"/>
      <c r="S451" s="1605"/>
      <c r="T451" s="1605"/>
      <c r="U451" s="1605"/>
      <c r="V451" s="1605"/>
      <c r="W451" s="1605"/>
      <c r="X451" s="1605"/>
      <c r="Y451" s="1605"/>
      <c r="Z451" s="1605"/>
      <c r="AA451" s="1605"/>
      <c r="AB451" s="1605"/>
      <c r="AC451" s="1605"/>
      <c r="AD451" s="1605"/>
      <c r="AE451" s="1605"/>
      <c r="AF451" s="1605"/>
      <c r="AG451" s="1605"/>
      <c r="AH451" s="1605"/>
      <c r="AI451" s="1605"/>
      <c r="AJ451" s="1605"/>
      <c r="AK451" s="1605"/>
      <c r="AL451" s="1605"/>
      <c r="AM451" s="1605"/>
      <c r="AN451" s="1605"/>
      <c r="AO451" s="1605"/>
      <c r="AP451" s="1605"/>
      <c r="AQ451" s="1605"/>
      <c r="AR451" s="1605"/>
      <c r="AS451" s="1605"/>
      <c r="AT451" s="1605"/>
      <c r="AU451" s="1605"/>
      <c r="AV451" s="1605"/>
      <c r="AW451" s="1605"/>
      <c r="AX451" s="1605"/>
      <c r="AY451" s="1605"/>
      <c r="AZ451" s="1605"/>
      <c r="BA451" s="1605"/>
      <c r="BB451" s="1605"/>
      <c r="BC451" s="1605"/>
      <c r="BD451" s="1605"/>
      <c r="BE451" s="1605"/>
      <c r="BF451" s="1605"/>
      <c r="BG451" s="1605"/>
      <c r="BH451" s="1605"/>
      <c r="BI451" s="1605"/>
      <c r="BJ451" s="1605"/>
      <c r="BK451" s="1605"/>
      <c r="BL451" s="1605"/>
      <c r="BM451" s="1605"/>
      <c r="BN451" s="1605"/>
      <c r="BO451" s="1605"/>
      <c r="BP451" s="1605"/>
      <c r="BQ451" s="1605"/>
      <c r="BR451" s="1605"/>
      <c r="BS451" s="1605"/>
      <c r="BT451" s="1605"/>
      <c r="BU451" s="1605"/>
      <c r="BV451" s="1605"/>
      <c r="BW451" s="1605"/>
      <c r="BX451" s="1605"/>
      <c r="BY451" s="1605"/>
      <c r="BZ451" s="1605"/>
      <c r="CA451" s="1605"/>
      <c r="CB451" s="1605"/>
      <c r="CC451" s="1605"/>
      <c r="CD451" s="1605"/>
      <c r="CE451" s="1605"/>
      <c r="CF451" s="1605"/>
      <c r="CG451" s="1605"/>
      <c r="CH451" s="1605"/>
      <c r="CI451" s="1605"/>
      <c r="CJ451" s="1605"/>
      <c r="CK451" s="1605"/>
      <c r="CL451" s="1605"/>
      <c r="CM451" s="1605"/>
      <c r="CN451" s="1605"/>
      <c r="CO451" s="1605"/>
      <c r="CP451" s="1605"/>
      <c r="CQ451" s="1605"/>
      <c r="CR451" s="1605"/>
      <c r="CS451" s="1605"/>
      <c r="CT451" s="1605"/>
      <c r="CU451" s="1605"/>
      <c r="CV451" s="1605"/>
      <c r="CW451" s="1605"/>
      <c r="CX451" s="1605"/>
      <c r="CY451" s="1605"/>
      <c r="CZ451" s="1605"/>
      <c r="DA451" s="1605"/>
      <c r="DB451" s="1605"/>
      <c r="DC451" s="1605"/>
      <c r="DD451" s="1605"/>
      <c r="DE451" s="1605"/>
      <c r="DF451" s="1605"/>
      <c r="DG451" s="1605"/>
      <c r="DH451" s="1605"/>
      <c r="DI451" s="1605"/>
      <c r="DJ451" s="1605"/>
      <c r="DK451" s="1605"/>
      <c r="DL451" s="1605"/>
      <c r="DM451" s="1605"/>
      <c r="DN451" s="1605"/>
      <c r="DO451" s="1605"/>
      <c r="DP451" s="1605"/>
      <c r="DQ451" s="1605"/>
      <c r="DR451" s="1605"/>
      <c r="DS451" s="1605"/>
      <c r="DT451" s="1605"/>
      <c r="DU451" s="1605"/>
      <c r="DV451" s="1605"/>
      <c r="DW451" s="1605"/>
      <c r="DX451" s="1605"/>
      <c r="DY451" s="1605"/>
      <c r="DZ451" s="1605"/>
      <c r="EA451" s="1605"/>
      <c r="EB451" s="1605"/>
      <c r="EC451" s="1605"/>
      <c r="ED451" s="1605"/>
      <c r="EE451" s="1605"/>
      <c r="EF451" s="1605"/>
      <c r="EG451" s="1605"/>
      <c r="EH451" s="1605"/>
      <c r="EI451" s="1605"/>
      <c r="EJ451" s="1605"/>
      <c r="EK451" s="1605"/>
      <c r="EL451" s="1605"/>
      <c r="EM451" s="1605"/>
      <c r="EN451" s="1605"/>
      <c r="EO451" s="1605"/>
      <c r="EP451" s="1605"/>
      <c r="EQ451" s="1605"/>
      <c r="ER451" s="1605"/>
      <c r="ES451" s="1605"/>
      <c r="ET451" s="1605"/>
      <c r="EU451" s="1605"/>
      <c r="EV451" s="1605"/>
      <c r="EW451" s="1605"/>
      <c r="EX451" s="1605"/>
      <c r="EY451" s="1605"/>
      <c r="EZ451" s="1605"/>
      <c r="FA451" s="1605"/>
      <c r="FB451" s="1605"/>
      <c r="FC451" s="1605"/>
      <c r="FD451" s="1605"/>
      <c r="FE451" s="1605"/>
      <c r="FF451" s="1605"/>
      <c r="FG451" s="1605"/>
      <c r="FH451" s="1605"/>
      <c r="FI451" s="1605"/>
      <c r="FJ451" s="1605"/>
      <c r="FK451" s="1605"/>
      <c r="FL451" s="1605"/>
      <c r="FM451" s="1605"/>
      <c r="FN451" s="1605"/>
      <c r="FO451" s="1605"/>
      <c r="FP451" s="1605"/>
      <c r="FQ451" s="1605"/>
      <c r="FR451" s="1605"/>
      <c r="FS451" s="1605"/>
      <c r="FT451" s="1605"/>
      <c r="FU451" s="1605"/>
      <c r="FV451" s="1605"/>
      <c r="FW451" s="1605"/>
      <c r="FX451" s="1605"/>
      <c r="FY451" s="1605"/>
      <c r="FZ451" s="1605"/>
      <c r="GA451" s="1605"/>
      <c r="GB451" s="1605"/>
      <c r="GC451" s="1605"/>
      <c r="GD451" s="1605"/>
      <c r="GE451" s="1605"/>
      <c r="GF451" s="1605"/>
      <c r="GG451" s="1605"/>
      <c r="GH451" s="1605"/>
      <c r="GI451" s="1605"/>
      <c r="GJ451" s="1605"/>
      <c r="GK451" s="1605"/>
      <c r="GL451" s="1605"/>
      <c r="GM451" s="1605"/>
      <c r="GN451" s="1605"/>
      <c r="GO451" s="1605"/>
      <c r="GP451" s="1605"/>
      <c r="GQ451" s="1605"/>
      <c r="GR451" s="1605"/>
      <c r="GS451" s="1605"/>
      <c r="GT451" s="1605"/>
      <c r="GU451" s="1605"/>
      <c r="GV451" s="1605"/>
      <c r="GW451" s="1605"/>
      <c r="GX451" s="1605"/>
      <c r="GY451" s="1605"/>
      <c r="GZ451" s="1605"/>
      <c r="HA451" s="1605"/>
      <c r="HB451" s="1605"/>
      <c r="HC451" s="1605"/>
      <c r="HD451" s="1605"/>
      <c r="HE451" s="1605"/>
      <c r="HF451" s="1605"/>
      <c r="HG451" s="1605"/>
      <c r="HH451" s="1605"/>
      <c r="HI451" s="1605"/>
      <c r="HJ451" s="1605"/>
      <c r="HK451" s="1605"/>
      <c r="HL451" s="1605"/>
      <c r="HM451" s="1605"/>
      <c r="HN451" s="1605"/>
      <c r="HO451" s="1605"/>
      <c r="HP451" s="1605"/>
      <c r="HQ451" s="1605"/>
      <c r="HR451" s="1605"/>
      <c r="HS451" s="1605"/>
      <c r="HT451" s="1605"/>
      <c r="HU451" s="1605"/>
      <c r="HV451" s="1605"/>
      <c r="HW451" s="1605"/>
      <c r="HX451" s="1605"/>
      <c r="HY451" s="1605"/>
      <c r="HZ451" s="1605"/>
      <c r="IA451" s="1605"/>
      <c r="IB451" s="1605"/>
      <c r="IC451" s="1605"/>
      <c r="ID451" s="1605"/>
      <c r="IE451" s="1605"/>
      <c r="IF451" s="1605"/>
      <c r="IG451" s="1605"/>
      <c r="IH451" s="1605"/>
      <c r="II451" s="1605"/>
      <c r="IJ451" s="1605"/>
      <c r="IK451" s="1605"/>
      <c r="IL451" s="1605"/>
      <c r="IM451" s="1605"/>
      <c r="IN451" s="1605"/>
      <c r="IO451" s="1605"/>
      <c r="IP451" s="1605"/>
      <c r="IQ451" s="1605"/>
      <c r="IR451" s="1605"/>
      <c r="IS451" s="1605"/>
      <c r="IT451" s="1605"/>
      <c r="IU451" s="1605"/>
      <c r="IV451" s="1605"/>
      <c r="IW451" s="1605"/>
      <c r="IX451" s="1605"/>
      <c r="IY451" s="1605"/>
      <c r="IZ451" s="1605"/>
      <c r="JA451" s="1605"/>
      <c r="JB451" s="1605"/>
      <c r="JC451" s="1605"/>
      <c r="JD451" s="1605"/>
      <c r="JE451" s="1605"/>
      <c r="JF451" s="1605"/>
      <c r="JG451" s="1605"/>
      <c r="JH451" s="1605"/>
      <c r="JI451" s="1605"/>
      <c r="JJ451" s="1605"/>
      <c r="JK451" s="1605"/>
      <c r="JL451" s="1605"/>
      <c r="JM451" s="1605"/>
      <c r="JN451" s="1605"/>
      <c r="JO451" s="1605"/>
      <c r="JP451" s="1605"/>
      <c r="JQ451" s="1605"/>
      <c r="JR451" s="1605"/>
      <c r="JS451" s="1605"/>
      <c r="JT451" s="1605"/>
      <c r="JU451" s="1605"/>
      <c r="JV451" s="1605"/>
      <c r="JW451" s="1605"/>
      <c r="JX451" s="1605"/>
      <c r="JY451" s="1605"/>
      <c r="JZ451" s="1605"/>
      <c r="KA451" s="1605"/>
      <c r="KB451" s="1606"/>
    </row>
    <row r="452" spans="2:288" ht="15" customHeight="1" x14ac:dyDescent="0.25">
      <c r="B452" s="216" t="str">
        <f t="shared" si="36"/>
        <v>Desk 28</v>
      </c>
      <c r="C452" s="218" t="str">
        <v/>
      </c>
      <c r="D452" s="218" t="str">
        <v/>
      </c>
      <c r="E452" s="218" t="str">
        <v/>
      </c>
      <c r="F452" s="218" t="str">
        <v/>
      </c>
      <c r="G452" s="402" t="str">
        <v/>
      </c>
      <c r="H452" s="1605"/>
      <c r="I452" s="1605"/>
      <c r="J452" s="1605"/>
      <c r="K452" s="1605"/>
      <c r="L452" s="1605"/>
      <c r="M452" s="1605"/>
      <c r="N452" s="1605"/>
      <c r="O452" s="1605"/>
      <c r="P452" s="1605"/>
      <c r="Q452" s="1605"/>
      <c r="R452" s="1605"/>
      <c r="S452" s="1605"/>
      <c r="T452" s="1605"/>
      <c r="U452" s="1605"/>
      <c r="V452" s="1605"/>
      <c r="W452" s="1605"/>
      <c r="X452" s="1605"/>
      <c r="Y452" s="1605"/>
      <c r="Z452" s="1605"/>
      <c r="AA452" s="1605"/>
      <c r="AB452" s="1605"/>
      <c r="AC452" s="1605"/>
      <c r="AD452" s="1605"/>
      <c r="AE452" s="1605"/>
      <c r="AF452" s="1605"/>
      <c r="AG452" s="1605"/>
      <c r="AH452" s="1605"/>
      <c r="AI452" s="1605"/>
      <c r="AJ452" s="1605"/>
      <c r="AK452" s="1605"/>
      <c r="AL452" s="1605"/>
      <c r="AM452" s="1605"/>
      <c r="AN452" s="1605"/>
      <c r="AO452" s="1605"/>
      <c r="AP452" s="1605"/>
      <c r="AQ452" s="1605"/>
      <c r="AR452" s="1605"/>
      <c r="AS452" s="1605"/>
      <c r="AT452" s="1605"/>
      <c r="AU452" s="1605"/>
      <c r="AV452" s="1605"/>
      <c r="AW452" s="1605"/>
      <c r="AX452" s="1605"/>
      <c r="AY452" s="1605"/>
      <c r="AZ452" s="1605"/>
      <c r="BA452" s="1605"/>
      <c r="BB452" s="1605"/>
      <c r="BC452" s="1605"/>
      <c r="BD452" s="1605"/>
      <c r="BE452" s="1605"/>
      <c r="BF452" s="1605"/>
      <c r="BG452" s="1605"/>
      <c r="BH452" s="1605"/>
      <c r="BI452" s="1605"/>
      <c r="BJ452" s="1605"/>
      <c r="BK452" s="1605"/>
      <c r="BL452" s="1605"/>
      <c r="BM452" s="1605"/>
      <c r="BN452" s="1605"/>
      <c r="BO452" s="1605"/>
      <c r="BP452" s="1605"/>
      <c r="BQ452" s="1605"/>
      <c r="BR452" s="1605"/>
      <c r="BS452" s="1605"/>
      <c r="BT452" s="1605"/>
      <c r="BU452" s="1605"/>
      <c r="BV452" s="1605"/>
      <c r="BW452" s="1605"/>
      <c r="BX452" s="1605"/>
      <c r="BY452" s="1605"/>
      <c r="BZ452" s="1605"/>
      <c r="CA452" s="1605"/>
      <c r="CB452" s="1605"/>
      <c r="CC452" s="1605"/>
      <c r="CD452" s="1605"/>
      <c r="CE452" s="1605"/>
      <c r="CF452" s="1605"/>
      <c r="CG452" s="1605"/>
      <c r="CH452" s="1605"/>
      <c r="CI452" s="1605"/>
      <c r="CJ452" s="1605"/>
      <c r="CK452" s="1605"/>
      <c r="CL452" s="1605"/>
      <c r="CM452" s="1605"/>
      <c r="CN452" s="1605"/>
      <c r="CO452" s="1605"/>
      <c r="CP452" s="1605"/>
      <c r="CQ452" s="1605"/>
      <c r="CR452" s="1605"/>
      <c r="CS452" s="1605"/>
      <c r="CT452" s="1605"/>
      <c r="CU452" s="1605"/>
      <c r="CV452" s="1605"/>
      <c r="CW452" s="1605"/>
      <c r="CX452" s="1605"/>
      <c r="CY452" s="1605"/>
      <c r="CZ452" s="1605"/>
      <c r="DA452" s="1605"/>
      <c r="DB452" s="1605"/>
      <c r="DC452" s="1605"/>
      <c r="DD452" s="1605"/>
      <c r="DE452" s="1605"/>
      <c r="DF452" s="1605"/>
      <c r="DG452" s="1605"/>
      <c r="DH452" s="1605"/>
      <c r="DI452" s="1605"/>
      <c r="DJ452" s="1605"/>
      <c r="DK452" s="1605"/>
      <c r="DL452" s="1605"/>
      <c r="DM452" s="1605"/>
      <c r="DN452" s="1605"/>
      <c r="DO452" s="1605"/>
      <c r="DP452" s="1605"/>
      <c r="DQ452" s="1605"/>
      <c r="DR452" s="1605"/>
      <c r="DS452" s="1605"/>
      <c r="DT452" s="1605"/>
      <c r="DU452" s="1605"/>
      <c r="DV452" s="1605"/>
      <c r="DW452" s="1605"/>
      <c r="DX452" s="1605"/>
      <c r="DY452" s="1605"/>
      <c r="DZ452" s="1605"/>
      <c r="EA452" s="1605"/>
      <c r="EB452" s="1605"/>
      <c r="EC452" s="1605"/>
      <c r="ED452" s="1605"/>
      <c r="EE452" s="1605"/>
      <c r="EF452" s="1605"/>
      <c r="EG452" s="1605"/>
      <c r="EH452" s="1605"/>
      <c r="EI452" s="1605"/>
      <c r="EJ452" s="1605"/>
      <c r="EK452" s="1605"/>
      <c r="EL452" s="1605"/>
      <c r="EM452" s="1605"/>
      <c r="EN452" s="1605"/>
      <c r="EO452" s="1605"/>
      <c r="EP452" s="1605"/>
      <c r="EQ452" s="1605"/>
      <c r="ER452" s="1605"/>
      <c r="ES452" s="1605"/>
      <c r="ET452" s="1605"/>
      <c r="EU452" s="1605"/>
      <c r="EV452" s="1605"/>
      <c r="EW452" s="1605"/>
      <c r="EX452" s="1605"/>
      <c r="EY452" s="1605"/>
      <c r="EZ452" s="1605"/>
      <c r="FA452" s="1605"/>
      <c r="FB452" s="1605"/>
      <c r="FC452" s="1605"/>
      <c r="FD452" s="1605"/>
      <c r="FE452" s="1605"/>
      <c r="FF452" s="1605"/>
      <c r="FG452" s="1605"/>
      <c r="FH452" s="1605"/>
      <c r="FI452" s="1605"/>
      <c r="FJ452" s="1605"/>
      <c r="FK452" s="1605"/>
      <c r="FL452" s="1605"/>
      <c r="FM452" s="1605"/>
      <c r="FN452" s="1605"/>
      <c r="FO452" s="1605"/>
      <c r="FP452" s="1605"/>
      <c r="FQ452" s="1605"/>
      <c r="FR452" s="1605"/>
      <c r="FS452" s="1605"/>
      <c r="FT452" s="1605"/>
      <c r="FU452" s="1605"/>
      <c r="FV452" s="1605"/>
      <c r="FW452" s="1605"/>
      <c r="FX452" s="1605"/>
      <c r="FY452" s="1605"/>
      <c r="FZ452" s="1605"/>
      <c r="GA452" s="1605"/>
      <c r="GB452" s="1605"/>
      <c r="GC452" s="1605"/>
      <c r="GD452" s="1605"/>
      <c r="GE452" s="1605"/>
      <c r="GF452" s="1605"/>
      <c r="GG452" s="1605"/>
      <c r="GH452" s="1605"/>
      <c r="GI452" s="1605"/>
      <c r="GJ452" s="1605"/>
      <c r="GK452" s="1605"/>
      <c r="GL452" s="1605"/>
      <c r="GM452" s="1605"/>
      <c r="GN452" s="1605"/>
      <c r="GO452" s="1605"/>
      <c r="GP452" s="1605"/>
      <c r="GQ452" s="1605"/>
      <c r="GR452" s="1605"/>
      <c r="GS452" s="1605"/>
      <c r="GT452" s="1605"/>
      <c r="GU452" s="1605"/>
      <c r="GV452" s="1605"/>
      <c r="GW452" s="1605"/>
      <c r="GX452" s="1605"/>
      <c r="GY452" s="1605"/>
      <c r="GZ452" s="1605"/>
      <c r="HA452" s="1605"/>
      <c r="HB452" s="1605"/>
      <c r="HC452" s="1605"/>
      <c r="HD452" s="1605"/>
      <c r="HE452" s="1605"/>
      <c r="HF452" s="1605"/>
      <c r="HG452" s="1605"/>
      <c r="HH452" s="1605"/>
      <c r="HI452" s="1605"/>
      <c r="HJ452" s="1605"/>
      <c r="HK452" s="1605"/>
      <c r="HL452" s="1605"/>
      <c r="HM452" s="1605"/>
      <c r="HN452" s="1605"/>
      <c r="HO452" s="1605"/>
      <c r="HP452" s="1605"/>
      <c r="HQ452" s="1605"/>
      <c r="HR452" s="1605"/>
      <c r="HS452" s="1605"/>
      <c r="HT452" s="1605"/>
      <c r="HU452" s="1605"/>
      <c r="HV452" s="1605"/>
      <c r="HW452" s="1605"/>
      <c r="HX452" s="1605"/>
      <c r="HY452" s="1605"/>
      <c r="HZ452" s="1605"/>
      <c r="IA452" s="1605"/>
      <c r="IB452" s="1605"/>
      <c r="IC452" s="1605"/>
      <c r="ID452" s="1605"/>
      <c r="IE452" s="1605"/>
      <c r="IF452" s="1605"/>
      <c r="IG452" s="1605"/>
      <c r="IH452" s="1605"/>
      <c r="II452" s="1605"/>
      <c r="IJ452" s="1605"/>
      <c r="IK452" s="1605"/>
      <c r="IL452" s="1605"/>
      <c r="IM452" s="1605"/>
      <c r="IN452" s="1605"/>
      <c r="IO452" s="1605"/>
      <c r="IP452" s="1605"/>
      <c r="IQ452" s="1605"/>
      <c r="IR452" s="1605"/>
      <c r="IS452" s="1605"/>
      <c r="IT452" s="1605"/>
      <c r="IU452" s="1605"/>
      <c r="IV452" s="1605"/>
      <c r="IW452" s="1605"/>
      <c r="IX452" s="1605"/>
      <c r="IY452" s="1605"/>
      <c r="IZ452" s="1605"/>
      <c r="JA452" s="1605"/>
      <c r="JB452" s="1605"/>
      <c r="JC452" s="1605"/>
      <c r="JD452" s="1605"/>
      <c r="JE452" s="1605"/>
      <c r="JF452" s="1605"/>
      <c r="JG452" s="1605"/>
      <c r="JH452" s="1605"/>
      <c r="JI452" s="1605"/>
      <c r="JJ452" s="1605"/>
      <c r="JK452" s="1605"/>
      <c r="JL452" s="1605"/>
      <c r="JM452" s="1605"/>
      <c r="JN452" s="1605"/>
      <c r="JO452" s="1605"/>
      <c r="JP452" s="1605"/>
      <c r="JQ452" s="1605"/>
      <c r="JR452" s="1605"/>
      <c r="JS452" s="1605"/>
      <c r="JT452" s="1605"/>
      <c r="JU452" s="1605"/>
      <c r="JV452" s="1605"/>
      <c r="JW452" s="1605"/>
      <c r="JX452" s="1605"/>
      <c r="JY452" s="1605"/>
      <c r="JZ452" s="1605"/>
      <c r="KA452" s="1605"/>
      <c r="KB452" s="1606"/>
    </row>
    <row r="453" spans="2:288" ht="15" customHeight="1" x14ac:dyDescent="0.25">
      <c r="B453" s="216" t="str">
        <f t="shared" si="36"/>
        <v>Desk 29</v>
      </c>
      <c r="C453" s="218" t="str">
        <v/>
      </c>
      <c r="D453" s="218" t="str">
        <v/>
      </c>
      <c r="E453" s="218" t="str">
        <v/>
      </c>
      <c r="F453" s="218" t="str">
        <v/>
      </c>
      <c r="G453" s="402" t="str">
        <v/>
      </c>
      <c r="H453" s="1605"/>
      <c r="I453" s="1605"/>
      <c r="J453" s="1605"/>
      <c r="K453" s="1605"/>
      <c r="L453" s="1605"/>
      <c r="M453" s="1605"/>
      <c r="N453" s="1605"/>
      <c r="O453" s="1605"/>
      <c r="P453" s="1605"/>
      <c r="Q453" s="1605"/>
      <c r="R453" s="1605"/>
      <c r="S453" s="1605"/>
      <c r="T453" s="1605"/>
      <c r="U453" s="1605"/>
      <c r="V453" s="1605"/>
      <c r="W453" s="1605"/>
      <c r="X453" s="1605"/>
      <c r="Y453" s="1605"/>
      <c r="Z453" s="1605"/>
      <c r="AA453" s="1605"/>
      <c r="AB453" s="1605"/>
      <c r="AC453" s="1605"/>
      <c r="AD453" s="1605"/>
      <c r="AE453" s="1605"/>
      <c r="AF453" s="1605"/>
      <c r="AG453" s="1605"/>
      <c r="AH453" s="1605"/>
      <c r="AI453" s="1605"/>
      <c r="AJ453" s="1605"/>
      <c r="AK453" s="1605"/>
      <c r="AL453" s="1605"/>
      <c r="AM453" s="1605"/>
      <c r="AN453" s="1605"/>
      <c r="AO453" s="1605"/>
      <c r="AP453" s="1605"/>
      <c r="AQ453" s="1605"/>
      <c r="AR453" s="1605"/>
      <c r="AS453" s="1605"/>
      <c r="AT453" s="1605"/>
      <c r="AU453" s="1605"/>
      <c r="AV453" s="1605"/>
      <c r="AW453" s="1605"/>
      <c r="AX453" s="1605"/>
      <c r="AY453" s="1605"/>
      <c r="AZ453" s="1605"/>
      <c r="BA453" s="1605"/>
      <c r="BB453" s="1605"/>
      <c r="BC453" s="1605"/>
      <c r="BD453" s="1605"/>
      <c r="BE453" s="1605"/>
      <c r="BF453" s="1605"/>
      <c r="BG453" s="1605"/>
      <c r="BH453" s="1605"/>
      <c r="BI453" s="1605"/>
      <c r="BJ453" s="1605"/>
      <c r="BK453" s="1605"/>
      <c r="BL453" s="1605"/>
      <c r="BM453" s="1605"/>
      <c r="BN453" s="1605"/>
      <c r="BO453" s="1605"/>
      <c r="BP453" s="1605"/>
      <c r="BQ453" s="1605"/>
      <c r="BR453" s="1605"/>
      <c r="BS453" s="1605"/>
      <c r="BT453" s="1605"/>
      <c r="BU453" s="1605"/>
      <c r="BV453" s="1605"/>
      <c r="BW453" s="1605"/>
      <c r="BX453" s="1605"/>
      <c r="BY453" s="1605"/>
      <c r="BZ453" s="1605"/>
      <c r="CA453" s="1605"/>
      <c r="CB453" s="1605"/>
      <c r="CC453" s="1605"/>
      <c r="CD453" s="1605"/>
      <c r="CE453" s="1605"/>
      <c r="CF453" s="1605"/>
      <c r="CG453" s="1605"/>
      <c r="CH453" s="1605"/>
      <c r="CI453" s="1605"/>
      <c r="CJ453" s="1605"/>
      <c r="CK453" s="1605"/>
      <c r="CL453" s="1605"/>
      <c r="CM453" s="1605"/>
      <c r="CN453" s="1605"/>
      <c r="CO453" s="1605"/>
      <c r="CP453" s="1605"/>
      <c r="CQ453" s="1605"/>
      <c r="CR453" s="1605"/>
      <c r="CS453" s="1605"/>
      <c r="CT453" s="1605"/>
      <c r="CU453" s="1605"/>
      <c r="CV453" s="1605"/>
      <c r="CW453" s="1605"/>
      <c r="CX453" s="1605"/>
      <c r="CY453" s="1605"/>
      <c r="CZ453" s="1605"/>
      <c r="DA453" s="1605"/>
      <c r="DB453" s="1605"/>
      <c r="DC453" s="1605"/>
      <c r="DD453" s="1605"/>
      <c r="DE453" s="1605"/>
      <c r="DF453" s="1605"/>
      <c r="DG453" s="1605"/>
      <c r="DH453" s="1605"/>
      <c r="DI453" s="1605"/>
      <c r="DJ453" s="1605"/>
      <c r="DK453" s="1605"/>
      <c r="DL453" s="1605"/>
      <c r="DM453" s="1605"/>
      <c r="DN453" s="1605"/>
      <c r="DO453" s="1605"/>
      <c r="DP453" s="1605"/>
      <c r="DQ453" s="1605"/>
      <c r="DR453" s="1605"/>
      <c r="DS453" s="1605"/>
      <c r="DT453" s="1605"/>
      <c r="DU453" s="1605"/>
      <c r="DV453" s="1605"/>
      <c r="DW453" s="1605"/>
      <c r="DX453" s="1605"/>
      <c r="DY453" s="1605"/>
      <c r="DZ453" s="1605"/>
      <c r="EA453" s="1605"/>
      <c r="EB453" s="1605"/>
      <c r="EC453" s="1605"/>
      <c r="ED453" s="1605"/>
      <c r="EE453" s="1605"/>
      <c r="EF453" s="1605"/>
      <c r="EG453" s="1605"/>
      <c r="EH453" s="1605"/>
      <c r="EI453" s="1605"/>
      <c r="EJ453" s="1605"/>
      <c r="EK453" s="1605"/>
      <c r="EL453" s="1605"/>
      <c r="EM453" s="1605"/>
      <c r="EN453" s="1605"/>
      <c r="EO453" s="1605"/>
      <c r="EP453" s="1605"/>
      <c r="EQ453" s="1605"/>
      <c r="ER453" s="1605"/>
      <c r="ES453" s="1605"/>
      <c r="ET453" s="1605"/>
      <c r="EU453" s="1605"/>
      <c r="EV453" s="1605"/>
      <c r="EW453" s="1605"/>
      <c r="EX453" s="1605"/>
      <c r="EY453" s="1605"/>
      <c r="EZ453" s="1605"/>
      <c r="FA453" s="1605"/>
      <c r="FB453" s="1605"/>
      <c r="FC453" s="1605"/>
      <c r="FD453" s="1605"/>
      <c r="FE453" s="1605"/>
      <c r="FF453" s="1605"/>
      <c r="FG453" s="1605"/>
      <c r="FH453" s="1605"/>
      <c r="FI453" s="1605"/>
      <c r="FJ453" s="1605"/>
      <c r="FK453" s="1605"/>
      <c r="FL453" s="1605"/>
      <c r="FM453" s="1605"/>
      <c r="FN453" s="1605"/>
      <c r="FO453" s="1605"/>
      <c r="FP453" s="1605"/>
      <c r="FQ453" s="1605"/>
      <c r="FR453" s="1605"/>
      <c r="FS453" s="1605"/>
      <c r="FT453" s="1605"/>
      <c r="FU453" s="1605"/>
      <c r="FV453" s="1605"/>
      <c r="FW453" s="1605"/>
      <c r="FX453" s="1605"/>
      <c r="FY453" s="1605"/>
      <c r="FZ453" s="1605"/>
      <c r="GA453" s="1605"/>
      <c r="GB453" s="1605"/>
      <c r="GC453" s="1605"/>
      <c r="GD453" s="1605"/>
      <c r="GE453" s="1605"/>
      <c r="GF453" s="1605"/>
      <c r="GG453" s="1605"/>
      <c r="GH453" s="1605"/>
      <c r="GI453" s="1605"/>
      <c r="GJ453" s="1605"/>
      <c r="GK453" s="1605"/>
      <c r="GL453" s="1605"/>
      <c r="GM453" s="1605"/>
      <c r="GN453" s="1605"/>
      <c r="GO453" s="1605"/>
      <c r="GP453" s="1605"/>
      <c r="GQ453" s="1605"/>
      <c r="GR453" s="1605"/>
      <c r="GS453" s="1605"/>
      <c r="GT453" s="1605"/>
      <c r="GU453" s="1605"/>
      <c r="GV453" s="1605"/>
      <c r="GW453" s="1605"/>
      <c r="GX453" s="1605"/>
      <c r="GY453" s="1605"/>
      <c r="GZ453" s="1605"/>
      <c r="HA453" s="1605"/>
      <c r="HB453" s="1605"/>
      <c r="HC453" s="1605"/>
      <c r="HD453" s="1605"/>
      <c r="HE453" s="1605"/>
      <c r="HF453" s="1605"/>
      <c r="HG453" s="1605"/>
      <c r="HH453" s="1605"/>
      <c r="HI453" s="1605"/>
      <c r="HJ453" s="1605"/>
      <c r="HK453" s="1605"/>
      <c r="HL453" s="1605"/>
      <c r="HM453" s="1605"/>
      <c r="HN453" s="1605"/>
      <c r="HO453" s="1605"/>
      <c r="HP453" s="1605"/>
      <c r="HQ453" s="1605"/>
      <c r="HR453" s="1605"/>
      <c r="HS453" s="1605"/>
      <c r="HT453" s="1605"/>
      <c r="HU453" s="1605"/>
      <c r="HV453" s="1605"/>
      <c r="HW453" s="1605"/>
      <c r="HX453" s="1605"/>
      <c r="HY453" s="1605"/>
      <c r="HZ453" s="1605"/>
      <c r="IA453" s="1605"/>
      <c r="IB453" s="1605"/>
      <c r="IC453" s="1605"/>
      <c r="ID453" s="1605"/>
      <c r="IE453" s="1605"/>
      <c r="IF453" s="1605"/>
      <c r="IG453" s="1605"/>
      <c r="IH453" s="1605"/>
      <c r="II453" s="1605"/>
      <c r="IJ453" s="1605"/>
      <c r="IK453" s="1605"/>
      <c r="IL453" s="1605"/>
      <c r="IM453" s="1605"/>
      <c r="IN453" s="1605"/>
      <c r="IO453" s="1605"/>
      <c r="IP453" s="1605"/>
      <c r="IQ453" s="1605"/>
      <c r="IR453" s="1605"/>
      <c r="IS453" s="1605"/>
      <c r="IT453" s="1605"/>
      <c r="IU453" s="1605"/>
      <c r="IV453" s="1605"/>
      <c r="IW453" s="1605"/>
      <c r="IX453" s="1605"/>
      <c r="IY453" s="1605"/>
      <c r="IZ453" s="1605"/>
      <c r="JA453" s="1605"/>
      <c r="JB453" s="1605"/>
      <c r="JC453" s="1605"/>
      <c r="JD453" s="1605"/>
      <c r="JE453" s="1605"/>
      <c r="JF453" s="1605"/>
      <c r="JG453" s="1605"/>
      <c r="JH453" s="1605"/>
      <c r="JI453" s="1605"/>
      <c r="JJ453" s="1605"/>
      <c r="JK453" s="1605"/>
      <c r="JL453" s="1605"/>
      <c r="JM453" s="1605"/>
      <c r="JN453" s="1605"/>
      <c r="JO453" s="1605"/>
      <c r="JP453" s="1605"/>
      <c r="JQ453" s="1605"/>
      <c r="JR453" s="1605"/>
      <c r="JS453" s="1605"/>
      <c r="JT453" s="1605"/>
      <c r="JU453" s="1605"/>
      <c r="JV453" s="1605"/>
      <c r="JW453" s="1605"/>
      <c r="JX453" s="1605"/>
      <c r="JY453" s="1605"/>
      <c r="JZ453" s="1605"/>
      <c r="KA453" s="1605"/>
      <c r="KB453" s="1606"/>
    </row>
    <row r="454" spans="2:288" ht="15" customHeight="1" x14ac:dyDescent="0.25">
      <c r="B454" s="216" t="str">
        <f t="shared" si="36"/>
        <v>Desk 30</v>
      </c>
      <c r="C454" s="218" t="str">
        <v/>
      </c>
      <c r="D454" s="218" t="str">
        <v/>
      </c>
      <c r="E454" s="218" t="str">
        <v/>
      </c>
      <c r="F454" s="218" t="str">
        <v/>
      </c>
      <c r="G454" s="402" t="str">
        <v/>
      </c>
      <c r="H454" s="1605"/>
      <c r="I454" s="1605"/>
      <c r="J454" s="1605"/>
      <c r="K454" s="1605"/>
      <c r="L454" s="1605"/>
      <c r="M454" s="1605"/>
      <c r="N454" s="1605"/>
      <c r="O454" s="1605"/>
      <c r="P454" s="1605"/>
      <c r="Q454" s="1605"/>
      <c r="R454" s="1605"/>
      <c r="S454" s="1605"/>
      <c r="T454" s="1605"/>
      <c r="U454" s="1605"/>
      <c r="V454" s="1605"/>
      <c r="W454" s="1605"/>
      <c r="X454" s="1605"/>
      <c r="Y454" s="1605"/>
      <c r="Z454" s="1605"/>
      <c r="AA454" s="1605"/>
      <c r="AB454" s="1605"/>
      <c r="AC454" s="1605"/>
      <c r="AD454" s="1605"/>
      <c r="AE454" s="1605"/>
      <c r="AF454" s="1605"/>
      <c r="AG454" s="1605"/>
      <c r="AH454" s="1605"/>
      <c r="AI454" s="1605"/>
      <c r="AJ454" s="1605"/>
      <c r="AK454" s="1605"/>
      <c r="AL454" s="1605"/>
      <c r="AM454" s="1605"/>
      <c r="AN454" s="1605"/>
      <c r="AO454" s="1605"/>
      <c r="AP454" s="1605"/>
      <c r="AQ454" s="1605"/>
      <c r="AR454" s="1605"/>
      <c r="AS454" s="1605"/>
      <c r="AT454" s="1605"/>
      <c r="AU454" s="1605"/>
      <c r="AV454" s="1605"/>
      <c r="AW454" s="1605"/>
      <c r="AX454" s="1605"/>
      <c r="AY454" s="1605"/>
      <c r="AZ454" s="1605"/>
      <c r="BA454" s="1605"/>
      <c r="BB454" s="1605"/>
      <c r="BC454" s="1605"/>
      <c r="BD454" s="1605"/>
      <c r="BE454" s="1605"/>
      <c r="BF454" s="1605"/>
      <c r="BG454" s="1605"/>
      <c r="BH454" s="1605"/>
      <c r="BI454" s="1605"/>
      <c r="BJ454" s="1605"/>
      <c r="BK454" s="1605"/>
      <c r="BL454" s="1605"/>
      <c r="BM454" s="1605"/>
      <c r="BN454" s="1605"/>
      <c r="BO454" s="1605"/>
      <c r="BP454" s="1605"/>
      <c r="BQ454" s="1605"/>
      <c r="BR454" s="1605"/>
      <c r="BS454" s="1605"/>
      <c r="BT454" s="1605"/>
      <c r="BU454" s="1605"/>
      <c r="BV454" s="1605"/>
      <c r="BW454" s="1605"/>
      <c r="BX454" s="1605"/>
      <c r="BY454" s="1605"/>
      <c r="BZ454" s="1605"/>
      <c r="CA454" s="1605"/>
      <c r="CB454" s="1605"/>
      <c r="CC454" s="1605"/>
      <c r="CD454" s="1605"/>
      <c r="CE454" s="1605"/>
      <c r="CF454" s="1605"/>
      <c r="CG454" s="1605"/>
      <c r="CH454" s="1605"/>
      <c r="CI454" s="1605"/>
      <c r="CJ454" s="1605"/>
      <c r="CK454" s="1605"/>
      <c r="CL454" s="1605"/>
      <c r="CM454" s="1605"/>
      <c r="CN454" s="1605"/>
      <c r="CO454" s="1605"/>
      <c r="CP454" s="1605"/>
      <c r="CQ454" s="1605"/>
      <c r="CR454" s="1605"/>
      <c r="CS454" s="1605"/>
      <c r="CT454" s="1605"/>
      <c r="CU454" s="1605"/>
      <c r="CV454" s="1605"/>
      <c r="CW454" s="1605"/>
      <c r="CX454" s="1605"/>
      <c r="CY454" s="1605"/>
      <c r="CZ454" s="1605"/>
      <c r="DA454" s="1605"/>
      <c r="DB454" s="1605"/>
      <c r="DC454" s="1605"/>
      <c r="DD454" s="1605"/>
      <c r="DE454" s="1605"/>
      <c r="DF454" s="1605"/>
      <c r="DG454" s="1605"/>
      <c r="DH454" s="1605"/>
      <c r="DI454" s="1605"/>
      <c r="DJ454" s="1605"/>
      <c r="DK454" s="1605"/>
      <c r="DL454" s="1605"/>
      <c r="DM454" s="1605"/>
      <c r="DN454" s="1605"/>
      <c r="DO454" s="1605"/>
      <c r="DP454" s="1605"/>
      <c r="DQ454" s="1605"/>
      <c r="DR454" s="1605"/>
      <c r="DS454" s="1605"/>
      <c r="DT454" s="1605"/>
      <c r="DU454" s="1605"/>
      <c r="DV454" s="1605"/>
      <c r="DW454" s="1605"/>
      <c r="DX454" s="1605"/>
      <c r="DY454" s="1605"/>
      <c r="DZ454" s="1605"/>
      <c r="EA454" s="1605"/>
      <c r="EB454" s="1605"/>
      <c r="EC454" s="1605"/>
      <c r="ED454" s="1605"/>
      <c r="EE454" s="1605"/>
      <c r="EF454" s="1605"/>
      <c r="EG454" s="1605"/>
      <c r="EH454" s="1605"/>
      <c r="EI454" s="1605"/>
      <c r="EJ454" s="1605"/>
      <c r="EK454" s="1605"/>
      <c r="EL454" s="1605"/>
      <c r="EM454" s="1605"/>
      <c r="EN454" s="1605"/>
      <c r="EO454" s="1605"/>
      <c r="EP454" s="1605"/>
      <c r="EQ454" s="1605"/>
      <c r="ER454" s="1605"/>
      <c r="ES454" s="1605"/>
      <c r="ET454" s="1605"/>
      <c r="EU454" s="1605"/>
      <c r="EV454" s="1605"/>
      <c r="EW454" s="1605"/>
      <c r="EX454" s="1605"/>
      <c r="EY454" s="1605"/>
      <c r="EZ454" s="1605"/>
      <c r="FA454" s="1605"/>
      <c r="FB454" s="1605"/>
      <c r="FC454" s="1605"/>
      <c r="FD454" s="1605"/>
      <c r="FE454" s="1605"/>
      <c r="FF454" s="1605"/>
      <c r="FG454" s="1605"/>
      <c r="FH454" s="1605"/>
      <c r="FI454" s="1605"/>
      <c r="FJ454" s="1605"/>
      <c r="FK454" s="1605"/>
      <c r="FL454" s="1605"/>
      <c r="FM454" s="1605"/>
      <c r="FN454" s="1605"/>
      <c r="FO454" s="1605"/>
      <c r="FP454" s="1605"/>
      <c r="FQ454" s="1605"/>
      <c r="FR454" s="1605"/>
      <c r="FS454" s="1605"/>
      <c r="FT454" s="1605"/>
      <c r="FU454" s="1605"/>
      <c r="FV454" s="1605"/>
      <c r="FW454" s="1605"/>
      <c r="FX454" s="1605"/>
      <c r="FY454" s="1605"/>
      <c r="FZ454" s="1605"/>
      <c r="GA454" s="1605"/>
      <c r="GB454" s="1605"/>
      <c r="GC454" s="1605"/>
      <c r="GD454" s="1605"/>
      <c r="GE454" s="1605"/>
      <c r="GF454" s="1605"/>
      <c r="GG454" s="1605"/>
      <c r="GH454" s="1605"/>
      <c r="GI454" s="1605"/>
      <c r="GJ454" s="1605"/>
      <c r="GK454" s="1605"/>
      <c r="GL454" s="1605"/>
      <c r="GM454" s="1605"/>
      <c r="GN454" s="1605"/>
      <c r="GO454" s="1605"/>
      <c r="GP454" s="1605"/>
      <c r="GQ454" s="1605"/>
      <c r="GR454" s="1605"/>
      <c r="GS454" s="1605"/>
      <c r="GT454" s="1605"/>
      <c r="GU454" s="1605"/>
      <c r="GV454" s="1605"/>
      <c r="GW454" s="1605"/>
      <c r="GX454" s="1605"/>
      <c r="GY454" s="1605"/>
      <c r="GZ454" s="1605"/>
      <c r="HA454" s="1605"/>
      <c r="HB454" s="1605"/>
      <c r="HC454" s="1605"/>
      <c r="HD454" s="1605"/>
      <c r="HE454" s="1605"/>
      <c r="HF454" s="1605"/>
      <c r="HG454" s="1605"/>
      <c r="HH454" s="1605"/>
      <c r="HI454" s="1605"/>
      <c r="HJ454" s="1605"/>
      <c r="HK454" s="1605"/>
      <c r="HL454" s="1605"/>
      <c r="HM454" s="1605"/>
      <c r="HN454" s="1605"/>
      <c r="HO454" s="1605"/>
      <c r="HP454" s="1605"/>
      <c r="HQ454" s="1605"/>
      <c r="HR454" s="1605"/>
      <c r="HS454" s="1605"/>
      <c r="HT454" s="1605"/>
      <c r="HU454" s="1605"/>
      <c r="HV454" s="1605"/>
      <c r="HW454" s="1605"/>
      <c r="HX454" s="1605"/>
      <c r="HY454" s="1605"/>
      <c r="HZ454" s="1605"/>
      <c r="IA454" s="1605"/>
      <c r="IB454" s="1605"/>
      <c r="IC454" s="1605"/>
      <c r="ID454" s="1605"/>
      <c r="IE454" s="1605"/>
      <c r="IF454" s="1605"/>
      <c r="IG454" s="1605"/>
      <c r="IH454" s="1605"/>
      <c r="II454" s="1605"/>
      <c r="IJ454" s="1605"/>
      <c r="IK454" s="1605"/>
      <c r="IL454" s="1605"/>
      <c r="IM454" s="1605"/>
      <c r="IN454" s="1605"/>
      <c r="IO454" s="1605"/>
      <c r="IP454" s="1605"/>
      <c r="IQ454" s="1605"/>
      <c r="IR454" s="1605"/>
      <c r="IS454" s="1605"/>
      <c r="IT454" s="1605"/>
      <c r="IU454" s="1605"/>
      <c r="IV454" s="1605"/>
      <c r="IW454" s="1605"/>
      <c r="IX454" s="1605"/>
      <c r="IY454" s="1605"/>
      <c r="IZ454" s="1605"/>
      <c r="JA454" s="1605"/>
      <c r="JB454" s="1605"/>
      <c r="JC454" s="1605"/>
      <c r="JD454" s="1605"/>
      <c r="JE454" s="1605"/>
      <c r="JF454" s="1605"/>
      <c r="JG454" s="1605"/>
      <c r="JH454" s="1605"/>
      <c r="JI454" s="1605"/>
      <c r="JJ454" s="1605"/>
      <c r="JK454" s="1605"/>
      <c r="JL454" s="1605"/>
      <c r="JM454" s="1605"/>
      <c r="JN454" s="1605"/>
      <c r="JO454" s="1605"/>
      <c r="JP454" s="1605"/>
      <c r="JQ454" s="1605"/>
      <c r="JR454" s="1605"/>
      <c r="JS454" s="1605"/>
      <c r="JT454" s="1605"/>
      <c r="JU454" s="1605"/>
      <c r="JV454" s="1605"/>
      <c r="JW454" s="1605"/>
      <c r="JX454" s="1605"/>
      <c r="JY454" s="1605"/>
      <c r="JZ454" s="1605"/>
      <c r="KA454" s="1605"/>
      <c r="KB454" s="1606"/>
    </row>
    <row r="455" spans="2:288" ht="15" customHeight="1" x14ac:dyDescent="0.25">
      <c r="B455" s="216" t="str">
        <f t="shared" si="36"/>
        <v>Desk 31</v>
      </c>
      <c r="C455" s="218" t="str">
        <v/>
      </c>
      <c r="D455" s="218" t="str">
        <v/>
      </c>
      <c r="E455" s="218" t="str">
        <v/>
      </c>
      <c r="F455" s="218" t="str">
        <v/>
      </c>
      <c r="G455" s="402" t="str">
        <v/>
      </c>
      <c r="H455" s="1605"/>
      <c r="I455" s="1605"/>
      <c r="J455" s="1605"/>
      <c r="K455" s="1605"/>
      <c r="L455" s="1605"/>
      <c r="M455" s="1605"/>
      <c r="N455" s="1605"/>
      <c r="O455" s="1605"/>
      <c r="P455" s="1605"/>
      <c r="Q455" s="1605"/>
      <c r="R455" s="1605"/>
      <c r="S455" s="1605"/>
      <c r="T455" s="1605"/>
      <c r="U455" s="1605"/>
      <c r="V455" s="1605"/>
      <c r="W455" s="1605"/>
      <c r="X455" s="1605"/>
      <c r="Y455" s="1605"/>
      <c r="Z455" s="1605"/>
      <c r="AA455" s="1605"/>
      <c r="AB455" s="1605"/>
      <c r="AC455" s="1605"/>
      <c r="AD455" s="1605"/>
      <c r="AE455" s="1605"/>
      <c r="AF455" s="1605"/>
      <c r="AG455" s="1605"/>
      <c r="AH455" s="1605"/>
      <c r="AI455" s="1605"/>
      <c r="AJ455" s="1605"/>
      <c r="AK455" s="1605"/>
      <c r="AL455" s="1605"/>
      <c r="AM455" s="1605"/>
      <c r="AN455" s="1605"/>
      <c r="AO455" s="1605"/>
      <c r="AP455" s="1605"/>
      <c r="AQ455" s="1605"/>
      <c r="AR455" s="1605"/>
      <c r="AS455" s="1605"/>
      <c r="AT455" s="1605"/>
      <c r="AU455" s="1605"/>
      <c r="AV455" s="1605"/>
      <c r="AW455" s="1605"/>
      <c r="AX455" s="1605"/>
      <c r="AY455" s="1605"/>
      <c r="AZ455" s="1605"/>
      <c r="BA455" s="1605"/>
      <c r="BB455" s="1605"/>
      <c r="BC455" s="1605"/>
      <c r="BD455" s="1605"/>
      <c r="BE455" s="1605"/>
      <c r="BF455" s="1605"/>
      <c r="BG455" s="1605"/>
      <c r="BH455" s="1605"/>
      <c r="BI455" s="1605"/>
      <c r="BJ455" s="1605"/>
      <c r="BK455" s="1605"/>
      <c r="BL455" s="1605"/>
      <c r="BM455" s="1605"/>
      <c r="BN455" s="1605"/>
      <c r="BO455" s="1605"/>
      <c r="BP455" s="1605"/>
      <c r="BQ455" s="1605"/>
      <c r="BR455" s="1605"/>
      <c r="BS455" s="1605"/>
      <c r="BT455" s="1605"/>
      <c r="BU455" s="1605"/>
      <c r="BV455" s="1605"/>
      <c r="BW455" s="1605"/>
      <c r="BX455" s="1605"/>
      <c r="BY455" s="1605"/>
      <c r="BZ455" s="1605"/>
      <c r="CA455" s="1605"/>
      <c r="CB455" s="1605"/>
      <c r="CC455" s="1605"/>
      <c r="CD455" s="1605"/>
      <c r="CE455" s="1605"/>
      <c r="CF455" s="1605"/>
      <c r="CG455" s="1605"/>
      <c r="CH455" s="1605"/>
      <c r="CI455" s="1605"/>
      <c r="CJ455" s="1605"/>
      <c r="CK455" s="1605"/>
      <c r="CL455" s="1605"/>
      <c r="CM455" s="1605"/>
      <c r="CN455" s="1605"/>
      <c r="CO455" s="1605"/>
      <c r="CP455" s="1605"/>
      <c r="CQ455" s="1605"/>
      <c r="CR455" s="1605"/>
      <c r="CS455" s="1605"/>
      <c r="CT455" s="1605"/>
      <c r="CU455" s="1605"/>
      <c r="CV455" s="1605"/>
      <c r="CW455" s="1605"/>
      <c r="CX455" s="1605"/>
      <c r="CY455" s="1605"/>
      <c r="CZ455" s="1605"/>
      <c r="DA455" s="1605"/>
      <c r="DB455" s="1605"/>
      <c r="DC455" s="1605"/>
      <c r="DD455" s="1605"/>
      <c r="DE455" s="1605"/>
      <c r="DF455" s="1605"/>
      <c r="DG455" s="1605"/>
      <c r="DH455" s="1605"/>
      <c r="DI455" s="1605"/>
      <c r="DJ455" s="1605"/>
      <c r="DK455" s="1605"/>
      <c r="DL455" s="1605"/>
      <c r="DM455" s="1605"/>
      <c r="DN455" s="1605"/>
      <c r="DO455" s="1605"/>
      <c r="DP455" s="1605"/>
      <c r="DQ455" s="1605"/>
      <c r="DR455" s="1605"/>
      <c r="DS455" s="1605"/>
      <c r="DT455" s="1605"/>
      <c r="DU455" s="1605"/>
      <c r="DV455" s="1605"/>
      <c r="DW455" s="1605"/>
      <c r="DX455" s="1605"/>
      <c r="DY455" s="1605"/>
      <c r="DZ455" s="1605"/>
      <c r="EA455" s="1605"/>
      <c r="EB455" s="1605"/>
      <c r="EC455" s="1605"/>
      <c r="ED455" s="1605"/>
      <c r="EE455" s="1605"/>
      <c r="EF455" s="1605"/>
      <c r="EG455" s="1605"/>
      <c r="EH455" s="1605"/>
      <c r="EI455" s="1605"/>
      <c r="EJ455" s="1605"/>
      <c r="EK455" s="1605"/>
      <c r="EL455" s="1605"/>
      <c r="EM455" s="1605"/>
      <c r="EN455" s="1605"/>
      <c r="EO455" s="1605"/>
      <c r="EP455" s="1605"/>
      <c r="EQ455" s="1605"/>
      <c r="ER455" s="1605"/>
      <c r="ES455" s="1605"/>
      <c r="ET455" s="1605"/>
      <c r="EU455" s="1605"/>
      <c r="EV455" s="1605"/>
      <c r="EW455" s="1605"/>
      <c r="EX455" s="1605"/>
      <c r="EY455" s="1605"/>
      <c r="EZ455" s="1605"/>
      <c r="FA455" s="1605"/>
      <c r="FB455" s="1605"/>
      <c r="FC455" s="1605"/>
      <c r="FD455" s="1605"/>
      <c r="FE455" s="1605"/>
      <c r="FF455" s="1605"/>
      <c r="FG455" s="1605"/>
      <c r="FH455" s="1605"/>
      <c r="FI455" s="1605"/>
      <c r="FJ455" s="1605"/>
      <c r="FK455" s="1605"/>
      <c r="FL455" s="1605"/>
      <c r="FM455" s="1605"/>
      <c r="FN455" s="1605"/>
      <c r="FO455" s="1605"/>
      <c r="FP455" s="1605"/>
      <c r="FQ455" s="1605"/>
      <c r="FR455" s="1605"/>
      <c r="FS455" s="1605"/>
      <c r="FT455" s="1605"/>
      <c r="FU455" s="1605"/>
      <c r="FV455" s="1605"/>
      <c r="FW455" s="1605"/>
      <c r="FX455" s="1605"/>
      <c r="FY455" s="1605"/>
      <c r="FZ455" s="1605"/>
      <c r="GA455" s="1605"/>
      <c r="GB455" s="1605"/>
      <c r="GC455" s="1605"/>
      <c r="GD455" s="1605"/>
      <c r="GE455" s="1605"/>
      <c r="GF455" s="1605"/>
      <c r="GG455" s="1605"/>
      <c r="GH455" s="1605"/>
      <c r="GI455" s="1605"/>
      <c r="GJ455" s="1605"/>
      <c r="GK455" s="1605"/>
      <c r="GL455" s="1605"/>
      <c r="GM455" s="1605"/>
      <c r="GN455" s="1605"/>
      <c r="GO455" s="1605"/>
      <c r="GP455" s="1605"/>
      <c r="GQ455" s="1605"/>
      <c r="GR455" s="1605"/>
      <c r="GS455" s="1605"/>
      <c r="GT455" s="1605"/>
      <c r="GU455" s="1605"/>
      <c r="GV455" s="1605"/>
      <c r="GW455" s="1605"/>
      <c r="GX455" s="1605"/>
      <c r="GY455" s="1605"/>
      <c r="GZ455" s="1605"/>
      <c r="HA455" s="1605"/>
      <c r="HB455" s="1605"/>
      <c r="HC455" s="1605"/>
      <c r="HD455" s="1605"/>
      <c r="HE455" s="1605"/>
      <c r="HF455" s="1605"/>
      <c r="HG455" s="1605"/>
      <c r="HH455" s="1605"/>
      <c r="HI455" s="1605"/>
      <c r="HJ455" s="1605"/>
      <c r="HK455" s="1605"/>
      <c r="HL455" s="1605"/>
      <c r="HM455" s="1605"/>
      <c r="HN455" s="1605"/>
      <c r="HO455" s="1605"/>
      <c r="HP455" s="1605"/>
      <c r="HQ455" s="1605"/>
      <c r="HR455" s="1605"/>
      <c r="HS455" s="1605"/>
      <c r="HT455" s="1605"/>
      <c r="HU455" s="1605"/>
      <c r="HV455" s="1605"/>
      <c r="HW455" s="1605"/>
      <c r="HX455" s="1605"/>
      <c r="HY455" s="1605"/>
      <c r="HZ455" s="1605"/>
      <c r="IA455" s="1605"/>
      <c r="IB455" s="1605"/>
      <c r="IC455" s="1605"/>
      <c r="ID455" s="1605"/>
      <c r="IE455" s="1605"/>
      <c r="IF455" s="1605"/>
      <c r="IG455" s="1605"/>
      <c r="IH455" s="1605"/>
      <c r="II455" s="1605"/>
      <c r="IJ455" s="1605"/>
      <c r="IK455" s="1605"/>
      <c r="IL455" s="1605"/>
      <c r="IM455" s="1605"/>
      <c r="IN455" s="1605"/>
      <c r="IO455" s="1605"/>
      <c r="IP455" s="1605"/>
      <c r="IQ455" s="1605"/>
      <c r="IR455" s="1605"/>
      <c r="IS455" s="1605"/>
      <c r="IT455" s="1605"/>
      <c r="IU455" s="1605"/>
      <c r="IV455" s="1605"/>
      <c r="IW455" s="1605"/>
      <c r="IX455" s="1605"/>
      <c r="IY455" s="1605"/>
      <c r="IZ455" s="1605"/>
      <c r="JA455" s="1605"/>
      <c r="JB455" s="1605"/>
      <c r="JC455" s="1605"/>
      <c r="JD455" s="1605"/>
      <c r="JE455" s="1605"/>
      <c r="JF455" s="1605"/>
      <c r="JG455" s="1605"/>
      <c r="JH455" s="1605"/>
      <c r="JI455" s="1605"/>
      <c r="JJ455" s="1605"/>
      <c r="JK455" s="1605"/>
      <c r="JL455" s="1605"/>
      <c r="JM455" s="1605"/>
      <c r="JN455" s="1605"/>
      <c r="JO455" s="1605"/>
      <c r="JP455" s="1605"/>
      <c r="JQ455" s="1605"/>
      <c r="JR455" s="1605"/>
      <c r="JS455" s="1605"/>
      <c r="JT455" s="1605"/>
      <c r="JU455" s="1605"/>
      <c r="JV455" s="1605"/>
      <c r="JW455" s="1605"/>
      <c r="JX455" s="1605"/>
      <c r="JY455" s="1605"/>
      <c r="JZ455" s="1605"/>
      <c r="KA455" s="1605"/>
      <c r="KB455" s="1606"/>
    </row>
    <row r="456" spans="2:288" ht="15" customHeight="1" x14ac:dyDescent="0.25">
      <c r="B456" s="216" t="str">
        <f t="shared" si="36"/>
        <v>Desk 32</v>
      </c>
      <c r="C456" s="218" t="str">
        <v/>
      </c>
      <c r="D456" s="218" t="str">
        <v/>
      </c>
      <c r="E456" s="218" t="str">
        <v/>
      </c>
      <c r="F456" s="218" t="str">
        <v/>
      </c>
      <c r="G456" s="402" t="str">
        <v/>
      </c>
      <c r="H456" s="1605"/>
      <c r="I456" s="1605"/>
      <c r="J456" s="1605"/>
      <c r="K456" s="1605"/>
      <c r="L456" s="1605"/>
      <c r="M456" s="1605"/>
      <c r="N456" s="1605"/>
      <c r="O456" s="1605"/>
      <c r="P456" s="1605"/>
      <c r="Q456" s="1605"/>
      <c r="R456" s="1605"/>
      <c r="S456" s="1605"/>
      <c r="T456" s="1605"/>
      <c r="U456" s="1605"/>
      <c r="V456" s="1605"/>
      <c r="W456" s="1605"/>
      <c r="X456" s="1605"/>
      <c r="Y456" s="1605"/>
      <c r="Z456" s="1605"/>
      <c r="AA456" s="1605"/>
      <c r="AB456" s="1605"/>
      <c r="AC456" s="1605"/>
      <c r="AD456" s="1605"/>
      <c r="AE456" s="1605"/>
      <c r="AF456" s="1605"/>
      <c r="AG456" s="1605"/>
      <c r="AH456" s="1605"/>
      <c r="AI456" s="1605"/>
      <c r="AJ456" s="1605"/>
      <c r="AK456" s="1605"/>
      <c r="AL456" s="1605"/>
      <c r="AM456" s="1605"/>
      <c r="AN456" s="1605"/>
      <c r="AO456" s="1605"/>
      <c r="AP456" s="1605"/>
      <c r="AQ456" s="1605"/>
      <c r="AR456" s="1605"/>
      <c r="AS456" s="1605"/>
      <c r="AT456" s="1605"/>
      <c r="AU456" s="1605"/>
      <c r="AV456" s="1605"/>
      <c r="AW456" s="1605"/>
      <c r="AX456" s="1605"/>
      <c r="AY456" s="1605"/>
      <c r="AZ456" s="1605"/>
      <c r="BA456" s="1605"/>
      <c r="BB456" s="1605"/>
      <c r="BC456" s="1605"/>
      <c r="BD456" s="1605"/>
      <c r="BE456" s="1605"/>
      <c r="BF456" s="1605"/>
      <c r="BG456" s="1605"/>
      <c r="BH456" s="1605"/>
      <c r="BI456" s="1605"/>
      <c r="BJ456" s="1605"/>
      <c r="BK456" s="1605"/>
      <c r="BL456" s="1605"/>
      <c r="BM456" s="1605"/>
      <c r="BN456" s="1605"/>
      <c r="BO456" s="1605"/>
      <c r="BP456" s="1605"/>
      <c r="BQ456" s="1605"/>
      <c r="BR456" s="1605"/>
      <c r="BS456" s="1605"/>
      <c r="BT456" s="1605"/>
      <c r="BU456" s="1605"/>
      <c r="BV456" s="1605"/>
      <c r="BW456" s="1605"/>
      <c r="BX456" s="1605"/>
      <c r="BY456" s="1605"/>
      <c r="BZ456" s="1605"/>
      <c r="CA456" s="1605"/>
      <c r="CB456" s="1605"/>
      <c r="CC456" s="1605"/>
      <c r="CD456" s="1605"/>
      <c r="CE456" s="1605"/>
      <c r="CF456" s="1605"/>
      <c r="CG456" s="1605"/>
      <c r="CH456" s="1605"/>
      <c r="CI456" s="1605"/>
      <c r="CJ456" s="1605"/>
      <c r="CK456" s="1605"/>
      <c r="CL456" s="1605"/>
      <c r="CM456" s="1605"/>
      <c r="CN456" s="1605"/>
      <c r="CO456" s="1605"/>
      <c r="CP456" s="1605"/>
      <c r="CQ456" s="1605"/>
      <c r="CR456" s="1605"/>
      <c r="CS456" s="1605"/>
      <c r="CT456" s="1605"/>
      <c r="CU456" s="1605"/>
      <c r="CV456" s="1605"/>
      <c r="CW456" s="1605"/>
      <c r="CX456" s="1605"/>
      <c r="CY456" s="1605"/>
      <c r="CZ456" s="1605"/>
      <c r="DA456" s="1605"/>
      <c r="DB456" s="1605"/>
      <c r="DC456" s="1605"/>
      <c r="DD456" s="1605"/>
      <c r="DE456" s="1605"/>
      <c r="DF456" s="1605"/>
      <c r="DG456" s="1605"/>
      <c r="DH456" s="1605"/>
      <c r="DI456" s="1605"/>
      <c r="DJ456" s="1605"/>
      <c r="DK456" s="1605"/>
      <c r="DL456" s="1605"/>
      <c r="DM456" s="1605"/>
      <c r="DN456" s="1605"/>
      <c r="DO456" s="1605"/>
      <c r="DP456" s="1605"/>
      <c r="DQ456" s="1605"/>
      <c r="DR456" s="1605"/>
      <c r="DS456" s="1605"/>
      <c r="DT456" s="1605"/>
      <c r="DU456" s="1605"/>
      <c r="DV456" s="1605"/>
      <c r="DW456" s="1605"/>
      <c r="DX456" s="1605"/>
      <c r="DY456" s="1605"/>
      <c r="DZ456" s="1605"/>
      <c r="EA456" s="1605"/>
      <c r="EB456" s="1605"/>
      <c r="EC456" s="1605"/>
      <c r="ED456" s="1605"/>
      <c r="EE456" s="1605"/>
      <c r="EF456" s="1605"/>
      <c r="EG456" s="1605"/>
      <c r="EH456" s="1605"/>
      <c r="EI456" s="1605"/>
      <c r="EJ456" s="1605"/>
      <c r="EK456" s="1605"/>
      <c r="EL456" s="1605"/>
      <c r="EM456" s="1605"/>
      <c r="EN456" s="1605"/>
      <c r="EO456" s="1605"/>
      <c r="EP456" s="1605"/>
      <c r="EQ456" s="1605"/>
      <c r="ER456" s="1605"/>
      <c r="ES456" s="1605"/>
      <c r="ET456" s="1605"/>
      <c r="EU456" s="1605"/>
      <c r="EV456" s="1605"/>
      <c r="EW456" s="1605"/>
      <c r="EX456" s="1605"/>
      <c r="EY456" s="1605"/>
      <c r="EZ456" s="1605"/>
      <c r="FA456" s="1605"/>
      <c r="FB456" s="1605"/>
      <c r="FC456" s="1605"/>
      <c r="FD456" s="1605"/>
      <c r="FE456" s="1605"/>
      <c r="FF456" s="1605"/>
      <c r="FG456" s="1605"/>
      <c r="FH456" s="1605"/>
      <c r="FI456" s="1605"/>
      <c r="FJ456" s="1605"/>
      <c r="FK456" s="1605"/>
      <c r="FL456" s="1605"/>
      <c r="FM456" s="1605"/>
      <c r="FN456" s="1605"/>
      <c r="FO456" s="1605"/>
      <c r="FP456" s="1605"/>
      <c r="FQ456" s="1605"/>
      <c r="FR456" s="1605"/>
      <c r="FS456" s="1605"/>
      <c r="FT456" s="1605"/>
      <c r="FU456" s="1605"/>
      <c r="FV456" s="1605"/>
      <c r="FW456" s="1605"/>
      <c r="FX456" s="1605"/>
      <c r="FY456" s="1605"/>
      <c r="FZ456" s="1605"/>
      <c r="GA456" s="1605"/>
      <c r="GB456" s="1605"/>
      <c r="GC456" s="1605"/>
      <c r="GD456" s="1605"/>
      <c r="GE456" s="1605"/>
      <c r="GF456" s="1605"/>
      <c r="GG456" s="1605"/>
      <c r="GH456" s="1605"/>
      <c r="GI456" s="1605"/>
      <c r="GJ456" s="1605"/>
      <c r="GK456" s="1605"/>
      <c r="GL456" s="1605"/>
      <c r="GM456" s="1605"/>
      <c r="GN456" s="1605"/>
      <c r="GO456" s="1605"/>
      <c r="GP456" s="1605"/>
      <c r="GQ456" s="1605"/>
      <c r="GR456" s="1605"/>
      <c r="GS456" s="1605"/>
      <c r="GT456" s="1605"/>
      <c r="GU456" s="1605"/>
      <c r="GV456" s="1605"/>
      <c r="GW456" s="1605"/>
      <c r="GX456" s="1605"/>
      <c r="GY456" s="1605"/>
      <c r="GZ456" s="1605"/>
      <c r="HA456" s="1605"/>
      <c r="HB456" s="1605"/>
      <c r="HC456" s="1605"/>
      <c r="HD456" s="1605"/>
      <c r="HE456" s="1605"/>
      <c r="HF456" s="1605"/>
      <c r="HG456" s="1605"/>
      <c r="HH456" s="1605"/>
      <c r="HI456" s="1605"/>
      <c r="HJ456" s="1605"/>
      <c r="HK456" s="1605"/>
      <c r="HL456" s="1605"/>
      <c r="HM456" s="1605"/>
      <c r="HN456" s="1605"/>
      <c r="HO456" s="1605"/>
      <c r="HP456" s="1605"/>
      <c r="HQ456" s="1605"/>
      <c r="HR456" s="1605"/>
      <c r="HS456" s="1605"/>
      <c r="HT456" s="1605"/>
      <c r="HU456" s="1605"/>
      <c r="HV456" s="1605"/>
      <c r="HW456" s="1605"/>
      <c r="HX456" s="1605"/>
      <c r="HY456" s="1605"/>
      <c r="HZ456" s="1605"/>
      <c r="IA456" s="1605"/>
      <c r="IB456" s="1605"/>
      <c r="IC456" s="1605"/>
      <c r="ID456" s="1605"/>
      <c r="IE456" s="1605"/>
      <c r="IF456" s="1605"/>
      <c r="IG456" s="1605"/>
      <c r="IH456" s="1605"/>
      <c r="II456" s="1605"/>
      <c r="IJ456" s="1605"/>
      <c r="IK456" s="1605"/>
      <c r="IL456" s="1605"/>
      <c r="IM456" s="1605"/>
      <c r="IN456" s="1605"/>
      <c r="IO456" s="1605"/>
      <c r="IP456" s="1605"/>
      <c r="IQ456" s="1605"/>
      <c r="IR456" s="1605"/>
      <c r="IS456" s="1605"/>
      <c r="IT456" s="1605"/>
      <c r="IU456" s="1605"/>
      <c r="IV456" s="1605"/>
      <c r="IW456" s="1605"/>
      <c r="IX456" s="1605"/>
      <c r="IY456" s="1605"/>
      <c r="IZ456" s="1605"/>
      <c r="JA456" s="1605"/>
      <c r="JB456" s="1605"/>
      <c r="JC456" s="1605"/>
      <c r="JD456" s="1605"/>
      <c r="JE456" s="1605"/>
      <c r="JF456" s="1605"/>
      <c r="JG456" s="1605"/>
      <c r="JH456" s="1605"/>
      <c r="JI456" s="1605"/>
      <c r="JJ456" s="1605"/>
      <c r="JK456" s="1605"/>
      <c r="JL456" s="1605"/>
      <c r="JM456" s="1605"/>
      <c r="JN456" s="1605"/>
      <c r="JO456" s="1605"/>
      <c r="JP456" s="1605"/>
      <c r="JQ456" s="1605"/>
      <c r="JR456" s="1605"/>
      <c r="JS456" s="1605"/>
      <c r="JT456" s="1605"/>
      <c r="JU456" s="1605"/>
      <c r="JV456" s="1605"/>
      <c r="JW456" s="1605"/>
      <c r="JX456" s="1605"/>
      <c r="JY456" s="1605"/>
      <c r="JZ456" s="1605"/>
      <c r="KA456" s="1605"/>
      <c r="KB456" s="1606"/>
    </row>
    <row r="457" spans="2:288" ht="15" customHeight="1" x14ac:dyDescent="0.25">
      <c r="B457" s="216" t="str">
        <f t="shared" ref="B457:B488" si="37">B43</f>
        <v>Desk 33</v>
      </c>
      <c r="C457" s="218" t="str">
        <v/>
      </c>
      <c r="D457" s="218" t="str">
        <v/>
      </c>
      <c r="E457" s="218" t="str">
        <v/>
      </c>
      <c r="F457" s="218" t="str">
        <v/>
      </c>
      <c r="G457" s="402" t="str">
        <v/>
      </c>
      <c r="H457" s="1605"/>
      <c r="I457" s="1605"/>
      <c r="J457" s="1605"/>
      <c r="K457" s="1605"/>
      <c r="L457" s="1605"/>
      <c r="M457" s="1605"/>
      <c r="N457" s="1605"/>
      <c r="O457" s="1605"/>
      <c r="P457" s="1605"/>
      <c r="Q457" s="1605"/>
      <c r="R457" s="1605"/>
      <c r="S457" s="1605"/>
      <c r="T457" s="1605"/>
      <c r="U457" s="1605"/>
      <c r="V457" s="1605"/>
      <c r="W457" s="1605"/>
      <c r="X457" s="1605"/>
      <c r="Y457" s="1605"/>
      <c r="Z457" s="1605"/>
      <c r="AA457" s="1605"/>
      <c r="AB457" s="1605"/>
      <c r="AC457" s="1605"/>
      <c r="AD457" s="1605"/>
      <c r="AE457" s="1605"/>
      <c r="AF457" s="1605"/>
      <c r="AG457" s="1605"/>
      <c r="AH457" s="1605"/>
      <c r="AI457" s="1605"/>
      <c r="AJ457" s="1605"/>
      <c r="AK457" s="1605"/>
      <c r="AL457" s="1605"/>
      <c r="AM457" s="1605"/>
      <c r="AN457" s="1605"/>
      <c r="AO457" s="1605"/>
      <c r="AP457" s="1605"/>
      <c r="AQ457" s="1605"/>
      <c r="AR457" s="1605"/>
      <c r="AS457" s="1605"/>
      <c r="AT457" s="1605"/>
      <c r="AU457" s="1605"/>
      <c r="AV457" s="1605"/>
      <c r="AW457" s="1605"/>
      <c r="AX457" s="1605"/>
      <c r="AY457" s="1605"/>
      <c r="AZ457" s="1605"/>
      <c r="BA457" s="1605"/>
      <c r="BB457" s="1605"/>
      <c r="BC457" s="1605"/>
      <c r="BD457" s="1605"/>
      <c r="BE457" s="1605"/>
      <c r="BF457" s="1605"/>
      <c r="BG457" s="1605"/>
      <c r="BH457" s="1605"/>
      <c r="BI457" s="1605"/>
      <c r="BJ457" s="1605"/>
      <c r="BK457" s="1605"/>
      <c r="BL457" s="1605"/>
      <c r="BM457" s="1605"/>
      <c r="BN457" s="1605"/>
      <c r="BO457" s="1605"/>
      <c r="BP457" s="1605"/>
      <c r="BQ457" s="1605"/>
      <c r="BR457" s="1605"/>
      <c r="BS457" s="1605"/>
      <c r="BT457" s="1605"/>
      <c r="BU457" s="1605"/>
      <c r="BV457" s="1605"/>
      <c r="BW457" s="1605"/>
      <c r="BX457" s="1605"/>
      <c r="BY457" s="1605"/>
      <c r="BZ457" s="1605"/>
      <c r="CA457" s="1605"/>
      <c r="CB457" s="1605"/>
      <c r="CC457" s="1605"/>
      <c r="CD457" s="1605"/>
      <c r="CE457" s="1605"/>
      <c r="CF457" s="1605"/>
      <c r="CG457" s="1605"/>
      <c r="CH457" s="1605"/>
      <c r="CI457" s="1605"/>
      <c r="CJ457" s="1605"/>
      <c r="CK457" s="1605"/>
      <c r="CL457" s="1605"/>
      <c r="CM457" s="1605"/>
      <c r="CN457" s="1605"/>
      <c r="CO457" s="1605"/>
      <c r="CP457" s="1605"/>
      <c r="CQ457" s="1605"/>
      <c r="CR457" s="1605"/>
      <c r="CS457" s="1605"/>
      <c r="CT457" s="1605"/>
      <c r="CU457" s="1605"/>
      <c r="CV457" s="1605"/>
      <c r="CW457" s="1605"/>
      <c r="CX457" s="1605"/>
      <c r="CY457" s="1605"/>
      <c r="CZ457" s="1605"/>
      <c r="DA457" s="1605"/>
      <c r="DB457" s="1605"/>
      <c r="DC457" s="1605"/>
      <c r="DD457" s="1605"/>
      <c r="DE457" s="1605"/>
      <c r="DF457" s="1605"/>
      <c r="DG457" s="1605"/>
      <c r="DH457" s="1605"/>
      <c r="DI457" s="1605"/>
      <c r="DJ457" s="1605"/>
      <c r="DK457" s="1605"/>
      <c r="DL457" s="1605"/>
      <c r="DM457" s="1605"/>
      <c r="DN457" s="1605"/>
      <c r="DO457" s="1605"/>
      <c r="DP457" s="1605"/>
      <c r="DQ457" s="1605"/>
      <c r="DR457" s="1605"/>
      <c r="DS457" s="1605"/>
      <c r="DT457" s="1605"/>
      <c r="DU457" s="1605"/>
      <c r="DV457" s="1605"/>
      <c r="DW457" s="1605"/>
      <c r="DX457" s="1605"/>
      <c r="DY457" s="1605"/>
      <c r="DZ457" s="1605"/>
      <c r="EA457" s="1605"/>
      <c r="EB457" s="1605"/>
      <c r="EC457" s="1605"/>
      <c r="ED457" s="1605"/>
      <c r="EE457" s="1605"/>
      <c r="EF457" s="1605"/>
      <c r="EG457" s="1605"/>
      <c r="EH457" s="1605"/>
      <c r="EI457" s="1605"/>
      <c r="EJ457" s="1605"/>
      <c r="EK457" s="1605"/>
      <c r="EL457" s="1605"/>
      <c r="EM457" s="1605"/>
      <c r="EN457" s="1605"/>
      <c r="EO457" s="1605"/>
      <c r="EP457" s="1605"/>
      <c r="EQ457" s="1605"/>
      <c r="ER457" s="1605"/>
      <c r="ES457" s="1605"/>
      <c r="ET457" s="1605"/>
      <c r="EU457" s="1605"/>
      <c r="EV457" s="1605"/>
      <c r="EW457" s="1605"/>
      <c r="EX457" s="1605"/>
      <c r="EY457" s="1605"/>
      <c r="EZ457" s="1605"/>
      <c r="FA457" s="1605"/>
      <c r="FB457" s="1605"/>
      <c r="FC457" s="1605"/>
      <c r="FD457" s="1605"/>
      <c r="FE457" s="1605"/>
      <c r="FF457" s="1605"/>
      <c r="FG457" s="1605"/>
      <c r="FH457" s="1605"/>
      <c r="FI457" s="1605"/>
      <c r="FJ457" s="1605"/>
      <c r="FK457" s="1605"/>
      <c r="FL457" s="1605"/>
      <c r="FM457" s="1605"/>
      <c r="FN457" s="1605"/>
      <c r="FO457" s="1605"/>
      <c r="FP457" s="1605"/>
      <c r="FQ457" s="1605"/>
      <c r="FR457" s="1605"/>
      <c r="FS457" s="1605"/>
      <c r="FT457" s="1605"/>
      <c r="FU457" s="1605"/>
      <c r="FV457" s="1605"/>
      <c r="FW457" s="1605"/>
      <c r="FX457" s="1605"/>
      <c r="FY457" s="1605"/>
      <c r="FZ457" s="1605"/>
      <c r="GA457" s="1605"/>
      <c r="GB457" s="1605"/>
      <c r="GC457" s="1605"/>
      <c r="GD457" s="1605"/>
      <c r="GE457" s="1605"/>
      <c r="GF457" s="1605"/>
      <c r="GG457" s="1605"/>
      <c r="GH457" s="1605"/>
      <c r="GI457" s="1605"/>
      <c r="GJ457" s="1605"/>
      <c r="GK457" s="1605"/>
      <c r="GL457" s="1605"/>
      <c r="GM457" s="1605"/>
      <c r="GN457" s="1605"/>
      <c r="GO457" s="1605"/>
      <c r="GP457" s="1605"/>
      <c r="GQ457" s="1605"/>
      <c r="GR457" s="1605"/>
      <c r="GS457" s="1605"/>
      <c r="GT457" s="1605"/>
      <c r="GU457" s="1605"/>
      <c r="GV457" s="1605"/>
      <c r="GW457" s="1605"/>
      <c r="GX457" s="1605"/>
      <c r="GY457" s="1605"/>
      <c r="GZ457" s="1605"/>
      <c r="HA457" s="1605"/>
      <c r="HB457" s="1605"/>
      <c r="HC457" s="1605"/>
      <c r="HD457" s="1605"/>
      <c r="HE457" s="1605"/>
      <c r="HF457" s="1605"/>
      <c r="HG457" s="1605"/>
      <c r="HH457" s="1605"/>
      <c r="HI457" s="1605"/>
      <c r="HJ457" s="1605"/>
      <c r="HK457" s="1605"/>
      <c r="HL457" s="1605"/>
      <c r="HM457" s="1605"/>
      <c r="HN457" s="1605"/>
      <c r="HO457" s="1605"/>
      <c r="HP457" s="1605"/>
      <c r="HQ457" s="1605"/>
      <c r="HR457" s="1605"/>
      <c r="HS457" s="1605"/>
      <c r="HT457" s="1605"/>
      <c r="HU457" s="1605"/>
      <c r="HV457" s="1605"/>
      <c r="HW457" s="1605"/>
      <c r="HX457" s="1605"/>
      <c r="HY457" s="1605"/>
      <c r="HZ457" s="1605"/>
      <c r="IA457" s="1605"/>
      <c r="IB457" s="1605"/>
      <c r="IC457" s="1605"/>
      <c r="ID457" s="1605"/>
      <c r="IE457" s="1605"/>
      <c r="IF457" s="1605"/>
      <c r="IG457" s="1605"/>
      <c r="IH457" s="1605"/>
      <c r="II457" s="1605"/>
      <c r="IJ457" s="1605"/>
      <c r="IK457" s="1605"/>
      <c r="IL457" s="1605"/>
      <c r="IM457" s="1605"/>
      <c r="IN457" s="1605"/>
      <c r="IO457" s="1605"/>
      <c r="IP457" s="1605"/>
      <c r="IQ457" s="1605"/>
      <c r="IR457" s="1605"/>
      <c r="IS457" s="1605"/>
      <c r="IT457" s="1605"/>
      <c r="IU457" s="1605"/>
      <c r="IV457" s="1605"/>
      <c r="IW457" s="1605"/>
      <c r="IX457" s="1605"/>
      <c r="IY457" s="1605"/>
      <c r="IZ457" s="1605"/>
      <c r="JA457" s="1605"/>
      <c r="JB457" s="1605"/>
      <c r="JC457" s="1605"/>
      <c r="JD457" s="1605"/>
      <c r="JE457" s="1605"/>
      <c r="JF457" s="1605"/>
      <c r="JG457" s="1605"/>
      <c r="JH457" s="1605"/>
      <c r="JI457" s="1605"/>
      <c r="JJ457" s="1605"/>
      <c r="JK457" s="1605"/>
      <c r="JL457" s="1605"/>
      <c r="JM457" s="1605"/>
      <c r="JN457" s="1605"/>
      <c r="JO457" s="1605"/>
      <c r="JP457" s="1605"/>
      <c r="JQ457" s="1605"/>
      <c r="JR457" s="1605"/>
      <c r="JS457" s="1605"/>
      <c r="JT457" s="1605"/>
      <c r="JU457" s="1605"/>
      <c r="JV457" s="1605"/>
      <c r="JW457" s="1605"/>
      <c r="JX457" s="1605"/>
      <c r="JY457" s="1605"/>
      <c r="JZ457" s="1605"/>
      <c r="KA457" s="1605"/>
      <c r="KB457" s="1606"/>
    </row>
    <row r="458" spans="2:288" ht="15" customHeight="1" x14ac:dyDescent="0.25">
      <c r="B458" s="216" t="str">
        <f t="shared" si="37"/>
        <v>Desk 34</v>
      </c>
      <c r="C458" s="218" t="str">
        <v/>
      </c>
      <c r="D458" s="218" t="str">
        <v/>
      </c>
      <c r="E458" s="218" t="str">
        <v/>
      </c>
      <c r="F458" s="218" t="str">
        <v/>
      </c>
      <c r="G458" s="402" t="str">
        <v/>
      </c>
      <c r="H458" s="1605"/>
      <c r="I458" s="1605"/>
      <c r="J458" s="1605"/>
      <c r="K458" s="1605"/>
      <c r="L458" s="1605"/>
      <c r="M458" s="1605"/>
      <c r="N458" s="1605"/>
      <c r="O458" s="1605"/>
      <c r="P458" s="1605"/>
      <c r="Q458" s="1605"/>
      <c r="R458" s="1605"/>
      <c r="S458" s="1605"/>
      <c r="T458" s="1605"/>
      <c r="U458" s="1605"/>
      <c r="V458" s="1605"/>
      <c r="W458" s="1605"/>
      <c r="X458" s="1605"/>
      <c r="Y458" s="1605"/>
      <c r="Z458" s="1605"/>
      <c r="AA458" s="1605"/>
      <c r="AB458" s="1605"/>
      <c r="AC458" s="1605"/>
      <c r="AD458" s="1605"/>
      <c r="AE458" s="1605"/>
      <c r="AF458" s="1605"/>
      <c r="AG458" s="1605"/>
      <c r="AH458" s="1605"/>
      <c r="AI458" s="1605"/>
      <c r="AJ458" s="1605"/>
      <c r="AK458" s="1605"/>
      <c r="AL458" s="1605"/>
      <c r="AM458" s="1605"/>
      <c r="AN458" s="1605"/>
      <c r="AO458" s="1605"/>
      <c r="AP458" s="1605"/>
      <c r="AQ458" s="1605"/>
      <c r="AR458" s="1605"/>
      <c r="AS458" s="1605"/>
      <c r="AT458" s="1605"/>
      <c r="AU458" s="1605"/>
      <c r="AV458" s="1605"/>
      <c r="AW458" s="1605"/>
      <c r="AX458" s="1605"/>
      <c r="AY458" s="1605"/>
      <c r="AZ458" s="1605"/>
      <c r="BA458" s="1605"/>
      <c r="BB458" s="1605"/>
      <c r="BC458" s="1605"/>
      <c r="BD458" s="1605"/>
      <c r="BE458" s="1605"/>
      <c r="BF458" s="1605"/>
      <c r="BG458" s="1605"/>
      <c r="BH458" s="1605"/>
      <c r="BI458" s="1605"/>
      <c r="BJ458" s="1605"/>
      <c r="BK458" s="1605"/>
      <c r="BL458" s="1605"/>
      <c r="BM458" s="1605"/>
      <c r="BN458" s="1605"/>
      <c r="BO458" s="1605"/>
      <c r="BP458" s="1605"/>
      <c r="BQ458" s="1605"/>
      <c r="BR458" s="1605"/>
      <c r="BS458" s="1605"/>
      <c r="BT458" s="1605"/>
      <c r="BU458" s="1605"/>
      <c r="BV458" s="1605"/>
      <c r="BW458" s="1605"/>
      <c r="BX458" s="1605"/>
      <c r="BY458" s="1605"/>
      <c r="BZ458" s="1605"/>
      <c r="CA458" s="1605"/>
      <c r="CB458" s="1605"/>
      <c r="CC458" s="1605"/>
      <c r="CD458" s="1605"/>
      <c r="CE458" s="1605"/>
      <c r="CF458" s="1605"/>
      <c r="CG458" s="1605"/>
      <c r="CH458" s="1605"/>
      <c r="CI458" s="1605"/>
      <c r="CJ458" s="1605"/>
      <c r="CK458" s="1605"/>
      <c r="CL458" s="1605"/>
      <c r="CM458" s="1605"/>
      <c r="CN458" s="1605"/>
      <c r="CO458" s="1605"/>
      <c r="CP458" s="1605"/>
      <c r="CQ458" s="1605"/>
      <c r="CR458" s="1605"/>
      <c r="CS458" s="1605"/>
      <c r="CT458" s="1605"/>
      <c r="CU458" s="1605"/>
      <c r="CV458" s="1605"/>
      <c r="CW458" s="1605"/>
      <c r="CX458" s="1605"/>
      <c r="CY458" s="1605"/>
      <c r="CZ458" s="1605"/>
      <c r="DA458" s="1605"/>
      <c r="DB458" s="1605"/>
      <c r="DC458" s="1605"/>
      <c r="DD458" s="1605"/>
      <c r="DE458" s="1605"/>
      <c r="DF458" s="1605"/>
      <c r="DG458" s="1605"/>
      <c r="DH458" s="1605"/>
      <c r="DI458" s="1605"/>
      <c r="DJ458" s="1605"/>
      <c r="DK458" s="1605"/>
      <c r="DL458" s="1605"/>
      <c r="DM458" s="1605"/>
      <c r="DN458" s="1605"/>
      <c r="DO458" s="1605"/>
      <c r="DP458" s="1605"/>
      <c r="DQ458" s="1605"/>
      <c r="DR458" s="1605"/>
      <c r="DS458" s="1605"/>
      <c r="DT458" s="1605"/>
      <c r="DU458" s="1605"/>
      <c r="DV458" s="1605"/>
      <c r="DW458" s="1605"/>
      <c r="DX458" s="1605"/>
      <c r="DY458" s="1605"/>
      <c r="DZ458" s="1605"/>
      <c r="EA458" s="1605"/>
      <c r="EB458" s="1605"/>
      <c r="EC458" s="1605"/>
      <c r="ED458" s="1605"/>
      <c r="EE458" s="1605"/>
      <c r="EF458" s="1605"/>
      <c r="EG458" s="1605"/>
      <c r="EH458" s="1605"/>
      <c r="EI458" s="1605"/>
      <c r="EJ458" s="1605"/>
      <c r="EK458" s="1605"/>
      <c r="EL458" s="1605"/>
      <c r="EM458" s="1605"/>
      <c r="EN458" s="1605"/>
      <c r="EO458" s="1605"/>
      <c r="EP458" s="1605"/>
      <c r="EQ458" s="1605"/>
      <c r="ER458" s="1605"/>
      <c r="ES458" s="1605"/>
      <c r="ET458" s="1605"/>
      <c r="EU458" s="1605"/>
      <c r="EV458" s="1605"/>
      <c r="EW458" s="1605"/>
      <c r="EX458" s="1605"/>
      <c r="EY458" s="1605"/>
      <c r="EZ458" s="1605"/>
      <c r="FA458" s="1605"/>
      <c r="FB458" s="1605"/>
      <c r="FC458" s="1605"/>
      <c r="FD458" s="1605"/>
      <c r="FE458" s="1605"/>
      <c r="FF458" s="1605"/>
      <c r="FG458" s="1605"/>
      <c r="FH458" s="1605"/>
      <c r="FI458" s="1605"/>
      <c r="FJ458" s="1605"/>
      <c r="FK458" s="1605"/>
      <c r="FL458" s="1605"/>
      <c r="FM458" s="1605"/>
      <c r="FN458" s="1605"/>
      <c r="FO458" s="1605"/>
      <c r="FP458" s="1605"/>
      <c r="FQ458" s="1605"/>
      <c r="FR458" s="1605"/>
      <c r="FS458" s="1605"/>
      <c r="FT458" s="1605"/>
      <c r="FU458" s="1605"/>
      <c r="FV458" s="1605"/>
      <c r="FW458" s="1605"/>
      <c r="FX458" s="1605"/>
      <c r="FY458" s="1605"/>
      <c r="FZ458" s="1605"/>
      <c r="GA458" s="1605"/>
      <c r="GB458" s="1605"/>
      <c r="GC458" s="1605"/>
      <c r="GD458" s="1605"/>
      <c r="GE458" s="1605"/>
      <c r="GF458" s="1605"/>
      <c r="GG458" s="1605"/>
      <c r="GH458" s="1605"/>
      <c r="GI458" s="1605"/>
      <c r="GJ458" s="1605"/>
      <c r="GK458" s="1605"/>
      <c r="GL458" s="1605"/>
      <c r="GM458" s="1605"/>
      <c r="GN458" s="1605"/>
      <c r="GO458" s="1605"/>
      <c r="GP458" s="1605"/>
      <c r="GQ458" s="1605"/>
      <c r="GR458" s="1605"/>
      <c r="GS458" s="1605"/>
      <c r="GT458" s="1605"/>
      <c r="GU458" s="1605"/>
      <c r="GV458" s="1605"/>
      <c r="GW458" s="1605"/>
      <c r="GX458" s="1605"/>
      <c r="GY458" s="1605"/>
      <c r="GZ458" s="1605"/>
      <c r="HA458" s="1605"/>
      <c r="HB458" s="1605"/>
      <c r="HC458" s="1605"/>
      <c r="HD458" s="1605"/>
      <c r="HE458" s="1605"/>
      <c r="HF458" s="1605"/>
      <c r="HG458" s="1605"/>
      <c r="HH458" s="1605"/>
      <c r="HI458" s="1605"/>
      <c r="HJ458" s="1605"/>
      <c r="HK458" s="1605"/>
      <c r="HL458" s="1605"/>
      <c r="HM458" s="1605"/>
      <c r="HN458" s="1605"/>
      <c r="HO458" s="1605"/>
      <c r="HP458" s="1605"/>
      <c r="HQ458" s="1605"/>
      <c r="HR458" s="1605"/>
      <c r="HS458" s="1605"/>
      <c r="HT458" s="1605"/>
      <c r="HU458" s="1605"/>
      <c r="HV458" s="1605"/>
      <c r="HW458" s="1605"/>
      <c r="HX458" s="1605"/>
      <c r="HY458" s="1605"/>
      <c r="HZ458" s="1605"/>
      <c r="IA458" s="1605"/>
      <c r="IB458" s="1605"/>
      <c r="IC458" s="1605"/>
      <c r="ID458" s="1605"/>
      <c r="IE458" s="1605"/>
      <c r="IF458" s="1605"/>
      <c r="IG458" s="1605"/>
      <c r="IH458" s="1605"/>
      <c r="II458" s="1605"/>
      <c r="IJ458" s="1605"/>
      <c r="IK458" s="1605"/>
      <c r="IL458" s="1605"/>
      <c r="IM458" s="1605"/>
      <c r="IN458" s="1605"/>
      <c r="IO458" s="1605"/>
      <c r="IP458" s="1605"/>
      <c r="IQ458" s="1605"/>
      <c r="IR458" s="1605"/>
      <c r="IS458" s="1605"/>
      <c r="IT458" s="1605"/>
      <c r="IU458" s="1605"/>
      <c r="IV458" s="1605"/>
      <c r="IW458" s="1605"/>
      <c r="IX458" s="1605"/>
      <c r="IY458" s="1605"/>
      <c r="IZ458" s="1605"/>
      <c r="JA458" s="1605"/>
      <c r="JB458" s="1605"/>
      <c r="JC458" s="1605"/>
      <c r="JD458" s="1605"/>
      <c r="JE458" s="1605"/>
      <c r="JF458" s="1605"/>
      <c r="JG458" s="1605"/>
      <c r="JH458" s="1605"/>
      <c r="JI458" s="1605"/>
      <c r="JJ458" s="1605"/>
      <c r="JK458" s="1605"/>
      <c r="JL458" s="1605"/>
      <c r="JM458" s="1605"/>
      <c r="JN458" s="1605"/>
      <c r="JO458" s="1605"/>
      <c r="JP458" s="1605"/>
      <c r="JQ458" s="1605"/>
      <c r="JR458" s="1605"/>
      <c r="JS458" s="1605"/>
      <c r="JT458" s="1605"/>
      <c r="JU458" s="1605"/>
      <c r="JV458" s="1605"/>
      <c r="JW458" s="1605"/>
      <c r="JX458" s="1605"/>
      <c r="JY458" s="1605"/>
      <c r="JZ458" s="1605"/>
      <c r="KA458" s="1605"/>
      <c r="KB458" s="1606"/>
    </row>
    <row r="459" spans="2:288" ht="15" customHeight="1" x14ac:dyDescent="0.25">
      <c r="B459" s="216" t="str">
        <f t="shared" si="37"/>
        <v>Desk 35</v>
      </c>
      <c r="C459" s="218" t="str">
        <v/>
      </c>
      <c r="D459" s="218" t="str">
        <v/>
      </c>
      <c r="E459" s="218" t="str">
        <v/>
      </c>
      <c r="F459" s="218" t="str">
        <v/>
      </c>
      <c r="G459" s="402" t="str">
        <v/>
      </c>
      <c r="H459" s="1605"/>
      <c r="I459" s="1605"/>
      <c r="J459" s="1605"/>
      <c r="K459" s="1605"/>
      <c r="L459" s="1605"/>
      <c r="M459" s="1605"/>
      <c r="N459" s="1605"/>
      <c r="O459" s="1605"/>
      <c r="P459" s="1605"/>
      <c r="Q459" s="1605"/>
      <c r="R459" s="1605"/>
      <c r="S459" s="1605"/>
      <c r="T459" s="1605"/>
      <c r="U459" s="1605"/>
      <c r="V459" s="1605"/>
      <c r="W459" s="1605"/>
      <c r="X459" s="1605"/>
      <c r="Y459" s="1605"/>
      <c r="Z459" s="1605"/>
      <c r="AA459" s="1605"/>
      <c r="AB459" s="1605"/>
      <c r="AC459" s="1605"/>
      <c r="AD459" s="1605"/>
      <c r="AE459" s="1605"/>
      <c r="AF459" s="1605"/>
      <c r="AG459" s="1605"/>
      <c r="AH459" s="1605"/>
      <c r="AI459" s="1605"/>
      <c r="AJ459" s="1605"/>
      <c r="AK459" s="1605"/>
      <c r="AL459" s="1605"/>
      <c r="AM459" s="1605"/>
      <c r="AN459" s="1605"/>
      <c r="AO459" s="1605"/>
      <c r="AP459" s="1605"/>
      <c r="AQ459" s="1605"/>
      <c r="AR459" s="1605"/>
      <c r="AS459" s="1605"/>
      <c r="AT459" s="1605"/>
      <c r="AU459" s="1605"/>
      <c r="AV459" s="1605"/>
      <c r="AW459" s="1605"/>
      <c r="AX459" s="1605"/>
      <c r="AY459" s="1605"/>
      <c r="AZ459" s="1605"/>
      <c r="BA459" s="1605"/>
      <c r="BB459" s="1605"/>
      <c r="BC459" s="1605"/>
      <c r="BD459" s="1605"/>
      <c r="BE459" s="1605"/>
      <c r="BF459" s="1605"/>
      <c r="BG459" s="1605"/>
      <c r="BH459" s="1605"/>
      <c r="BI459" s="1605"/>
      <c r="BJ459" s="1605"/>
      <c r="BK459" s="1605"/>
      <c r="BL459" s="1605"/>
      <c r="BM459" s="1605"/>
      <c r="BN459" s="1605"/>
      <c r="BO459" s="1605"/>
      <c r="BP459" s="1605"/>
      <c r="BQ459" s="1605"/>
      <c r="BR459" s="1605"/>
      <c r="BS459" s="1605"/>
      <c r="BT459" s="1605"/>
      <c r="BU459" s="1605"/>
      <c r="BV459" s="1605"/>
      <c r="BW459" s="1605"/>
      <c r="BX459" s="1605"/>
      <c r="BY459" s="1605"/>
      <c r="BZ459" s="1605"/>
      <c r="CA459" s="1605"/>
      <c r="CB459" s="1605"/>
      <c r="CC459" s="1605"/>
      <c r="CD459" s="1605"/>
      <c r="CE459" s="1605"/>
      <c r="CF459" s="1605"/>
      <c r="CG459" s="1605"/>
      <c r="CH459" s="1605"/>
      <c r="CI459" s="1605"/>
      <c r="CJ459" s="1605"/>
      <c r="CK459" s="1605"/>
      <c r="CL459" s="1605"/>
      <c r="CM459" s="1605"/>
      <c r="CN459" s="1605"/>
      <c r="CO459" s="1605"/>
      <c r="CP459" s="1605"/>
      <c r="CQ459" s="1605"/>
      <c r="CR459" s="1605"/>
      <c r="CS459" s="1605"/>
      <c r="CT459" s="1605"/>
      <c r="CU459" s="1605"/>
      <c r="CV459" s="1605"/>
      <c r="CW459" s="1605"/>
      <c r="CX459" s="1605"/>
      <c r="CY459" s="1605"/>
      <c r="CZ459" s="1605"/>
      <c r="DA459" s="1605"/>
      <c r="DB459" s="1605"/>
      <c r="DC459" s="1605"/>
      <c r="DD459" s="1605"/>
      <c r="DE459" s="1605"/>
      <c r="DF459" s="1605"/>
      <c r="DG459" s="1605"/>
      <c r="DH459" s="1605"/>
      <c r="DI459" s="1605"/>
      <c r="DJ459" s="1605"/>
      <c r="DK459" s="1605"/>
      <c r="DL459" s="1605"/>
      <c r="DM459" s="1605"/>
      <c r="DN459" s="1605"/>
      <c r="DO459" s="1605"/>
      <c r="DP459" s="1605"/>
      <c r="DQ459" s="1605"/>
      <c r="DR459" s="1605"/>
      <c r="DS459" s="1605"/>
      <c r="DT459" s="1605"/>
      <c r="DU459" s="1605"/>
      <c r="DV459" s="1605"/>
      <c r="DW459" s="1605"/>
      <c r="DX459" s="1605"/>
      <c r="DY459" s="1605"/>
      <c r="DZ459" s="1605"/>
      <c r="EA459" s="1605"/>
      <c r="EB459" s="1605"/>
      <c r="EC459" s="1605"/>
      <c r="ED459" s="1605"/>
      <c r="EE459" s="1605"/>
      <c r="EF459" s="1605"/>
      <c r="EG459" s="1605"/>
      <c r="EH459" s="1605"/>
      <c r="EI459" s="1605"/>
      <c r="EJ459" s="1605"/>
      <c r="EK459" s="1605"/>
      <c r="EL459" s="1605"/>
      <c r="EM459" s="1605"/>
      <c r="EN459" s="1605"/>
      <c r="EO459" s="1605"/>
      <c r="EP459" s="1605"/>
      <c r="EQ459" s="1605"/>
      <c r="ER459" s="1605"/>
      <c r="ES459" s="1605"/>
      <c r="ET459" s="1605"/>
      <c r="EU459" s="1605"/>
      <c r="EV459" s="1605"/>
      <c r="EW459" s="1605"/>
      <c r="EX459" s="1605"/>
      <c r="EY459" s="1605"/>
      <c r="EZ459" s="1605"/>
      <c r="FA459" s="1605"/>
      <c r="FB459" s="1605"/>
      <c r="FC459" s="1605"/>
      <c r="FD459" s="1605"/>
      <c r="FE459" s="1605"/>
      <c r="FF459" s="1605"/>
      <c r="FG459" s="1605"/>
      <c r="FH459" s="1605"/>
      <c r="FI459" s="1605"/>
      <c r="FJ459" s="1605"/>
      <c r="FK459" s="1605"/>
      <c r="FL459" s="1605"/>
      <c r="FM459" s="1605"/>
      <c r="FN459" s="1605"/>
      <c r="FO459" s="1605"/>
      <c r="FP459" s="1605"/>
      <c r="FQ459" s="1605"/>
      <c r="FR459" s="1605"/>
      <c r="FS459" s="1605"/>
      <c r="FT459" s="1605"/>
      <c r="FU459" s="1605"/>
      <c r="FV459" s="1605"/>
      <c r="FW459" s="1605"/>
      <c r="FX459" s="1605"/>
      <c r="FY459" s="1605"/>
      <c r="FZ459" s="1605"/>
      <c r="GA459" s="1605"/>
      <c r="GB459" s="1605"/>
      <c r="GC459" s="1605"/>
      <c r="GD459" s="1605"/>
      <c r="GE459" s="1605"/>
      <c r="GF459" s="1605"/>
      <c r="GG459" s="1605"/>
      <c r="GH459" s="1605"/>
      <c r="GI459" s="1605"/>
      <c r="GJ459" s="1605"/>
      <c r="GK459" s="1605"/>
      <c r="GL459" s="1605"/>
      <c r="GM459" s="1605"/>
      <c r="GN459" s="1605"/>
      <c r="GO459" s="1605"/>
      <c r="GP459" s="1605"/>
      <c r="GQ459" s="1605"/>
      <c r="GR459" s="1605"/>
      <c r="GS459" s="1605"/>
      <c r="GT459" s="1605"/>
      <c r="GU459" s="1605"/>
      <c r="GV459" s="1605"/>
      <c r="GW459" s="1605"/>
      <c r="GX459" s="1605"/>
      <c r="GY459" s="1605"/>
      <c r="GZ459" s="1605"/>
      <c r="HA459" s="1605"/>
      <c r="HB459" s="1605"/>
      <c r="HC459" s="1605"/>
      <c r="HD459" s="1605"/>
      <c r="HE459" s="1605"/>
      <c r="HF459" s="1605"/>
      <c r="HG459" s="1605"/>
      <c r="HH459" s="1605"/>
      <c r="HI459" s="1605"/>
      <c r="HJ459" s="1605"/>
      <c r="HK459" s="1605"/>
      <c r="HL459" s="1605"/>
      <c r="HM459" s="1605"/>
      <c r="HN459" s="1605"/>
      <c r="HO459" s="1605"/>
      <c r="HP459" s="1605"/>
      <c r="HQ459" s="1605"/>
      <c r="HR459" s="1605"/>
      <c r="HS459" s="1605"/>
      <c r="HT459" s="1605"/>
      <c r="HU459" s="1605"/>
      <c r="HV459" s="1605"/>
      <c r="HW459" s="1605"/>
      <c r="HX459" s="1605"/>
      <c r="HY459" s="1605"/>
      <c r="HZ459" s="1605"/>
      <c r="IA459" s="1605"/>
      <c r="IB459" s="1605"/>
      <c r="IC459" s="1605"/>
      <c r="ID459" s="1605"/>
      <c r="IE459" s="1605"/>
      <c r="IF459" s="1605"/>
      <c r="IG459" s="1605"/>
      <c r="IH459" s="1605"/>
      <c r="II459" s="1605"/>
      <c r="IJ459" s="1605"/>
      <c r="IK459" s="1605"/>
      <c r="IL459" s="1605"/>
      <c r="IM459" s="1605"/>
      <c r="IN459" s="1605"/>
      <c r="IO459" s="1605"/>
      <c r="IP459" s="1605"/>
      <c r="IQ459" s="1605"/>
      <c r="IR459" s="1605"/>
      <c r="IS459" s="1605"/>
      <c r="IT459" s="1605"/>
      <c r="IU459" s="1605"/>
      <c r="IV459" s="1605"/>
      <c r="IW459" s="1605"/>
      <c r="IX459" s="1605"/>
      <c r="IY459" s="1605"/>
      <c r="IZ459" s="1605"/>
      <c r="JA459" s="1605"/>
      <c r="JB459" s="1605"/>
      <c r="JC459" s="1605"/>
      <c r="JD459" s="1605"/>
      <c r="JE459" s="1605"/>
      <c r="JF459" s="1605"/>
      <c r="JG459" s="1605"/>
      <c r="JH459" s="1605"/>
      <c r="JI459" s="1605"/>
      <c r="JJ459" s="1605"/>
      <c r="JK459" s="1605"/>
      <c r="JL459" s="1605"/>
      <c r="JM459" s="1605"/>
      <c r="JN459" s="1605"/>
      <c r="JO459" s="1605"/>
      <c r="JP459" s="1605"/>
      <c r="JQ459" s="1605"/>
      <c r="JR459" s="1605"/>
      <c r="JS459" s="1605"/>
      <c r="JT459" s="1605"/>
      <c r="JU459" s="1605"/>
      <c r="JV459" s="1605"/>
      <c r="JW459" s="1605"/>
      <c r="JX459" s="1605"/>
      <c r="JY459" s="1605"/>
      <c r="JZ459" s="1605"/>
      <c r="KA459" s="1605"/>
      <c r="KB459" s="1606"/>
    </row>
    <row r="460" spans="2:288" ht="15" customHeight="1" x14ac:dyDescent="0.25">
      <c r="B460" s="216" t="str">
        <f t="shared" si="37"/>
        <v>Desk 36</v>
      </c>
      <c r="C460" s="218" t="str">
        <v/>
      </c>
      <c r="D460" s="218" t="str">
        <v/>
      </c>
      <c r="E460" s="218" t="str">
        <v/>
      </c>
      <c r="F460" s="218" t="str">
        <v/>
      </c>
      <c r="G460" s="402" t="str">
        <v/>
      </c>
      <c r="H460" s="1605"/>
      <c r="I460" s="1605"/>
      <c r="J460" s="1605"/>
      <c r="K460" s="1605"/>
      <c r="L460" s="1605"/>
      <c r="M460" s="1605"/>
      <c r="N460" s="1605"/>
      <c r="O460" s="1605"/>
      <c r="P460" s="1605"/>
      <c r="Q460" s="1605"/>
      <c r="R460" s="1605"/>
      <c r="S460" s="1605"/>
      <c r="T460" s="1605"/>
      <c r="U460" s="1605"/>
      <c r="V460" s="1605"/>
      <c r="W460" s="1605"/>
      <c r="X460" s="1605"/>
      <c r="Y460" s="1605"/>
      <c r="Z460" s="1605"/>
      <c r="AA460" s="1605"/>
      <c r="AB460" s="1605"/>
      <c r="AC460" s="1605"/>
      <c r="AD460" s="1605"/>
      <c r="AE460" s="1605"/>
      <c r="AF460" s="1605"/>
      <c r="AG460" s="1605"/>
      <c r="AH460" s="1605"/>
      <c r="AI460" s="1605"/>
      <c r="AJ460" s="1605"/>
      <c r="AK460" s="1605"/>
      <c r="AL460" s="1605"/>
      <c r="AM460" s="1605"/>
      <c r="AN460" s="1605"/>
      <c r="AO460" s="1605"/>
      <c r="AP460" s="1605"/>
      <c r="AQ460" s="1605"/>
      <c r="AR460" s="1605"/>
      <c r="AS460" s="1605"/>
      <c r="AT460" s="1605"/>
      <c r="AU460" s="1605"/>
      <c r="AV460" s="1605"/>
      <c r="AW460" s="1605"/>
      <c r="AX460" s="1605"/>
      <c r="AY460" s="1605"/>
      <c r="AZ460" s="1605"/>
      <c r="BA460" s="1605"/>
      <c r="BB460" s="1605"/>
      <c r="BC460" s="1605"/>
      <c r="BD460" s="1605"/>
      <c r="BE460" s="1605"/>
      <c r="BF460" s="1605"/>
      <c r="BG460" s="1605"/>
      <c r="BH460" s="1605"/>
      <c r="BI460" s="1605"/>
      <c r="BJ460" s="1605"/>
      <c r="BK460" s="1605"/>
      <c r="BL460" s="1605"/>
      <c r="BM460" s="1605"/>
      <c r="BN460" s="1605"/>
      <c r="BO460" s="1605"/>
      <c r="BP460" s="1605"/>
      <c r="BQ460" s="1605"/>
      <c r="BR460" s="1605"/>
      <c r="BS460" s="1605"/>
      <c r="BT460" s="1605"/>
      <c r="BU460" s="1605"/>
      <c r="BV460" s="1605"/>
      <c r="BW460" s="1605"/>
      <c r="BX460" s="1605"/>
      <c r="BY460" s="1605"/>
      <c r="BZ460" s="1605"/>
      <c r="CA460" s="1605"/>
      <c r="CB460" s="1605"/>
      <c r="CC460" s="1605"/>
      <c r="CD460" s="1605"/>
      <c r="CE460" s="1605"/>
      <c r="CF460" s="1605"/>
      <c r="CG460" s="1605"/>
      <c r="CH460" s="1605"/>
      <c r="CI460" s="1605"/>
      <c r="CJ460" s="1605"/>
      <c r="CK460" s="1605"/>
      <c r="CL460" s="1605"/>
      <c r="CM460" s="1605"/>
      <c r="CN460" s="1605"/>
      <c r="CO460" s="1605"/>
      <c r="CP460" s="1605"/>
      <c r="CQ460" s="1605"/>
      <c r="CR460" s="1605"/>
      <c r="CS460" s="1605"/>
      <c r="CT460" s="1605"/>
      <c r="CU460" s="1605"/>
      <c r="CV460" s="1605"/>
      <c r="CW460" s="1605"/>
      <c r="CX460" s="1605"/>
      <c r="CY460" s="1605"/>
      <c r="CZ460" s="1605"/>
      <c r="DA460" s="1605"/>
      <c r="DB460" s="1605"/>
      <c r="DC460" s="1605"/>
      <c r="DD460" s="1605"/>
      <c r="DE460" s="1605"/>
      <c r="DF460" s="1605"/>
      <c r="DG460" s="1605"/>
      <c r="DH460" s="1605"/>
      <c r="DI460" s="1605"/>
      <c r="DJ460" s="1605"/>
      <c r="DK460" s="1605"/>
      <c r="DL460" s="1605"/>
      <c r="DM460" s="1605"/>
      <c r="DN460" s="1605"/>
      <c r="DO460" s="1605"/>
      <c r="DP460" s="1605"/>
      <c r="DQ460" s="1605"/>
      <c r="DR460" s="1605"/>
      <c r="DS460" s="1605"/>
      <c r="DT460" s="1605"/>
      <c r="DU460" s="1605"/>
      <c r="DV460" s="1605"/>
      <c r="DW460" s="1605"/>
      <c r="DX460" s="1605"/>
      <c r="DY460" s="1605"/>
      <c r="DZ460" s="1605"/>
      <c r="EA460" s="1605"/>
      <c r="EB460" s="1605"/>
      <c r="EC460" s="1605"/>
      <c r="ED460" s="1605"/>
      <c r="EE460" s="1605"/>
      <c r="EF460" s="1605"/>
      <c r="EG460" s="1605"/>
      <c r="EH460" s="1605"/>
      <c r="EI460" s="1605"/>
      <c r="EJ460" s="1605"/>
      <c r="EK460" s="1605"/>
      <c r="EL460" s="1605"/>
      <c r="EM460" s="1605"/>
      <c r="EN460" s="1605"/>
      <c r="EO460" s="1605"/>
      <c r="EP460" s="1605"/>
      <c r="EQ460" s="1605"/>
      <c r="ER460" s="1605"/>
      <c r="ES460" s="1605"/>
      <c r="ET460" s="1605"/>
      <c r="EU460" s="1605"/>
      <c r="EV460" s="1605"/>
      <c r="EW460" s="1605"/>
      <c r="EX460" s="1605"/>
      <c r="EY460" s="1605"/>
      <c r="EZ460" s="1605"/>
      <c r="FA460" s="1605"/>
      <c r="FB460" s="1605"/>
      <c r="FC460" s="1605"/>
      <c r="FD460" s="1605"/>
      <c r="FE460" s="1605"/>
      <c r="FF460" s="1605"/>
      <c r="FG460" s="1605"/>
      <c r="FH460" s="1605"/>
      <c r="FI460" s="1605"/>
      <c r="FJ460" s="1605"/>
      <c r="FK460" s="1605"/>
      <c r="FL460" s="1605"/>
      <c r="FM460" s="1605"/>
      <c r="FN460" s="1605"/>
      <c r="FO460" s="1605"/>
      <c r="FP460" s="1605"/>
      <c r="FQ460" s="1605"/>
      <c r="FR460" s="1605"/>
      <c r="FS460" s="1605"/>
      <c r="FT460" s="1605"/>
      <c r="FU460" s="1605"/>
      <c r="FV460" s="1605"/>
      <c r="FW460" s="1605"/>
      <c r="FX460" s="1605"/>
      <c r="FY460" s="1605"/>
      <c r="FZ460" s="1605"/>
      <c r="GA460" s="1605"/>
      <c r="GB460" s="1605"/>
      <c r="GC460" s="1605"/>
      <c r="GD460" s="1605"/>
      <c r="GE460" s="1605"/>
      <c r="GF460" s="1605"/>
      <c r="GG460" s="1605"/>
      <c r="GH460" s="1605"/>
      <c r="GI460" s="1605"/>
      <c r="GJ460" s="1605"/>
      <c r="GK460" s="1605"/>
      <c r="GL460" s="1605"/>
      <c r="GM460" s="1605"/>
      <c r="GN460" s="1605"/>
      <c r="GO460" s="1605"/>
      <c r="GP460" s="1605"/>
      <c r="GQ460" s="1605"/>
      <c r="GR460" s="1605"/>
      <c r="GS460" s="1605"/>
      <c r="GT460" s="1605"/>
      <c r="GU460" s="1605"/>
      <c r="GV460" s="1605"/>
      <c r="GW460" s="1605"/>
      <c r="GX460" s="1605"/>
      <c r="GY460" s="1605"/>
      <c r="GZ460" s="1605"/>
      <c r="HA460" s="1605"/>
      <c r="HB460" s="1605"/>
      <c r="HC460" s="1605"/>
      <c r="HD460" s="1605"/>
      <c r="HE460" s="1605"/>
      <c r="HF460" s="1605"/>
      <c r="HG460" s="1605"/>
      <c r="HH460" s="1605"/>
      <c r="HI460" s="1605"/>
      <c r="HJ460" s="1605"/>
      <c r="HK460" s="1605"/>
      <c r="HL460" s="1605"/>
      <c r="HM460" s="1605"/>
      <c r="HN460" s="1605"/>
      <c r="HO460" s="1605"/>
      <c r="HP460" s="1605"/>
      <c r="HQ460" s="1605"/>
      <c r="HR460" s="1605"/>
      <c r="HS460" s="1605"/>
      <c r="HT460" s="1605"/>
      <c r="HU460" s="1605"/>
      <c r="HV460" s="1605"/>
      <c r="HW460" s="1605"/>
      <c r="HX460" s="1605"/>
      <c r="HY460" s="1605"/>
      <c r="HZ460" s="1605"/>
      <c r="IA460" s="1605"/>
      <c r="IB460" s="1605"/>
      <c r="IC460" s="1605"/>
      <c r="ID460" s="1605"/>
      <c r="IE460" s="1605"/>
      <c r="IF460" s="1605"/>
      <c r="IG460" s="1605"/>
      <c r="IH460" s="1605"/>
      <c r="II460" s="1605"/>
      <c r="IJ460" s="1605"/>
      <c r="IK460" s="1605"/>
      <c r="IL460" s="1605"/>
      <c r="IM460" s="1605"/>
      <c r="IN460" s="1605"/>
      <c r="IO460" s="1605"/>
      <c r="IP460" s="1605"/>
      <c r="IQ460" s="1605"/>
      <c r="IR460" s="1605"/>
      <c r="IS460" s="1605"/>
      <c r="IT460" s="1605"/>
      <c r="IU460" s="1605"/>
      <c r="IV460" s="1605"/>
      <c r="IW460" s="1605"/>
      <c r="IX460" s="1605"/>
      <c r="IY460" s="1605"/>
      <c r="IZ460" s="1605"/>
      <c r="JA460" s="1605"/>
      <c r="JB460" s="1605"/>
      <c r="JC460" s="1605"/>
      <c r="JD460" s="1605"/>
      <c r="JE460" s="1605"/>
      <c r="JF460" s="1605"/>
      <c r="JG460" s="1605"/>
      <c r="JH460" s="1605"/>
      <c r="JI460" s="1605"/>
      <c r="JJ460" s="1605"/>
      <c r="JK460" s="1605"/>
      <c r="JL460" s="1605"/>
      <c r="JM460" s="1605"/>
      <c r="JN460" s="1605"/>
      <c r="JO460" s="1605"/>
      <c r="JP460" s="1605"/>
      <c r="JQ460" s="1605"/>
      <c r="JR460" s="1605"/>
      <c r="JS460" s="1605"/>
      <c r="JT460" s="1605"/>
      <c r="JU460" s="1605"/>
      <c r="JV460" s="1605"/>
      <c r="JW460" s="1605"/>
      <c r="JX460" s="1605"/>
      <c r="JY460" s="1605"/>
      <c r="JZ460" s="1605"/>
      <c r="KA460" s="1605"/>
      <c r="KB460" s="1606"/>
    </row>
    <row r="461" spans="2:288" ht="15" customHeight="1" x14ac:dyDescent="0.25">
      <c r="B461" s="216" t="str">
        <f t="shared" si="37"/>
        <v>Desk 37</v>
      </c>
      <c r="C461" s="218" t="str">
        <v/>
      </c>
      <c r="D461" s="218" t="str">
        <v/>
      </c>
      <c r="E461" s="218" t="str">
        <v/>
      </c>
      <c r="F461" s="218" t="str">
        <v/>
      </c>
      <c r="G461" s="402" t="str">
        <v/>
      </c>
      <c r="H461" s="1605"/>
      <c r="I461" s="1605"/>
      <c r="J461" s="1605"/>
      <c r="K461" s="1605"/>
      <c r="L461" s="1605"/>
      <c r="M461" s="1605"/>
      <c r="N461" s="1605"/>
      <c r="O461" s="1605"/>
      <c r="P461" s="1605"/>
      <c r="Q461" s="1605"/>
      <c r="R461" s="1605"/>
      <c r="S461" s="1605"/>
      <c r="T461" s="1605"/>
      <c r="U461" s="1605"/>
      <c r="V461" s="1605"/>
      <c r="W461" s="1605"/>
      <c r="X461" s="1605"/>
      <c r="Y461" s="1605"/>
      <c r="Z461" s="1605"/>
      <c r="AA461" s="1605"/>
      <c r="AB461" s="1605"/>
      <c r="AC461" s="1605"/>
      <c r="AD461" s="1605"/>
      <c r="AE461" s="1605"/>
      <c r="AF461" s="1605"/>
      <c r="AG461" s="1605"/>
      <c r="AH461" s="1605"/>
      <c r="AI461" s="1605"/>
      <c r="AJ461" s="1605"/>
      <c r="AK461" s="1605"/>
      <c r="AL461" s="1605"/>
      <c r="AM461" s="1605"/>
      <c r="AN461" s="1605"/>
      <c r="AO461" s="1605"/>
      <c r="AP461" s="1605"/>
      <c r="AQ461" s="1605"/>
      <c r="AR461" s="1605"/>
      <c r="AS461" s="1605"/>
      <c r="AT461" s="1605"/>
      <c r="AU461" s="1605"/>
      <c r="AV461" s="1605"/>
      <c r="AW461" s="1605"/>
      <c r="AX461" s="1605"/>
      <c r="AY461" s="1605"/>
      <c r="AZ461" s="1605"/>
      <c r="BA461" s="1605"/>
      <c r="BB461" s="1605"/>
      <c r="BC461" s="1605"/>
      <c r="BD461" s="1605"/>
      <c r="BE461" s="1605"/>
      <c r="BF461" s="1605"/>
      <c r="BG461" s="1605"/>
      <c r="BH461" s="1605"/>
      <c r="BI461" s="1605"/>
      <c r="BJ461" s="1605"/>
      <c r="BK461" s="1605"/>
      <c r="BL461" s="1605"/>
      <c r="BM461" s="1605"/>
      <c r="BN461" s="1605"/>
      <c r="BO461" s="1605"/>
      <c r="BP461" s="1605"/>
      <c r="BQ461" s="1605"/>
      <c r="BR461" s="1605"/>
      <c r="BS461" s="1605"/>
      <c r="BT461" s="1605"/>
      <c r="BU461" s="1605"/>
      <c r="BV461" s="1605"/>
      <c r="BW461" s="1605"/>
      <c r="BX461" s="1605"/>
      <c r="BY461" s="1605"/>
      <c r="BZ461" s="1605"/>
      <c r="CA461" s="1605"/>
      <c r="CB461" s="1605"/>
      <c r="CC461" s="1605"/>
      <c r="CD461" s="1605"/>
      <c r="CE461" s="1605"/>
      <c r="CF461" s="1605"/>
      <c r="CG461" s="1605"/>
      <c r="CH461" s="1605"/>
      <c r="CI461" s="1605"/>
      <c r="CJ461" s="1605"/>
      <c r="CK461" s="1605"/>
      <c r="CL461" s="1605"/>
      <c r="CM461" s="1605"/>
      <c r="CN461" s="1605"/>
      <c r="CO461" s="1605"/>
      <c r="CP461" s="1605"/>
      <c r="CQ461" s="1605"/>
      <c r="CR461" s="1605"/>
      <c r="CS461" s="1605"/>
      <c r="CT461" s="1605"/>
      <c r="CU461" s="1605"/>
      <c r="CV461" s="1605"/>
      <c r="CW461" s="1605"/>
      <c r="CX461" s="1605"/>
      <c r="CY461" s="1605"/>
      <c r="CZ461" s="1605"/>
      <c r="DA461" s="1605"/>
      <c r="DB461" s="1605"/>
      <c r="DC461" s="1605"/>
      <c r="DD461" s="1605"/>
      <c r="DE461" s="1605"/>
      <c r="DF461" s="1605"/>
      <c r="DG461" s="1605"/>
      <c r="DH461" s="1605"/>
      <c r="DI461" s="1605"/>
      <c r="DJ461" s="1605"/>
      <c r="DK461" s="1605"/>
      <c r="DL461" s="1605"/>
      <c r="DM461" s="1605"/>
      <c r="DN461" s="1605"/>
      <c r="DO461" s="1605"/>
      <c r="DP461" s="1605"/>
      <c r="DQ461" s="1605"/>
      <c r="DR461" s="1605"/>
      <c r="DS461" s="1605"/>
      <c r="DT461" s="1605"/>
      <c r="DU461" s="1605"/>
      <c r="DV461" s="1605"/>
      <c r="DW461" s="1605"/>
      <c r="DX461" s="1605"/>
      <c r="DY461" s="1605"/>
      <c r="DZ461" s="1605"/>
      <c r="EA461" s="1605"/>
      <c r="EB461" s="1605"/>
      <c r="EC461" s="1605"/>
      <c r="ED461" s="1605"/>
      <c r="EE461" s="1605"/>
      <c r="EF461" s="1605"/>
      <c r="EG461" s="1605"/>
      <c r="EH461" s="1605"/>
      <c r="EI461" s="1605"/>
      <c r="EJ461" s="1605"/>
      <c r="EK461" s="1605"/>
      <c r="EL461" s="1605"/>
      <c r="EM461" s="1605"/>
      <c r="EN461" s="1605"/>
      <c r="EO461" s="1605"/>
      <c r="EP461" s="1605"/>
      <c r="EQ461" s="1605"/>
      <c r="ER461" s="1605"/>
      <c r="ES461" s="1605"/>
      <c r="ET461" s="1605"/>
      <c r="EU461" s="1605"/>
      <c r="EV461" s="1605"/>
      <c r="EW461" s="1605"/>
      <c r="EX461" s="1605"/>
      <c r="EY461" s="1605"/>
      <c r="EZ461" s="1605"/>
      <c r="FA461" s="1605"/>
      <c r="FB461" s="1605"/>
      <c r="FC461" s="1605"/>
      <c r="FD461" s="1605"/>
      <c r="FE461" s="1605"/>
      <c r="FF461" s="1605"/>
      <c r="FG461" s="1605"/>
      <c r="FH461" s="1605"/>
      <c r="FI461" s="1605"/>
      <c r="FJ461" s="1605"/>
      <c r="FK461" s="1605"/>
      <c r="FL461" s="1605"/>
      <c r="FM461" s="1605"/>
      <c r="FN461" s="1605"/>
      <c r="FO461" s="1605"/>
      <c r="FP461" s="1605"/>
      <c r="FQ461" s="1605"/>
      <c r="FR461" s="1605"/>
      <c r="FS461" s="1605"/>
      <c r="FT461" s="1605"/>
      <c r="FU461" s="1605"/>
      <c r="FV461" s="1605"/>
      <c r="FW461" s="1605"/>
      <c r="FX461" s="1605"/>
      <c r="FY461" s="1605"/>
      <c r="FZ461" s="1605"/>
      <c r="GA461" s="1605"/>
      <c r="GB461" s="1605"/>
      <c r="GC461" s="1605"/>
      <c r="GD461" s="1605"/>
      <c r="GE461" s="1605"/>
      <c r="GF461" s="1605"/>
      <c r="GG461" s="1605"/>
      <c r="GH461" s="1605"/>
      <c r="GI461" s="1605"/>
      <c r="GJ461" s="1605"/>
      <c r="GK461" s="1605"/>
      <c r="GL461" s="1605"/>
      <c r="GM461" s="1605"/>
      <c r="GN461" s="1605"/>
      <c r="GO461" s="1605"/>
      <c r="GP461" s="1605"/>
      <c r="GQ461" s="1605"/>
      <c r="GR461" s="1605"/>
      <c r="GS461" s="1605"/>
      <c r="GT461" s="1605"/>
      <c r="GU461" s="1605"/>
      <c r="GV461" s="1605"/>
      <c r="GW461" s="1605"/>
      <c r="GX461" s="1605"/>
      <c r="GY461" s="1605"/>
      <c r="GZ461" s="1605"/>
      <c r="HA461" s="1605"/>
      <c r="HB461" s="1605"/>
      <c r="HC461" s="1605"/>
      <c r="HD461" s="1605"/>
      <c r="HE461" s="1605"/>
      <c r="HF461" s="1605"/>
      <c r="HG461" s="1605"/>
      <c r="HH461" s="1605"/>
      <c r="HI461" s="1605"/>
      <c r="HJ461" s="1605"/>
      <c r="HK461" s="1605"/>
      <c r="HL461" s="1605"/>
      <c r="HM461" s="1605"/>
      <c r="HN461" s="1605"/>
      <c r="HO461" s="1605"/>
      <c r="HP461" s="1605"/>
      <c r="HQ461" s="1605"/>
      <c r="HR461" s="1605"/>
      <c r="HS461" s="1605"/>
      <c r="HT461" s="1605"/>
      <c r="HU461" s="1605"/>
      <c r="HV461" s="1605"/>
      <c r="HW461" s="1605"/>
      <c r="HX461" s="1605"/>
      <c r="HY461" s="1605"/>
      <c r="HZ461" s="1605"/>
      <c r="IA461" s="1605"/>
      <c r="IB461" s="1605"/>
      <c r="IC461" s="1605"/>
      <c r="ID461" s="1605"/>
      <c r="IE461" s="1605"/>
      <c r="IF461" s="1605"/>
      <c r="IG461" s="1605"/>
      <c r="IH461" s="1605"/>
      <c r="II461" s="1605"/>
      <c r="IJ461" s="1605"/>
      <c r="IK461" s="1605"/>
      <c r="IL461" s="1605"/>
      <c r="IM461" s="1605"/>
      <c r="IN461" s="1605"/>
      <c r="IO461" s="1605"/>
      <c r="IP461" s="1605"/>
      <c r="IQ461" s="1605"/>
      <c r="IR461" s="1605"/>
      <c r="IS461" s="1605"/>
      <c r="IT461" s="1605"/>
      <c r="IU461" s="1605"/>
      <c r="IV461" s="1605"/>
      <c r="IW461" s="1605"/>
      <c r="IX461" s="1605"/>
      <c r="IY461" s="1605"/>
      <c r="IZ461" s="1605"/>
      <c r="JA461" s="1605"/>
      <c r="JB461" s="1605"/>
      <c r="JC461" s="1605"/>
      <c r="JD461" s="1605"/>
      <c r="JE461" s="1605"/>
      <c r="JF461" s="1605"/>
      <c r="JG461" s="1605"/>
      <c r="JH461" s="1605"/>
      <c r="JI461" s="1605"/>
      <c r="JJ461" s="1605"/>
      <c r="JK461" s="1605"/>
      <c r="JL461" s="1605"/>
      <c r="JM461" s="1605"/>
      <c r="JN461" s="1605"/>
      <c r="JO461" s="1605"/>
      <c r="JP461" s="1605"/>
      <c r="JQ461" s="1605"/>
      <c r="JR461" s="1605"/>
      <c r="JS461" s="1605"/>
      <c r="JT461" s="1605"/>
      <c r="JU461" s="1605"/>
      <c r="JV461" s="1605"/>
      <c r="JW461" s="1605"/>
      <c r="JX461" s="1605"/>
      <c r="JY461" s="1605"/>
      <c r="JZ461" s="1605"/>
      <c r="KA461" s="1605"/>
      <c r="KB461" s="1606"/>
    </row>
    <row r="462" spans="2:288" ht="15" customHeight="1" x14ac:dyDescent="0.25">
      <c r="B462" s="216" t="str">
        <f t="shared" si="37"/>
        <v>Desk 38</v>
      </c>
      <c r="C462" s="218" t="str">
        <v/>
      </c>
      <c r="D462" s="218" t="str">
        <v/>
      </c>
      <c r="E462" s="218" t="str">
        <v/>
      </c>
      <c r="F462" s="218" t="str">
        <v/>
      </c>
      <c r="G462" s="402" t="str">
        <v/>
      </c>
      <c r="H462" s="1605"/>
      <c r="I462" s="1605"/>
      <c r="J462" s="1605"/>
      <c r="K462" s="1605"/>
      <c r="L462" s="1605"/>
      <c r="M462" s="1605"/>
      <c r="N462" s="1605"/>
      <c r="O462" s="1605"/>
      <c r="P462" s="1605"/>
      <c r="Q462" s="1605"/>
      <c r="R462" s="1605"/>
      <c r="S462" s="1605"/>
      <c r="T462" s="1605"/>
      <c r="U462" s="1605"/>
      <c r="V462" s="1605"/>
      <c r="W462" s="1605"/>
      <c r="X462" s="1605"/>
      <c r="Y462" s="1605"/>
      <c r="Z462" s="1605"/>
      <c r="AA462" s="1605"/>
      <c r="AB462" s="1605"/>
      <c r="AC462" s="1605"/>
      <c r="AD462" s="1605"/>
      <c r="AE462" s="1605"/>
      <c r="AF462" s="1605"/>
      <c r="AG462" s="1605"/>
      <c r="AH462" s="1605"/>
      <c r="AI462" s="1605"/>
      <c r="AJ462" s="1605"/>
      <c r="AK462" s="1605"/>
      <c r="AL462" s="1605"/>
      <c r="AM462" s="1605"/>
      <c r="AN462" s="1605"/>
      <c r="AO462" s="1605"/>
      <c r="AP462" s="1605"/>
      <c r="AQ462" s="1605"/>
      <c r="AR462" s="1605"/>
      <c r="AS462" s="1605"/>
      <c r="AT462" s="1605"/>
      <c r="AU462" s="1605"/>
      <c r="AV462" s="1605"/>
      <c r="AW462" s="1605"/>
      <c r="AX462" s="1605"/>
      <c r="AY462" s="1605"/>
      <c r="AZ462" s="1605"/>
      <c r="BA462" s="1605"/>
      <c r="BB462" s="1605"/>
      <c r="BC462" s="1605"/>
      <c r="BD462" s="1605"/>
      <c r="BE462" s="1605"/>
      <c r="BF462" s="1605"/>
      <c r="BG462" s="1605"/>
      <c r="BH462" s="1605"/>
      <c r="BI462" s="1605"/>
      <c r="BJ462" s="1605"/>
      <c r="BK462" s="1605"/>
      <c r="BL462" s="1605"/>
      <c r="BM462" s="1605"/>
      <c r="BN462" s="1605"/>
      <c r="BO462" s="1605"/>
      <c r="BP462" s="1605"/>
      <c r="BQ462" s="1605"/>
      <c r="BR462" s="1605"/>
      <c r="BS462" s="1605"/>
      <c r="BT462" s="1605"/>
      <c r="BU462" s="1605"/>
      <c r="BV462" s="1605"/>
      <c r="BW462" s="1605"/>
      <c r="BX462" s="1605"/>
      <c r="BY462" s="1605"/>
      <c r="BZ462" s="1605"/>
      <c r="CA462" s="1605"/>
      <c r="CB462" s="1605"/>
      <c r="CC462" s="1605"/>
      <c r="CD462" s="1605"/>
      <c r="CE462" s="1605"/>
      <c r="CF462" s="1605"/>
      <c r="CG462" s="1605"/>
      <c r="CH462" s="1605"/>
      <c r="CI462" s="1605"/>
      <c r="CJ462" s="1605"/>
      <c r="CK462" s="1605"/>
      <c r="CL462" s="1605"/>
      <c r="CM462" s="1605"/>
      <c r="CN462" s="1605"/>
      <c r="CO462" s="1605"/>
      <c r="CP462" s="1605"/>
      <c r="CQ462" s="1605"/>
      <c r="CR462" s="1605"/>
      <c r="CS462" s="1605"/>
      <c r="CT462" s="1605"/>
      <c r="CU462" s="1605"/>
      <c r="CV462" s="1605"/>
      <c r="CW462" s="1605"/>
      <c r="CX462" s="1605"/>
      <c r="CY462" s="1605"/>
      <c r="CZ462" s="1605"/>
      <c r="DA462" s="1605"/>
      <c r="DB462" s="1605"/>
      <c r="DC462" s="1605"/>
      <c r="DD462" s="1605"/>
      <c r="DE462" s="1605"/>
      <c r="DF462" s="1605"/>
      <c r="DG462" s="1605"/>
      <c r="DH462" s="1605"/>
      <c r="DI462" s="1605"/>
      <c r="DJ462" s="1605"/>
      <c r="DK462" s="1605"/>
      <c r="DL462" s="1605"/>
      <c r="DM462" s="1605"/>
      <c r="DN462" s="1605"/>
      <c r="DO462" s="1605"/>
      <c r="DP462" s="1605"/>
      <c r="DQ462" s="1605"/>
      <c r="DR462" s="1605"/>
      <c r="DS462" s="1605"/>
      <c r="DT462" s="1605"/>
      <c r="DU462" s="1605"/>
      <c r="DV462" s="1605"/>
      <c r="DW462" s="1605"/>
      <c r="DX462" s="1605"/>
      <c r="DY462" s="1605"/>
      <c r="DZ462" s="1605"/>
      <c r="EA462" s="1605"/>
      <c r="EB462" s="1605"/>
      <c r="EC462" s="1605"/>
      <c r="ED462" s="1605"/>
      <c r="EE462" s="1605"/>
      <c r="EF462" s="1605"/>
      <c r="EG462" s="1605"/>
      <c r="EH462" s="1605"/>
      <c r="EI462" s="1605"/>
      <c r="EJ462" s="1605"/>
      <c r="EK462" s="1605"/>
      <c r="EL462" s="1605"/>
      <c r="EM462" s="1605"/>
      <c r="EN462" s="1605"/>
      <c r="EO462" s="1605"/>
      <c r="EP462" s="1605"/>
      <c r="EQ462" s="1605"/>
      <c r="ER462" s="1605"/>
      <c r="ES462" s="1605"/>
      <c r="ET462" s="1605"/>
      <c r="EU462" s="1605"/>
      <c r="EV462" s="1605"/>
      <c r="EW462" s="1605"/>
      <c r="EX462" s="1605"/>
      <c r="EY462" s="1605"/>
      <c r="EZ462" s="1605"/>
      <c r="FA462" s="1605"/>
      <c r="FB462" s="1605"/>
      <c r="FC462" s="1605"/>
      <c r="FD462" s="1605"/>
      <c r="FE462" s="1605"/>
      <c r="FF462" s="1605"/>
      <c r="FG462" s="1605"/>
      <c r="FH462" s="1605"/>
      <c r="FI462" s="1605"/>
      <c r="FJ462" s="1605"/>
      <c r="FK462" s="1605"/>
      <c r="FL462" s="1605"/>
      <c r="FM462" s="1605"/>
      <c r="FN462" s="1605"/>
      <c r="FO462" s="1605"/>
      <c r="FP462" s="1605"/>
      <c r="FQ462" s="1605"/>
      <c r="FR462" s="1605"/>
      <c r="FS462" s="1605"/>
      <c r="FT462" s="1605"/>
      <c r="FU462" s="1605"/>
      <c r="FV462" s="1605"/>
      <c r="FW462" s="1605"/>
      <c r="FX462" s="1605"/>
      <c r="FY462" s="1605"/>
      <c r="FZ462" s="1605"/>
      <c r="GA462" s="1605"/>
      <c r="GB462" s="1605"/>
      <c r="GC462" s="1605"/>
      <c r="GD462" s="1605"/>
      <c r="GE462" s="1605"/>
      <c r="GF462" s="1605"/>
      <c r="GG462" s="1605"/>
      <c r="GH462" s="1605"/>
      <c r="GI462" s="1605"/>
      <c r="GJ462" s="1605"/>
      <c r="GK462" s="1605"/>
      <c r="GL462" s="1605"/>
      <c r="GM462" s="1605"/>
      <c r="GN462" s="1605"/>
      <c r="GO462" s="1605"/>
      <c r="GP462" s="1605"/>
      <c r="GQ462" s="1605"/>
      <c r="GR462" s="1605"/>
      <c r="GS462" s="1605"/>
      <c r="GT462" s="1605"/>
      <c r="GU462" s="1605"/>
      <c r="GV462" s="1605"/>
      <c r="GW462" s="1605"/>
      <c r="GX462" s="1605"/>
      <c r="GY462" s="1605"/>
      <c r="GZ462" s="1605"/>
      <c r="HA462" s="1605"/>
      <c r="HB462" s="1605"/>
      <c r="HC462" s="1605"/>
      <c r="HD462" s="1605"/>
      <c r="HE462" s="1605"/>
      <c r="HF462" s="1605"/>
      <c r="HG462" s="1605"/>
      <c r="HH462" s="1605"/>
      <c r="HI462" s="1605"/>
      <c r="HJ462" s="1605"/>
      <c r="HK462" s="1605"/>
      <c r="HL462" s="1605"/>
      <c r="HM462" s="1605"/>
      <c r="HN462" s="1605"/>
      <c r="HO462" s="1605"/>
      <c r="HP462" s="1605"/>
      <c r="HQ462" s="1605"/>
      <c r="HR462" s="1605"/>
      <c r="HS462" s="1605"/>
      <c r="HT462" s="1605"/>
      <c r="HU462" s="1605"/>
      <c r="HV462" s="1605"/>
      <c r="HW462" s="1605"/>
      <c r="HX462" s="1605"/>
      <c r="HY462" s="1605"/>
      <c r="HZ462" s="1605"/>
      <c r="IA462" s="1605"/>
      <c r="IB462" s="1605"/>
      <c r="IC462" s="1605"/>
      <c r="ID462" s="1605"/>
      <c r="IE462" s="1605"/>
      <c r="IF462" s="1605"/>
      <c r="IG462" s="1605"/>
      <c r="IH462" s="1605"/>
      <c r="II462" s="1605"/>
      <c r="IJ462" s="1605"/>
      <c r="IK462" s="1605"/>
      <c r="IL462" s="1605"/>
      <c r="IM462" s="1605"/>
      <c r="IN462" s="1605"/>
      <c r="IO462" s="1605"/>
      <c r="IP462" s="1605"/>
      <c r="IQ462" s="1605"/>
      <c r="IR462" s="1605"/>
      <c r="IS462" s="1605"/>
      <c r="IT462" s="1605"/>
      <c r="IU462" s="1605"/>
      <c r="IV462" s="1605"/>
      <c r="IW462" s="1605"/>
      <c r="IX462" s="1605"/>
      <c r="IY462" s="1605"/>
      <c r="IZ462" s="1605"/>
      <c r="JA462" s="1605"/>
      <c r="JB462" s="1605"/>
      <c r="JC462" s="1605"/>
      <c r="JD462" s="1605"/>
      <c r="JE462" s="1605"/>
      <c r="JF462" s="1605"/>
      <c r="JG462" s="1605"/>
      <c r="JH462" s="1605"/>
      <c r="JI462" s="1605"/>
      <c r="JJ462" s="1605"/>
      <c r="JK462" s="1605"/>
      <c r="JL462" s="1605"/>
      <c r="JM462" s="1605"/>
      <c r="JN462" s="1605"/>
      <c r="JO462" s="1605"/>
      <c r="JP462" s="1605"/>
      <c r="JQ462" s="1605"/>
      <c r="JR462" s="1605"/>
      <c r="JS462" s="1605"/>
      <c r="JT462" s="1605"/>
      <c r="JU462" s="1605"/>
      <c r="JV462" s="1605"/>
      <c r="JW462" s="1605"/>
      <c r="JX462" s="1605"/>
      <c r="JY462" s="1605"/>
      <c r="JZ462" s="1605"/>
      <c r="KA462" s="1605"/>
      <c r="KB462" s="1606"/>
    </row>
    <row r="463" spans="2:288" ht="15" customHeight="1" x14ac:dyDescent="0.25">
      <c r="B463" s="216" t="str">
        <f t="shared" si="37"/>
        <v>Desk 39</v>
      </c>
      <c r="C463" s="218" t="str">
        <v/>
      </c>
      <c r="D463" s="218" t="str">
        <v/>
      </c>
      <c r="E463" s="218" t="str">
        <v/>
      </c>
      <c r="F463" s="218" t="str">
        <v/>
      </c>
      <c r="G463" s="402" t="str">
        <v/>
      </c>
      <c r="H463" s="1605"/>
      <c r="I463" s="1605"/>
      <c r="J463" s="1605"/>
      <c r="K463" s="1605"/>
      <c r="L463" s="1605"/>
      <c r="M463" s="1605"/>
      <c r="N463" s="1605"/>
      <c r="O463" s="1605"/>
      <c r="P463" s="1605"/>
      <c r="Q463" s="1605"/>
      <c r="R463" s="1605"/>
      <c r="S463" s="1605"/>
      <c r="T463" s="1605"/>
      <c r="U463" s="1605"/>
      <c r="V463" s="1605"/>
      <c r="W463" s="1605"/>
      <c r="X463" s="1605"/>
      <c r="Y463" s="1605"/>
      <c r="Z463" s="1605"/>
      <c r="AA463" s="1605"/>
      <c r="AB463" s="1605"/>
      <c r="AC463" s="1605"/>
      <c r="AD463" s="1605"/>
      <c r="AE463" s="1605"/>
      <c r="AF463" s="1605"/>
      <c r="AG463" s="1605"/>
      <c r="AH463" s="1605"/>
      <c r="AI463" s="1605"/>
      <c r="AJ463" s="1605"/>
      <c r="AK463" s="1605"/>
      <c r="AL463" s="1605"/>
      <c r="AM463" s="1605"/>
      <c r="AN463" s="1605"/>
      <c r="AO463" s="1605"/>
      <c r="AP463" s="1605"/>
      <c r="AQ463" s="1605"/>
      <c r="AR463" s="1605"/>
      <c r="AS463" s="1605"/>
      <c r="AT463" s="1605"/>
      <c r="AU463" s="1605"/>
      <c r="AV463" s="1605"/>
      <c r="AW463" s="1605"/>
      <c r="AX463" s="1605"/>
      <c r="AY463" s="1605"/>
      <c r="AZ463" s="1605"/>
      <c r="BA463" s="1605"/>
      <c r="BB463" s="1605"/>
      <c r="BC463" s="1605"/>
      <c r="BD463" s="1605"/>
      <c r="BE463" s="1605"/>
      <c r="BF463" s="1605"/>
      <c r="BG463" s="1605"/>
      <c r="BH463" s="1605"/>
      <c r="BI463" s="1605"/>
      <c r="BJ463" s="1605"/>
      <c r="BK463" s="1605"/>
      <c r="BL463" s="1605"/>
      <c r="BM463" s="1605"/>
      <c r="BN463" s="1605"/>
      <c r="BO463" s="1605"/>
      <c r="BP463" s="1605"/>
      <c r="BQ463" s="1605"/>
      <c r="BR463" s="1605"/>
      <c r="BS463" s="1605"/>
      <c r="BT463" s="1605"/>
      <c r="BU463" s="1605"/>
      <c r="BV463" s="1605"/>
      <c r="BW463" s="1605"/>
      <c r="BX463" s="1605"/>
      <c r="BY463" s="1605"/>
      <c r="BZ463" s="1605"/>
      <c r="CA463" s="1605"/>
      <c r="CB463" s="1605"/>
      <c r="CC463" s="1605"/>
      <c r="CD463" s="1605"/>
      <c r="CE463" s="1605"/>
      <c r="CF463" s="1605"/>
      <c r="CG463" s="1605"/>
      <c r="CH463" s="1605"/>
      <c r="CI463" s="1605"/>
      <c r="CJ463" s="1605"/>
      <c r="CK463" s="1605"/>
      <c r="CL463" s="1605"/>
      <c r="CM463" s="1605"/>
      <c r="CN463" s="1605"/>
      <c r="CO463" s="1605"/>
      <c r="CP463" s="1605"/>
      <c r="CQ463" s="1605"/>
      <c r="CR463" s="1605"/>
      <c r="CS463" s="1605"/>
      <c r="CT463" s="1605"/>
      <c r="CU463" s="1605"/>
      <c r="CV463" s="1605"/>
      <c r="CW463" s="1605"/>
      <c r="CX463" s="1605"/>
      <c r="CY463" s="1605"/>
      <c r="CZ463" s="1605"/>
      <c r="DA463" s="1605"/>
      <c r="DB463" s="1605"/>
      <c r="DC463" s="1605"/>
      <c r="DD463" s="1605"/>
      <c r="DE463" s="1605"/>
      <c r="DF463" s="1605"/>
      <c r="DG463" s="1605"/>
      <c r="DH463" s="1605"/>
      <c r="DI463" s="1605"/>
      <c r="DJ463" s="1605"/>
      <c r="DK463" s="1605"/>
      <c r="DL463" s="1605"/>
      <c r="DM463" s="1605"/>
      <c r="DN463" s="1605"/>
      <c r="DO463" s="1605"/>
      <c r="DP463" s="1605"/>
      <c r="DQ463" s="1605"/>
      <c r="DR463" s="1605"/>
      <c r="DS463" s="1605"/>
      <c r="DT463" s="1605"/>
      <c r="DU463" s="1605"/>
      <c r="DV463" s="1605"/>
      <c r="DW463" s="1605"/>
      <c r="DX463" s="1605"/>
      <c r="DY463" s="1605"/>
      <c r="DZ463" s="1605"/>
      <c r="EA463" s="1605"/>
      <c r="EB463" s="1605"/>
      <c r="EC463" s="1605"/>
      <c r="ED463" s="1605"/>
      <c r="EE463" s="1605"/>
      <c r="EF463" s="1605"/>
      <c r="EG463" s="1605"/>
      <c r="EH463" s="1605"/>
      <c r="EI463" s="1605"/>
      <c r="EJ463" s="1605"/>
      <c r="EK463" s="1605"/>
      <c r="EL463" s="1605"/>
      <c r="EM463" s="1605"/>
      <c r="EN463" s="1605"/>
      <c r="EO463" s="1605"/>
      <c r="EP463" s="1605"/>
      <c r="EQ463" s="1605"/>
      <c r="ER463" s="1605"/>
      <c r="ES463" s="1605"/>
      <c r="ET463" s="1605"/>
      <c r="EU463" s="1605"/>
      <c r="EV463" s="1605"/>
      <c r="EW463" s="1605"/>
      <c r="EX463" s="1605"/>
      <c r="EY463" s="1605"/>
      <c r="EZ463" s="1605"/>
      <c r="FA463" s="1605"/>
      <c r="FB463" s="1605"/>
      <c r="FC463" s="1605"/>
      <c r="FD463" s="1605"/>
      <c r="FE463" s="1605"/>
      <c r="FF463" s="1605"/>
      <c r="FG463" s="1605"/>
      <c r="FH463" s="1605"/>
      <c r="FI463" s="1605"/>
      <c r="FJ463" s="1605"/>
      <c r="FK463" s="1605"/>
      <c r="FL463" s="1605"/>
      <c r="FM463" s="1605"/>
      <c r="FN463" s="1605"/>
      <c r="FO463" s="1605"/>
      <c r="FP463" s="1605"/>
      <c r="FQ463" s="1605"/>
      <c r="FR463" s="1605"/>
      <c r="FS463" s="1605"/>
      <c r="FT463" s="1605"/>
      <c r="FU463" s="1605"/>
      <c r="FV463" s="1605"/>
      <c r="FW463" s="1605"/>
      <c r="FX463" s="1605"/>
      <c r="FY463" s="1605"/>
      <c r="FZ463" s="1605"/>
      <c r="GA463" s="1605"/>
      <c r="GB463" s="1605"/>
      <c r="GC463" s="1605"/>
      <c r="GD463" s="1605"/>
      <c r="GE463" s="1605"/>
      <c r="GF463" s="1605"/>
      <c r="GG463" s="1605"/>
      <c r="GH463" s="1605"/>
      <c r="GI463" s="1605"/>
      <c r="GJ463" s="1605"/>
      <c r="GK463" s="1605"/>
      <c r="GL463" s="1605"/>
      <c r="GM463" s="1605"/>
      <c r="GN463" s="1605"/>
      <c r="GO463" s="1605"/>
      <c r="GP463" s="1605"/>
      <c r="GQ463" s="1605"/>
      <c r="GR463" s="1605"/>
      <c r="GS463" s="1605"/>
      <c r="GT463" s="1605"/>
      <c r="GU463" s="1605"/>
      <c r="GV463" s="1605"/>
      <c r="GW463" s="1605"/>
      <c r="GX463" s="1605"/>
      <c r="GY463" s="1605"/>
      <c r="GZ463" s="1605"/>
      <c r="HA463" s="1605"/>
      <c r="HB463" s="1605"/>
      <c r="HC463" s="1605"/>
      <c r="HD463" s="1605"/>
      <c r="HE463" s="1605"/>
      <c r="HF463" s="1605"/>
      <c r="HG463" s="1605"/>
      <c r="HH463" s="1605"/>
      <c r="HI463" s="1605"/>
      <c r="HJ463" s="1605"/>
      <c r="HK463" s="1605"/>
      <c r="HL463" s="1605"/>
      <c r="HM463" s="1605"/>
      <c r="HN463" s="1605"/>
      <c r="HO463" s="1605"/>
      <c r="HP463" s="1605"/>
      <c r="HQ463" s="1605"/>
      <c r="HR463" s="1605"/>
      <c r="HS463" s="1605"/>
      <c r="HT463" s="1605"/>
      <c r="HU463" s="1605"/>
      <c r="HV463" s="1605"/>
      <c r="HW463" s="1605"/>
      <c r="HX463" s="1605"/>
      <c r="HY463" s="1605"/>
      <c r="HZ463" s="1605"/>
      <c r="IA463" s="1605"/>
      <c r="IB463" s="1605"/>
      <c r="IC463" s="1605"/>
      <c r="ID463" s="1605"/>
      <c r="IE463" s="1605"/>
      <c r="IF463" s="1605"/>
      <c r="IG463" s="1605"/>
      <c r="IH463" s="1605"/>
      <c r="II463" s="1605"/>
      <c r="IJ463" s="1605"/>
      <c r="IK463" s="1605"/>
      <c r="IL463" s="1605"/>
      <c r="IM463" s="1605"/>
      <c r="IN463" s="1605"/>
      <c r="IO463" s="1605"/>
      <c r="IP463" s="1605"/>
      <c r="IQ463" s="1605"/>
      <c r="IR463" s="1605"/>
      <c r="IS463" s="1605"/>
      <c r="IT463" s="1605"/>
      <c r="IU463" s="1605"/>
      <c r="IV463" s="1605"/>
      <c r="IW463" s="1605"/>
      <c r="IX463" s="1605"/>
      <c r="IY463" s="1605"/>
      <c r="IZ463" s="1605"/>
      <c r="JA463" s="1605"/>
      <c r="JB463" s="1605"/>
      <c r="JC463" s="1605"/>
      <c r="JD463" s="1605"/>
      <c r="JE463" s="1605"/>
      <c r="JF463" s="1605"/>
      <c r="JG463" s="1605"/>
      <c r="JH463" s="1605"/>
      <c r="JI463" s="1605"/>
      <c r="JJ463" s="1605"/>
      <c r="JK463" s="1605"/>
      <c r="JL463" s="1605"/>
      <c r="JM463" s="1605"/>
      <c r="JN463" s="1605"/>
      <c r="JO463" s="1605"/>
      <c r="JP463" s="1605"/>
      <c r="JQ463" s="1605"/>
      <c r="JR463" s="1605"/>
      <c r="JS463" s="1605"/>
      <c r="JT463" s="1605"/>
      <c r="JU463" s="1605"/>
      <c r="JV463" s="1605"/>
      <c r="JW463" s="1605"/>
      <c r="JX463" s="1605"/>
      <c r="JY463" s="1605"/>
      <c r="JZ463" s="1605"/>
      <c r="KA463" s="1605"/>
      <c r="KB463" s="1606"/>
    </row>
    <row r="464" spans="2:288" ht="15" customHeight="1" x14ac:dyDescent="0.25">
      <c r="B464" s="216" t="str">
        <f t="shared" si="37"/>
        <v>Desk 40</v>
      </c>
      <c r="C464" s="218" t="str">
        <v/>
      </c>
      <c r="D464" s="218" t="str">
        <v/>
      </c>
      <c r="E464" s="218" t="str">
        <v/>
      </c>
      <c r="F464" s="218" t="str">
        <v/>
      </c>
      <c r="G464" s="402" t="str">
        <v/>
      </c>
      <c r="H464" s="1605"/>
      <c r="I464" s="1605"/>
      <c r="J464" s="1605"/>
      <c r="K464" s="1605"/>
      <c r="L464" s="1605"/>
      <c r="M464" s="1605"/>
      <c r="N464" s="1605"/>
      <c r="O464" s="1605"/>
      <c r="P464" s="1605"/>
      <c r="Q464" s="1605"/>
      <c r="R464" s="1605"/>
      <c r="S464" s="1605"/>
      <c r="T464" s="1605"/>
      <c r="U464" s="1605"/>
      <c r="V464" s="1605"/>
      <c r="W464" s="1605"/>
      <c r="X464" s="1605"/>
      <c r="Y464" s="1605"/>
      <c r="Z464" s="1605"/>
      <c r="AA464" s="1605"/>
      <c r="AB464" s="1605"/>
      <c r="AC464" s="1605"/>
      <c r="AD464" s="1605"/>
      <c r="AE464" s="1605"/>
      <c r="AF464" s="1605"/>
      <c r="AG464" s="1605"/>
      <c r="AH464" s="1605"/>
      <c r="AI464" s="1605"/>
      <c r="AJ464" s="1605"/>
      <c r="AK464" s="1605"/>
      <c r="AL464" s="1605"/>
      <c r="AM464" s="1605"/>
      <c r="AN464" s="1605"/>
      <c r="AO464" s="1605"/>
      <c r="AP464" s="1605"/>
      <c r="AQ464" s="1605"/>
      <c r="AR464" s="1605"/>
      <c r="AS464" s="1605"/>
      <c r="AT464" s="1605"/>
      <c r="AU464" s="1605"/>
      <c r="AV464" s="1605"/>
      <c r="AW464" s="1605"/>
      <c r="AX464" s="1605"/>
      <c r="AY464" s="1605"/>
      <c r="AZ464" s="1605"/>
      <c r="BA464" s="1605"/>
      <c r="BB464" s="1605"/>
      <c r="BC464" s="1605"/>
      <c r="BD464" s="1605"/>
      <c r="BE464" s="1605"/>
      <c r="BF464" s="1605"/>
      <c r="BG464" s="1605"/>
      <c r="BH464" s="1605"/>
      <c r="BI464" s="1605"/>
      <c r="BJ464" s="1605"/>
      <c r="BK464" s="1605"/>
      <c r="BL464" s="1605"/>
      <c r="BM464" s="1605"/>
      <c r="BN464" s="1605"/>
      <c r="BO464" s="1605"/>
      <c r="BP464" s="1605"/>
      <c r="BQ464" s="1605"/>
      <c r="BR464" s="1605"/>
      <c r="BS464" s="1605"/>
      <c r="BT464" s="1605"/>
      <c r="BU464" s="1605"/>
      <c r="BV464" s="1605"/>
      <c r="BW464" s="1605"/>
      <c r="BX464" s="1605"/>
      <c r="BY464" s="1605"/>
      <c r="BZ464" s="1605"/>
      <c r="CA464" s="1605"/>
      <c r="CB464" s="1605"/>
      <c r="CC464" s="1605"/>
      <c r="CD464" s="1605"/>
      <c r="CE464" s="1605"/>
      <c r="CF464" s="1605"/>
      <c r="CG464" s="1605"/>
      <c r="CH464" s="1605"/>
      <c r="CI464" s="1605"/>
      <c r="CJ464" s="1605"/>
      <c r="CK464" s="1605"/>
      <c r="CL464" s="1605"/>
      <c r="CM464" s="1605"/>
      <c r="CN464" s="1605"/>
      <c r="CO464" s="1605"/>
      <c r="CP464" s="1605"/>
      <c r="CQ464" s="1605"/>
      <c r="CR464" s="1605"/>
      <c r="CS464" s="1605"/>
      <c r="CT464" s="1605"/>
      <c r="CU464" s="1605"/>
      <c r="CV464" s="1605"/>
      <c r="CW464" s="1605"/>
      <c r="CX464" s="1605"/>
      <c r="CY464" s="1605"/>
      <c r="CZ464" s="1605"/>
      <c r="DA464" s="1605"/>
      <c r="DB464" s="1605"/>
      <c r="DC464" s="1605"/>
      <c r="DD464" s="1605"/>
      <c r="DE464" s="1605"/>
      <c r="DF464" s="1605"/>
      <c r="DG464" s="1605"/>
      <c r="DH464" s="1605"/>
      <c r="DI464" s="1605"/>
      <c r="DJ464" s="1605"/>
      <c r="DK464" s="1605"/>
      <c r="DL464" s="1605"/>
      <c r="DM464" s="1605"/>
      <c r="DN464" s="1605"/>
      <c r="DO464" s="1605"/>
      <c r="DP464" s="1605"/>
      <c r="DQ464" s="1605"/>
      <c r="DR464" s="1605"/>
      <c r="DS464" s="1605"/>
      <c r="DT464" s="1605"/>
      <c r="DU464" s="1605"/>
      <c r="DV464" s="1605"/>
      <c r="DW464" s="1605"/>
      <c r="DX464" s="1605"/>
      <c r="DY464" s="1605"/>
      <c r="DZ464" s="1605"/>
      <c r="EA464" s="1605"/>
      <c r="EB464" s="1605"/>
      <c r="EC464" s="1605"/>
      <c r="ED464" s="1605"/>
      <c r="EE464" s="1605"/>
      <c r="EF464" s="1605"/>
      <c r="EG464" s="1605"/>
      <c r="EH464" s="1605"/>
      <c r="EI464" s="1605"/>
      <c r="EJ464" s="1605"/>
      <c r="EK464" s="1605"/>
      <c r="EL464" s="1605"/>
      <c r="EM464" s="1605"/>
      <c r="EN464" s="1605"/>
      <c r="EO464" s="1605"/>
      <c r="EP464" s="1605"/>
      <c r="EQ464" s="1605"/>
      <c r="ER464" s="1605"/>
      <c r="ES464" s="1605"/>
      <c r="ET464" s="1605"/>
      <c r="EU464" s="1605"/>
      <c r="EV464" s="1605"/>
      <c r="EW464" s="1605"/>
      <c r="EX464" s="1605"/>
      <c r="EY464" s="1605"/>
      <c r="EZ464" s="1605"/>
      <c r="FA464" s="1605"/>
      <c r="FB464" s="1605"/>
      <c r="FC464" s="1605"/>
      <c r="FD464" s="1605"/>
      <c r="FE464" s="1605"/>
      <c r="FF464" s="1605"/>
      <c r="FG464" s="1605"/>
      <c r="FH464" s="1605"/>
      <c r="FI464" s="1605"/>
      <c r="FJ464" s="1605"/>
      <c r="FK464" s="1605"/>
      <c r="FL464" s="1605"/>
      <c r="FM464" s="1605"/>
      <c r="FN464" s="1605"/>
      <c r="FO464" s="1605"/>
      <c r="FP464" s="1605"/>
      <c r="FQ464" s="1605"/>
      <c r="FR464" s="1605"/>
      <c r="FS464" s="1605"/>
      <c r="FT464" s="1605"/>
      <c r="FU464" s="1605"/>
      <c r="FV464" s="1605"/>
      <c r="FW464" s="1605"/>
      <c r="FX464" s="1605"/>
      <c r="FY464" s="1605"/>
      <c r="FZ464" s="1605"/>
      <c r="GA464" s="1605"/>
      <c r="GB464" s="1605"/>
      <c r="GC464" s="1605"/>
      <c r="GD464" s="1605"/>
      <c r="GE464" s="1605"/>
      <c r="GF464" s="1605"/>
      <c r="GG464" s="1605"/>
      <c r="GH464" s="1605"/>
      <c r="GI464" s="1605"/>
      <c r="GJ464" s="1605"/>
      <c r="GK464" s="1605"/>
      <c r="GL464" s="1605"/>
      <c r="GM464" s="1605"/>
      <c r="GN464" s="1605"/>
      <c r="GO464" s="1605"/>
      <c r="GP464" s="1605"/>
      <c r="GQ464" s="1605"/>
      <c r="GR464" s="1605"/>
      <c r="GS464" s="1605"/>
      <c r="GT464" s="1605"/>
      <c r="GU464" s="1605"/>
      <c r="GV464" s="1605"/>
      <c r="GW464" s="1605"/>
      <c r="GX464" s="1605"/>
      <c r="GY464" s="1605"/>
      <c r="GZ464" s="1605"/>
      <c r="HA464" s="1605"/>
      <c r="HB464" s="1605"/>
      <c r="HC464" s="1605"/>
      <c r="HD464" s="1605"/>
      <c r="HE464" s="1605"/>
      <c r="HF464" s="1605"/>
      <c r="HG464" s="1605"/>
      <c r="HH464" s="1605"/>
      <c r="HI464" s="1605"/>
      <c r="HJ464" s="1605"/>
      <c r="HK464" s="1605"/>
      <c r="HL464" s="1605"/>
      <c r="HM464" s="1605"/>
      <c r="HN464" s="1605"/>
      <c r="HO464" s="1605"/>
      <c r="HP464" s="1605"/>
      <c r="HQ464" s="1605"/>
      <c r="HR464" s="1605"/>
      <c r="HS464" s="1605"/>
      <c r="HT464" s="1605"/>
      <c r="HU464" s="1605"/>
      <c r="HV464" s="1605"/>
      <c r="HW464" s="1605"/>
      <c r="HX464" s="1605"/>
      <c r="HY464" s="1605"/>
      <c r="HZ464" s="1605"/>
      <c r="IA464" s="1605"/>
      <c r="IB464" s="1605"/>
      <c r="IC464" s="1605"/>
      <c r="ID464" s="1605"/>
      <c r="IE464" s="1605"/>
      <c r="IF464" s="1605"/>
      <c r="IG464" s="1605"/>
      <c r="IH464" s="1605"/>
      <c r="II464" s="1605"/>
      <c r="IJ464" s="1605"/>
      <c r="IK464" s="1605"/>
      <c r="IL464" s="1605"/>
      <c r="IM464" s="1605"/>
      <c r="IN464" s="1605"/>
      <c r="IO464" s="1605"/>
      <c r="IP464" s="1605"/>
      <c r="IQ464" s="1605"/>
      <c r="IR464" s="1605"/>
      <c r="IS464" s="1605"/>
      <c r="IT464" s="1605"/>
      <c r="IU464" s="1605"/>
      <c r="IV464" s="1605"/>
      <c r="IW464" s="1605"/>
      <c r="IX464" s="1605"/>
      <c r="IY464" s="1605"/>
      <c r="IZ464" s="1605"/>
      <c r="JA464" s="1605"/>
      <c r="JB464" s="1605"/>
      <c r="JC464" s="1605"/>
      <c r="JD464" s="1605"/>
      <c r="JE464" s="1605"/>
      <c r="JF464" s="1605"/>
      <c r="JG464" s="1605"/>
      <c r="JH464" s="1605"/>
      <c r="JI464" s="1605"/>
      <c r="JJ464" s="1605"/>
      <c r="JK464" s="1605"/>
      <c r="JL464" s="1605"/>
      <c r="JM464" s="1605"/>
      <c r="JN464" s="1605"/>
      <c r="JO464" s="1605"/>
      <c r="JP464" s="1605"/>
      <c r="JQ464" s="1605"/>
      <c r="JR464" s="1605"/>
      <c r="JS464" s="1605"/>
      <c r="JT464" s="1605"/>
      <c r="JU464" s="1605"/>
      <c r="JV464" s="1605"/>
      <c r="JW464" s="1605"/>
      <c r="JX464" s="1605"/>
      <c r="JY464" s="1605"/>
      <c r="JZ464" s="1605"/>
      <c r="KA464" s="1605"/>
      <c r="KB464" s="1606"/>
    </row>
    <row r="465" spans="2:288" ht="15" customHeight="1" x14ac:dyDescent="0.25">
      <c r="B465" s="216" t="str">
        <f t="shared" si="37"/>
        <v>Desk 41</v>
      </c>
      <c r="C465" s="218" t="str">
        <v/>
      </c>
      <c r="D465" s="218" t="str">
        <v/>
      </c>
      <c r="E465" s="218" t="str">
        <v/>
      </c>
      <c r="F465" s="218" t="str">
        <v/>
      </c>
      <c r="G465" s="402" t="str">
        <v/>
      </c>
      <c r="H465" s="1605"/>
      <c r="I465" s="1605"/>
      <c r="J465" s="1605"/>
      <c r="K465" s="1605"/>
      <c r="L465" s="1605"/>
      <c r="M465" s="1605"/>
      <c r="N465" s="1605"/>
      <c r="O465" s="1605"/>
      <c r="P465" s="1605"/>
      <c r="Q465" s="1605"/>
      <c r="R465" s="1605"/>
      <c r="S465" s="1605"/>
      <c r="T465" s="1605"/>
      <c r="U465" s="1605"/>
      <c r="V465" s="1605"/>
      <c r="W465" s="1605"/>
      <c r="X465" s="1605"/>
      <c r="Y465" s="1605"/>
      <c r="Z465" s="1605"/>
      <c r="AA465" s="1605"/>
      <c r="AB465" s="1605"/>
      <c r="AC465" s="1605"/>
      <c r="AD465" s="1605"/>
      <c r="AE465" s="1605"/>
      <c r="AF465" s="1605"/>
      <c r="AG465" s="1605"/>
      <c r="AH465" s="1605"/>
      <c r="AI465" s="1605"/>
      <c r="AJ465" s="1605"/>
      <c r="AK465" s="1605"/>
      <c r="AL465" s="1605"/>
      <c r="AM465" s="1605"/>
      <c r="AN465" s="1605"/>
      <c r="AO465" s="1605"/>
      <c r="AP465" s="1605"/>
      <c r="AQ465" s="1605"/>
      <c r="AR465" s="1605"/>
      <c r="AS465" s="1605"/>
      <c r="AT465" s="1605"/>
      <c r="AU465" s="1605"/>
      <c r="AV465" s="1605"/>
      <c r="AW465" s="1605"/>
      <c r="AX465" s="1605"/>
      <c r="AY465" s="1605"/>
      <c r="AZ465" s="1605"/>
      <c r="BA465" s="1605"/>
      <c r="BB465" s="1605"/>
      <c r="BC465" s="1605"/>
      <c r="BD465" s="1605"/>
      <c r="BE465" s="1605"/>
      <c r="BF465" s="1605"/>
      <c r="BG465" s="1605"/>
      <c r="BH465" s="1605"/>
      <c r="BI465" s="1605"/>
      <c r="BJ465" s="1605"/>
      <c r="BK465" s="1605"/>
      <c r="BL465" s="1605"/>
      <c r="BM465" s="1605"/>
      <c r="BN465" s="1605"/>
      <c r="BO465" s="1605"/>
      <c r="BP465" s="1605"/>
      <c r="BQ465" s="1605"/>
      <c r="BR465" s="1605"/>
      <c r="BS465" s="1605"/>
      <c r="BT465" s="1605"/>
      <c r="BU465" s="1605"/>
      <c r="BV465" s="1605"/>
      <c r="BW465" s="1605"/>
      <c r="BX465" s="1605"/>
      <c r="BY465" s="1605"/>
      <c r="BZ465" s="1605"/>
      <c r="CA465" s="1605"/>
      <c r="CB465" s="1605"/>
      <c r="CC465" s="1605"/>
      <c r="CD465" s="1605"/>
      <c r="CE465" s="1605"/>
      <c r="CF465" s="1605"/>
      <c r="CG465" s="1605"/>
      <c r="CH465" s="1605"/>
      <c r="CI465" s="1605"/>
      <c r="CJ465" s="1605"/>
      <c r="CK465" s="1605"/>
      <c r="CL465" s="1605"/>
      <c r="CM465" s="1605"/>
      <c r="CN465" s="1605"/>
      <c r="CO465" s="1605"/>
      <c r="CP465" s="1605"/>
      <c r="CQ465" s="1605"/>
      <c r="CR465" s="1605"/>
      <c r="CS465" s="1605"/>
      <c r="CT465" s="1605"/>
      <c r="CU465" s="1605"/>
      <c r="CV465" s="1605"/>
      <c r="CW465" s="1605"/>
      <c r="CX465" s="1605"/>
      <c r="CY465" s="1605"/>
      <c r="CZ465" s="1605"/>
      <c r="DA465" s="1605"/>
      <c r="DB465" s="1605"/>
      <c r="DC465" s="1605"/>
      <c r="DD465" s="1605"/>
      <c r="DE465" s="1605"/>
      <c r="DF465" s="1605"/>
      <c r="DG465" s="1605"/>
      <c r="DH465" s="1605"/>
      <c r="DI465" s="1605"/>
      <c r="DJ465" s="1605"/>
      <c r="DK465" s="1605"/>
      <c r="DL465" s="1605"/>
      <c r="DM465" s="1605"/>
      <c r="DN465" s="1605"/>
      <c r="DO465" s="1605"/>
      <c r="DP465" s="1605"/>
      <c r="DQ465" s="1605"/>
      <c r="DR465" s="1605"/>
      <c r="DS465" s="1605"/>
      <c r="DT465" s="1605"/>
      <c r="DU465" s="1605"/>
      <c r="DV465" s="1605"/>
      <c r="DW465" s="1605"/>
      <c r="DX465" s="1605"/>
      <c r="DY465" s="1605"/>
      <c r="DZ465" s="1605"/>
      <c r="EA465" s="1605"/>
      <c r="EB465" s="1605"/>
      <c r="EC465" s="1605"/>
      <c r="ED465" s="1605"/>
      <c r="EE465" s="1605"/>
      <c r="EF465" s="1605"/>
      <c r="EG465" s="1605"/>
      <c r="EH465" s="1605"/>
      <c r="EI465" s="1605"/>
      <c r="EJ465" s="1605"/>
      <c r="EK465" s="1605"/>
      <c r="EL465" s="1605"/>
      <c r="EM465" s="1605"/>
      <c r="EN465" s="1605"/>
      <c r="EO465" s="1605"/>
      <c r="EP465" s="1605"/>
      <c r="EQ465" s="1605"/>
      <c r="ER465" s="1605"/>
      <c r="ES465" s="1605"/>
      <c r="ET465" s="1605"/>
      <c r="EU465" s="1605"/>
      <c r="EV465" s="1605"/>
      <c r="EW465" s="1605"/>
      <c r="EX465" s="1605"/>
      <c r="EY465" s="1605"/>
      <c r="EZ465" s="1605"/>
      <c r="FA465" s="1605"/>
      <c r="FB465" s="1605"/>
      <c r="FC465" s="1605"/>
      <c r="FD465" s="1605"/>
      <c r="FE465" s="1605"/>
      <c r="FF465" s="1605"/>
      <c r="FG465" s="1605"/>
      <c r="FH465" s="1605"/>
      <c r="FI465" s="1605"/>
      <c r="FJ465" s="1605"/>
      <c r="FK465" s="1605"/>
      <c r="FL465" s="1605"/>
      <c r="FM465" s="1605"/>
      <c r="FN465" s="1605"/>
      <c r="FO465" s="1605"/>
      <c r="FP465" s="1605"/>
      <c r="FQ465" s="1605"/>
      <c r="FR465" s="1605"/>
      <c r="FS465" s="1605"/>
      <c r="FT465" s="1605"/>
      <c r="FU465" s="1605"/>
      <c r="FV465" s="1605"/>
      <c r="FW465" s="1605"/>
      <c r="FX465" s="1605"/>
      <c r="FY465" s="1605"/>
      <c r="FZ465" s="1605"/>
      <c r="GA465" s="1605"/>
      <c r="GB465" s="1605"/>
      <c r="GC465" s="1605"/>
      <c r="GD465" s="1605"/>
      <c r="GE465" s="1605"/>
      <c r="GF465" s="1605"/>
      <c r="GG465" s="1605"/>
      <c r="GH465" s="1605"/>
      <c r="GI465" s="1605"/>
      <c r="GJ465" s="1605"/>
      <c r="GK465" s="1605"/>
      <c r="GL465" s="1605"/>
      <c r="GM465" s="1605"/>
      <c r="GN465" s="1605"/>
      <c r="GO465" s="1605"/>
      <c r="GP465" s="1605"/>
      <c r="GQ465" s="1605"/>
      <c r="GR465" s="1605"/>
      <c r="GS465" s="1605"/>
      <c r="GT465" s="1605"/>
      <c r="GU465" s="1605"/>
      <c r="GV465" s="1605"/>
      <c r="GW465" s="1605"/>
      <c r="GX465" s="1605"/>
      <c r="GY465" s="1605"/>
      <c r="GZ465" s="1605"/>
      <c r="HA465" s="1605"/>
      <c r="HB465" s="1605"/>
      <c r="HC465" s="1605"/>
      <c r="HD465" s="1605"/>
      <c r="HE465" s="1605"/>
      <c r="HF465" s="1605"/>
      <c r="HG465" s="1605"/>
      <c r="HH465" s="1605"/>
      <c r="HI465" s="1605"/>
      <c r="HJ465" s="1605"/>
      <c r="HK465" s="1605"/>
      <c r="HL465" s="1605"/>
      <c r="HM465" s="1605"/>
      <c r="HN465" s="1605"/>
      <c r="HO465" s="1605"/>
      <c r="HP465" s="1605"/>
      <c r="HQ465" s="1605"/>
      <c r="HR465" s="1605"/>
      <c r="HS465" s="1605"/>
      <c r="HT465" s="1605"/>
      <c r="HU465" s="1605"/>
      <c r="HV465" s="1605"/>
      <c r="HW465" s="1605"/>
      <c r="HX465" s="1605"/>
      <c r="HY465" s="1605"/>
      <c r="HZ465" s="1605"/>
      <c r="IA465" s="1605"/>
      <c r="IB465" s="1605"/>
      <c r="IC465" s="1605"/>
      <c r="ID465" s="1605"/>
      <c r="IE465" s="1605"/>
      <c r="IF465" s="1605"/>
      <c r="IG465" s="1605"/>
      <c r="IH465" s="1605"/>
      <c r="II465" s="1605"/>
      <c r="IJ465" s="1605"/>
      <c r="IK465" s="1605"/>
      <c r="IL465" s="1605"/>
      <c r="IM465" s="1605"/>
      <c r="IN465" s="1605"/>
      <c r="IO465" s="1605"/>
      <c r="IP465" s="1605"/>
      <c r="IQ465" s="1605"/>
      <c r="IR465" s="1605"/>
      <c r="IS465" s="1605"/>
      <c r="IT465" s="1605"/>
      <c r="IU465" s="1605"/>
      <c r="IV465" s="1605"/>
      <c r="IW465" s="1605"/>
      <c r="IX465" s="1605"/>
      <c r="IY465" s="1605"/>
      <c r="IZ465" s="1605"/>
      <c r="JA465" s="1605"/>
      <c r="JB465" s="1605"/>
      <c r="JC465" s="1605"/>
      <c r="JD465" s="1605"/>
      <c r="JE465" s="1605"/>
      <c r="JF465" s="1605"/>
      <c r="JG465" s="1605"/>
      <c r="JH465" s="1605"/>
      <c r="JI465" s="1605"/>
      <c r="JJ465" s="1605"/>
      <c r="JK465" s="1605"/>
      <c r="JL465" s="1605"/>
      <c r="JM465" s="1605"/>
      <c r="JN465" s="1605"/>
      <c r="JO465" s="1605"/>
      <c r="JP465" s="1605"/>
      <c r="JQ465" s="1605"/>
      <c r="JR465" s="1605"/>
      <c r="JS465" s="1605"/>
      <c r="JT465" s="1605"/>
      <c r="JU465" s="1605"/>
      <c r="JV465" s="1605"/>
      <c r="JW465" s="1605"/>
      <c r="JX465" s="1605"/>
      <c r="JY465" s="1605"/>
      <c r="JZ465" s="1605"/>
      <c r="KA465" s="1605"/>
      <c r="KB465" s="1606"/>
    </row>
    <row r="466" spans="2:288" ht="15" customHeight="1" x14ac:dyDescent="0.25">
      <c r="B466" s="216" t="str">
        <f t="shared" si="37"/>
        <v>Desk 42</v>
      </c>
      <c r="C466" s="218" t="str">
        <v/>
      </c>
      <c r="D466" s="218" t="str">
        <v/>
      </c>
      <c r="E466" s="218" t="str">
        <v/>
      </c>
      <c r="F466" s="218" t="str">
        <v/>
      </c>
      <c r="G466" s="402" t="str">
        <v/>
      </c>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1605"/>
      <c r="AN466" s="1605"/>
      <c r="AO466" s="1605"/>
      <c r="AP466" s="1605"/>
      <c r="AQ466" s="1605"/>
      <c r="AR466" s="1605"/>
      <c r="AS466" s="1605"/>
      <c r="AT466" s="1605"/>
      <c r="AU466" s="1605"/>
      <c r="AV466" s="1605"/>
      <c r="AW466" s="1605"/>
      <c r="AX466" s="1605"/>
      <c r="AY466" s="1605"/>
      <c r="AZ466" s="1605"/>
      <c r="BA466" s="1605"/>
      <c r="BB466" s="1605"/>
      <c r="BC466" s="1605"/>
      <c r="BD466" s="1605"/>
      <c r="BE466" s="1605"/>
      <c r="BF466" s="1605"/>
      <c r="BG466" s="1605"/>
      <c r="BH466" s="1605"/>
      <c r="BI466" s="1605"/>
      <c r="BJ466" s="1605"/>
      <c r="BK466" s="1605"/>
      <c r="BL466" s="1605"/>
      <c r="BM466" s="1605"/>
      <c r="BN466" s="1605"/>
      <c r="BO466" s="1605"/>
      <c r="BP466" s="1605"/>
      <c r="BQ466" s="1605"/>
      <c r="BR466" s="1605"/>
      <c r="BS466" s="1605"/>
      <c r="BT466" s="1605"/>
      <c r="BU466" s="1605"/>
      <c r="BV466" s="1605"/>
      <c r="BW466" s="1605"/>
      <c r="BX466" s="1605"/>
      <c r="BY466" s="1605"/>
      <c r="BZ466" s="1605"/>
      <c r="CA466" s="1605"/>
      <c r="CB466" s="1605"/>
      <c r="CC466" s="1605"/>
      <c r="CD466" s="1605"/>
      <c r="CE466" s="1605"/>
      <c r="CF466" s="1605"/>
      <c r="CG466" s="1605"/>
      <c r="CH466" s="1605"/>
      <c r="CI466" s="1605"/>
      <c r="CJ466" s="1605"/>
      <c r="CK466" s="1605"/>
      <c r="CL466" s="1605"/>
      <c r="CM466" s="1605"/>
      <c r="CN466" s="1605"/>
      <c r="CO466" s="1605"/>
      <c r="CP466" s="1605"/>
      <c r="CQ466" s="1605"/>
      <c r="CR466" s="1605"/>
      <c r="CS466" s="1605"/>
      <c r="CT466" s="1605"/>
      <c r="CU466" s="1605"/>
      <c r="CV466" s="1605"/>
      <c r="CW466" s="1605"/>
      <c r="CX466" s="1605"/>
      <c r="CY466" s="1605"/>
      <c r="CZ466" s="1605"/>
      <c r="DA466" s="1605"/>
      <c r="DB466" s="1605"/>
      <c r="DC466" s="1605"/>
      <c r="DD466" s="1605"/>
      <c r="DE466" s="1605"/>
      <c r="DF466" s="1605"/>
      <c r="DG466" s="1605"/>
      <c r="DH466" s="1605"/>
      <c r="DI466" s="1605"/>
      <c r="DJ466" s="1605"/>
      <c r="DK466" s="1605"/>
      <c r="DL466" s="1605"/>
      <c r="DM466" s="1605"/>
      <c r="DN466" s="1605"/>
      <c r="DO466" s="1605"/>
      <c r="DP466" s="1605"/>
      <c r="DQ466" s="1605"/>
      <c r="DR466" s="1605"/>
      <c r="DS466" s="1605"/>
      <c r="DT466" s="1605"/>
      <c r="DU466" s="1605"/>
      <c r="DV466" s="1605"/>
      <c r="DW466" s="1605"/>
      <c r="DX466" s="1605"/>
      <c r="DY466" s="1605"/>
      <c r="DZ466" s="1605"/>
      <c r="EA466" s="1605"/>
      <c r="EB466" s="1605"/>
      <c r="EC466" s="1605"/>
      <c r="ED466" s="1605"/>
      <c r="EE466" s="1605"/>
      <c r="EF466" s="1605"/>
      <c r="EG466" s="1605"/>
      <c r="EH466" s="1605"/>
      <c r="EI466" s="1605"/>
      <c r="EJ466" s="1605"/>
      <c r="EK466" s="1605"/>
      <c r="EL466" s="1605"/>
      <c r="EM466" s="1605"/>
      <c r="EN466" s="1605"/>
      <c r="EO466" s="1605"/>
      <c r="EP466" s="1605"/>
      <c r="EQ466" s="1605"/>
      <c r="ER466" s="1605"/>
      <c r="ES466" s="1605"/>
      <c r="ET466" s="1605"/>
      <c r="EU466" s="1605"/>
      <c r="EV466" s="1605"/>
      <c r="EW466" s="1605"/>
      <c r="EX466" s="1605"/>
      <c r="EY466" s="1605"/>
      <c r="EZ466" s="1605"/>
      <c r="FA466" s="1605"/>
      <c r="FB466" s="1605"/>
      <c r="FC466" s="1605"/>
      <c r="FD466" s="1605"/>
      <c r="FE466" s="1605"/>
      <c r="FF466" s="1605"/>
      <c r="FG466" s="1605"/>
      <c r="FH466" s="1605"/>
      <c r="FI466" s="1605"/>
      <c r="FJ466" s="1605"/>
      <c r="FK466" s="1605"/>
      <c r="FL466" s="1605"/>
      <c r="FM466" s="1605"/>
      <c r="FN466" s="1605"/>
      <c r="FO466" s="1605"/>
      <c r="FP466" s="1605"/>
      <c r="FQ466" s="1605"/>
      <c r="FR466" s="1605"/>
      <c r="FS466" s="1605"/>
      <c r="FT466" s="1605"/>
      <c r="FU466" s="1605"/>
      <c r="FV466" s="1605"/>
      <c r="FW466" s="1605"/>
      <c r="FX466" s="1605"/>
      <c r="FY466" s="1605"/>
      <c r="FZ466" s="1605"/>
      <c r="GA466" s="1605"/>
      <c r="GB466" s="1605"/>
      <c r="GC466" s="1605"/>
      <c r="GD466" s="1605"/>
      <c r="GE466" s="1605"/>
      <c r="GF466" s="1605"/>
      <c r="GG466" s="1605"/>
      <c r="GH466" s="1605"/>
      <c r="GI466" s="1605"/>
      <c r="GJ466" s="1605"/>
      <c r="GK466" s="1605"/>
      <c r="GL466" s="1605"/>
      <c r="GM466" s="1605"/>
      <c r="GN466" s="1605"/>
      <c r="GO466" s="1605"/>
      <c r="GP466" s="1605"/>
      <c r="GQ466" s="1605"/>
      <c r="GR466" s="1605"/>
      <c r="GS466" s="1605"/>
      <c r="GT466" s="1605"/>
      <c r="GU466" s="1605"/>
      <c r="GV466" s="1605"/>
      <c r="GW466" s="1605"/>
      <c r="GX466" s="1605"/>
      <c r="GY466" s="1605"/>
      <c r="GZ466" s="1605"/>
      <c r="HA466" s="1605"/>
      <c r="HB466" s="1605"/>
      <c r="HC466" s="1605"/>
      <c r="HD466" s="1605"/>
      <c r="HE466" s="1605"/>
      <c r="HF466" s="1605"/>
      <c r="HG466" s="1605"/>
      <c r="HH466" s="1605"/>
      <c r="HI466" s="1605"/>
      <c r="HJ466" s="1605"/>
      <c r="HK466" s="1605"/>
      <c r="HL466" s="1605"/>
      <c r="HM466" s="1605"/>
      <c r="HN466" s="1605"/>
      <c r="HO466" s="1605"/>
      <c r="HP466" s="1605"/>
      <c r="HQ466" s="1605"/>
      <c r="HR466" s="1605"/>
      <c r="HS466" s="1605"/>
      <c r="HT466" s="1605"/>
      <c r="HU466" s="1605"/>
      <c r="HV466" s="1605"/>
      <c r="HW466" s="1605"/>
      <c r="HX466" s="1605"/>
      <c r="HY466" s="1605"/>
      <c r="HZ466" s="1605"/>
      <c r="IA466" s="1605"/>
      <c r="IB466" s="1605"/>
      <c r="IC466" s="1605"/>
      <c r="ID466" s="1605"/>
      <c r="IE466" s="1605"/>
      <c r="IF466" s="1605"/>
      <c r="IG466" s="1605"/>
      <c r="IH466" s="1605"/>
      <c r="II466" s="1605"/>
      <c r="IJ466" s="1605"/>
      <c r="IK466" s="1605"/>
      <c r="IL466" s="1605"/>
      <c r="IM466" s="1605"/>
      <c r="IN466" s="1605"/>
      <c r="IO466" s="1605"/>
      <c r="IP466" s="1605"/>
      <c r="IQ466" s="1605"/>
      <c r="IR466" s="1605"/>
      <c r="IS466" s="1605"/>
      <c r="IT466" s="1605"/>
      <c r="IU466" s="1605"/>
      <c r="IV466" s="1605"/>
      <c r="IW466" s="1605"/>
      <c r="IX466" s="1605"/>
      <c r="IY466" s="1605"/>
      <c r="IZ466" s="1605"/>
      <c r="JA466" s="1605"/>
      <c r="JB466" s="1605"/>
      <c r="JC466" s="1605"/>
      <c r="JD466" s="1605"/>
      <c r="JE466" s="1605"/>
      <c r="JF466" s="1605"/>
      <c r="JG466" s="1605"/>
      <c r="JH466" s="1605"/>
      <c r="JI466" s="1605"/>
      <c r="JJ466" s="1605"/>
      <c r="JK466" s="1605"/>
      <c r="JL466" s="1605"/>
      <c r="JM466" s="1605"/>
      <c r="JN466" s="1605"/>
      <c r="JO466" s="1605"/>
      <c r="JP466" s="1605"/>
      <c r="JQ466" s="1605"/>
      <c r="JR466" s="1605"/>
      <c r="JS466" s="1605"/>
      <c r="JT466" s="1605"/>
      <c r="JU466" s="1605"/>
      <c r="JV466" s="1605"/>
      <c r="JW466" s="1605"/>
      <c r="JX466" s="1605"/>
      <c r="JY466" s="1605"/>
      <c r="JZ466" s="1605"/>
      <c r="KA466" s="1605"/>
      <c r="KB466" s="1606"/>
    </row>
    <row r="467" spans="2:288" ht="15" customHeight="1" x14ac:dyDescent="0.25">
      <c r="B467" s="216" t="str">
        <f t="shared" si="37"/>
        <v>Desk 43</v>
      </c>
      <c r="C467" s="218" t="str">
        <v/>
      </c>
      <c r="D467" s="218" t="str">
        <v/>
      </c>
      <c r="E467" s="218" t="str">
        <v/>
      </c>
      <c r="F467" s="218" t="str">
        <v/>
      </c>
      <c r="G467" s="402" t="str">
        <v/>
      </c>
      <c r="H467" s="1605"/>
      <c r="I467" s="1605"/>
      <c r="J467" s="1605"/>
      <c r="K467" s="1605"/>
      <c r="L467" s="1605"/>
      <c r="M467" s="1605"/>
      <c r="N467" s="1605"/>
      <c r="O467" s="1605"/>
      <c r="P467" s="1605"/>
      <c r="Q467" s="1605"/>
      <c r="R467" s="1605"/>
      <c r="S467" s="1605"/>
      <c r="T467" s="1605"/>
      <c r="U467" s="1605"/>
      <c r="V467" s="1605"/>
      <c r="W467" s="1605"/>
      <c r="X467" s="1605"/>
      <c r="Y467" s="1605"/>
      <c r="Z467" s="1605"/>
      <c r="AA467" s="1605"/>
      <c r="AB467" s="1605"/>
      <c r="AC467" s="1605"/>
      <c r="AD467" s="1605"/>
      <c r="AE467" s="1605"/>
      <c r="AF467" s="1605"/>
      <c r="AG467" s="1605"/>
      <c r="AH467" s="1605"/>
      <c r="AI467" s="1605"/>
      <c r="AJ467" s="1605"/>
      <c r="AK467" s="1605"/>
      <c r="AL467" s="1605"/>
      <c r="AM467" s="1605"/>
      <c r="AN467" s="1605"/>
      <c r="AO467" s="1605"/>
      <c r="AP467" s="1605"/>
      <c r="AQ467" s="1605"/>
      <c r="AR467" s="1605"/>
      <c r="AS467" s="1605"/>
      <c r="AT467" s="1605"/>
      <c r="AU467" s="1605"/>
      <c r="AV467" s="1605"/>
      <c r="AW467" s="1605"/>
      <c r="AX467" s="1605"/>
      <c r="AY467" s="1605"/>
      <c r="AZ467" s="1605"/>
      <c r="BA467" s="1605"/>
      <c r="BB467" s="1605"/>
      <c r="BC467" s="1605"/>
      <c r="BD467" s="1605"/>
      <c r="BE467" s="1605"/>
      <c r="BF467" s="1605"/>
      <c r="BG467" s="1605"/>
      <c r="BH467" s="1605"/>
      <c r="BI467" s="1605"/>
      <c r="BJ467" s="1605"/>
      <c r="BK467" s="1605"/>
      <c r="BL467" s="1605"/>
      <c r="BM467" s="1605"/>
      <c r="BN467" s="1605"/>
      <c r="BO467" s="1605"/>
      <c r="BP467" s="1605"/>
      <c r="BQ467" s="1605"/>
      <c r="BR467" s="1605"/>
      <c r="BS467" s="1605"/>
      <c r="BT467" s="1605"/>
      <c r="BU467" s="1605"/>
      <c r="BV467" s="1605"/>
      <c r="BW467" s="1605"/>
      <c r="BX467" s="1605"/>
      <c r="BY467" s="1605"/>
      <c r="BZ467" s="1605"/>
      <c r="CA467" s="1605"/>
      <c r="CB467" s="1605"/>
      <c r="CC467" s="1605"/>
      <c r="CD467" s="1605"/>
      <c r="CE467" s="1605"/>
      <c r="CF467" s="1605"/>
      <c r="CG467" s="1605"/>
      <c r="CH467" s="1605"/>
      <c r="CI467" s="1605"/>
      <c r="CJ467" s="1605"/>
      <c r="CK467" s="1605"/>
      <c r="CL467" s="1605"/>
      <c r="CM467" s="1605"/>
      <c r="CN467" s="1605"/>
      <c r="CO467" s="1605"/>
      <c r="CP467" s="1605"/>
      <c r="CQ467" s="1605"/>
      <c r="CR467" s="1605"/>
      <c r="CS467" s="1605"/>
      <c r="CT467" s="1605"/>
      <c r="CU467" s="1605"/>
      <c r="CV467" s="1605"/>
      <c r="CW467" s="1605"/>
      <c r="CX467" s="1605"/>
      <c r="CY467" s="1605"/>
      <c r="CZ467" s="1605"/>
      <c r="DA467" s="1605"/>
      <c r="DB467" s="1605"/>
      <c r="DC467" s="1605"/>
      <c r="DD467" s="1605"/>
      <c r="DE467" s="1605"/>
      <c r="DF467" s="1605"/>
      <c r="DG467" s="1605"/>
      <c r="DH467" s="1605"/>
      <c r="DI467" s="1605"/>
      <c r="DJ467" s="1605"/>
      <c r="DK467" s="1605"/>
      <c r="DL467" s="1605"/>
      <c r="DM467" s="1605"/>
      <c r="DN467" s="1605"/>
      <c r="DO467" s="1605"/>
      <c r="DP467" s="1605"/>
      <c r="DQ467" s="1605"/>
      <c r="DR467" s="1605"/>
      <c r="DS467" s="1605"/>
      <c r="DT467" s="1605"/>
      <c r="DU467" s="1605"/>
      <c r="DV467" s="1605"/>
      <c r="DW467" s="1605"/>
      <c r="DX467" s="1605"/>
      <c r="DY467" s="1605"/>
      <c r="DZ467" s="1605"/>
      <c r="EA467" s="1605"/>
      <c r="EB467" s="1605"/>
      <c r="EC467" s="1605"/>
      <c r="ED467" s="1605"/>
      <c r="EE467" s="1605"/>
      <c r="EF467" s="1605"/>
      <c r="EG467" s="1605"/>
      <c r="EH467" s="1605"/>
      <c r="EI467" s="1605"/>
      <c r="EJ467" s="1605"/>
      <c r="EK467" s="1605"/>
      <c r="EL467" s="1605"/>
      <c r="EM467" s="1605"/>
      <c r="EN467" s="1605"/>
      <c r="EO467" s="1605"/>
      <c r="EP467" s="1605"/>
      <c r="EQ467" s="1605"/>
      <c r="ER467" s="1605"/>
      <c r="ES467" s="1605"/>
      <c r="ET467" s="1605"/>
      <c r="EU467" s="1605"/>
      <c r="EV467" s="1605"/>
      <c r="EW467" s="1605"/>
      <c r="EX467" s="1605"/>
      <c r="EY467" s="1605"/>
      <c r="EZ467" s="1605"/>
      <c r="FA467" s="1605"/>
      <c r="FB467" s="1605"/>
      <c r="FC467" s="1605"/>
      <c r="FD467" s="1605"/>
      <c r="FE467" s="1605"/>
      <c r="FF467" s="1605"/>
      <c r="FG467" s="1605"/>
      <c r="FH467" s="1605"/>
      <c r="FI467" s="1605"/>
      <c r="FJ467" s="1605"/>
      <c r="FK467" s="1605"/>
      <c r="FL467" s="1605"/>
      <c r="FM467" s="1605"/>
      <c r="FN467" s="1605"/>
      <c r="FO467" s="1605"/>
      <c r="FP467" s="1605"/>
      <c r="FQ467" s="1605"/>
      <c r="FR467" s="1605"/>
      <c r="FS467" s="1605"/>
      <c r="FT467" s="1605"/>
      <c r="FU467" s="1605"/>
      <c r="FV467" s="1605"/>
      <c r="FW467" s="1605"/>
      <c r="FX467" s="1605"/>
      <c r="FY467" s="1605"/>
      <c r="FZ467" s="1605"/>
      <c r="GA467" s="1605"/>
      <c r="GB467" s="1605"/>
      <c r="GC467" s="1605"/>
      <c r="GD467" s="1605"/>
      <c r="GE467" s="1605"/>
      <c r="GF467" s="1605"/>
      <c r="GG467" s="1605"/>
      <c r="GH467" s="1605"/>
      <c r="GI467" s="1605"/>
      <c r="GJ467" s="1605"/>
      <c r="GK467" s="1605"/>
      <c r="GL467" s="1605"/>
      <c r="GM467" s="1605"/>
      <c r="GN467" s="1605"/>
      <c r="GO467" s="1605"/>
      <c r="GP467" s="1605"/>
      <c r="GQ467" s="1605"/>
      <c r="GR467" s="1605"/>
      <c r="GS467" s="1605"/>
      <c r="GT467" s="1605"/>
      <c r="GU467" s="1605"/>
      <c r="GV467" s="1605"/>
      <c r="GW467" s="1605"/>
      <c r="GX467" s="1605"/>
      <c r="GY467" s="1605"/>
      <c r="GZ467" s="1605"/>
      <c r="HA467" s="1605"/>
      <c r="HB467" s="1605"/>
      <c r="HC467" s="1605"/>
      <c r="HD467" s="1605"/>
      <c r="HE467" s="1605"/>
      <c r="HF467" s="1605"/>
      <c r="HG467" s="1605"/>
      <c r="HH467" s="1605"/>
      <c r="HI467" s="1605"/>
      <c r="HJ467" s="1605"/>
      <c r="HK467" s="1605"/>
      <c r="HL467" s="1605"/>
      <c r="HM467" s="1605"/>
      <c r="HN467" s="1605"/>
      <c r="HO467" s="1605"/>
      <c r="HP467" s="1605"/>
      <c r="HQ467" s="1605"/>
      <c r="HR467" s="1605"/>
      <c r="HS467" s="1605"/>
      <c r="HT467" s="1605"/>
      <c r="HU467" s="1605"/>
      <c r="HV467" s="1605"/>
      <c r="HW467" s="1605"/>
      <c r="HX467" s="1605"/>
      <c r="HY467" s="1605"/>
      <c r="HZ467" s="1605"/>
      <c r="IA467" s="1605"/>
      <c r="IB467" s="1605"/>
      <c r="IC467" s="1605"/>
      <c r="ID467" s="1605"/>
      <c r="IE467" s="1605"/>
      <c r="IF467" s="1605"/>
      <c r="IG467" s="1605"/>
      <c r="IH467" s="1605"/>
      <c r="II467" s="1605"/>
      <c r="IJ467" s="1605"/>
      <c r="IK467" s="1605"/>
      <c r="IL467" s="1605"/>
      <c r="IM467" s="1605"/>
      <c r="IN467" s="1605"/>
      <c r="IO467" s="1605"/>
      <c r="IP467" s="1605"/>
      <c r="IQ467" s="1605"/>
      <c r="IR467" s="1605"/>
      <c r="IS467" s="1605"/>
      <c r="IT467" s="1605"/>
      <c r="IU467" s="1605"/>
      <c r="IV467" s="1605"/>
      <c r="IW467" s="1605"/>
      <c r="IX467" s="1605"/>
      <c r="IY467" s="1605"/>
      <c r="IZ467" s="1605"/>
      <c r="JA467" s="1605"/>
      <c r="JB467" s="1605"/>
      <c r="JC467" s="1605"/>
      <c r="JD467" s="1605"/>
      <c r="JE467" s="1605"/>
      <c r="JF467" s="1605"/>
      <c r="JG467" s="1605"/>
      <c r="JH467" s="1605"/>
      <c r="JI467" s="1605"/>
      <c r="JJ467" s="1605"/>
      <c r="JK467" s="1605"/>
      <c r="JL467" s="1605"/>
      <c r="JM467" s="1605"/>
      <c r="JN467" s="1605"/>
      <c r="JO467" s="1605"/>
      <c r="JP467" s="1605"/>
      <c r="JQ467" s="1605"/>
      <c r="JR467" s="1605"/>
      <c r="JS467" s="1605"/>
      <c r="JT467" s="1605"/>
      <c r="JU467" s="1605"/>
      <c r="JV467" s="1605"/>
      <c r="JW467" s="1605"/>
      <c r="JX467" s="1605"/>
      <c r="JY467" s="1605"/>
      <c r="JZ467" s="1605"/>
      <c r="KA467" s="1605"/>
      <c r="KB467" s="1606"/>
    </row>
    <row r="468" spans="2:288" ht="15" customHeight="1" x14ac:dyDescent="0.25">
      <c r="B468" s="216" t="str">
        <f t="shared" si="37"/>
        <v>Desk 44</v>
      </c>
      <c r="C468" s="218" t="str">
        <v/>
      </c>
      <c r="D468" s="218" t="str">
        <v/>
      </c>
      <c r="E468" s="218" t="str">
        <v/>
      </c>
      <c r="F468" s="218" t="str">
        <v/>
      </c>
      <c r="G468" s="402" t="str">
        <v/>
      </c>
      <c r="H468" s="1605"/>
      <c r="I468" s="1605"/>
      <c r="J468" s="1605"/>
      <c r="K468" s="1605"/>
      <c r="L468" s="1605"/>
      <c r="M468" s="1605"/>
      <c r="N468" s="1605"/>
      <c r="O468" s="1605"/>
      <c r="P468" s="1605"/>
      <c r="Q468" s="1605"/>
      <c r="R468" s="1605"/>
      <c r="S468" s="1605"/>
      <c r="T468" s="1605"/>
      <c r="U468" s="1605"/>
      <c r="V468" s="1605"/>
      <c r="W468" s="1605"/>
      <c r="X468" s="1605"/>
      <c r="Y468" s="1605"/>
      <c r="Z468" s="1605"/>
      <c r="AA468" s="1605"/>
      <c r="AB468" s="1605"/>
      <c r="AC468" s="1605"/>
      <c r="AD468" s="1605"/>
      <c r="AE468" s="1605"/>
      <c r="AF468" s="1605"/>
      <c r="AG468" s="1605"/>
      <c r="AH468" s="1605"/>
      <c r="AI468" s="1605"/>
      <c r="AJ468" s="1605"/>
      <c r="AK468" s="1605"/>
      <c r="AL468" s="1605"/>
      <c r="AM468" s="1605"/>
      <c r="AN468" s="1605"/>
      <c r="AO468" s="1605"/>
      <c r="AP468" s="1605"/>
      <c r="AQ468" s="1605"/>
      <c r="AR468" s="1605"/>
      <c r="AS468" s="1605"/>
      <c r="AT468" s="1605"/>
      <c r="AU468" s="1605"/>
      <c r="AV468" s="1605"/>
      <c r="AW468" s="1605"/>
      <c r="AX468" s="1605"/>
      <c r="AY468" s="1605"/>
      <c r="AZ468" s="1605"/>
      <c r="BA468" s="1605"/>
      <c r="BB468" s="1605"/>
      <c r="BC468" s="1605"/>
      <c r="BD468" s="1605"/>
      <c r="BE468" s="1605"/>
      <c r="BF468" s="1605"/>
      <c r="BG468" s="1605"/>
      <c r="BH468" s="1605"/>
      <c r="BI468" s="1605"/>
      <c r="BJ468" s="1605"/>
      <c r="BK468" s="1605"/>
      <c r="BL468" s="1605"/>
      <c r="BM468" s="1605"/>
      <c r="BN468" s="1605"/>
      <c r="BO468" s="1605"/>
      <c r="BP468" s="1605"/>
      <c r="BQ468" s="1605"/>
      <c r="BR468" s="1605"/>
      <c r="BS468" s="1605"/>
      <c r="BT468" s="1605"/>
      <c r="BU468" s="1605"/>
      <c r="BV468" s="1605"/>
      <c r="BW468" s="1605"/>
      <c r="BX468" s="1605"/>
      <c r="BY468" s="1605"/>
      <c r="BZ468" s="1605"/>
      <c r="CA468" s="1605"/>
      <c r="CB468" s="1605"/>
      <c r="CC468" s="1605"/>
      <c r="CD468" s="1605"/>
      <c r="CE468" s="1605"/>
      <c r="CF468" s="1605"/>
      <c r="CG468" s="1605"/>
      <c r="CH468" s="1605"/>
      <c r="CI468" s="1605"/>
      <c r="CJ468" s="1605"/>
      <c r="CK468" s="1605"/>
      <c r="CL468" s="1605"/>
      <c r="CM468" s="1605"/>
      <c r="CN468" s="1605"/>
      <c r="CO468" s="1605"/>
      <c r="CP468" s="1605"/>
      <c r="CQ468" s="1605"/>
      <c r="CR468" s="1605"/>
      <c r="CS468" s="1605"/>
      <c r="CT468" s="1605"/>
      <c r="CU468" s="1605"/>
      <c r="CV468" s="1605"/>
      <c r="CW468" s="1605"/>
      <c r="CX468" s="1605"/>
      <c r="CY468" s="1605"/>
      <c r="CZ468" s="1605"/>
      <c r="DA468" s="1605"/>
      <c r="DB468" s="1605"/>
      <c r="DC468" s="1605"/>
      <c r="DD468" s="1605"/>
      <c r="DE468" s="1605"/>
      <c r="DF468" s="1605"/>
      <c r="DG468" s="1605"/>
      <c r="DH468" s="1605"/>
      <c r="DI468" s="1605"/>
      <c r="DJ468" s="1605"/>
      <c r="DK468" s="1605"/>
      <c r="DL468" s="1605"/>
      <c r="DM468" s="1605"/>
      <c r="DN468" s="1605"/>
      <c r="DO468" s="1605"/>
      <c r="DP468" s="1605"/>
      <c r="DQ468" s="1605"/>
      <c r="DR468" s="1605"/>
      <c r="DS468" s="1605"/>
      <c r="DT468" s="1605"/>
      <c r="DU468" s="1605"/>
      <c r="DV468" s="1605"/>
      <c r="DW468" s="1605"/>
      <c r="DX468" s="1605"/>
      <c r="DY468" s="1605"/>
      <c r="DZ468" s="1605"/>
      <c r="EA468" s="1605"/>
      <c r="EB468" s="1605"/>
      <c r="EC468" s="1605"/>
      <c r="ED468" s="1605"/>
      <c r="EE468" s="1605"/>
      <c r="EF468" s="1605"/>
      <c r="EG468" s="1605"/>
      <c r="EH468" s="1605"/>
      <c r="EI468" s="1605"/>
      <c r="EJ468" s="1605"/>
      <c r="EK468" s="1605"/>
      <c r="EL468" s="1605"/>
      <c r="EM468" s="1605"/>
      <c r="EN468" s="1605"/>
      <c r="EO468" s="1605"/>
      <c r="EP468" s="1605"/>
      <c r="EQ468" s="1605"/>
      <c r="ER468" s="1605"/>
      <c r="ES468" s="1605"/>
      <c r="ET468" s="1605"/>
      <c r="EU468" s="1605"/>
      <c r="EV468" s="1605"/>
      <c r="EW468" s="1605"/>
      <c r="EX468" s="1605"/>
      <c r="EY468" s="1605"/>
      <c r="EZ468" s="1605"/>
      <c r="FA468" s="1605"/>
      <c r="FB468" s="1605"/>
      <c r="FC468" s="1605"/>
      <c r="FD468" s="1605"/>
      <c r="FE468" s="1605"/>
      <c r="FF468" s="1605"/>
      <c r="FG468" s="1605"/>
      <c r="FH468" s="1605"/>
      <c r="FI468" s="1605"/>
      <c r="FJ468" s="1605"/>
      <c r="FK468" s="1605"/>
      <c r="FL468" s="1605"/>
      <c r="FM468" s="1605"/>
      <c r="FN468" s="1605"/>
      <c r="FO468" s="1605"/>
      <c r="FP468" s="1605"/>
      <c r="FQ468" s="1605"/>
      <c r="FR468" s="1605"/>
      <c r="FS468" s="1605"/>
      <c r="FT468" s="1605"/>
      <c r="FU468" s="1605"/>
      <c r="FV468" s="1605"/>
      <c r="FW468" s="1605"/>
      <c r="FX468" s="1605"/>
      <c r="FY468" s="1605"/>
      <c r="FZ468" s="1605"/>
      <c r="GA468" s="1605"/>
      <c r="GB468" s="1605"/>
      <c r="GC468" s="1605"/>
      <c r="GD468" s="1605"/>
      <c r="GE468" s="1605"/>
      <c r="GF468" s="1605"/>
      <c r="GG468" s="1605"/>
      <c r="GH468" s="1605"/>
      <c r="GI468" s="1605"/>
      <c r="GJ468" s="1605"/>
      <c r="GK468" s="1605"/>
      <c r="GL468" s="1605"/>
      <c r="GM468" s="1605"/>
      <c r="GN468" s="1605"/>
      <c r="GO468" s="1605"/>
      <c r="GP468" s="1605"/>
      <c r="GQ468" s="1605"/>
      <c r="GR468" s="1605"/>
      <c r="GS468" s="1605"/>
      <c r="GT468" s="1605"/>
      <c r="GU468" s="1605"/>
      <c r="GV468" s="1605"/>
      <c r="GW468" s="1605"/>
      <c r="GX468" s="1605"/>
      <c r="GY468" s="1605"/>
      <c r="GZ468" s="1605"/>
      <c r="HA468" s="1605"/>
      <c r="HB468" s="1605"/>
      <c r="HC468" s="1605"/>
      <c r="HD468" s="1605"/>
      <c r="HE468" s="1605"/>
      <c r="HF468" s="1605"/>
      <c r="HG468" s="1605"/>
      <c r="HH468" s="1605"/>
      <c r="HI468" s="1605"/>
      <c r="HJ468" s="1605"/>
      <c r="HK468" s="1605"/>
      <c r="HL468" s="1605"/>
      <c r="HM468" s="1605"/>
      <c r="HN468" s="1605"/>
      <c r="HO468" s="1605"/>
      <c r="HP468" s="1605"/>
      <c r="HQ468" s="1605"/>
      <c r="HR468" s="1605"/>
      <c r="HS468" s="1605"/>
      <c r="HT468" s="1605"/>
      <c r="HU468" s="1605"/>
      <c r="HV468" s="1605"/>
      <c r="HW468" s="1605"/>
      <c r="HX468" s="1605"/>
      <c r="HY468" s="1605"/>
      <c r="HZ468" s="1605"/>
      <c r="IA468" s="1605"/>
      <c r="IB468" s="1605"/>
      <c r="IC468" s="1605"/>
      <c r="ID468" s="1605"/>
      <c r="IE468" s="1605"/>
      <c r="IF468" s="1605"/>
      <c r="IG468" s="1605"/>
      <c r="IH468" s="1605"/>
      <c r="II468" s="1605"/>
      <c r="IJ468" s="1605"/>
      <c r="IK468" s="1605"/>
      <c r="IL468" s="1605"/>
      <c r="IM468" s="1605"/>
      <c r="IN468" s="1605"/>
      <c r="IO468" s="1605"/>
      <c r="IP468" s="1605"/>
      <c r="IQ468" s="1605"/>
      <c r="IR468" s="1605"/>
      <c r="IS468" s="1605"/>
      <c r="IT468" s="1605"/>
      <c r="IU468" s="1605"/>
      <c r="IV468" s="1605"/>
      <c r="IW468" s="1605"/>
      <c r="IX468" s="1605"/>
      <c r="IY468" s="1605"/>
      <c r="IZ468" s="1605"/>
      <c r="JA468" s="1605"/>
      <c r="JB468" s="1605"/>
      <c r="JC468" s="1605"/>
      <c r="JD468" s="1605"/>
      <c r="JE468" s="1605"/>
      <c r="JF468" s="1605"/>
      <c r="JG468" s="1605"/>
      <c r="JH468" s="1605"/>
      <c r="JI468" s="1605"/>
      <c r="JJ468" s="1605"/>
      <c r="JK468" s="1605"/>
      <c r="JL468" s="1605"/>
      <c r="JM468" s="1605"/>
      <c r="JN468" s="1605"/>
      <c r="JO468" s="1605"/>
      <c r="JP468" s="1605"/>
      <c r="JQ468" s="1605"/>
      <c r="JR468" s="1605"/>
      <c r="JS468" s="1605"/>
      <c r="JT468" s="1605"/>
      <c r="JU468" s="1605"/>
      <c r="JV468" s="1605"/>
      <c r="JW468" s="1605"/>
      <c r="JX468" s="1605"/>
      <c r="JY468" s="1605"/>
      <c r="JZ468" s="1605"/>
      <c r="KA468" s="1605"/>
      <c r="KB468" s="1606"/>
    </row>
    <row r="469" spans="2:288" ht="15" customHeight="1" x14ac:dyDescent="0.25">
      <c r="B469" s="216" t="str">
        <f t="shared" si="37"/>
        <v>Desk 45</v>
      </c>
      <c r="C469" s="218" t="str">
        <v/>
      </c>
      <c r="D469" s="218" t="str">
        <v/>
      </c>
      <c r="E469" s="218" t="str">
        <v/>
      </c>
      <c r="F469" s="218" t="str">
        <v/>
      </c>
      <c r="G469" s="402" t="str">
        <v/>
      </c>
      <c r="H469" s="1605"/>
      <c r="I469" s="1605"/>
      <c r="J469" s="1605"/>
      <c r="K469" s="1605"/>
      <c r="L469" s="1605"/>
      <c r="M469" s="1605"/>
      <c r="N469" s="1605"/>
      <c r="O469" s="1605"/>
      <c r="P469" s="1605"/>
      <c r="Q469" s="1605"/>
      <c r="R469" s="1605"/>
      <c r="S469" s="1605"/>
      <c r="T469" s="1605"/>
      <c r="U469" s="1605"/>
      <c r="V469" s="1605"/>
      <c r="W469" s="1605"/>
      <c r="X469" s="1605"/>
      <c r="Y469" s="1605"/>
      <c r="Z469" s="1605"/>
      <c r="AA469" s="1605"/>
      <c r="AB469" s="1605"/>
      <c r="AC469" s="1605"/>
      <c r="AD469" s="1605"/>
      <c r="AE469" s="1605"/>
      <c r="AF469" s="1605"/>
      <c r="AG469" s="1605"/>
      <c r="AH469" s="1605"/>
      <c r="AI469" s="1605"/>
      <c r="AJ469" s="1605"/>
      <c r="AK469" s="1605"/>
      <c r="AL469" s="1605"/>
      <c r="AM469" s="1605"/>
      <c r="AN469" s="1605"/>
      <c r="AO469" s="1605"/>
      <c r="AP469" s="1605"/>
      <c r="AQ469" s="1605"/>
      <c r="AR469" s="1605"/>
      <c r="AS469" s="1605"/>
      <c r="AT469" s="1605"/>
      <c r="AU469" s="1605"/>
      <c r="AV469" s="1605"/>
      <c r="AW469" s="1605"/>
      <c r="AX469" s="1605"/>
      <c r="AY469" s="1605"/>
      <c r="AZ469" s="1605"/>
      <c r="BA469" s="1605"/>
      <c r="BB469" s="1605"/>
      <c r="BC469" s="1605"/>
      <c r="BD469" s="1605"/>
      <c r="BE469" s="1605"/>
      <c r="BF469" s="1605"/>
      <c r="BG469" s="1605"/>
      <c r="BH469" s="1605"/>
      <c r="BI469" s="1605"/>
      <c r="BJ469" s="1605"/>
      <c r="BK469" s="1605"/>
      <c r="BL469" s="1605"/>
      <c r="BM469" s="1605"/>
      <c r="BN469" s="1605"/>
      <c r="BO469" s="1605"/>
      <c r="BP469" s="1605"/>
      <c r="BQ469" s="1605"/>
      <c r="BR469" s="1605"/>
      <c r="BS469" s="1605"/>
      <c r="BT469" s="1605"/>
      <c r="BU469" s="1605"/>
      <c r="BV469" s="1605"/>
      <c r="BW469" s="1605"/>
      <c r="BX469" s="1605"/>
      <c r="BY469" s="1605"/>
      <c r="BZ469" s="1605"/>
      <c r="CA469" s="1605"/>
      <c r="CB469" s="1605"/>
      <c r="CC469" s="1605"/>
      <c r="CD469" s="1605"/>
      <c r="CE469" s="1605"/>
      <c r="CF469" s="1605"/>
      <c r="CG469" s="1605"/>
      <c r="CH469" s="1605"/>
      <c r="CI469" s="1605"/>
      <c r="CJ469" s="1605"/>
      <c r="CK469" s="1605"/>
      <c r="CL469" s="1605"/>
      <c r="CM469" s="1605"/>
      <c r="CN469" s="1605"/>
      <c r="CO469" s="1605"/>
      <c r="CP469" s="1605"/>
      <c r="CQ469" s="1605"/>
      <c r="CR469" s="1605"/>
      <c r="CS469" s="1605"/>
      <c r="CT469" s="1605"/>
      <c r="CU469" s="1605"/>
      <c r="CV469" s="1605"/>
      <c r="CW469" s="1605"/>
      <c r="CX469" s="1605"/>
      <c r="CY469" s="1605"/>
      <c r="CZ469" s="1605"/>
      <c r="DA469" s="1605"/>
      <c r="DB469" s="1605"/>
      <c r="DC469" s="1605"/>
      <c r="DD469" s="1605"/>
      <c r="DE469" s="1605"/>
      <c r="DF469" s="1605"/>
      <c r="DG469" s="1605"/>
      <c r="DH469" s="1605"/>
      <c r="DI469" s="1605"/>
      <c r="DJ469" s="1605"/>
      <c r="DK469" s="1605"/>
      <c r="DL469" s="1605"/>
      <c r="DM469" s="1605"/>
      <c r="DN469" s="1605"/>
      <c r="DO469" s="1605"/>
      <c r="DP469" s="1605"/>
      <c r="DQ469" s="1605"/>
      <c r="DR469" s="1605"/>
      <c r="DS469" s="1605"/>
      <c r="DT469" s="1605"/>
      <c r="DU469" s="1605"/>
      <c r="DV469" s="1605"/>
      <c r="DW469" s="1605"/>
      <c r="DX469" s="1605"/>
      <c r="DY469" s="1605"/>
      <c r="DZ469" s="1605"/>
      <c r="EA469" s="1605"/>
      <c r="EB469" s="1605"/>
      <c r="EC469" s="1605"/>
      <c r="ED469" s="1605"/>
      <c r="EE469" s="1605"/>
      <c r="EF469" s="1605"/>
      <c r="EG469" s="1605"/>
      <c r="EH469" s="1605"/>
      <c r="EI469" s="1605"/>
      <c r="EJ469" s="1605"/>
      <c r="EK469" s="1605"/>
      <c r="EL469" s="1605"/>
      <c r="EM469" s="1605"/>
      <c r="EN469" s="1605"/>
      <c r="EO469" s="1605"/>
      <c r="EP469" s="1605"/>
      <c r="EQ469" s="1605"/>
      <c r="ER469" s="1605"/>
      <c r="ES469" s="1605"/>
      <c r="ET469" s="1605"/>
      <c r="EU469" s="1605"/>
      <c r="EV469" s="1605"/>
      <c r="EW469" s="1605"/>
      <c r="EX469" s="1605"/>
      <c r="EY469" s="1605"/>
      <c r="EZ469" s="1605"/>
      <c r="FA469" s="1605"/>
      <c r="FB469" s="1605"/>
      <c r="FC469" s="1605"/>
      <c r="FD469" s="1605"/>
      <c r="FE469" s="1605"/>
      <c r="FF469" s="1605"/>
      <c r="FG469" s="1605"/>
      <c r="FH469" s="1605"/>
      <c r="FI469" s="1605"/>
      <c r="FJ469" s="1605"/>
      <c r="FK469" s="1605"/>
      <c r="FL469" s="1605"/>
      <c r="FM469" s="1605"/>
      <c r="FN469" s="1605"/>
      <c r="FO469" s="1605"/>
      <c r="FP469" s="1605"/>
      <c r="FQ469" s="1605"/>
      <c r="FR469" s="1605"/>
      <c r="FS469" s="1605"/>
      <c r="FT469" s="1605"/>
      <c r="FU469" s="1605"/>
      <c r="FV469" s="1605"/>
      <c r="FW469" s="1605"/>
      <c r="FX469" s="1605"/>
      <c r="FY469" s="1605"/>
      <c r="FZ469" s="1605"/>
      <c r="GA469" s="1605"/>
      <c r="GB469" s="1605"/>
      <c r="GC469" s="1605"/>
      <c r="GD469" s="1605"/>
      <c r="GE469" s="1605"/>
      <c r="GF469" s="1605"/>
      <c r="GG469" s="1605"/>
      <c r="GH469" s="1605"/>
      <c r="GI469" s="1605"/>
      <c r="GJ469" s="1605"/>
      <c r="GK469" s="1605"/>
      <c r="GL469" s="1605"/>
      <c r="GM469" s="1605"/>
      <c r="GN469" s="1605"/>
      <c r="GO469" s="1605"/>
      <c r="GP469" s="1605"/>
      <c r="GQ469" s="1605"/>
      <c r="GR469" s="1605"/>
      <c r="GS469" s="1605"/>
      <c r="GT469" s="1605"/>
      <c r="GU469" s="1605"/>
      <c r="GV469" s="1605"/>
      <c r="GW469" s="1605"/>
      <c r="GX469" s="1605"/>
      <c r="GY469" s="1605"/>
      <c r="GZ469" s="1605"/>
      <c r="HA469" s="1605"/>
      <c r="HB469" s="1605"/>
      <c r="HC469" s="1605"/>
      <c r="HD469" s="1605"/>
      <c r="HE469" s="1605"/>
      <c r="HF469" s="1605"/>
      <c r="HG469" s="1605"/>
      <c r="HH469" s="1605"/>
      <c r="HI469" s="1605"/>
      <c r="HJ469" s="1605"/>
      <c r="HK469" s="1605"/>
      <c r="HL469" s="1605"/>
      <c r="HM469" s="1605"/>
      <c r="HN469" s="1605"/>
      <c r="HO469" s="1605"/>
      <c r="HP469" s="1605"/>
      <c r="HQ469" s="1605"/>
      <c r="HR469" s="1605"/>
      <c r="HS469" s="1605"/>
      <c r="HT469" s="1605"/>
      <c r="HU469" s="1605"/>
      <c r="HV469" s="1605"/>
      <c r="HW469" s="1605"/>
      <c r="HX469" s="1605"/>
      <c r="HY469" s="1605"/>
      <c r="HZ469" s="1605"/>
      <c r="IA469" s="1605"/>
      <c r="IB469" s="1605"/>
      <c r="IC469" s="1605"/>
      <c r="ID469" s="1605"/>
      <c r="IE469" s="1605"/>
      <c r="IF469" s="1605"/>
      <c r="IG469" s="1605"/>
      <c r="IH469" s="1605"/>
      <c r="II469" s="1605"/>
      <c r="IJ469" s="1605"/>
      <c r="IK469" s="1605"/>
      <c r="IL469" s="1605"/>
      <c r="IM469" s="1605"/>
      <c r="IN469" s="1605"/>
      <c r="IO469" s="1605"/>
      <c r="IP469" s="1605"/>
      <c r="IQ469" s="1605"/>
      <c r="IR469" s="1605"/>
      <c r="IS469" s="1605"/>
      <c r="IT469" s="1605"/>
      <c r="IU469" s="1605"/>
      <c r="IV469" s="1605"/>
      <c r="IW469" s="1605"/>
      <c r="IX469" s="1605"/>
      <c r="IY469" s="1605"/>
      <c r="IZ469" s="1605"/>
      <c r="JA469" s="1605"/>
      <c r="JB469" s="1605"/>
      <c r="JC469" s="1605"/>
      <c r="JD469" s="1605"/>
      <c r="JE469" s="1605"/>
      <c r="JF469" s="1605"/>
      <c r="JG469" s="1605"/>
      <c r="JH469" s="1605"/>
      <c r="JI469" s="1605"/>
      <c r="JJ469" s="1605"/>
      <c r="JK469" s="1605"/>
      <c r="JL469" s="1605"/>
      <c r="JM469" s="1605"/>
      <c r="JN469" s="1605"/>
      <c r="JO469" s="1605"/>
      <c r="JP469" s="1605"/>
      <c r="JQ469" s="1605"/>
      <c r="JR469" s="1605"/>
      <c r="JS469" s="1605"/>
      <c r="JT469" s="1605"/>
      <c r="JU469" s="1605"/>
      <c r="JV469" s="1605"/>
      <c r="JW469" s="1605"/>
      <c r="JX469" s="1605"/>
      <c r="JY469" s="1605"/>
      <c r="JZ469" s="1605"/>
      <c r="KA469" s="1605"/>
      <c r="KB469" s="1606"/>
    </row>
    <row r="470" spans="2:288" ht="15" customHeight="1" x14ac:dyDescent="0.25">
      <c r="B470" s="216" t="str">
        <f t="shared" si="37"/>
        <v>Desk 46</v>
      </c>
      <c r="C470" s="218" t="str">
        <v/>
      </c>
      <c r="D470" s="218" t="str">
        <v/>
      </c>
      <c r="E470" s="218" t="str">
        <v/>
      </c>
      <c r="F470" s="218" t="str">
        <v/>
      </c>
      <c r="G470" s="402" t="str">
        <v/>
      </c>
      <c r="H470" s="1605"/>
      <c r="I470" s="1605"/>
      <c r="J470" s="1605"/>
      <c r="K470" s="1605"/>
      <c r="L470" s="1605"/>
      <c r="M470" s="1605"/>
      <c r="N470" s="1605"/>
      <c r="O470" s="1605"/>
      <c r="P470" s="1605"/>
      <c r="Q470" s="1605"/>
      <c r="R470" s="1605"/>
      <c r="S470" s="1605"/>
      <c r="T470" s="1605"/>
      <c r="U470" s="1605"/>
      <c r="V470" s="1605"/>
      <c r="W470" s="1605"/>
      <c r="X470" s="1605"/>
      <c r="Y470" s="1605"/>
      <c r="Z470" s="1605"/>
      <c r="AA470" s="1605"/>
      <c r="AB470" s="1605"/>
      <c r="AC470" s="1605"/>
      <c r="AD470" s="1605"/>
      <c r="AE470" s="1605"/>
      <c r="AF470" s="1605"/>
      <c r="AG470" s="1605"/>
      <c r="AH470" s="1605"/>
      <c r="AI470" s="1605"/>
      <c r="AJ470" s="1605"/>
      <c r="AK470" s="1605"/>
      <c r="AL470" s="1605"/>
      <c r="AM470" s="1605"/>
      <c r="AN470" s="1605"/>
      <c r="AO470" s="1605"/>
      <c r="AP470" s="1605"/>
      <c r="AQ470" s="1605"/>
      <c r="AR470" s="1605"/>
      <c r="AS470" s="1605"/>
      <c r="AT470" s="1605"/>
      <c r="AU470" s="1605"/>
      <c r="AV470" s="1605"/>
      <c r="AW470" s="1605"/>
      <c r="AX470" s="1605"/>
      <c r="AY470" s="1605"/>
      <c r="AZ470" s="1605"/>
      <c r="BA470" s="1605"/>
      <c r="BB470" s="1605"/>
      <c r="BC470" s="1605"/>
      <c r="BD470" s="1605"/>
      <c r="BE470" s="1605"/>
      <c r="BF470" s="1605"/>
      <c r="BG470" s="1605"/>
      <c r="BH470" s="1605"/>
      <c r="BI470" s="1605"/>
      <c r="BJ470" s="1605"/>
      <c r="BK470" s="1605"/>
      <c r="BL470" s="1605"/>
      <c r="BM470" s="1605"/>
      <c r="BN470" s="1605"/>
      <c r="BO470" s="1605"/>
      <c r="BP470" s="1605"/>
      <c r="BQ470" s="1605"/>
      <c r="BR470" s="1605"/>
      <c r="BS470" s="1605"/>
      <c r="BT470" s="1605"/>
      <c r="BU470" s="1605"/>
      <c r="BV470" s="1605"/>
      <c r="BW470" s="1605"/>
      <c r="BX470" s="1605"/>
      <c r="BY470" s="1605"/>
      <c r="BZ470" s="1605"/>
      <c r="CA470" s="1605"/>
      <c r="CB470" s="1605"/>
      <c r="CC470" s="1605"/>
      <c r="CD470" s="1605"/>
      <c r="CE470" s="1605"/>
      <c r="CF470" s="1605"/>
      <c r="CG470" s="1605"/>
      <c r="CH470" s="1605"/>
      <c r="CI470" s="1605"/>
      <c r="CJ470" s="1605"/>
      <c r="CK470" s="1605"/>
      <c r="CL470" s="1605"/>
      <c r="CM470" s="1605"/>
      <c r="CN470" s="1605"/>
      <c r="CO470" s="1605"/>
      <c r="CP470" s="1605"/>
      <c r="CQ470" s="1605"/>
      <c r="CR470" s="1605"/>
      <c r="CS470" s="1605"/>
      <c r="CT470" s="1605"/>
      <c r="CU470" s="1605"/>
      <c r="CV470" s="1605"/>
      <c r="CW470" s="1605"/>
      <c r="CX470" s="1605"/>
      <c r="CY470" s="1605"/>
      <c r="CZ470" s="1605"/>
      <c r="DA470" s="1605"/>
      <c r="DB470" s="1605"/>
      <c r="DC470" s="1605"/>
      <c r="DD470" s="1605"/>
      <c r="DE470" s="1605"/>
      <c r="DF470" s="1605"/>
      <c r="DG470" s="1605"/>
      <c r="DH470" s="1605"/>
      <c r="DI470" s="1605"/>
      <c r="DJ470" s="1605"/>
      <c r="DK470" s="1605"/>
      <c r="DL470" s="1605"/>
      <c r="DM470" s="1605"/>
      <c r="DN470" s="1605"/>
      <c r="DO470" s="1605"/>
      <c r="DP470" s="1605"/>
      <c r="DQ470" s="1605"/>
      <c r="DR470" s="1605"/>
      <c r="DS470" s="1605"/>
      <c r="DT470" s="1605"/>
      <c r="DU470" s="1605"/>
      <c r="DV470" s="1605"/>
      <c r="DW470" s="1605"/>
      <c r="DX470" s="1605"/>
      <c r="DY470" s="1605"/>
      <c r="DZ470" s="1605"/>
      <c r="EA470" s="1605"/>
      <c r="EB470" s="1605"/>
      <c r="EC470" s="1605"/>
      <c r="ED470" s="1605"/>
      <c r="EE470" s="1605"/>
      <c r="EF470" s="1605"/>
      <c r="EG470" s="1605"/>
      <c r="EH470" s="1605"/>
      <c r="EI470" s="1605"/>
      <c r="EJ470" s="1605"/>
      <c r="EK470" s="1605"/>
      <c r="EL470" s="1605"/>
      <c r="EM470" s="1605"/>
      <c r="EN470" s="1605"/>
      <c r="EO470" s="1605"/>
      <c r="EP470" s="1605"/>
      <c r="EQ470" s="1605"/>
      <c r="ER470" s="1605"/>
      <c r="ES470" s="1605"/>
      <c r="ET470" s="1605"/>
      <c r="EU470" s="1605"/>
      <c r="EV470" s="1605"/>
      <c r="EW470" s="1605"/>
      <c r="EX470" s="1605"/>
      <c r="EY470" s="1605"/>
      <c r="EZ470" s="1605"/>
      <c r="FA470" s="1605"/>
      <c r="FB470" s="1605"/>
      <c r="FC470" s="1605"/>
      <c r="FD470" s="1605"/>
      <c r="FE470" s="1605"/>
      <c r="FF470" s="1605"/>
      <c r="FG470" s="1605"/>
      <c r="FH470" s="1605"/>
      <c r="FI470" s="1605"/>
      <c r="FJ470" s="1605"/>
      <c r="FK470" s="1605"/>
      <c r="FL470" s="1605"/>
      <c r="FM470" s="1605"/>
      <c r="FN470" s="1605"/>
      <c r="FO470" s="1605"/>
      <c r="FP470" s="1605"/>
      <c r="FQ470" s="1605"/>
      <c r="FR470" s="1605"/>
      <c r="FS470" s="1605"/>
      <c r="FT470" s="1605"/>
      <c r="FU470" s="1605"/>
      <c r="FV470" s="1605"/>
      <c r="FW470" s="1605"/>
      <c r="FX470" s="1605"/>
      <c r="FY470" s="1605"/>
      <c r="FZ470" s="1605"/>
      <c r="GA470" s="1605"/>
      <c r="GB470" s="1605"/>
      <c r="GC470" s="1605"/>
      <c r="GD470" s="1605"/>
      <c r="GE470" s="1605"/>
      <c r="GF470" s="1605"/>
      <c r="GG470" s="1605"/>
      <c r="GH470" s="1605"/>
      <c r="GI470" s="1605"/>
      <c r="GJ470" s="1605"/>
      <c r="GK470" s="1605"/>
      <c r="GL470" s="1605"/>
      <c r="GM470" s="1605"/>
      <c r="GN470" s="1605"/>
      <c r="GO470" s="1605"/>
      <c r="GP470" s="1605"/>
      <c r="GQ470" s="1605"/>
      <c r="GR470" s="1605"/>
      <c r="GS470" s="1605"/>
      <c r="GT470" s="1605"/>
      <c r="GU470" s="1605"/>
      <c r="GV470" s="1605"/>
      <c r="GW470" s="1605"/>
      <c r="GX470" s="1605"/>
      <c r="GY470" s="1605"/>
      <c r="GZ470" s="1605"/>
      <c r="HA470" s="1605"/>
      <c r="HB470" s="1605"/>
      <c r="HC470" s="1605"/>
      <c r="HD470" s="1605"/>
      <c r="HE470" s="1605"/>
      <c r="HF470" s="1605"/>
      <c r="HG470" s="1605"/>
      <c r="HH470" s="1605"/>
      <c r="HI470" s="1605"/>
      <c r="HJ470" s="1605"/>
      <c r="HK470" s="1605"/>
      <c r="HL470" s="1605"/>
      <c r="HM470" s="1605"/>
      <c r="HN470" s="1605"/>
      <c r="HO470" s="1605"/>
      <c r="HP470" s="1605"/>
      <c r="HQ470" s="1605"/>
      <c r="HR470" s="1605"/>
      <c r="HS470" s="1605"/>
      <c r="HT470" s="1605"/>
      <c r="HU470" s="1605"/>
      <c r="HV470" s="1605"/>
      <c r="HW470" s="1605"/>
      <c r="HX470" s="1605"/>
      <c r="HY470" s="1605"/>
      <c r="HZ470" s="1605"/>
      <c r="IA470" s="1605"/>
      <c r="IB470" s="1605"/>
      <c r="IC470" s="1605"/>
      <c r="ID470" s="1605"/>
      <c r="IE470" s="1605"/>
      <c r="IF470" s="1605"/>
      <c r="IG470" s="1605"/>
      <c r="IH470" s="1605"/>
      <c r="II470" s="1605"/>
      <c r="IJ470" s="1605"/>
      <c r="IK470" s="1605"/>
      <c r="IL470" s="1605"/>
      <c r="IM470" s="1605"/>
      <c r="IN470" s="1605"/>
      <c r="IO470" s="1605"/>
      <c r="IP470" s="1605"/>
      <c r="IQ470" s="1605"/>
      <c r="IR470" s="1605"/>
      <c r="IS470" s="1605"/>
      <c r="IT470" s="1605"/>
      <c r="IU470" s="1605"/>
      <c r="IV470" s="1605"/>
      <c r="IW470" s="1605"/>
      <c r="IX470" s="1605"/>
      <c r="IY470" s="1605"/>
      <c r="IZ470" s="1605"/>
      <c r="JA470" s="1605"/>
      <c r="JB470" s="1605"/>
      <c r="JC470" s="1605"/>
      <c r="JD470" s="1605"/>
      <c r="JE470" s="1605"/>
      <c r="JF470" s="1605"/>
      <c r="JG470" s="1605"/>
      <c r="JH470" s="1605"/>
      <c r="JI470" s="1605"/>
      <c r="JJ470" s="1605"/>
      <c r="JK470" s="1605"/>
      <c r="JL470" s="1605"/>
      <c r="JM470" s="1605"/>
      <c r="JN470" s="1605"/>
      <c r="JO470" s="1605"/>
      <c r="JP470" s="1605"/>
      <c r="JQ470" s="1605"/>
      <c r="JR470" s="1605"/>
      <c r="JS470" s="1605"/>
      <c r="JT470" s="1605"/>
      <c r="JU470" s="1605"/>
      <c r="JV470" s="1605"/>
      <c r="JW470" s="1605"/>
      <c r="JX470" s="1605"/>
      <c r="JY470" s="1605"/>
      <c r="JZ470" s="1605"/>
      <c r="KA470" s="1605"/>
      <c r="KB470" s="1606"/>
    </row>
    <row r="471" spans="2:288" ht="15" customHeight="1" x14ac:dyDescent="0.25">
      <c r="B471" s="216" t="str">
        <f t="shared" si="37"/>
        <v>Desk 47</v>
      </c>
      <c r="C471" s="218" t="str">
        <v/>
      </c>
      <c r="D471" s="218" t="str">
        <v/>
      </c>
      <c r="E471" s="218" t="str">
        <v/>
      </c>
      <c r="F471" s="218" t="str">
        <v/>
      </c>
      <c r="G471" s="402" t="str">
        <v/>
      </c>
      <c r="H471" s="1605"/>
      <c r="I471" s="1605"/>
      <c r="J471" s="1605"/>
      <c r="K471" s="1605"/>
      <c r="L471" s="1605"/>
      <c r="M471" s="1605"/>
      <c r="N471" s="1605"/>
      <c r="O471" s="1605"/>
      <c r="P471" s="1605"/>
      <c r="Q471" s="1605"/>
      <c r="R471" s="1605"/>
      <c r="S471" s="1605"/>
      <c r="T471" s="1605"/>
      <c r="U471" s="1605"/>
      <c r="V471" s="1605"/>
      <c r="W471" s="1605"/>
      <c r="X471" s="1605"/>
      <c r="Y471" s="1605"/>
      <c r="Z471" s="1605"/>
      <c r="AA471" s="1605"/>
      <c r="AB471" s="1605"/>
      <c r="AC471" s="1605"/>
      <c r="AD471" s="1605"/>
      <c r="AE471" s="1605"/>
      <c r="AF471" s="1605"/>
      <c r="AG471" s="1605"/>
      <c r="AH471" s="1605"/>
      <c r="AI471" s="1605"/>
      <c r="AJ471" s="1605"/>
      <c r="AK471" s="1605"/>
      <c r="AL471" s="1605"/>
      <c r="AM471" s="1605"/>
      <c r="AN471" s="1605"/>
      <c r="AO471" s="1605"/>
      <c r="AP471" s="1605"/>
      <c r="AQ471" s="1605"/>
      <c r="AR471" s="1605"/>
      <c r="AS471" s="1605"/>
      <c r="AT471" s="1605"/>
      <c r="AU471" s="1605"/>
      <c r="AV471" s="1605"/>
      <c r="AW471" s="1605"/>
      <c r="AX471" s="1605"/>
      <c r="AY471" s="1605"/>
      <c r="AZ471" s="1605"/>
      <c r="BA471" s="1605"/>
      <c r="BB471" s="1605"/>
      <c r="BC471" s="1605"/>
      <c r="BD471" s="1605"/>
      <c r="BE471" s="1605"/>
      <c r="BF471" s="1605"/>
      <c r="BG471" s="1605"/>
      <c r="BH471" s="1605"/>
      <c r="BI471" s="1605"/>
      <c r="BJ471" s="1605"/>
      <c r="BK471" s="1605"/>
      <c r="BL471" s="1605"/>
      <c r="BM471" s="1605"/>
      <c r="BN471" s="1605"/>
      <c r="BO471" s="1605"/>
      <c r="BP471" s="1605"/>
      <c r="BQ471" s="1605"/>
      <c r="BR471" s="1605"/>
      <c r="BS471" s="1605"/>
      <c r="BT471" s="1605"/>
      <c r="BU471" s="1605"/>
      <c r="BV471" s="1605"/>
      <c r="BW471" s="1605"/>
      <c r="BX471" s="1605"/>
      <c r="BY471" s="1605"/>
      <c r="BZ471" s="1605"/>
      <c r="CA471" s="1605"/>
      <c r="CB471" s="1605"/>
      <c r="CC471" s="1605"/>
      <c r="CD471" s="1605"/>
      <c r="CE471" s="1605"/>
      <c r="CF471" s="1605"/>
      <c r="CG471" s="1605"/>
      <c r="CH471" s="1605"/>
      <c r="CI471" s="1605"/>
      <c r="CJ471" s="1605"/>
      <c r="CK471" s="1605"/>
      <c r="CL471" s="1605"/>
      <c r="CM471" s="1605"/>
      <c r="CN471" s="1605"/>
      <c r="CO471" s="1605"/>
      <c r="CP471" s="1605"/>
      <c r="CQ471" s="1605"/>
      <c r="CR471" s="1605"/>
      <c r="CS471" s="1605"/>
      <c r="CT471" s="1605"/>
      <c r="CU471" s="1605"/>
      <c r="CV471" s="1605"/>
      <c r="CW471" s="1605"/>
      <c r="CX471" s="1605"/>
      <c r="CY471" s="1605"/>
      <c r="CZ471" s="1605"/>
      <c r="DA471" s="1605"/>
      <c r="DB471" s="1605"/>
      <c r="DC471" s="1605"/>
      <c r="DD471" s="1605"/>
      <c r="DE471" s="1605"/>
      <c r="DF471" s="1605"/>
      <c r="DG471" s="1605"/>
      <c r="DH471" s="1605"/>
      <c r="DI471" s="1605"/>
      <c r="DJ471" s="1605"/>
      <c r="DK471" s="1605"/>
      <c r="DL471" s="1605"/>
      <c r="DM471" s="1605"/>
      <c r="DN471" s="1605"/>
      <c r="DO471" s="1605"/>
      <c r="DP471" s="1605"/>
      <c r="DQ471" s="1605"/>
      <c r="DR471" s="1605"/>
      <c r="DS471" s="1605"/>
      <c r="DT471" s="1605"/>
      <c r="DU471" s="1605"/>
      <c r="DV471" s="1605"/>
      <c r="DW471" s="1605"/>
      <c r="DX471" s="1605"/>
      <c r="DY471" s="1605"/>
      <c r="DZ471" s="1605"/>
      <c r="EA471" s="1605"/>
      <c r="EB471" s="1605"/>
      <c r="EC471" s="1605"/>
      <c r="ED471" s="1605"/>
      <c r="EE471" s="1605"/>
      <c r="EF471" s="1605"/>
      <c r="EG471" s="1605"/>
      <c r="EH471" s="1605"/>
      <c r="EI471" s="1605"/>
      <c r="EJ471" s="1605"/>
      <c r="EK471" s="1605"/>
      <c r="EL471" s="1605"/>
      <c r="EM471" s="1605"/>
      <c r="EN471" s="1605"/>
      <c r="EO471" s="1605"/>
      <c r="EP471" s="1605"/>
      <c r="EQ471" s="1605"/>
      <c r="ER471" s="1605"/>
      <c r="ES471" s="1605"/>
      <c r="ET471" s="1605"/>
      <c r="EU471" s="1605"/>
      <c r="EV471" s="1605"/>
      <c r="EW471" s="1605"/>
      <c r="EX471" s="1605"/>
      <c r="EY471" s="1605"/>
      <c r="EZ471" s="1605"/>
      <c r="FA471" s="1605"/>
      <c r="FB471" s="1605"/>
      <c r="FC471" s="1605"/>
      <c r="FD471" s="1605"/>
      <c r="FE471" s="1605"/>
      <c r="FF471" s="1605"/>
      <c r="FG471" s="1605"/>
      <c r="FH471" s="1605"/>
      <c r="FI471" s="1605"/>
      <c r="FJ471" s="1605"/>
      <c r="FK471" s="1605"/>
      <c r="FL471" s="1605"/>
      <c r="FM471" s="1605"/>
      <c r="FN471" s="1605"/>
      <c r="FO471" s="1605"/>
      <c r="FP471" s="1605"/>
      <c r="FQ471" s="1605"/>
      <c r="FR471" s="1605"/>
      <c r="FS471" s="1605"/>
      <c r="FT471" s="1605"/>
      <c r="FU471" s="1605"/>
      <c r="FV471" s="1605"/>
      <c r="FW471" s="1605"/>
      <c r="FX471" s="1605"/>
      <c r="FY471" s="1605"/>
      <c r="FZ471" s="1605"/>
      <c r="GA471" s="1605"/>
      <c r="GB471" s="1605"/>
      <c r="GC471" s="1605"/>
      <c r="GD471" s="1605"/>
      <c r="GE471" s="1605"/>
      <c r="GF471" s="1605"/>
      <c r="GG471" s="1605"/>
      <c r="GH471" s="1605"/>
      <c r="GI471" s="1605"/>
      <c r="GJ471" s="1605"/>
      <c r="GK471" s="1605"/>
      <c r="GL471" s="1605"/>
      <c r="GM471" s="1605"/>
      <c r="GN471" s="1605"/>
      <c r="GO471" s="1605"/>
      <c r="GP471" s="1605"/>
      <c r="GQ471" s="1605"/>
      <c r="GR471" s="1605"/>
      <c r="GS471" s="1605"/>
      <c r="GT471" s="1605"/>
      <c r="GU471" s="1605"/>
      <c r="GV471" s="1605"/>
      <c r="GW471" s="1605"/>
      <c r="GX471" s="1605"/>
      <c r="GY471" s="1605"/>
      <c r="GZ471" s="1605"/>
      <c r="HA471" s="1605"/>
      <c r="HB471" s="1605"/>
      <c r="HC471" s="1605"/>
      <c r="HD471" s="1605"/>
      <c r="HE471" s="1605"/>
      <c r="HF471" s="1605"/>
      <c r="HG471" s="1605"/>
      <c r="HH471" s="1605"/>
      <c r="HI471" s="1605"/>
      <c r="HJ471" s="1605"/>
      <c r="HK471" s="1605"/>
      <c r="HL471" s="1605"/>
      <c r="HM471" s="1605"/>
      <c r="HN471" s="1605"/>
      <c r="HO471" s="1605"/>
      <c r="HP471" s="1605"/>
      <c r="HQ471" s="1605"/>
      <c r="HR471" s="1605"/>
      <c r="HS471" s="1605"/>
      <c r="HT471" s="1605"/>
      <c r="HU471" s="1605"/>
      <c r="HV471" s="1605"/>
      <c r="HW471" s="1605"/>
      <c r="HX471" s="1605"/>
      <c r="HY471" s="1605"/>
      <c r="HZ471" s="1605"/>
      <c r="IA471" s="1605"/>
      <c r="IB471" s="1605"/>
      <c r="IC471" s="1605"/>
      <c r="ID471" s="1605"/>
      <c r="IE471" s="1605"/>
      <c r="IF471" s="1605"/>
      <c r="IG471" s="1605"/>
      <c r="IH471" s="1605"/>
      <c r="II471" s="1605"/>
      <c r="IJ471" s="1605"/>
      <c r="IK471" s="1605"/>
      <c r="IL471" s="1605"/>
      <c r="IM471" s="1605"/>
      <c r="IN471" s="1605"/>
      <c r="IO471" s="1605"/>
      <c r="IP471" s="1605"/>
      <c r="IQ471" s="1605"/>
      <c r="IR471" s="1605"/>
      <c r="IS471" s="1605"/>
      <c r="IT471" s="1605"/>
      <c r="IU471" s="1605"/>
      <c r="IV471" s="1605"/>
      <c r="IW471" s="1605"/>
      <c r="IX471" s="1605"/>
      <c r="IY471" s="1605"/>
      <c r="IZ471" s="1605"/>
      <c r="JA471" s="1605"/>
      <c r="JB471" s="1605"/>
      <c r="JC471" s="1605"/>
      <c r="JD471" s="1605"/>
      <c r="JE471" s="1605"/>
      <c r="JF471" s="1605"/>
      <c r="JG471" s="1605"/>
      <c r="JH471" s="1605"/>
      <c r="JI471" s="1605"/>
      <c r="JJ471" s="1605"/>
      <c r="JK471" s="1605"/>
      <c r="JL471" s="1605"/>
      <c r="JM471" s="1605"/>
      <c r="JN471" s="1605"/>
      <c r="JO471" s="1605"/>
      <c r="JP471" s="1605"/>
      <c r="JQ471" s="1605"/>
      <c r="JR471" s="1605"/>
      <c r="JS471" s="1605"/>
      <c r="JT471" s="1605"/>
      <c r="JU471" s="1605"/>
      <c r="JV471" s="1605"/>
      <c r="JW471" s="1605"/>
      <c r="JX471" s="1605"/>
      <c r="JY471" s="1605"/>
      <c r="JZ471" s="1605"/>
      <c r="KA471" s="1605"/>
      <c r="KB471" s="1606"/>
    </row>
    <row r="472" spans="2:288" ht="15" customHeight="1" x14ac:dyDescent="0.25">
      <c r="B472" s="216" t="str">
        <f t="shared" si="37"/>
        <v>Desk 48</v>
      </c>
      <c r="C472" s="218" t="str">
        <v/>
      </c>
      <c r="D472" s="218" t="str">
        <v/>
      </c>
      <c r="E472" s="218" t="str">
        <v/>
      </c>
      <c r="F472" s="218" t="str">
        <v/>
      </c>
      <c r="G472" s="402" t="str">
        <v/>
      </c>
      <c r="H472" s="1605"/>
      <c r="I472" s="1605"/>
      <c r="J472" s="1605"/>
      <c r="K472" s="1605"/>
      <c r="L472" s="1605"/>
      <c r="M472" s="1605"/>
      <c r="N472" s="1605"/>
      <c r="O472" s="1605"/>
      <c r="P472" s="1605"/>
      <c r="Q472" s="1605"/>
      <c r="R472" s="1605"/>
      <c r="S472" s="1605"/>
      <c r="T472" s="1605"/>
      <c r="U472" s="1605"/>
      <c r="V472" s="1605"/>
      <c r="W472" s="1605"/>
      <c r="X472" s="1605"/>
      <c r="Y472" s="1605"/>
      <c r="Z472" s="1605"/>
      <c r="AA472" s="1605"/>
      <c r="AB472" s="1605"/>
      <c r="AC472" s="1605"/>
      <c r="AD472" s="1605"/>
      <c r="AE472" s="1605"/>
      <c r="AF472" s="1605"/>
      <c r="AG472" s="1605"/>
      <c r="AH472" s="1605"/>
      <c r="AI472" s="1605"/>
      <c r="AJ472" s="1605"/>
      <c r="AK472" s="1605"/>
      <c r="AL472" s="1605"/>
      <c r="AM472" s="1605"/>
      <c r="AN472" s="1605"/>
      <c r="AO472" s="1605"/>
      <c r="AP472" s="1605"/>
      <c r="AQ472" s="1605"/>
      <c r="AR472" s="1605"/>
      <c r="AS472" s="1605"/>
      <c r="AT472" s="1605"/>
      <c r="AU472" s="1605"/>
      <c r="AV472" s="1605"/>
      <c r="AW472" s="1605"/>
      <c r="AX472" s="1605"/>
      <c r="AY472" s="1605"/>
      <c r="AZ472" s="1605"/>
      <c r="BA472" s="1605"/>
      <c r="BB472" s="1605"/>
      <c r="BC472" s="1605"/>
      <c r="BD472" s="1605"/>
      <c r="BE472" s="1605"/>
      <c r="BF472" s="1605"/>
      <c r="BG472" s="1605"/>
      <c r="BH472" s="1605"/>
      <c r="BI472" s="1605"/>
      <c r="BJ472" s="1605"/>
      <c r="BK472" s="1605"/>
      <c r="BL472" s="1605"/>
      <c r="BM472" s="1605"/>
      <c r="BN472" s="1605"/>
      <c r="BO472" s="1605"/>
      <c r="BP472" s="1605"/>
      <c r="BQ472" s="1605"/>
      <c r="BR472" s="1605"/>
      <c r="BS472" s="1605"/>
      <c r="BT472" s="1605"/>
      <c r="BU472" s="1605"/>
      <c r="BV472" s="1605"/>
      <c r="BW472" s="1605"/>
      <c r="BX472" s="1605"/>
      <c r="BY472" s="1605"/>
      <c r="BZ472" s="1605"/>
      <c r="CA472" s="1605"/>
      <c r="CB472" s="1605"/>
      <c r="CC472" s="1605"/>
      <c r="CD472" s="1605"/>
      <c r="CE472" s="1605"/>
      <c r="CF472" s="1605"/>
      <c r="CG472" s="1605"/>
      <c r="CH472" s="1605"/>
      <c r="CI472" s="1605"/>
      <c r="CJ472" s="1605"/>
      <c r="CK472" s="1605"/>
      <c r="CL472" s="1605"/>
      <c r="CM472" s="1605"/>
      <c r="CN472" s="1605"/>
      <c r="CO472" s="1605"/>
      <c r="CP472" s="1605"/>
      <c r="CQ472" s="1605"/>
      <c r="CR472" s="1605"/>
      <c r="CS472" s="1605"/>
      <c r="CT472" s="1605"/>
      <c r="CU472" s="1605"/>
      <c r="CV472" s="1605"/>
      <c r="CW472" s="1605"/>
      <c r="CX472" s="1605"/>
      <c r="CY472" s="1605"/>
      <c r="CZ472" s="1605"/>
      <c r="DA472" s="1605"/>
      <c r="DB472" s="1605"/>
      <c r="DC472" s="1605"/>
      <c r="DD472" s="1605"/>
      <c r="DE472" s="1605"/>
      <c r="DF472" s="1605"/>
      <c r="DG472" s="1605"/>
      <c r="DH472" s="1605"/>
      <c r="DI472" s="1605"/>
      <c r="DJ472" s="1605"/>
      <c r="DK472" s="1605"/>
      <c r="DL472" s="1605"/>
      <c r="DM472" s="1605"/>
      <c r="DN472" s="1605"/>
      <c r="DO472" s="1605"/>
      <c r="DP472" s="1605"/>
      <c r="DQ472" s="1605"/>
      <c r="DR472" s="1605"/>
      <c r="DS472" s="1605"/>
      <c r="DT472" s="1605"/>
      <c r="DU472" s="1605"/>
      <c r="DV472" s="1605"/>
      <c r="DW472" s="1605"/>
      <c r="DX472" s="1605"/>
      <c r="DY472" s="1605"/>
      <c r="DZ472" s="1605"/>
      <c r="EA472" s="1605"/>
      <c r="EB472" s="1605"/>
      <c r="EC472" s="1605"/>
      <c r="ED472" s="1605"/>
      <c r="EE472" s="1605"/>
      <c r="EF472" s="1605"/>
      <c r="EG472" s="1605"/>
      <c r="EH472" s="1605"/>
      <c r="EI472" s="1605"/>
      <c r="EJ472" s="1605"/>
      <c r="EK472" s="1605"/>
      <c r="EL472" s="1605"/>
      <c r="EM472" s="1605"/>
      <c r="EN472" s="1605"/>
      <c r="EO472" s="1605"/>
      <c r="EP472" s="1605"/>
      <c r="EQ472" s="1605"/>
      <c r="ER472" s="1605"/>
      <c r="ES472" s="1605"/>
      <c r="ET472" s="1605"/>
      <c r="EU472" s="1605"/>
      <c r="EV472" s="1605"/>
      <c r="EW472" s="1605"/>
      <c r="EX472" s="1605"/>
      <c r="EY472" s="1605"/>
      <c r="EZ472" s="1605"/>
      <c r="FA472" s="1605"/>
      <c r="FB472" s="1605"/>
      <c r="FC472" s="1605"/>
      <c r="FD472" s="1605"/>
      <c r="FE472" s="1605"/>
      <c r="FF472" s="1605"/>
      <c r="FG472" s="1605"/>
      <c r="FH472" s="1605"/>
      <c r="FI472" s="1605"/>
      <c r="FJ472" s="1605"/>
      <c r="FK472" s="1605"/>
      <c r="FL472" s="1605"/>
      <c r="FM472" s="1605"/>
      <c r="FN472" s="1605"/>
      <c r="FO472" s="1605"/>
      <c r="FP472" s="1605"/>
      <c r="FQ472" s="1605"/>
      <c r="FR472" s="1605"/>
      <c r="FS472" s="1605"/>
      <c r="FT472" s="1605"/>
      <c r="FU472" s="1605"/>
      <c r="FV472" s="1605"/>
      <c r="FW472" s="1605"/>
      <c r="FX472" s="1605"/>
      <c r="FY472" s="1605"/>
      <c r="FZ472" s="1605"/>
      <c r="GA472" s="1605"/>
      <c r="GB472" s="1605"/>
      <c r="GC472" s="1605"/>
      <c r="GD472" s="1605"/>
      <c r="GE472" s="1605"/>
      <c r="GF472" s="1605"/>
      <c r="GG472" s="1605"/>
      <c r="GH472" s="1605"/>
      <c r="GI472" s="1605"/>
      <c r="GJ472" s="1605"/>
      <c r="GK472" s="1605"/>
      <c r="GL472" s="1605"/>
      <c r="GM472" s="1605"/>
      <c r="GN472" s="1605"/>
      <c r="GO472" s="1605"/>
      <c r="GP472" s="1605"/>
      <c r="GQ472" s="1605"/>
      <c r="GR472" s="1605"/>
      <c r="GS472" s="1605"/>
      <c r="GT472" s="1605"/>
      <c r="GU472" s="1605"/>
      <c r="GV472" s="1605"/>
      <c r="GW472" s="1605"/>
      <c r="GX472" s="1605"/>
      <c r="GY472" s="1605"/>
      <c r="GZ472" s="1605"/>
      <c r="HA472" s="1605"/>
      <c r="HB472" s="1605"/>
      <c r="HC472" s="1605"/>
      <c r="HD472" s="1605"/>
      <c r="HE472" s="1605"/>
      <c r="HF472" s="1605"/>
      <c r="HG472" s="1605"/>
      <c r="HH472" s="1605"/>
      <c r="HI472" s="1605"/>
      <c r="HJ472" s="1605"/>
      <c r="HK472" s="1605"/>
      <c r="HL472" s="1605"/>
      <c r="HM472" s="1605"/>
      <c r="HN472" s="1605"/>
      <c r="HO472" s="1605"/>
      <c r="HP472" s="1605"/>
      <c r="HQ472" s="1605"/>
      <c r="HR472" s="1605"/>
      <c r="HS472" s="1605"/>
      <c r="HT472" s="1605"/>
      <c r="HU472" s="1605"/>
      <c r="HV472" s="1605"/>
      <c r="HW472" s="1605"/>
      <c r="HX472" s="1605"/>
      <c r="HY472" s="1605"/>
      <c r="HZ472" s="1605"/>
      <c r="IA472" s="1605"/>
      <c r="IB472" s="1605"/>
      <c r="IC472" s="1605"/>
      <c r="ID472" s="1605"/>
      <c r="IE472" s="1605"/>
      <c r="IF472" s="1605"/>
      <c r="IG472" s="1605"/>
      <c r="IH472" s="1605"/>
      <c r="II472" s="1605"/>
      <c r="IJ472" s="1605"/>
      <c r="IK472" s="1605"/>
      <c r="IL472" s="1605"/>
      <c r="IM472" s="1605"/>
      <c r="IN472" s="1605"/>
      <c r="IO472" s="1605"/>
      <c r="IP472" s="1605"/>
      <c r="IQ472" s="1605"/>
      <c r="IR472" s="1605"/>
      <c r="IS472" s="1605"/>
      <c r="IT472" s="1605"/>
      <c r="IU472" s="1605"/>
      <c r="IV472" s="1605"/>
      <c r="IW472" s="1605"/>
      <c r="IX472" s="1605"/>
      <c r="IY472" s="1605"/>
      <c r="IZ472" s="1605"/>
      <c r="JA472" s="1605"/>
      <c r="JB472" s="1605"/>
      <c r="JC472" s="1605"/>
      <c r="JD472" s="1605"/>
      <c r="JE472" s="1605"/>
      <c r="JF472" s="1605"/>
      <c r="JG472" s="1605"/>
      <c r="JH472" s="1605"/>
      <c r="JI472" s="1605"/>
      <c r="JJ472" s="1605"/>
      <c r="JK472" s="1605"/>
      <c r="JL472" s="1605"/>
      <c r="JM472" s="1605"/>
      <c r="JN472" s="1605"/>
      <c r="JO472" s="1605"/>
      <c r="JP472" s="1605"/>
      <c r="JQ472" s="1605"/>
      <c r="JR472" s="1605"/>
      <c r="JS472" s="1605"/>
      <c r="JT472" s="1605"/>
      <c r="JU472" s="1605"/>
      <c r="JV472" s="1605"/>
      <c r="JW472" s="1605"/>
      <c r="JX472" s="1605"/>
      <c r="JY472" s="1605"/>
      <c r="JZ472" s="1605"/>
      <c r="KA472" s="1605"/>
      <c r="KB472" s="1606"/>
    </row>
    <row r="473" spans="2:288" ht="15" customHeight="1" x14ac:dyDescent="0.25">
      <c r="B473" s="216" t="str">
        <f t="shared" si="37"/>
        <v>Desk 49</v>
      </c>
      <c r="C473" s="218" t="str">
        <v/>
      </c>
      <c r="D473" s="218" t="str">
        <v/>
      </c>
      <c r="E473" s="218" t="str">
        <v/>
      </c>
      <c r="F473" s="218" t="str">
        <v/>
      </c>
      <c r="G473" s="402" t="str">
        <v/>
      </c>
      <c r="H473" s="1605"/>
      <c r="I473" s="1605"/>
      <c r="J473" s="1605"/>
      <c r="K473" s="1605"/>
      <c r="L473" s="1605"/>
      <c r="M473" s="1605"/>
      <c r="N473" s="1605"/>
      <c r="O473" s="1605"/>
      <c r="P473" s="1605"/>
      <c r="Q473" s="1605"/>
      <c r="R473" s="1605"/>
      <c r="S473" s="1605"/>
      <c r="T473" s="1605"/>
      <c r="U473" s="1605"/>
      <c r="V473" s="1605"/>
      <c r="W473" s="1605"/>
      <c r="X473" s="1605"/>
      <c r="Y473" s="1605"/>
      <c r="Z473" s="1605"/>
      <c r="AA473" s="1605"/>
      <c r="AB473" s="1605"/>
      <c r="AC473" s="1605"/>
      <c r="AD473" s="1605"/>
      <c r="AE473" s="1605"/>
      <c r="AF473" s="1605"/>
      <c r="AG473" s="1605"/>
      <c r="AH473" s="1605"/>
      <c r="AI473" s="1605"/>
      <c r="AJ473" s="1605"/>
      <c r="AK473" s="1605"/>
      <c r="AL473" s="1605"/>
      <c r="AM473" s="1605"/>
      <c r="AN473" s="1605"/>
      <c r="AO473" s="1605"/>
      <c r="AP473" s="1605"/>
      <c r="AQ473" s="1605"/>
      <c r="AR473" s="1605"/>
      <c r="AS473" s="1605"/>
      <c r="AT473" s="1605"/>
      <c r="AU473" s="1605"/>
      <c r="AV473" s="1605"/>
      <c r="AW473" s="1605"/>
      <c r="AX473" s="1605"/>
      <c r="AY473" s="1605"/>
      <c r="AZ473" s="1605"/>
      <c r="BA473" s="1605"/>
      <c r="BB473" s="1605"/>
      <c r="BC473" s="1605"/>
      <c r="BD473" s="1605"/>
      <c r="BE473" s="1605"/>
      <c r="BF473" s="1605"/>
      <c r="BG473" s="1605"/>
      <c r="BH473" s="1605"/>
      <c r="BI473" s="1605"/>
      <c r="BJ473" s="1605"/>
      <c r="BK473" s="1605"/>
      <c r="BL473" s="1605"/>
      <c r="BM473" s="1605"/>
      <c r="BN473" s="1605"/>
      <c r="BO473" s="1605"/>
      <c r="BP473" s="1605"/>
      <c r="BQ473" s="1605"/>
      <c r="BR473" s="1605"/>
      <c r="BS473" s="1605"/>
      <c r="BT473" s="1605"/>
      <c r="BU473" s="1605"/>
      <c r="BV473" s="1605"/>
      <c r="BW473" s="1605"/>
      <c r="BX473" s="1605"/>
      <c r="BY473" s="1605"/>
      <c r="BZ473" s="1605"/>
      <c r="CA473" s="1605"/>
      <c r="CB473" s="1605"/>
      <c r="CC473" s="1605"/>
      <c r="CD473" s="1605"/>
      <c r="CE473" s="1605"/>
      <c r="CF473" s="1605"/>
      <c r="CG473" s="1605"/>
      <c r="CH473" s="1605"/>
      <c r="CI473" s="1605"/>
      <c r="CJ473" s="1605"/>
      <c r="CK473" s="1605"/>
      <c r="CL473" s="1605"/>
      <c r="CM473" s="1605"/>
      <c r="CN473" s="1605"/>
      <c r="CO473" s="1605"/>
      <c r="CP473" s="1605"/>
      <c r="CQ473" s="1605"/>
      <c r="CR473" s="1605"/>
      <c r="CS473" s="1605"/>
      <c r="CT473" s="1605"/>
      <c r="CU473" s="1605"/>
      <c r="CV473" s="1605"/>
      <c r="CW473" s="1605"/>
      <c r="CX473" s="1605"/>
      <c r="CY473" s="1605"/>
      <c r="CZ473" s="1605"/>
      <c r="DA473" s="1605"/>
      <c r="DB473" s="1605"/>
      <c r="DC473" s="1605"/>
      <c r="DD473" s="1605"/>
      <c r="DE473" s="1605"/>
      <c r="DF473" s="1605"/>
      <c r="DG473" s="1605"/>
      <c r="DH473" s="1605"/>
      <c r="DI473" s="1605"/>
      <c r="DJ473" s="1605"/>
      <c r="DK473" s="1605"/>
      <c r="DL473" s="1605"/>
      <c r="DM473" s="1605"/>
      <c r="DN473" s="1605"/>
      <c r="DO473" s="1605"/>
      <c r="DP473" s="1605"/>
      <c r="DQ473" s="1605"/>
      <c r="DR473" s="1605"/>
      <c r="DS473" s="1605"/>
      <c r="DT473" s="1605"/>
      <c r="DU473" s="1605"/>
      <c r="DV473" s="1605"/>
      <c r="DW473" s="1605"/>
      <c r="DX473" s="1605"/>
      <c r="DY473" s="1605"/>
      <c r="DZ473" s="1605"/>
      <c r="EA473" s="1605"/>
      <c r="EB473" s="1605"/>
      <c r="EC473" s="1605"/>
      <c r="ED473" s="1605"/>
      <c r="EE473" s="1605"/>
      <c r="EF473" s="1605"/>
      <c r="EG473" s="1605"/>
      <c r="EH473" s="1605"/>
      <c r="EI473" s="1605"/>
      <c r="EJ473" s="1605"/>
      <c r="EK473" s="1605"/>
      <c r="EL473" s="1605"/>
      <c r="EM473" s="1605"/>
      <c r="EN473" s="1605"/>
      <c r="EO473" s="1605"/>
      <c r="EP473" s="1605"/>
      <c r="EQ473" s="1605"/>
      <c r="ER473" s="1605"/>
      <c r="ES473" s="1605"/>
      <c r="ET473" s="1605"/>
      <c r="EU473" s="1605"/>
      <c r="EV473" s="1605"/>
      <c r="EW473" s="1605"/>
      <c r="EX473" s="1605"/>
      <c r="EY473" s="1605"/>
      <c r="EZ473" s="1605"/>
      <c r="FA473" s="1605"/>
      <c r="FB473" s="1605"/>
      <c r="FC473" s="1605"/>
      <c r="FD473" s="1605"/>
      <c r="FE473" s="1605"/>
      <c r="FF473" s="1605"/>
      <c r="FG473" s="1605"/>
      <c r="FH473" s="1605"/>
      <c r="FI473" s="1605"/>
      <c r="FJ473" s="1605"/>
      <c r="FK473" s="1605"/>
      <c r="FL473" s="1605"/>
      <c r="FM473" s="1605"/>
      <c r="FN473" s="1605"/>
      <c r="FO473" s="1605"/>
      <c r="FP473" s="1605"/>
      <c r="FQ473" s="1605"/>
      <c r="FR473" s="1605"/>
      <c r="FS473" s="1605"/>
      <c r="FT473" s="1605"/>
      <c r="FU473" s="1605"/>
      <c r="FV473" s="1605"/>
      <c r="FW473" s="1605"/>
      <c r="FX473" s="1605"/>
      <c r="FY473" s="1605"/>
      <c r="FZ473" s="1605"/>
      <c r="GA473" s="1605"/>
      <c r="GB473" s="1605"/>
      <c r="GC473" s="1605"/>
      <c r="GD473" s="1605"/>
      <c r="GE473" s="1605"/>
      <c r="GF473" s="1605"/>
      <c r="GG473" s="1605"/>
      <c r="GH473" s="1605"/>
      <c r="GI473" s="1605"/>
      <c r="GJ473" s="1605"/>
      <c r="GK473" s="1605"/>
      <c r="GL473" s="1605"/>
      <c r="GM473" s="1605"/>
      <c r="GN473" s="1605"/>
      <c r="GO473" s="1605"/>
      <c r="GP473" s="1605"/>
      <c r="GQ473" s="1605"/>
      <c r="GR473" s="1605"/>
      <c r="GS473" s="1605"/>
      <c r="GT473" s="1605"/>
      <c r="GU473" s="1605"/>
      <c r="GV473" s="1605"/>
      <c r="GW473" s="1605"/>
      <c r="GX473" s="1605"/>
      <c r="GY473" s="1605"/>
      <c r="GZ473" s="1605"/>
      <c r="HA473" s="1605"/>
      <c r="HB473" s="1605"/>
      <c r="HC473" s="1605"/>
      <c r="HD473" s="1605"/>
      <c r="HE473" s="1605"/>
      <c r="HF473" s="1605"/>
      <c r="HG473" s="1605"/>
      <c r="HH473" s="1605"/>
      <c r="HI473" s="1605"/>
      <c r="HJ473" s="1605"/>
      <c r="HK473" s="1605"/>
      <c r="HL473" s="1605"/>
      <c r="HM473" s="1605"/>
      <c r="HN473" s="1605"/>
      <c r="HO473" s="1605"/>
      <c r="HP473" s="1605"/>
      <c r="HQ473" s="1605"/>
      <c r="HR473" s="1605"/>
      <c r="HS473" s="1605"/>
      <c r="HT473" s="1605"/>
      <c r="HU473" s="1605"/>
      <c r="HV473" s="1605"/>
      <c r="HW473" s="1605"/>
      <c r="HX473" s="1605"/>
      <c r="HY473" s="1605"/>
      <c r="HZ473" s="1605"/>
      <c r="IA473" s="1605"/>
      <c r="IB473" s="1605"/>
      <c r="IC473" s="1605"/>
      <c r="ID473" s="1605"/>
      <c r="IE473" s="1605"/>
      <c r="IF473" s="1605"/>
      <c r="IG473" s="1605"/>
      <c r="IH473" s="1605"/>
      <c r="II473" s="1605"/>
      <c r="IJ473" s="1605"/>
      <c r="IK473" s="1605"/>
      <c r="IL473" s="1605"/>
      <c r="IM473" s="1605"/>
      <c r="IN473" s="1605"/>
      <c r="IO473" s="1605"/>
      <c r="IP473" s="1605"/>
      <c r="IQ473" s="1605"/>
      <c r="IR473" s="1605"/>
      <c r="IS473" s="1605"/>
      <c r="IT473" s="1605"/>
      <c r="IU473" s="1605"/>
      <c r="IV473" s="1605"/>
      <c r="IW473" s="1605"/>
      <c r="IX473" s="1605"/>
      <c r="IY473" s="1605"/>
      <c r="IZ473" s="1605"/>
      <c r="JA473" s="1605"/>
      <c r="JB473" s="1605"/>
      <c r="JC473" s="1605"/>
      <c r="JD473" s="1605"/>
      <c r="JE473" s="1605"/>
      <c r="JF473" s="1605"/>
      <c r="JG473" s="1605"/>
      <c r="JH473" s="1605"/>
      <c r="JI473" s="1605"/>
      <c r="JJ473" s="1605"/>
      <c r="JK473" s="1605"/>
      <c r="JL473" s="1605"/>
      <c r="JM473" s="1605"/>
      <c r="JN473" s="1605"/>
      <c r="JO473" s="1605"/>
      <c r="JP473" s="1605"/>
      <c r="JQ473" s="1605"/>
      <c r="JR473" s="1605"/>
      <c r="JS473" s="1605"/>
      <c r="JT473" s="1605"/>
      <c r="JU473" s="1605"/>
      <c r="JV473" s="1605"/>
      <c r="JW473" s="1605"/>
      <c r="JX473" s="1605"/>
      <c r="JY473" s="1605"/>
      <c r="JZ473" s="1605"/>
      <c r="KA473" s="1605"/>
      <c r="KB473" s="1606"/>
    </row>
    <row r="474" spans="2:288" ht="15" customHeight="1" x14ac:dyDescent="0.25">
      <c r="B474" s="216" t="str">
        <f t="shared" si="37"/>
        <v>Desk 50</v>
      </c>
      <c r="C474" s="218" t="str">
        <v/>
      </c>
      <c r="D474" s="218" t="str">
        <v/>
      </c>
      <c r="E474" s="218" t="str">
        <v/>
      </c>
      <c r="F474" s="218" t="str">
        <v/>
      </c>
      <c r="G474" s="402" t="str">
        <v/>
      </c>
      <c r="H474" s="1605"/>
      <c r="I474" s="1605"/>
      <c r="J474" s="1605"/>
      <c r="K474" s="1605"/>
      <c r="L474" s="1605"/>
      <c r="M474" s="1605"/>
      <c r="N474" s="1605"/>
      <c r="O474" s="1605"/>
      <c r="P474" s="1605"/>
      <c r="Q474" s="1605"/>
      <c r="R474" s="1605"/>
      <c r="S474" s="1605"/>
      <c r="T474" s="1605"/>
      <c r="U474" s="1605"/>
      <c r="V474" s="1605"/>
      <c r="W474" s="1605"/>
      <c r="X474" s="1605"/>
      <c r="Y474" s="1605"/>
      <c r="Z474" s="1605"/>
      <c r="AA474" s="1605"/>
      <c r="AB474" s="1605"/>
      <c r="AC474" s="1605"/>
      <c r="AD474" s="1605"/>
      <c r="AE474" s="1605"/>
      <c r="AF474" s="1605"/>
      <c r="AG474" s="1605"/>
      <c r="AH474" s="1605"/>
      <c r="AI474" s="1605"/>
      <c r="AJ474" s="1605"/>
      <c r="AK474" s="1605"/>
      <c r="AL474" s="1605"/>
      <c r="AM474" s="1605"/>
      <c r="AN474" s="1605"/>
      <c r="AO474" s="1605"/>
      <c r="AP474" s="1605"/>
      <c r="AQ474" s="1605"/>
      <c r="AR474" s="1605"/>
      <c r="AS474" s="1605"/>
      <c r="AT474" s="1605"/>
      <c r="AU474" s="1605"/>
      <c r="AV474" s="1605"/>
      <c r="AW474" s="1605"/>
      <c r="AX474" s="1605"/>
      <c r="AY474" s="1605"/>
      <c r="AZ474" s="1605"/>
      <c r="BA474" s="1605"/>
      <c r="BB474" s="1605"/>
      <c r="BC474" s="1605"/>
      <c r="BD474" s="1605"/>
      <c r="BE474" s="1605"/>
      <c r="BF474" s="1605"/>
      <c r="BG474" s="1605"/>
      <c r="BH474" s="1605"/>
      <c r="BI474" s="1605"/>
      <c r="BJ474" s="1605"/>
      <c r="BK474" s="1605"/>
      <c r="BL474" s="1605"/>
      <c r="BM474" s="1605"/>
      <c r="BN474" s="1605"/>
      <c r="BO474" s="1605"/>
      <c r="BP474" s="1605"/>
      <c r="BQ474" s="1605"/>
      <c r="BR474" s="1605"/>
      <c r="BS474" s="1605"/>
      <c r="BT474" s="1605"/>
      <c r="BU474" s="1605"/>
      <c r="BV474" s="1605"/>
      <c r="BW474" s="1605"/>
      <c r="BX474" s="1605"/>
      <c r="BY474" s="1605"/>
      <c r="BZ474" s="1605"/>
      <c r="CA474" s="1605"/>
      <c r="CB474" s="1605"/>
      <c r="CC474" s="1605"/>
      <c r="CD474" s="1605"/>
      <c r="CE474" s="1605"/>
      <c r="CF474" s="1605"/>
      <c r="CG474" s="1605"/>
      <c r="CH474" s="1605"/>
      <c r="CI474" s="1605"/>
      <c r="CJ474" s="1605"/>
      <c r="CK474" s="1605"/>
      <c r="CL474" s="1605"/>
      <c r="CM474" s="1605"/>
      <c r="CN474" s="1605"/>
      <c r="CO474" s="1605"/>
      <c r="CP474" s="1605"/>
      <c r="CQ474" s="1605"/>
      <c r="CR474" s="1605"/>
      <c r="CS474" s="1605"/>
      <c r="CT474" s="1605"/>
      <c r="CU474" s="1605"/>
      <c r="CV474" s="1605"/>
      <c r="CW474" s="1605"/>
      <c r="CX474" s="1605"/>
      <c r="CY474" s="1605"/>
      <c r="CZ474" s="1605"/>
      <c r="DA474" s="1605"/>
      <c r="DB474" s="1605"/>
      <c r="DC474" s="1605"/>
      <c r="DD474" s="1605"/>
      <c r="DE474" s="1605"/>
      <c r="DF474" s="1605"/>
      <c r="DG474" s="1605"/>
      <c r="DH474" s="1605"/>
      <c r="DI474" s="1605"/>
      <c r="DJ474" s="1605"/>
      <c r="DK474" s="1605"/>
      <c r="DL474" s="1605"/>
      <c r="DM474" s="1605"/>
      <c r="DN474" s="1605"/>
      <c r="DO474" s="1605"/>
      <c r="DP474" s="1605"/>
      <c r="DQ474" s="1605"/>
      <c r="DR474" s="1605"/>
      <c r="DS474" s="1605"/>
      <c r="DT474" s="1605"/>
      <c r="DU474" s="1605"/>
      <c r="DV474" s="1605"/>
      <c r="DW474" s="1605"/>
      <c r="DX474" s="1605"/>
      <c r="DY474" s="1605"/>
      <c r="DZ474" s="1605"/>
      <c r="EA474" s="1605"/>
      <c r="EB474" s="1605"/>
      <c r="EC474" s="1605"/>
      <c r="ED474" s="1605"/>
      <c r="EE474" s="1605"/>
      <c r="EF474" s="1605"/>
      <c r="EG474" s="1605"/>
      <c r="EH474" s="1605"/>
      <c r="EI474" s="1605"/>
      <c r="EJ474" s="1605"/>
      <c r="EK474" s="1605"/>
      <c r="EL474" s="1605"/>
      <c r="EM474" s="1605"/>
      <c r="EN474" s="1605"/>
      <c r="EO474" s="1605"/>
      <c r="EP474" s="1605"/>
      <c r="EQ474" s="1605"/>
      <c r="ER474" s="1605"/>
      <c r="ES474" s="1605"/>
      <c r="ET474" s="1605"/>
      <c r="EU474" s="1605"/>
      <c r="EV474" s="1605"/>
      <c r="EW474" s="1605"/>
      <c r="EX474" s="1605"/>
      <c r="EY474" s="1605"/>
      <c r="EZ474" s="1605"/>
      <c r="FA474" s="1605"/>
      <c r="FB474" s="1605"/>
      <c r="FC474" s="1605"/>
      <c r="FD474" s="1605"/>
      <c r="FE474" s="1605"/>
      <c r="FF474" s="1605"/>
      <c r="FG474" s="1605"/>
      <c r="FH474" s="1605"/>
      <c r="FI474" s="1605"/>
      <c r="FJ474" s="1605"/>
      <c r="FK474" s="1605"/>
      <c r="FL474" s="1605"/>
      <c r="FM474" s="1605"/>
      <c r="FN474" s="1605"/>
      <c r="FO474" s="1605"/>
      <c r="FP474" s="1605"/>
      <c r="FQ474" s="1605"/>
      <c r="FR474" s="1605"/>
      <c r="FS474" s="1605"/>
      <c r="FT474" s="1605"/>
      <c r="FU474" s="1605"/>
      <c r="FV474" s="1605"/>
      <c r="FW474" s="1605"/>
      <c r="FX474" s="1605"/>
      <c r="FY474" s="1605"/>
      <c r="FZ474" s="1605"/>
      <c r="GA474" s="1605"/>
      <c r="GB474" s="1605"/>
      <c r="GC474" s="1605"/>
      <c r="GD474" s="1605"/>
      <c r="GE474" s="1605"/>
      <c r="GF474" s="1605"/>
      <c r="GG474" s="1605"/>
      <c r="GH474" s="1605"/>
      <c r="GI474" s="1605"/>
      <c r="GJ474" s="1605"/>
      <c r="GK474" s="1605"/>
      <c r="GL474" s="1605"/>
      <c r="GM474" s="1605"/>
      <c r="GN474" s="1605"/>
      <c r="GO474" s="1605"/>
      <c r="GP474" s="1605"/>
      <c r="GQ474" s="1605"/>
      <c r="GR474" s="1605"/>
      <c r="GS474" s="1605"/>
      <c r="GT474" s="1605"/>
      <c r="GU474" s="1605"/>
      <c r="GV474" s="1605"/>
      <c r="GW474" s="1605"/>
      <c r="GX474" s="1605"/>
      <c r="GY474" s="1605"/>
      <c r="GZ474" s="1605"/>
      <c r="HA474" s="1605"/>
      <c r="HB474" s="1605"/>
      <c r="HC474" s="1605"/>
      <c r="HD474" s="1605"/>
      <c r="HE474" s="1605"/>
      <c r="HF474" s="1605"/>
      <c r="HG474" s="1605"/>
      <c r="HH474" s="1605"/>
      <c r="HI474" s="1605"/>
      <c r="HJ474" s="1605"/>
      <c r="HK474" s="1605"/>
      <c r="HL474" s="1605"/>
      <c r="HM474" s="1605"/>
      <c r="HN474" s="1605"/>
      <c r="HO474" s="1605"/>
      <c r="HP474" s="1605"/>
      <c r="HQ474" s="1605"/>
      <c r="HR474" s="1605"/>
      <c r="HS474" s="1605"/>
      <c r="HT474" s="1605"/>
      <c r="HU474" s="1605"/>
      <c r="HV474" s="1605"/>
      <c r="HW474" s="1605"/>
      <c r="HX474" s="1605"/>
      <c r="HY474" s="1605"/>
      <c r="HZ474" s="1605"/>
      <c r="IA474" s="1605"/>
      <c r="IB474" s="1605"/>
      <c r="IC474" s="1605"/>
      <c r="ID474" s="1605"/>
      <c r="IE474" s="1605"/>
      <c r="IF474" s="1605"/>
      <c r="IG474" s="1605"/>
      <c r="IH474" s="1605"/>
      <c r="II474" s="1605"/>
      <c r="IJ474" s="1605"/>
      <c r="IK474" s="1605"/>
      <c r="IL474" s="1605"/>
      <c r="IM474" s="1605"/>
      <c r="IN474" s="1605"/>
      <c r="IO474" s="1605"/>
      <c r="IP474" s="1605"/>
      <c r="IQ474" s="1605"/>
      <c r="IR474" s="1605"/>
      <c r="IS474" s="1605"/>
      <c r="IT474" s="1605"/>
      <c r="IU474" s="1605"/>
      <c r="IV474" s="1605"/>
      <c r="IW474" s="1605"/>
      <c r="IX474" s="1605"/>
      <c r="IY474" s="1605"/>
      <c r="IZ474" s="1605"/>
      <c r="JA474" s="1605"/>
      <c r="JB474" s="1605"/>
      <c r="JC474" s="1605"/>
      <c r="JD474" s="1605"/>
      <c r="JE474" s="1605"/>
      <c r="JF474" s="1605"/>
      <c r="JG474" s="1605"/>
      <c r="JH474" s="1605"/>
      <c r="JI474" s="1605"/>
      <c r="JJ474" s="1605"/>
      <c r="JK474" s="1605"/>
      <c r="JL474" s="1605"/>
      <c r="JM474" s="1605"/>
      <c r="JN474" s="1605"/>
      <c r="JO474" s="1605"/>
      <c r="JP474" s="1605"/>
      <c r="JQ474" s="1605"/>
      <c r="JR474" s="1605"/>
      <c r="JS474" s="1605"/>
      <c r="JT474" s="1605"/>
      <c r="JU474" s="1605"/>
      <c r="JV474" s="1605"/>
      <c r="JW474" s="1605"/>
      <c r="JX474" s="1605"/>
      <c r="JY474" s="1605"/>
      <c r="JZ474" s="1605"/>
      <c r="KA474" s="1605"/>
      <c r="KB474" s="1606"/>
    </row>
    <row r="475" spans="2:288" ht="15" customHeight="1" x14ac:dyDescent="0.25">
      <c r="B475" s="216" t="str">
        <f t="shared" si="37"/>
        <v>Desk 51</v>
      </c>
      <c r="C475" s="218" t="str">
        <v/>
      </c>
      <c r="D475" s="218" t="str">
        <v/>
      </c>
      <c r="E475" s="218" t="str">
        <v/>
      </c>
      <c r="F475" s="218" t="str">
        <v/>
      </c>
      <c r="G475" s="402" t="str">
        <v/>
      </c>
      <c r="H475" s="1605"/>
      <c r="I475" s="1605"/>
      <c r="J475" s="1605"/>
      <c r="K475" s="1605"/>
      <c r="L475" s="1605"/>
      <c r="M475" s="1605"/>
      <c r="N475" s="1605"/>
      <c r="O475" s="1605"/>
      <c r="P475" s="1605"/>
      <c r="Q475" s="1605"/>
      <c r="R475" s="1605"/>
      <c r="S475" s="1605"/>
      <c r="T475" s="1605"/>
      <c r="U475" s="1605"/>
      <c r="V475" s="1605"/>
      <c r="W475" s="1605"/>
      <c r="X475" s="1605"/>
      <c r="Y475" s="1605"/>
      <c r="Z475" s="1605"/>
      <c r="AA475" s="1605"/>
      <c r="AB475" s="1605"/>
      <c r="AC475" s="1605"/>
      <c r="AD475" s="1605"/>
      <c r="AE475" s="1605"/>
      <c r="AF475" s="1605"/>
      <c r="AG475" s="1605"/>
      <c r="AH475" s="1605"/>
      <c r="AI475" s="1605"/>
      <c r="AJ475" s="1605"/>
      <c r="AK475" s="1605"/>
      <c r="AL475" s="1605"/>
      <c r="AM475" s="1605"/>
      <c r="AN475" s="1605"/>
      <c r="AO475" s="1605"/>
      <c r="AP475" s="1605"/>
      <c r="AQ475" s="1605"/>
      <c r="AR475" s="1605"/>
      <c r="AS475" s="1605"/>
      <c r="AT475" s="1605"/>
      <c r="AU475" s="1605"/>
      <c r="AV475" s="1605"/>
      <c r="AW475" s="1605"/>
      <c r="AX475" s="1605"/>
      <c r="AY475" s="1605"/>
      <c r="AZ475" s="1605"/>
      <c r="BA475" s="1605"/>
      <c r="BB475" s="1605"/>
      <c r="BC475" s="1605"/>
      <c r="BD475" s="1605"/>
      <c r="BE475" s="1605"/>
      <c r="BF475" s="1605"/>
      <c r="BG475" s="1605"/>
      <c r="BH475" s="1605"/>
      <c r="BI475" s="1605"/>
      <c r="BJ475" s="1605"/>
      <c r="BK475" s="1605"/>
      <c r="BL475" s="1605"/>
      <c r="BM475" s="1605"/>
      <c r="BN475" s="1605"/>
      <c r="BO475" s="1605"/>
      <c r="BP475" s="1605"/>
      <c r="BQ475" s="1605"/>
      <c r="BR475" s="1605"/>
      <c r="BS475" s="1605"/>
      <c r="BT475" s="1605"/>
      <c r="BU475" s="1605"/>
      <c r="BV475" s="1605"/>
      <c r="BW475" s="1605"/>
      <c r="BX475" s="1605"/>
      <c r="BY475" s="1605"/>
      <c r="BZ475" s="1605"/>
      <c r="CA475" s="1605"/>
      <c r="CB475" s="1605"/>
      <c r="CC475" s="1605"/>
      <c r="CD475" s="1605"/>
      <c r="CE475" s="1605"/>
      <c r="CF475" s="1605"/>
      <c r="CG475" s="1605"/>
      <c r="CH475" s="1605"/>
      <c r="CI475" s="1605"/>
      <c r="CJ475" s="1605"/>
      <c r="CK475" s="1605"/>
      <c r="CL475" s="1605"/>
      <c r="CM475" s="1605"/>
      <c r="CN475" s="1605"/>
      <c r="CO475" s="1605"/>
      <c r="CP475" s="1605"/>
      <c r="CQ475" s="1605"/>
      <c r="CR475" s="1605"/>
      <c r="CS475" s="1605"/>
      <c r="CT475" s="1605"/>
      <c r="CU475" s="1605"/>
      <c r="CV475" s="1605"/>
      <c r="CW475" s="1605"/>
      <c r="CX475" s="1605"/>
      <c r="CY475" s="1605"/>
      <c r="CZ475" s="1605"/>
      <c r="DA475" s="1605"/>
      <c r="DB475" s="1605"/>
      <c r="DC475" s="1605"/>
      <c r="DD475" s="1605"/>
      <c r="DE475" s="1605"/>
      <c r="DF475" s="1605"/>
      <c r="DG475" s="1605"/>
      <c r="DH475" s="1605"/>
      <c r="DI475" s="1605"/>
      <c r="DJ475" s="1605"/>
      <c r="DK475" s="1605"/>
      <c r="DL475" s="1605"/>
      <c r="DM475" s="1605"/>
      <c r="DN475" s="1605"/>
      <c r="DO475" s="1605"/>
      <c r="DP475" s="1605"/>
      <c r="DQ475" s="1605"/>
      <c r="DR475" s="1605"/>
      <c r="DS475" s="1605"/>
      <c r="DT475" s="1605"/>
      <c r="DU475" s="1605"/>
      <c r="DV475" s="1605"/>
      <c r="DW475" s="1605"/>
      <c r="DX475" s="1605"/>
      <c r="DY475" s="1605"/>
      <c r="DZ475" s="1605"/>
      <c r="EA475" s="1605"/>
      <c r="EB475" s="1605"/>
      <c r="EC475" s="1605"/>
      <c r="ED475" s="1605"/>
      <c r="EE475" s="1605"/>
      <c r="EF475" s="1605"/>
      <c r="EG475" s="1605"/>
      <c r="EH475" s="1605"/>
      <c r="EI475" s="1605"/>
      <c r="EJ475" s="1605"/>
      <c r="EK475" s="1605"/>
      <c r="EL475" s="1605"/>
      <c r="EM475" s="1605"/>
      <c r="EN475" s="1605"/>
      <c r="EO475" s="1605"/>
      <c r="EP475" s="1605"/>
      <c r="EQ475" s="1605"/>
      <c r="ER475" s="1605"/>
      <c r="ES475" s="1605"/>
      <c r="ET475" s="1605"/>
      <c r="EU475" s="1605"/>
      <c r="EV475" s="1605"/>
      <c r="EW475" s="1605"/>
      <c r="EX475" s="1605"/>
      <c r="EY475" s="1605"/>
      <c r="EZ475" s="1605"/>
      <c r="FA475" s="1605"/>
      <c r="FB475" s="1605"/>
      <c r="FC475" s="1605"/>
      <c r="FD475" s="1605"/>
      <c r="FE475" s="1605"/>
      <c r="FF475" s="1605"/>
      <c r="FG475" s="1605"/>
      <c r="FH475" s="1605"/>
      <c r="FI475" s="1605"/>
      <c r="FJ475" s="1605"/>
      <c r="FK475" s="1605"/>
      <c r="FL475" s="1605"/>
      <c r="FM475" s="1605"/>
      <c r="FN475" s="1605"/>
      <c r="FO475" s="1605"/>
      <c r="FP475" s="1605"/>
      <c r="FQ475" s="1605"/>
      <c r="FR475" s="1605"/>
      <c r="FS475" s="1605"/>
      <c r="FT475" s="1605"/>
      <c r="FU475" s="1605"/>
      <c r="FV475" s="1605"/>
      <c r="FW475" s="1605"/>
      <c r="FX475" s="1605"/>
      <c r="FY475" s="1605"/>
      <c r="FZ475" s="1605"/>
      <c r="GA475" s="1605"/>
      <c r="GB475" s="1605"/>
      <c r="GC475" s="1605"/>
      <c r="GD475" s="1605"/>
      <c r="GE475" s="1605"/>
      <c r="GF475" s="1605"/>
      <c r="GG475" s="1605"/>
      <c r="GH475" s="1605"/>
      <c r="GI475" s="1605"/>
      <c r="GJ475" s="1605"/>
      <c r="GK475" s="1605"/>
      <c r="GL475" s="1605"/>
      <c r="GM475" s="1605"/>
      <c r="GN475" s="1605"/>
      <c r="GO475" s="1605"/>
      <c r="GP475" s="1605"/>
      <c r="GQ475" s="1605"/>
      <c r="GR475" s="1605"/>
      <c r="GS475" s="1605"/>
      <c r="GT475" s="1605"/>
      <c r="GU475" s="1605"/>
      <c r="GV475" s="1605"/>
      <c r="GW475" s="1605"/>
      <c r="GX475" s="1605"/>
      <c r="GY475" s="1605"/>
      <c r="GZ475" s="1605"/>
      <c r="HA475" s="1605"/>
      <c r="HB475" s="1605"/>
      <c r="HC475" s="1605"/>
      <c r="HD475" s="1605"/>
      <c r="HE475" s="1605"/>
      <c r="HF475" s="1605"/>
      <c r="HG475" s="1605"/>
      <c r="HH475" s="1605"/>
      <c r="HI475" s="1605"/>
      <c r="HJ475" s="1605"/>
      <c r="HK475" s="1605"/>
      <c r="HL475" s="1605"/>
      <c r="HM475" s="1605"/>
      <c r="HN475" s="1605"/>
      <c r="HO475" s="1605"/>
      <c r="HP475" s="1605"/>
      <c r="HQ475" s="1605"/>
      <c r="HR475" s="1605"/>
      <c r="HS475" s="1605"/>
      <c r="HT475" s="1605"/>
      <c r="HU475" s="1605"/>
      <c r="HV475" s="1605"/>
      <c r="HW475" s="1605"/>
      <c r="HX475" s="1605"/>
      <c r="HY475" s="1605"/>
      <c r="HZ475" s="1605"/>
      <c r="IA475" s="1605"/>
      <c r="IB475" s="1605"/>
      <c r="IC475" s="1605"/>
      <c r="ID475" s="1605"/>
      <c r="IE475" s="1605"/>
      <c r="IF475" s="1605"/>
      <c r="IG475" s="1605"/>
      <c r="IH475" s="1605"/>
      <c r="II475" s="1605"/>
      <c r="IJ475" s="1605"/>
      <c r="IK475" s="1605"/>
      <c r="IL475" s="1605"/>
      <c r="IM475" s="1605"/>
      <c r="IN475" s="1605"/>
      <c r="IO475" s="1605"/>
      <c r="IP475" s="1605"/>
      <c r="IQ475" s="1605"/>
      <c r="IR475" s="1605"/>
      <c r="IS475" s="1605"/>
      <c r="IT475" s="1605"/>
      <c r="IU475" s="1605"/>
      <c r="IV475" s="1605"/>
      <c r="IW475" s="1605"/>
      <c r="IX475" s="1605"/>
      <c r="IY475" s="1605"/>
      <c r="IZ475" s="1605"/>
      <c r="JA475" s="1605"/>
      <c r="JB475" s="1605"/>
      <c r="JC475" s="1605"/>
      <c r="JD475" s="1605"/>
      <c r="JE475" s="1605"/>
      <c r="JF475" s="1605"/>
      <c r="JG475" s="1605"/>
      <c r="JH475" s="1605"/>
      <c r="JI475" s="1605"/>
      <c r="JJ475" s="1605"/>
      <c r="JK475" s="1605"/>
      <c r="JL475" s="1605"/>
      <c r="JM475" s="1605"/>
      <c r="JN475" s="1605"/>
      <c r="JO475" s="1605"/>
      <c r="JP475" s="1605"/>
      <c r="JQ475" s="1605"/>
      <c r="JR475" s="1605"/>
      <c r="JS475" s="1605"/>
      <c r="JT475" s="1605"/>
      <c r="JU475" s="1605"/>
      <c r="JV475" s="1605"/>
      <c r="JW475" s="1605"/>
      <c r="JX475" s="1605"/>
      <c r="JY475" s="1605"/>
      <c r="JZ475" s="1605"/>
      <c r="KA475" s="1605"/>
      <c r="KB475" s="1606"/>
    </row>
    <row r="476" spans="2:288" ht="15" customHeight="1" x14ac:dyDescent="0.25">
      <c r="B476" s="216" t="str">
        <f t="shared" si="37"/>
        <v>Desk 52</v>
      </c>
      <c r="C476" s="218" t="str">
        <v/>
      </c>
      <c r="D476" s="218" t="str">
        <v/>
      </c>
      <c r="E476" s="218" t="str">
        <v/>
      </c>
      <c r="F476" s="218" t="str">
        <v/>
      </c>
      <c r="G476" s="402" t="str">
        <v/>
      </c>
      <c r="H476" s="1605"/>
      <c r="I476" s="1605"/>
      <c r="J476" s="1605"/>
      <c r="K476" s="1605"/>
      <c r="L476" s="1605"/>
      <c r="M476" s="1605"/>
      <c r="N476" s="1605"/>
      <c r="O476" s="1605"/>
      <c r="P476" s="1605"/>
      <c r="Q476" s="1605"/>
      <c r="R476" s="1605"/>
      <c r="S476" s="1605"/>
      <c r="T476" s="1605"/>
      <c r="U476" s="1605"/>
      <c r="V476" s="1605"/>
      <c r="W476" s="1605"/>
      <c r="X476" s="1605"/>
      <c r="Y476" s="1605"/>
      <c r="Z476" s="1605"/>
      <c r="AA476" s="1605"/>
      <c r="AB476" s="1605"/>
      <c r="AC476" s="1605"/>
      <c r="AD476" s="1605"/>
      <c r="AE476" s="1605"/>
      <c r="AF476" s="1605"/>
      <c r="AG476" s="1605"/>
      <c r="AH476" s="1605"/>
      <c r="AI476" s="1605"/>
      <c r="AJ476" s="1605"/>
      <c r="AK476" s="1605"/>
      <c r="AL476" s="1605"/>
      <c r="AM476" s="1605"/>
      <c r="AN476" s="1605"/>
      <c r="AO476" s="1605"/>
      <c r="AP476" s="1605"/>
      <c r="AQ476" s="1605"/>
      <c r="AR476" s="1605"/>
      <c r="AS476" s="1605"/>
      <c r="AT476" s="1605"/>
      <c r="AU476" s="1605"/>
      <c r="AV476" s="1605"/>
      <c r="AW476" s="1605"/>
      <c r="AX476" s="1605"/>
      <c r="AY476" s="1605"/>
      <c r="AZ476" s="1605"/>
      <c r="BA476" s="1605"/>
      <c r="BB476" s="1605"/>
      <c r="BC476" s="1605"/>
      <c r="BD476" s="1605"/>
      <c r="BE476" s="1605"/>
      <c r="BF476" s="1605"/>
      <c r="BG476" s="1605"/>
      <c r="BH476" s="1605"/>
      <c r="BI476" s="1605"/>
      <c r="BJ476" s="1605"/>
      <c r="BK476" s="1605"/>
      <c r="BL476" s="1605"/>
      <c r="BM476" s="1605"/>
      <c r="BN476" s="1605"/>
      <c r="BO476" s="1605"/>
      <c r="BP476" s="1605"/>
      <c r="BQ476" s="1605"/>
      <c r="BR476" s="1605"/>
      <c r="BS476" s="1605"/>
      <c r="BT476" s="1605"/>
      <c r="BU476" s="1605"/>
      <c r="BV476" s="1605"/>
      <c r="BW476" s="1605"/>
      <c r="BX476" s="1605"/>
      <c r="BY476" s="1605"/>
      <c r="BZ476" s="1605"/>
      <c r="CA476" s="1605"/>
      <c r="CB476" s="1605"/>
      <c r="CC476" s="1605"/>
      <c r="CD476" s="1605"/>
      <c r="CE476" s="1605"/>
      <c r="CF476" s="1605"/>
      <c r="CG476" s="1605"/>
      <c r="CH476" s="1605"/>
      <c r="CI476" s="1605"/>
      <c r="CJ476" s="1605"/>
      <c r="CK476" s="1605"/>
      <c r="CL476" s="1605"/>
      <c r="CM476" s="1605"/>
      <c r="CN476" s="1605"/>
      <c r="CO476" s="1605"/>
      <c r="CP476" s="1605"/>
      <c r="CQ476" s="1605"/>
      <c r="CR476" s="1605"/>
      <c r="CS476" s="1605"/>
      <c r="CT476" s="1605"/>
      <c r="CU476" s="1605"/>
      <c r="CV476" s="1605"/>
      <c r="CW476" s="1605"/>
      <c r="CX476" s="1605"/>
      <c r="CY476" s="1605"/>
      <c r="CZ476" s="1605"/>
      <c r="DA476" s="1605"/>
      <c r="DB476" s="1605"/>
      <c r="DC476" s="1605"/>
      <c r="DD476" s="1605"/>
      <c r="DE476" s="1605"/>
      <c r="DF476" s="1605"/>
      <c r="DG476" s="1605"/>
      <c r="DH476" s="1605"/>
      <c r="DI476" s="1605"/>
      <c r="DJ476" s="1605"/>
      <c r="DK476" s="1605"/>
      <c r="DL476" s="1605"/>
      <c r="DM476" s="1605"/>
      <c r="DN476" s="1605"/>
      <c r="DO476" s="1605"/>
      <c r="DP476" s="1605"/>
      <c r="DQ476" s="1605"/>
      <c r="DR476" s="1605"/>
      <c r="DS476" s="1605"/>
      <c r="DT476" s="1605"/>
      <c r="DU476" s="1605"/>
      <c r="DV476" s="1605"/>
      <c r="DW476" s="1605"/>
      <c r="DX476" s="1605"/>
      <c r="DY476" s="1605"/>
      <c r="DZ476" s="1605"/>
      <c r="EA476" s="1605"/>
      <c r="EB476" s="1605"/>
      <c r="EC476" s="1605"/>
      <c r="ED476" s="1605"/>
      <c r="EE476" s="1605"/>
      <c r="EF476" s="1605"/>
      <c r="EG476" s="1605"/>
      <c r="EH476" s="1605"/>
      <c r="EI476" s="1605"/>
      <c r="EJ476" s="1605"/>
      <c r="EK476" s="1605"/>
      <c r="EL476" s="1605"/>
      <c r="EM476" s="1605"/>
      <c r="EN476" s="1605"/>
      <c r="EO476" s="1605"/>
      <c r="EP476" s="1605"/>
      <c r="EQ476" s="1605"/>
      <c r="ER476" s="1605"/>
      <c r="ES476" s="1605"/>
      <c r="ET476" s="1605"/>
      <c r="EU476" s="1605"/>
      <c r="EV476" s="1605"/>
      <c r="EW476" s="1605"/>
      <c r="EX476" s="1605"/>
      <c r="EY476" s="1605"/>
      <c r="EZ476" s="1605"/>
      <c r="FA476" s="1605"/>
      <c r="FB476" s="1605"/>
      <c r="FC476" s="1605"/>
      <c r="FD476" s="1605"/>
      <c r="FE476" s="1605"/>
      <c r="FF476" s="1605"/>
      <c r="FG476" s="1605"/>
      <c r="FH476" s="1605"/>
      <c r="FI476" s="1605"/>
      <c r="FJ476" s="1605"/>
      <c r="FK476" s="1605"/>
      <c r="FL476" s="1605"/>
      <c r="FM476" s="1605"/>
      <c r="FN476" s="1605"/>
      <c r="FO476" s="1605"/>
      <c r="FP476" s="1605"/>
      <c r="FQ476" s="1605"/>
      <c r="FR476" s="1605"/>
      <c r="FS476" s="1605"/>
      <c r="FT476" s="1605"/>
      <c r="FU476" s="1605"/>
      <c r="FV476" s="1605"/>
      <c r="FW476" s="1605"/>
      <c r="FX476" s="1605"/>
      <c r="FY476" s="1605"/>
      <c r="FZ476" s="1605"/>
      <c r="GA476" s="1605"/>
      <c r="GB476" s="1605"/>
      <c r="GC476" s="1605"/>
      <c r="GD476" s="1605"/>
      <c r="GE476" s="1605"/>
      <c r="GF476" s="1605"/>
      <c r="GG476" s="1605"/>
      <c r="GH476" s="1605"/>
      <c r="GI476" s="1605"/>
      <c r="GJ476" s="1605"/>
      <c r="GK476" s="1605"/>
      <c r="GL476" s="1605"/>
      <c r="GM476" s="1605"/>
      <c r="GN476" s="1605"/>
      <c r="GO476" s="1605"/>
      <c r="GP476" s="1605"/>
      <c r="GQ476" s="1605"/>
      <c r="GR476" s="1605"/>
      <c r="GS476" s="1605"/>
      <c r="GT476" s="1605"/>
      <c r="GU476" s="1605"/>
      <c r="GV476" s="1605"/>
      <c r="GW476" s="1605"/>
      <c r="GX476" s="1605"/>
      <c r="GY476" s="1605"/>
      <c r="GZ476" s="1605"/>
      <c r="HA476" s="1605"/>
      <c r="HB476" s="1605"/>
      <c r="HC476" s="1605"/>
      <c r="HD476" s="1605"/>
      <c r="HE476" s="1605"/>
      <c r="HF476" s="1605"/>
      <c r="HG476" s="1605"/>
      <c r="HH476" s="1605"/>
      <c r="HI476" s="1605"/>
      <c r="HJ476" s="1605"/>
      <c r="HK476" s="1605"/>
      <c r="HL476" s="1605"/>
      <c r="HM476" s="1605"/>
      <c r="HN476" s="1605"/>
      <c r="HO476" s="1605"/>
      <c r="HP476" s="1605"/>
      <c r="HQ476" s="1605"/>
      <c r="HR476" s="1605"/>
      <c r="HS476" s="1605"/>
      <c r="HT476" s="1605"/>
      <c r="HU476" s="1605"/>
      <c r="HV476" s="1605"/>
      <c r="HW476" s="1605"/>
      <c r="HX476" s="1605"/>
      <c r="HY476" s="1605"/>
      <c r="HZ476" s="1605"/>
      <c r="IA476" s="1605"/>
      <c r="IB476" s="1605"/>
      <c r="IC476" s="1605"/>
      <c r="ID476" s="1605"/>
      <c r="IE476" s="1605"/>
      <c r="IF476" s="1605"/>
      <c r="IG476" s="1605"/>
      <c r="IH476" s="1605"/>
      <c r="II476" s="1605"/>
      <c r="IJ476" s="1605"/>
      <c r="IK476" s="1605"/>
      <c r="IL476" s="1605"/>
      <c r="IM476" s="1605"/>
      <c r="IN476" s="1605"/>
      <c r="IO476" s="1605"/>
      <c r="IP476" s="1605"/>
      <c r="IQ476" s="1605"/>
      <c r="IR476" s="1605"/>
      <c r="IS476" s="1605"/>
      <c r="IT476" s="1605"/>
      <c r="IU476" s="1605"/>
      <c r="IV476" s="1605"/>
      <c r="IW476" s="1605"/>
      <c r="IX476" s="1605"/>
      <c r="IY476" s="1605"/>
      <c r="IZ476" s="1605"/>
      <c r="JA476" s="1605"/>
      <c r="JB476" s="1605"/>
      <c r="JC476" s="1605"/>
      <c r="JD476" s="1605"/>
      <c r="JE476" s="1605"/>
      <c r="JF476" s="1605"/>
      <c r="JG476" s="1605"/>
      <c r="JH476" s="1605"/>
      <c r="JI476" s="1605"/>
      <c r="JJ476" s="1605"/>
      <c r="JK476" s="1605"/>
      <c r="JL476" s="1605"/>
      <c r="JM476" s="1605"/>
      <c r="JN476" s="1605"/>
      <c r="JO476" s="1605"/>
      <c r="JP476" s="1605"/>
      <c r="JQ476" s="1605"/>
      <c r="JR476" s="1605"/>
      <c r="JS476" s="1605"/>
      <c r="JT476" s="1605"/>
      <c r="JU476" s="1605"/>
      <c r="JV476" s="1605"/>
      <c r="JW476" s="1605"/>
      <c r="JX476" s="1605"/>
      <c r="JY476" s="1605"/>
      <c r="JZ476" s="1605"/>
      <c r="KA476" s="1605"/>
      <c r="KB476" s="1606"/>
    </row>
    <row r="477" spans="2:288" ht="15" customHeight="1" x14ac:dyDescent="0.25">
      <c r="B477" s="216" t="str">
        <f t="shared" si="37"/>
        <v>Desk 53</v>
      </c>
      <c r="C477" s="218" t="str">
        <v/>
      </c>
      <c r="D477" s="218" t="str">
        <v/>
      </c>
      <c r="E477" s="218" t="str">
        <v/>
      </c>
      <c r="F477" s="218" t="str">
        <v/>
      </c>
      <c r="G477" s="402" t="str">
        <v/>
      </c>
      <c r="H477" s="1605"/>
      <c r="I477" s="1605"/>
      <c r="J477" s="1605"/>
      <c r="K477" s="1605"/>
      <c r="L477" s="1605"/>
      <c r="M477" s="1605"/>
      <c r="N477" s="1605"/>
      <c r="O477" s="1605"/>
      <c r="P477" s="1605"/>
      <c r="Q477" s="1605"/>
      <c r="R477" s="1605"/>
      <c r="S477" s="1605"/>
      <c r="T477" s="1605"/>
      <c r="U477" s="1605"/>
      <c r="V477" s="1605"/>
      <c r="W477" s="1605"/>
      <c r="X477" s="1605"/>
      <c r="Y477" s="1605"/>
      <c r="Z477" s="1605"/>
      <c r="AA477" s="1605"/>
      <c r="AB477" s="1605"/>
      <c r="AC477" s="1605"/>
      <c r="AD477" s="1605"/>
      <c r="AE477" s="1605"/>
      <c r="AF477" s="1605"/>
      <c r="AG477" s="1605"/>
      <c r="AH477" s="1605"/>
      <c r="AI477" s="1605"/>
      <c r="AJ477" s="1605"/>
      <c r="AK477" s="1605"/>
      <c r="AL477" s="1605"/>
      <c r="AM477" s="1605"/>
      <c r="AN477" s="1605"/>
      <c r="AO477" s="1605"/>
      <c r="AP477" s="1605"/>
      <c r="AQ477" s="1605"/>
      <c r="AR477" s="1605"/>
      <c r="AS477" s="1605"/>
      <c r="AT477" s="1605"/>
      <c r="AU477" s="1605"/>
      <c r="AV477" s="1605"/>
      <c r="AW477" s="1605"/>
      <c r="AX477" s="1605"/>
      <c r="AY477" s="1605"/>
      <c r="AZ477" s="1605"/>
      <c r="BA477" s="1605"/>
      <c r="BB477" s="1605"/>
      <c r="BC477" s="1605"/>
      <c r="BD477" s="1605"/>
      <c r="BE477" s="1605"/>
      <c r="BF477" s="1605"/>
      <c r="BG477" s="1605"/>
      <c r="BH477" s="1605"/>
      <c r="BI477" s="1605"/>
      <c r="BJ477" s="1605"/>
      <c r="BK477" s="1605"/>
      <c r="BL477" s="1605"/>
      <c r="BM477" s="1605"/>
      <c r="BN477" s="1605"/>
      <c r="BO477" s="1605"/>
      <c r="BP477" s="1605"/>
      <c r="BQ477" s="1605"/>
      <c r="BR477" s="1605"/>
      <c r="BS477" s="1605"/>
      <c r="BT477" s="1605"/>
      <c r="BU477" s="1605"/>
      <c r="BV477" s="1605"/>
      <c r="BW477" s="1605"/>
      <c r="BX477" s="1605"/>
      <c r="BY477" s="1605"/>
      <c r="BZ477" s="1605"/>
      <c r="CA477" s="1605"/>
      <c r="CB477" s="1605"/>
      <c r="CC477" s="1605"/>
      <c r="CD477" s="1605"/>
      <c r="CE477" s="1605"/>
      <c r="CF477" s="1605"/>
      <c r="CG477" s="1605"/>
      <c r="CH477" s="1605"/>
      <c r="CI477" s="1605"/>
      <c r="CJ477" s="1605"/>
      <c r="CK477" s="1605"/>
      <c r="CL477" s="1605"/>
      <c r="CM477" s="1605"/>
      <c r="CN477" s="1605"/>
      <c r="CO477" s="1605"/>
      <c r="CP477" s="1605"/>
      <c r="CQ477" s="1605"/>
      <c r="CR477" s="1605"/>
      <c r="CS477" s="1605"/>
      <c r="CT477" s="1605"/>
      <c r="CU477" s="1605"/>
      <c r="CV477" s="1605"/>
      <c r="CW477" s="1605"/>
      <c r="CX477" s="1605"/>
      <c r="CY477" s="1605"/>
      <c r="CZ477" s="1605"/>
      <c r="DA477" s="1605"/>
      <c r="DB477" s="1605"/>
      <c r="DC477" s="1605"/>
      <c r="DD477" s="1605"/>
      <c r="DE477" s="1605"/>
      <c r="DF477" s="1605"/>
      <c r="DG477" s="1605"/>
      <c r="DH477" s="1605"/>
      <c r="DI477" s="1605"/>
      <c r="DJ477" s="1605"/>
      <c r="DK477" s="1605"/>
      <c r="DL477" s="1605"/>
      <c r="DM477" s="1605"/>
      <c r="DN477" s="1605"/>
      <c r="DO477" s="1605"/>
      <c r="DP477" s="1605"/>
      <c r="DQ477" s="1605"/>
      <c r="DR477" s="1605"/>
      <c r="DS477" s="1605"/>
      <c r="DT477" s="1605"/>
      <c r="DU477" s="1605"/>
      <c r="DV477" s="1605"/>
      <c r="DW477" s="1605"/>
      <c r="DX477" s="1605"/>
      <c r="DY477" s="1605"/>
      <c r="DZ477" s="1605"/>
      <c r="EA477" s="1605"/>
      <c r="EB477" s="1605"/>
      <c r="EC477" s="1605"/>
      <c r="ED477" s="1605"/>
      <c r="EE477" s="1605"/>
      <c r="EF477" s="1605"/>
      <c r="EG477" s="1605"/>
      <c r="EH477" s="1605"/>
      <c r="EI477" s="1605"/>
      <c r="EJ477" s="1605"/>
      <c r="EK477" s="1605"/>
      <c r="EL477" s="1605"/>
      <c r="EM477" s="1605"/>
      <c r="EN477" s="1605"/>
      <c r="EO477" s="1605"/>
      <c r="EP477" s="1605"/>
      <c r="EQ477" s="1605"/>
      <c r="ER477" s="1605"/>
      <c r="ES477" s="1605"/>
      <c r="ET477" s="1605"/>
      <c r="EU477" s="1605"/>
      <c r="EV477" s="1605"/>
      <c r="EW477" s="1605"/>
      <c r="EX477" s="1605"/>
      <c r="EY477" s="1605"/>
      <c r="EZ477" s="1605"/>
      <c r="FA477" s="1605"/>
      <c r="FB477" s="1605"/>
      <c r="FC477" s="1605"/>
      <c r="FD477" s="1605"/>
      <c r="FE477" s="1605"/>
      <c r="FF477" s="1605"/>
      <c r="FG477" s="1605"/>
      <c r="FH477" s="1605"/>
      <c r="FI477" s="1605"/>
      <c r="FJ477" s="1605"/>
      <c r="FK477" s="1605"/>
      <c r="FL477" s="1605"/>
      <c r="FM477" s="1605"/>
      <c r="FN477" s="1605"/>
      <c r="FO477" s="1605"/>
      <c r="FP477" s="1605"/>
      <c r="FQ477" s="1605"/>
      <c r="FR477" s="1605"/>
      <c r="FS477" s="1605"/>
      <c r="FT477" s="1605"/>
      <c r="FU477" s="1605"/>
      <c r="FV477" s="1605"/>
      <c r="FW477" s="1605"/>
      <c r="FX477" s="1605"/>
      <c r="FY477" s="1605"/>
      <c r="FZ477" s="1605"/>
      <c r="GA477" s="1605"/>
      <c r="GB477" s="1605"/>
      <c r="GC477" s="1605"/>
      <c r="GD477" s="1605"/>
      <c r="GE477" s="1605"/>
      <c r="GF477" s="1605"/>
      <c r="GG477" s="1605"/>
      <c r="GH477" s="1605"/>
      <c r="GI477" s="1605"/>
      <c r="GJ477" s="1605"/>
      <c r="GK477" s="1605"/>
      <c r="GL477" s="1605"/>
      <c r="GM477" s="1605"/>
      <c r="GN477" s="1605"/>
      <c r="GO477" s="1605"/>
      <c r="GP477" s="1605"/>
      <c r="GQ477" s="1605"/>
      <c r="GR477" s="1605"/>
      <c r="GS477" s="1605"/>
      <c r="GT477" s="1605"/>
      <c r="GU477" s="1605"/>
      <c r="GV477" s="1605"/>
      <c r="GW477" s="1605"/>
      <c r="GX477" s="1605"/>
      <c r="GY477" s="1605"/>
      <c r="GZ477" s="1605"/>
      <c r="HA477" s="1605"/>
      <c r="HB477" s="1605"/>
      <c r="HC477" s="1605"/>
      <c r="HD477" s="1605"/>
      <c r="HE477" s="1605"/>
      <c r="HF477" s="1605"/>
      <c r="HG477" s="1605"/>
      <c r="HH477" s="1605"/>
      <c r="HI477" s="1605"/>
      <c r="HJ477" s="1605"/>
      <c r="HK477" s="1605"/>
      <c r="HL477" s="1605"/>
      <c r="HM477" s="1605"/>
      <c r="HN477" s="1605"/>
      <c r="HO477" s="1605"/>
      <c r="HP477" s="1605"/>
      <c r="HQ477" s="1605"/>
      <c r="HR477" s="1605"/>
      <c r="HS477" s="1605"/>
      <c r="HT477" s="1605"/>
      <c r="HU477" s="1605"/>
      <c r="HV477" s="1605"/>
      <c r="HW477" s="1605"/>
      <c r="HX477" s="1605"/>
      <c r="HY477" s="1605"/>
      <c r="HZ477" s="1605"/>
      <c r="IA477" s="1605"/>
      <c r="IB477" s="1605"/>
      <c r="IC477" s="1605"/>
      <c r="ID477" s="1605"/>
      <c r="IE477" s="1605"/>
      <c r="IF477" s="1605"/>
      <c r="IG477" s="1605"/>
      <c r="IH477" s="1605"/>
      <c r="II477" s="1605"/>
      <c r="IJ477" s="1605"/>
      <c r="IK477" s="1605"/>
      <c r="IL477" s="1605"/>
      <c r="IM477" s="1605"/>
      <c r="IN477" s="1605"/>
      <c r="IO477" s="1605"/>
      <c r="IP477" s="1605"/>
      <c r="IQ477" s="1605"/>
      <c r="IR477" s="1605"/>
      <c r="IS477" s="1605"/>
      <c r="IT477" s="1605"/>
      <c r="IU477" s="1605"/>
      <c r="IV477" s="1605"/>
      <c r="IW477" s="1605"/>
      <c r="IX477" s="1605"/>
      <c r="IY477" s="1605"/>
      <c r="IZ477" s="1605"/>
      <c r="JA477" s="1605"/>
      <c r="JB477" s="1605"/>
      <c r="JC477" s="1605"/>
      <c r="JD477" s="1605"/>
      <c r="JE477" s="1605"/>
      <c r="JF477" s="1605"/>
      <c r="JG477" s="1605"/>
      <c r="JH477" s="1605"/>
      <c r="JI477" s="1605"/>
      <c r="JJ477" s="1605"/>
      <c r="JK477" s="1605"/>
      <c r="JL477" s="1605"/>
      <c r="JM477" s="1605"/>
      <c r="JN477" s="1605"/>
      <c r="JO477" s="1605"/>
      <c r="JP477" s="1605"/>
      <c r="JQ477" s="1605"/>
      <c r="JR477" s="1605"/>
      <c r="JS477" s="1605"/>
      <c r="JT477" s="1605"/>
      <c r="JU477" s="1605"/>
      <c r="JV477" s="1605"/>
      <c r="JW477" s="1605"/>
      <c r="JX477" s="1605"/>
      <c r="JY477" s="1605"/>
      <c r="JZ477" s="1605"/>
      <c r="KA477" s="1605"/>
      <c r="KB477" s="1606"/>
    </row>
    <row r="478" spans="2:288" ht="15" customHeight="1" x14ac:dyDescent="0.25">
      <c r="B478" s="216" t="str">
        <f t="shared" si="37"/>
        <v>Desk 54</v>
      </c>
      <c r="C478" s="218" t="str">
        <v/>
      </c>
      <c r="D478" s="218" t="str">
        <v/>
      </c>
      <c r="E478" s="218" t="str">
        <v/>
      </c>
      <c r="F478" s="218" t="str">
        <v/>
      </c>
      <c r="G478" s="402" t="str">
        <v/>
      </c>
      <c r="H478" s="1605"/>
      <c r="I478" s="1605"/>
      <c r="J478" s="1605"/>
      <c r="K478" s="1605"/>
      <c r="L478" s="1605"/>
      <c r="M478" s="1605"/>
      <c r="N478" s="1605"/>
      <c r="O478" s="1605"/>
      <c r="P478" s="1605"/>
      <c r="Q478" s="1605"/>
      <c r="R478" s="1605"/>
      <c r="S478" s="1605"/>
      <c r="T478" s="1605"/>
      <c r="U478" s="1605"/>
      <c r="V478" s="1605"/>
      <c r="W478" s="1605"/>
      <c r="X478" s="1605"/>
      <c r="Y478" s="1605"/>
      <c r="Z478" s="1605"/>
      <c r="AA478" s="1605"/>
      <c r="AB478" s="1605"/>
      <c r="AC478" s="1605"/>
      <c r="AD478" s="1605"/>
      <c r="AE478" s="1605"/>
      <c r="AF478" s="1605"/>
      <c r="AG478" s="1605"/>
      <c r="AH478" s="1605"/>
      <c r="AI478" s="1605"/>
      <c r="AJ478" s="1605"/>
      <c r="AK478" s="1605"/>
      <c r="AL478" s="1605"/>
      <c r="AM478" s="1605"/>
      <c r="AN478" s="1605"/>
      <c r="AO478" s="1605"/>
      <c r="AP478" s="1605"/>
      <c r="AQ478" s="1605"/>
      <c r="AR478" s="1605"/>
      <c r="AS478" s="1605"/>
      <c r="AT478" s="1605"/>
      <c r="AU478" s="1605"/>
      <c r="AV478" s="1605"/>
      <c r="AW478" s="1605"/>
      <c r="AX478" s="1605"/>
      <c r="AY478" s="1605"/>
      <c r="AZ478" s="1605"/>
      <c r="BA478" s="1605"/>
      <c r="BB478" s="1605"/>
      <c r="BC478" s="1605"/>
      <c r="BD478" s="1605"/>
      <c r="BE478" s="1605"/>
      <c r="BF478" s="1605"/>
      <c r="BG478" s="1605"/>
      <c r="BH478" s="1605"/>
      <c r="BI478" s="1605"/>
      <c r="BJ478" s="1605"/>
      <c r="BK478" s="1605"/>
      <c r="BL478" s="1605"/>
      <c r="BM478" s="1605"/>
      <c r="BN478" s="1605"/>
      <c r="BO478" s="1605"/>
      <c r="BP478" s="1605"/>
      <c r="BQ478" s="1605"/>
      <c r="BR478" s="1605"/>
      <c r="BS478" s="1605"/>
      <c r="BT478" s="1605"/>
      <c r="BU478" s="1605"/>
      <c r="BV478" s="1605"/>
      <c r="BW478" s="1605"/>
      <c r="BX478" s="1605"/>
      <c r="BY478" s="1605"/>
      <c r="BZ478" s="1605"/>
      <c r="CA478" s="1605"/>
      <c r="CB478" s="1605"/>
      <c r="CC478" s="1605"/>
      <c r="CD478" s="1605"/>
      <c r="CE478" s="1605"/>
      <c r="CF478" s="1605"/>
      <c r="CG478" s="1605"/>
      <c r="CH478" s="1605"/>
      <c r="CI478" s="1605"/>
      <c r="CJ478" s="1605"/>
      <c r="CK478" s="1605"/>
      <c r="CL478" s="1605"/>
      <c r="CM478" s="1605"/>
      <c r="CN478" s="1605"/>
      <c r="CO478" s="1605"/>
      <c r="CP478" s="1605"/>
      <c r="CQ478" s="1605"/>
      <c r="CR478" s="1605"/>
      <c r="CS478" s="1605"/>
      <c r="CT478" s="1605"/>
      <c r="CU478" s="1605"/>
      <c r="CV478" s="1605"/>
      <c r="CW478" s="1605"/>
      <c r="CX478" s="1605"/>
      <c r="CY478" s="1605"/>
      <c r="CZ478" s="1605"/>
      <c r="DA478" s="1605"/>
      <c r="DB478" s="1605"/>
      <c r="DC478" s="1605"/>
      <c r="DD478" s="1605"/>
      <c r="DE478" s="1605"/>
      <c r="DF478" s="1605"/>
      <c r="DG478" s="1605"/>
      <c r="DH478" s="1605"/>
      <c r="DI478" s="1605"/>
      <c r="DJ478" s="1605"/>
      <c r="DK478" s="1605"/>
      <c r="DL478" s="1605"/>
      <c r="DM478" s="1605"/>
      <c r="DN478" s="1605"/>
      <c r="DO478" s="1605"/>
      <c r="DP478" s="1605"/>
      <c r="DQ478" s="1605"/>
      <c r="DR478" s="1605"/>
      <c r="DS478" s="1605"/>
      <c r="DT478" s="1605"/>
      <c r="DU478" s="1605"/>
      <c r="DV478" s="1605"/>
      <c r="DW478" s="1605"/>
      <c r="DX478" s="1605"/>
      <c r="DY478" s="1605"/>
      <c r="DZ478" s="1605"/>
      <c r="EA478" s="1605"/>
      <c r="EB478" s="1605"/>
      <c r="EC478" s="1605"/>
      <c r="ED478" s="1605"/>
      <c r="EE478" s="1605"/>
      <c r="EF478" s="1605"/>
      <c r="EG478" s="1605"/>
      <c r="EH478" s="1605"/>
      <c r="EI478" s="1605"/>
      <c r="EJ478" s="1605"/>
      <c r="EK478" s="1605"/>
      <c r="EL478" s="1605"/>
      <c r="EM478" s="1605"/>
      <c r="EN478" s="1605"/>
      <c r="EO478" s="1605"/>
      <c r="EP478" s="1605"/>
      <c r="EQ478" s="1605"/>
      <c r="ER478" s="1605"/>
      <c r="ES478" s="1605"/>
      <c r="ET478" s="1605"/>
      <c r="EU478" s="1605"/>
      <c r="EV478" s="1605"/>
      <c r="EW478" s="1605"/>
      <c r="EX478" s="1605"/>
      <c r="EY478" s="1605"/>
      <c r="EZ478" s="1605"/>
      <c r="FA478" s="1605"/>
      <c r="FB478" s="1605"/>
      <c r="FC478" s="1605"/>
      <c r="FD478" s="1605"/>
      <c r="FE478" s="1605"/>
      <c r="FF478" s="1605"/>
      <c r="FG478" s="1605"/>
      <c r="FH478" s="1605"/>
      <c r="FI478" s="1605"/>
      <c r="FJ478" s="1605"/>
      <c r="FK478" s="1605"/>
      <c r="FL478" s="1605"/>
      <c r="FM478" s="1605"/>
      <c r="FN478" s="1605"/>
      <c r="FO478" s="1605"/>
      <c r="FP478" s="1605"/>
      <c r="FQ478" s="1605"/>
      <c r="FR478" s="1605"/>
      <c r="FS478" s="1605"/>
      <c r="FT478" s="1605"/>
      <c r="FU478" s="1605"/>
      <c r="FV478" s="1605"/>
      <c r="FW478" s="1605"/>
      <c r="FX478" s="1605"/>
      <c r="FY478" s="1605"/>
      <c r="FZ478" s="1605"/>
      <c r="GA478" s="1605"/>
      <c r="GB478" s="1605"/>
      <c r="GC478" s="1605"/>
      <c r="GD478" s="1605"/>
      <c r="GE478" s="1605"/>
      <c r="GF478" s="1605"/>
      <c r="GG478" s="1605"/>
      <c r="GH478" s="1605"/>
      <c r="GI478" s="1605"/>
      <c r="GJ478" s="1605"/>
      <c r="GK478" s="1605"/>
      <c r="GL478" s="1605"/>
      <c r="GM478" s="1605"/>
      <c r="GN478" s="1605"/>
      <c r="GO478" s="1605"/>
      <c r="GP478" s="1605"/>
      <c r="GQ478" s="1605"/>
      <c r="GR478" s="1605"/>
      <c r="GS478" s="1605"/>
      <c r="GT478" s="1605"/>
      <c r="GU478" s="1605"/>
      <c r="GV478" s="1605"/>
      <c r="GW478" s="1605"/>
      <c r="GX478" s="1605"/>
      <c r="GY478" s="1605"/>
      <c r="GZ478" s="1605"/>
      <c r="HA478" s="1605"/>
      <c r="HB478" s="1605"/>
      <c r="HC478" s="1605"/>
      <c r="HD478" s="1605"/>
      <c r="HE478" s="1605"/>
      <c r="HF478" s="1605"/>
      <c r="HG478" s="1605"/>
      <c r="HH478" s="1605"/>
      <c r="HI478" s="1605"/>
      <c r="HJ478" s="1605"/>
      <c r="HK478" s="1605"/>
      <c r="HL478" s="1605"/>
      <c r="HM478" s="1605"/>
      <c r="HN478" s="1605"/>
      <c r="HO478" s="1605"/>
      <c r="HP478" s="1605"/>
      <c r="HQ478" s="1605"/>
      <c r="HR478" s="1605"/>
      <c r="HS478" s="1605"/>
      <c r="HT478" s="1605"/>
      <c r="HU478" s="1605"/>
      <c r="HV478" s="1605"/>
      <c r="HW478" s="1605"/>
      <c r="HX478" s="1605"/>
      <c r="HY478" s="1605"/>
      <c r="HZ478" s="1605"/>
      <c r="IA478" s="1605"/>
      <c r="IB478" s="1605"/>
      <c r="IC478" s="1605"/>
      <c r="ID478" s="1605"/>
      <c r="IE478" s="1605"/>
      <c r="IF478" s="1605"/>
      <c r="IG478" s="1605"/>
      <c r="IH478" s="1605"/>
      <c r="II478" s="1605"/>
      <c r="IJ478" s="1605"/>
      <c r="IK478" s="1605"/>
      <c r="IL478" s="1605"/>
      <c r="IM478" s="1605"/>
      <c r="IN478" s="1605"/>
      <c r="IO478" s="1605"/>
      <c r="IP478" s="1605"/>
      <c r="IQ478" s="1605"/>
      <c r="IR478" s="1605"/>
      <c r="IS478" s="1605"/>
      <c r="IT478" s="1605"/>
      <c r="IU478" s="1605"/>
      <c r="IV478" s="1605"/>
      <c r="IW478" s="1605"/>
      <c r="IX478" s="1605"/>
      <c r="IY478" s="1605"/>
      <c r="IZ478" s="1605"/>
      <c r="JA478" s="1605"/>
      <c r="JB478" s="1605"/>
      <c r="JC478" s="1605"/>
      <c r="JD478" s="1605"/>
      <c r="JE478" s="1605"/>
      <c r="JF478" s="1605"/>
      <c r="JG478" s="1605"/>
      <c r="JH478" s="1605"/>
      <c r="JI478" s="1605"/>
      <c r="JJ478" s="1605"/>
      <c r="JK478" s="1605"/>
      <c r="JL478" s="1605"/>
      <c r="JM478" s="1605"/>
      <c r="JN478" s="1605"/>
      <c r="JO478" s="1605"/>
      <c r="JP478" s="1605"/>
      <c r="JQ478" s="1605"/>
      <c r="JR478" s="1605"/>
      <c r="JS478" s="1605"/>
      <c r="JT478" s="1605"/>
      <c r="JU478" s="1605"/>
      <c r="JV478" s="1605"/>
      <c r="JW478" s="1605"/>
      <c r="JX478" s="1605"/>
      <c r="JY478" s="1605"/>
      <c r="JZ478" s="1605"/>
      <c r="KA478" s="1605"/>
      <c r="KB478" s="1606"/>
    </row>
    <row r="479" spans="2:288" ht="15" customHeight="1" x14ac:dyDescent="0.25">
      <c r="B479" s="216" t="str">
        <f t="shared" si="37"/>
        <v>Desk 55</v>
      </c>
      <c r="C479" s="218" t="str">
        <v/>
      </c>
      <c r="D479" s="218" t="str">
        <v/>
      </c>
      <c r="E479" s="218" t="str">
        <v/>
      </c>
      <c r="F479" s="218" t="str">
        <v/>
      </c>
      <c r="G479" s="402" t="str">
        <v/>
      </c>
      <c r="H479" s="1605"/>
      <c r="I479" s="1605"/>
      <c r="J479" s="1605"/>
      <c r="K479" s="1605"/>
      <c r="L479" s="1605"/>
      <c r="M479" s="1605"/>
      <c r="N479" s="1605"/>
      <c r="O479" s="1605"/>
      <c r="P479" s="1605"/>
      <c r="Q479" s="1605"/>
      <c r="R479" s="1605"/>
      <c r="S479" s="1605"/>
      <c r="T479" s="1605"/>
      <c r="U479" s="1605"/>
      <c r="V479" s="1605"/>
      <c r="W479" s="1605"/>
      <c r="X479" s="1605"/>
      <c r="Y479" s="1605"/>
      <c r="Z479" s="1605"/>
      <c r="AA479" s="1605"/>
      <c r="AB479" s="1605"/>
      <c r="AC479" s="1605"/>
      <c r="AD479" s="1605"/>
      <c r="AE479" s="1605"/>
      <c r="AF479" s="1605"/>
      <c r="AG479" s="1605"/>
      <c r="AH479" s="1605"/>
      <c r="AI479" s="1605"/>
      <c r="AJ479" s="1605"/>
      <c r="AK479" s="1605"/>
      <c r="AL479" s="1605"/>
      <c r="AM479" s="1605"/>
      <c r="AN479" s="1605"/>
      <c r="AO479" s="1605"/>
      <c r="AP479" s="1605"/>
      <c r="AQ479" s="1605"/>
      <c r="AR479" s="1605"/>
      <c r="AS479" s="1605"/>
      <c r="AT479" s="1605"/>
      <c r="AU479" s="1605"/>
      <c r="AV479" s="1605"/>
      <c r="AW479" s="1605"/>
      <c r="AX479" s="1605"/>
      <c r="AY479" s="1605"/>
      <c r="AZ479" s="1605"/>
      <c r="BA479" s="1605"/>
      <c r="BB479" s="1605"/>
      <c r="BC479" s="1605"/>
      <c r="BD479" s="1605"/>
      <c r="BE479" s="1605"/>
      <c r="BF479" s="1605"/>
      <c r="BG479" s="1605"/>
      <c r="BH479" s="1605"/>
      <c r="BI479" s="1605"/>
      <c r="BJ479" s="1605"/>
      <c r="BK479" s="1605"/>
      <c r="BL479" s="1605"/>
      <c r="BM479" s="1605"/>
      <c r="BN479" s="1605"/>
      <c r="BO479" s="1605"/>
      <c r="BP479" s="1605"/>
      <c r="BQ479" s="1605"/>
      <c r="BR479" s="1605"/>
      <c r="BS479" s="1605"/>
      <c r="BT479" s="1605"/>
      <c r="BU479" s="1605"/>
      <c r="BV479" s="1605"/>
      <c r="BW479" s="1605"/>
      <c r="BX479" s="1605"/>
      <c r="BY479" s="1605"/>
      <c r="BZ479" s="1605"/>
      <c r="CA479" s="1605"/>
      <c r="CB479" s="1605"/>
      <c r="CC479" s="1605"/>
      <c r="CD479" s="1605"/>
      <c r="CE479" s="1605"/>
      <c r="CF479" s="1605"/>
      <c r="CG479" s="1605"/>
      <c r="CH479" s="1605"/>
      <c r="CI479" s="1605"/>
      <c r="CJ479" s="1605"/>
      <c r="CK479" s="1605"/>
      <c r="CL479" s="1605"/>
      <c r="CM479" s="1605"/>
      <c r="CN479" s="1605"/>
      <c r="CO479" s="1605"/>
      <c r="CP479" s="1605"/>
      <c r="CQ479" s="1605"/>
      <c r="CR479" s="1605"/>
      <c r="CS479" s="1605"/>
      <c r="CT479" s="1605"/>
      <c r="CU479" s="1605"/>
      <c r="CV479" s="1605"/>
      <c r="CW479" s="1605"/>
      <c r="CX479" s="1605"/>
      <c r="CY479" s="1605"/>
      <c r="CZ479" s="1605"/>
      <c r="DA479" s="1605"/>
      <c r="DB479" s="1605"/>
      <c r="DC479" s="1605"/>
      <c r="DD479" s="1605"/>
      <c r="DE479" s="1605"/>
      <c r="DF479" s="1605"/>
      <c r="DG479" s="1605"/>
      <c r="DH479" s="1605"/>
      <c r="DI479" s="1605"/>
      <c r="DJ479" s="1605"/>
      <c r="DK479" s="1605"/>
      <c r="DL479" s="1605"/>
      <c r="DM479" s="1605"/>
      <c r="DN479" s="1605"/>
      <c r="DO479" s="1605"/>
      <c r="DP479" s="1605"/>
      <c r="DQ479" s="1605"/>
      <c r="DR479" s="1605"/>
      <c r="DS479" s="1605"/>
      <c r="DT479" s="1605"/>
      <c r="DU479" s="1605"/>
      <c r="DV479" s="1605"/>
      <c r="DW479" s="1605"/>
      <c r="DX479" s="1605"/>
      <c r="DY479" s="1605"/>
      <c r="DZ479" s="1605"/>
      <c r="EA479" s="1605"/>
      <c r="EB479" s="1605"/>
      <c r="EC479" s="1605"/>
      <c r="ED479" s="1605"/>
      <c r="EE479" s="1605"/>
      <c r="EF479" s="1605"/>
      <c r="EG479" s="1605"/>
      <c r="EH479" s="1605"/>
      <c r="EI479" s="1605"/>
      <c r="EJ479" s="1605"/>
      <c r="EK479" s="1605"/>
      <c r="EL479" s="1605"/>
      <c r="EM479" s="1605"/>
      <c r="EN479" s="1605"/>
      <c r="EO479" s="1605"/>
      <c r="EP479" s="1605"/>
      <c r="EQ479" s="1605"/>
      <c r="ER479" s="1605"/>
      <c r="ES479" s="1605"/>
      <c r="ET479" s="1605"/>
      <c r="EU479" s="1605"/>
      <c r="EV479" s="1605"/>
      <c r="EW479" s="1605"/>
      <c r="EX479" s="1605"/>
      <c r="EY479" s="1605"/>
      <c r="EZ479" s="1605"/>
      <c r="FA479" s="1605"/>
      <c r="FB479" s="1605"/>
      <c r="FC479" s="1605"/>
      <c r="FD479" s="1605"/>
      <c r="FE479" s="1605"/>
      <c r="FF479" s="1605"/>
      <c r="FG479" s="1605"/>
      <c r="FH479" s="1605"/>
      <c r="FI479" s="1605"/>
      <c r="FJ479" s="1605"/>
      <c r="FK479" s="1605"/>
      <c r="FL479" s="1605"/>
      <c r="FM479" s="1605"/>
      <c r="FN479" s="1605"/>
      <c r="FO479" s="1605"/>
      <c r="FP479" s="1605"/>
      <c r="FQ479" s="1605"/>
      <c r="FR479" s="1605"/>
      <c r="FS479" s="1605"/>
      <c r="FT479" s="1605"/>
      <c r="FU479" s="1605"/>
      <c r="FV479" s="1605"/>
      <c r="FW479" s="1605"/>
      <c r="FX479" s="1605"/>
      <c r="FY479" s="1605"/>
      <c r="FZ479" s="1605"/>
      <c r="GA479" s="1605"/>
      <c r="GB479" s="1605"/>
      <c r="GC479" s="1605"/>
      <c r="GD479" s="1605"/>
      <c r="GE479" s="1605"/>
      <c r="GF479" s="1605"/>
      <c r="GG479" s="1605"/>
      <c r="GH479" s="1605"/>
      <c r="GI479" s="1605"/>
      <c r="GJ479" s="1605"/>
      <c r="GK479" s="1605"/>
      <c r="GL479" s="1605"/>
      <c r="GM479" s="1605"/>
      <c r="GN479" s="1605"/>
      <c r="GO479" s="1605"/>
      <c r="GP479" s="1605"/>
      <c r="GQ479" s="1605"/>
      <c r="GR479" s="1605"/>
      <c r="GS479" s="1605"/>
      <c r="GT479" s="1605"/>
      <c r="GU479" s="1605"/>
      <c r="GV479" s="1605"/>
      <c r="GW479" s="1605"/>
      <c r="GX479" s="1605"/>
      <c r="GY479" s="1605"/>
      <c r="GZ479" s="1605"/>
      <c r="HA479" s="1605"/>
      <c r="HB479" s="1605"/>
      <c r="HC479" s="1605"/>
      <c r="HD479" s="1605"/>
      <c r="HE479" s="1605"/>
      <c r="HF479" s="1605"/>
      <c r="HG479" s="1605"/>
      <c r="HH479" s="1605"/>
      <c r="HI479" s="1605"/>
      <c r="HJ479" s="1605"/>
      <c r="HK479" s="1605"/>
      <c r="HL479" s="1605"/>
      <c r="HM479" s="1605"/>
      <c r="HN479" s="1605"/>
      <c r="HO479" s="1605"/>
      <c r="HP479" s="1605"/>
      <c r="HQ479" s="1605"/>
      <c r="HR479" s="1605"/>
      <c r="HS479" s="1605"/>
      <c r="HT479" s="1605"/>
      <c r="HU479" s="1605"/>
      <c r="HV479" s="1605"/>
      <c r="HW479" s="1605"/>
      <c r="HX479" s="1605"/>
      <c r="HY479" s="1605"/>
      <c r="HZ479" s="1605"/>
      <c r="IA479" s="1605"/>
      <c r="IB479" s="1605"/>
      <c r="IC479" s="1605"/>
      <c r="ID479" s="1605"/>
      <c r="IE479" s="1605"/>
      <c r="IF479" s="1605"/>
      <c r="IG479" s="1605"/>
      <c r="IH479" s="1605"/>
      <c r="II479" s="1605"/>
      <c r="IJ479" s="1605"/>
      <c r="IK479" s="1605"/>
      <c r="IL479" s="1605"/>
      <c r="IM479" s="1605"/>
      <c r="IN479" s="1605"/>
      <c r="IO479" s="1605"/>
      <c r="IP479" s="1605"/>
      <c r="IQ479" s="1605"/>
      <c r="IR479" s="1605"/>
      <c r="IS479" s="1605"/>
      <c r="IT479" s="1605"/>
      <c r="IU479" s="1605"/>
      <c r="IV479" s="1605"/>
      <c r="IW479" s="1605"/>
      <c r="IX479" s="1605"/>
      <c r="IY479" s="1605"/>
      <c r="IZ479" s="1605"/>
      <c r="JA479" s="1605"/>
      <c r="JB479" s="1605"/>
      <c r="JC479" s="1605"/>
      <c r="JD479" s="1605"/>
      <c r="JE479" s="1605"/>
      <c r="JF479" s="1605"/>
      <c r="JG479" s="1605"/>
      <c r="JH479" s="1605"/>
      <c r="JI479" s="1605"/>
      <c r="JJ479" s="1605"/>
      <c r="JK479" s="1605"/>
      <c r="JL479" s="1605"/>
      <c r="JM479" s="1605"/>
      <c r="JN479" s="1605"/>
      <c r="JO479" s="1605"/>
      <c r="JP479" s="1605"/>
      <c r="JQ479" s="1605"/>
      <c r="JR479" s="1605"/>
      <c r="JS479" s="1605"/>
      <c r="JT479" s="1605"/>
      <c r="JU479" s="1605"/>
      <c r="JV479" s="1605"/>
      <c r="JW479" s="1605"/>
      <c r="JX479" s="1605"/>
      <c r="JY479" s="1605"/>
      <c r="JZ479" s="1605"/>
      <c r="KA479" s="1605"/>
      <c r="KB479" s="1606"/>
    </row>
    <row r="480" spans="2:288" ht="15" customHeight="1" x14ac:dyDescent="0.25">
      <c r="B480" s="216" t="str">
        <f t="shared" si="37"/>
        <v>Desk 56</v>
      </c>
      <c r="C480" s="218" t="str">
        <v/>
      </c>
      <c r="D480" s="218" t="str">
        <v/>
      </c>
      <c r="E480" s="218" t="str">
        <v/>
      </c>
      <c r="F480" s="218" t="str">
        <v/>
      </c>
      <c r="G480" s="402" t="str">
        <v/>
      </c>
      <c r="H480" s="1605"/>
      <c r="I480" s="1605"/>
      <c r="J480" s="1605"/>
      <c r="K480" s="1605"/>
      <c r="L480" s="1605"/>
      <c r="M480" s="1605"/>
      <c r="N480" s="1605"/>
      <c r="O480" s="1605"/>
      <c r="P480" s="1605"/>
      <c r="Q480" s="1605"/>
      <c r="R480" s="1605"/>
      <c r="S480" s="1605"/>
      <c r="T480" s="1605"/>
      <c r="U480" s="1605"/>
      <c r="V480" s="1605"/>
      <c r="W480" s="1605"/>
      <c r="X480" s="1605"/>
      <c r="Y480" s="1605"/>
      <c r="Z480" s="1605"/>
      <c r="AA480" s="1605"/>
      <c r="AB480" s="1605"/>
      <c r="AC480" s="1605"/>
      <c r="AD480" s="1605"/>
      <c r="AE480" s="1605"/>
      <c r="AF480" s="1605"/>
      <c r="AG480" s="1605"/>
      <c r="AH480" s="1605"/>
      <c r="AI480" s="1605"/>
      <c r="AJ480" s="1605"/>
      <c r="AK480" s="1605"/>
      <c r="AL480" s="1605"/>
      <c r="AM480" s="1605"/>
      <c r="AN480" s="1605"/>
      <c r="AO480" s="1605"/>
      <c r="AP480" s="1605"/>
      <c r="AQ480" s="1605"/>
      <c r="AR480" s="1605"/>
      <c r="AS480" s="1605"/>
      <c r="AT480" s="1605"/>
      <c r="AU480" s="1605"/>
      <c r="AV480" s="1605"/>
      <c r="AW480" s="1605"/>
      <c r="AX480" s="1605"/>
      <c r="AY480" s="1605"/>
      <c r="AZ480" s="1605"/>
      <c r="BA480" s="1605"/>
      <c r="BB480" s="1605"/>
      <c r="BC480" s="1605"/>
      <c r="BD480" s="1605"/>
      <c r="BE480" s="1605"/>
      <c r="BF480" s="1605"/>
      <c r="BG480" s="1605"/>
      <c r="BH480" s="1605"/>
      <c r="BI480" s="1605"/>
      <c r="BJ480" s="1605"/>
      <c r="BK480" s="1605"/>
      <c r="BL480" s="1605"/>
      <c r="BM480" s="1605"/>
      <c r="BN480" s="1605"/>
      <c r="BO480" s="1605"/>
      <c r="BP480" s="1605"/>
      <c r="BQ480" s="1605"/>
      <c r="BR480" s="1605"/>
      <c r="BS480" s="1605"/>
      <c r="BT480" s="1605"/>
      <c r="BU480" s="1605"/>
      <c r="BV480" s="1605"/>
      <c r="BW480" s="1605"/>
      <c r="BX480" s="1605"/>
      <c r="BY480" s="1605"/>
      <c r="BZ480" s="1605"/>
      <c r="CA480" s="1605"/>
      <c r="CB480" s="1605"/>
      <c r="CC480" s="1605"/>
      <c r="CD480" s="1605"/>
      <c r="CE480" s="1605"/>
      <c r="CF480" s="1605"/>
      <c r="CG480" s="1605"/>
      <c r="CH480" s="1605"/>
      <c r="CI480" s="1605"/>
      <c r="CJ480" s="1605"/>
      <c r="CK480" s="1605"/>
      <c r="CL480" s="1605"/>
      <c r="CM480" s="1605"/>
      <c r="CN480" s="1605"/>
      <c r="CO480" s="1605"/>
      <c r="CP480" s="1605"/>
      <c r="CQ480" s="1605"/>
      <c r="CR480" s="1605"/>
      <c r="CS480" s="1605"/>
      <c r="CT480" s="1605"/>
      <c r="CU480" s="1605"/>
      <c r="CV480" s="1605"/>
      <c r="CW480" s="1605"/>
      <c r="CX480" s="1605"/>
      <c r="CY480" s="1605"/>
      <c r="CZ480" s="1605"/>
      <c r="DA480" s="1605"/>
      <c r="DB480" s="1605"/>
      <c r="DC480" s="1605"/>
      <c r="DD480" s="1605"/>
      <c r="DE480" s="1605"/>
      <c r="DF480" s="1605"/>
      <c r="DG480" s="1605"/>
      <c r="DH480" s="1605"/>
      <c r="DI480" s="1605"/>
      <c r="DJ480" s="1605"/>
      <c r="DK480" s="1605"/>
      <c r="DL480" s="1605"/>
      <c r="DM480" s="1605"/>
      <c r="DN480" s="1605"/>
      <c r="DO480" s="1605"/>
      <c r="DP480" s="1605"/>
      <c r="DQ480" s="1605"/>
      <c r="DR480" s="1605"/>
      <c r="DS480" s="1605"/>
      <c r="DT480" s="1605"/>
      <c r="DU480" s="1605"/>
      <c r="DV480" s="1605"/>
      <c r="DW480" s="1605"/>
      <c r="DX480" s="1605"/>
      <c r="DY480" s="1605"/>
      <c r="DZ480" s="1605"/>
      <c r="EA480" s="1605"/>
      <c r="EB480" s="1605"/>
      <c r="EC480" s="1605"/>
      <c r="ED480" s="1605"/>
      <c r="EE480" s="1605"/>
      <c r="EF480" s="1605"/>
      <c r="EG480" s="1605"/>
      <c r="EH480" s="1605"/>
      <c r="EI480" s="1605"/>
      <c r="EJ480" s="1605"/>
      <c r="EK480" s="1605"/>
      <c r="EL480" s="1605"/>
      <c r="EM480" s="1605"/>
      <c r="EN480" s="1605"/>
      <c r="EO480" s="1605"/>
      <c r="EP480" s="1605"/>
      <c r="EQ480" s="1605"/>
      <c r="ER480" s="1605"/>
      <c r="ES480" s="1605"/>
      <c r="ET480" s="1605"/>
      <c r="EU480" s="1605"/>
      <c r="EV480" s="1605"/>
      <c r="EW480" s="1605"/>
      <c r="EX480" s="1605"/>
      <c r="EY480" s="1605"/>
      <c r="EZ480" s="1605"/>
      <c r="FA480" s="1605"/>
      <c r="FB480" s="1605"/>
      <c r="FC480" s="1605"/>
      <c r="FD480" s="1605"/>
      <c r="FE480" s="1605"/>
      <c r="FF480" s="1605"/>
      <c r="FG480" s="1605"/>
      <c r="FH480" s="1605"/>
      <c r="FI480" s="1605"/>
      <c r="FJ480" s="1605"/>
      <c r="FK480" s="1605"/>
      <c r="FL480" s="1605"/>
      <c r="FM480" s="1605"/>
      <c r="FN480" s="1605"/>
      <c r="FO480" s="1605"/>
      <c r="FP480" s="1605"/>
      <c r="FQ480" s="1605"/>
      <c r="FR480" s="1605"/>
      <c r="FS480" s="1605"/>
      <c r="FT480" s="1605"/>
      <c r="FU480" s="1605"/>
      <c r="FV480" s="1605"/>
      <c r="FW480" s="1605"/>
      <c r="FX480" s="1605"/>
      <c r="FY480" s="1605"/>
      <c r="FZ480" s="1605"/>
      <c r="GA480" s="1605"/>
      <c r="GB480" s="1605"/>
      <c r="GC480" s="1605"/>
      <c r="GD480" s="1605"/>
      <c r="GE480" s="1605"/>
      <c r="GF480" s="1605"/>
      <c r="GG480" s="1605"/>
      <c r="GH480" s="1605"/>
      <c r="GI480" s="1605"/>
      <c r="GJ480" s="1605"/>
      <c r="GK480" s="1605"/>
      <c r="GL480" s="1605"/>
      <c r="GM480" s="1605"/>
      <c r="GN480" s="1605"/>
      <c r="GO480" s="1605"/>
      <c r="GP480" s="1605"/>
      <c r="GQ480" s="1605"/>
      <c r="GR480" s="1605"/>
      <c r="GS480" s="1605"/>
      <c r="GT480" s="1605"/>
      <c r="GU480" s="1605"/>
      <c r="GV480" s="1605"/>
      <c r="GW480" s="1605"/>
      <c r="GX480" s="1605"/>
      <c r="GY480" s="1605"/>
      <c r="GZ480" s="1605"/>
      <c r="HA480" s="1605"/>
      <c r="HB480" s="1605"/>
      <c r="HC480" s="1605"/>
      <c r="HD480" s="1605"/>
      <c r="HE480" s="1605"/>
      <c r="HF480" s="1605"/>
      <c r="HG480" s="1605"/>
      <c r="HH480" s="1605"/>
      <c r="HI480" s="1605"/>
      <c r="HJ480" s="1605"/>
      <c r="HK480" s="1605"/>
      <c r="HL480" s="1605"/>
      <c r="HM480" s="1605"/>
      <c r="HN480" s="1605"/>
      <c r="HO480" s="1605"/>
      <c r="HP480" s="1605"/>
      <c r="HQ480" s="1605"/>
      <c r="HR480" s="1605"/>
      <c r="HS480" s="1605"/>
      <c r="HT480" s="1605"/>
      <c r="HU480" s="1605"/>
      <c r="HV480" s="1605"/>
      <c r="HW480" s="1605"/>
      <c r="HX480" s="1605"/>
      <c r="HY480" s="1605"/>
      <c r="HZ480" s="1605"/>
      <c r="IA480" s="1605"/>
      <c r="IB480" s="1605"/>
      <c r="IC480" s="1605"/>
      <c r="ID480" s="1605"/>
      <c r="IE480" s="1605"/>
      <c r="IF480" s="1605"/>
      <c r="IG480" s="1605"/>
      <c r="IH480" s="1605"/>
      <c r="II480" s="1605"/>
      <c r="IJ480" s="1605"/>
      <c r="IK480" s="1605"/>
      <c r="IL480" s="1605"/>
      <c r="IM480" s="1605"/>
      <c r="IN480" s="1605"/>
      <c r="IO480" s="1605"/>
      <c r="IP480" s="1605"/>
      <c r="IQ480" s="1605"/>
      <c r="IR480" s="1605"/>
      <c r="IS480" s="1605"/>
      <c r="IT480" s="1605"/>
      <c r="IU480" s="1605"/>
      <c r="IV480" s="1605"/>
      <c r="IW480" s="1605"/>
      <c r="IX480" s="1605"/>
      <c r="IY480" s="1605"/>
      <c r="IZ480" s="1605"/>
      <c r="JA480" s="1605"/>
      <c r="JB480" s="1605"/>
      <c r="JC480" s="1605"/>
      <c r="JD480" s="1605"/>
      <c r="JE480" s="1605"/>
      <c r="JF480" s="1605"/>
      <c r="JG480" s="1605"/>
      <c r="JH480" s="1605"/>
      <c r="JI480" s="1605"/>
      <c r="JJ480" s="1605"/>
      <c r="JK480" s="1605"/>
      <c r="JL480" s="1605"/>
      <c r="JM480" s="1605"/>
      <c r="JN480" s="1605"/>
      <c r="JO480" s="1605"/>
      <c r="JP480" s="1605"/>
      <c r="JQ480" s="1605"/>
      <c r="JR480" s="1605"/>
      <c r="JS480" s="1605"/>
      <c r="JT480" s="1605"/>
      <c r="JU480" s="1605"/>
      <c r="JV480" s="1605"/>
      <c r="JW480" s="1605"/>
      <c r="JX480" s="1605"/>
      <c r="JY480" s="1605"/>
      <c r="JZ480" s="1605"/>
      <c r="KA480" s="1605"/>
      <c r="KB480" s="1606"/>
    </row>
    <row r="481" spans="2:288" ht="15" customHeight="1" x14ac:dyDescent="0.25">
      <c r="B481" s="216" t="str">
        <f t="shared" si="37"/>
        <v>Desk 57</v>
      </c>
      <c r="C481" s="218" t="str">
        <v/>
      </c>
      <c r="D481" s="218" t="str">
        <v/>
      </c>
      <c r="E481" s="218" t="str">
        <v/>
      </c>
      <c r="F481" s="218" t="str">
        <v/>
      </c>
      <c r="G481" s="402" t="str">
        <v/>
      </c>
      <c r="H481" s="1605"/>
      <c r="I481" s="1605"/>
      <c r="J481" s="1605"/>
      <c r="K481" s="1605"/>
      <c r="L481" s="1605"/>
      <c r="M481" s="1605"/>
      <c r="N481" s="1605"/>
      <c r="O481" s="1605"/>
      <c r="P481" s="1605"/>
      <c r="Q481" s="1605"/>
      <c r="R481" s="1605"/>
      <c r="S481" s="1605"/>
      <c r="T481" s="1605"/>
      <c r="U481" s="1605"/>
      <c r="V481" s="1605"/>
      <c r="W481" s="1605"/>
      <c r="X481" s="1605"/>
      <c r="Y481" s="1605"/>
      <c r="Z481" s="1605"/>
      <c r="AA481" s="1605"/>
      <c r="AB481" s="1605"/>
      <c r="AC481" s="1605"/>
      <c r="AD481" s="1605"/>
      <c r="AE481" s="1605"/>
      <c r="AF481" s="1605"/>
      <c r="AG481" s="1605"/>
      <c r="AH481" s="1605"/>
      <c r="AI481" s="1605"/>
      <c r="AJ481" s="1605"/>
      <c r="AK481" s="1605"/>
      <c r="AL481" s="1605"/>
      <c r="AM481" s="1605"/>
      <c r="AN481" s="1605"/>
      <c r="AO481" s="1605"/>
      <c r="AP481" s="1605"/>
      <c r="AQ481" s="1605"/>
      <c r="AR481" s="1605"/>
      <c r="AS481" s="1605"/>
      <c r="AT481" s="1605"/>
      <c r="AU481" s="1605"/>
      <c r="AV481" s="1605"/>
      <c r="AW481" s="1605"/>
      <c r="AX481" s="1605"/>
      <c r="AY481" s="1605"/>
      <c r="AZ481" s="1605"/>
      <c r="BA481" s="1605"/>
      <c r="BB481" s="1605"/>
      <c r="BC481" s="1605"/>
      <c r="BD481" s="1605"/>
      <c r="BE481" s="1605"/>
      <c r="BF481" s="1605"/>
      <c r="BG481" s="1605"/>
      <c r="BH481" s="1605"/>
      <c r="BI481" s="1605"/>
      <c r="BJ481" s="1605"/>
      <c r="BK481" s="1605"/>
      <c r="BL481" s="1605"/>
      <c r="BM481" s="1605"/>
      <c r="BN481" s="1605"/>
      <c r="BO481" s="1605"/>
      <c r="BP481" s="1605"/>
      <c r="BQ481" s="1605"/>
      <c r="BR481" s="1605"/>
      <c r="BS481" s="1605"/>
      <c r="BT481" s="1605"/>
      <c r="BU481" s="1605"/>
      <c r="BV481" s="1605"/>
      <c r="BW481" s="1605"/>
      <c r="BX481" s="1605"/>
      <c r="BY481" s="1605"/>
      <c r="BZ481" s="1605"/>
      <c r="CA481" s="1605"/>
      <c r="CB481" s="1605"/>
      <c r="CC481" s="1605"/>
      <c r="CD481" s="1605"/>
      <c r="CE481" s="1605"/>
      <c r="CF481" s="1605"/>
      <c r="CG481" s="1605"/>
      <c r="CH481" s="1605"/>
      <c r="CI481" s="1605"/>
      <c r="CJ481" s="1605"/>
      <c r="CK481" s="1605"/>
      <c r="CL481" s="1605"/>
      <c r="CM481" s="1605"/>
      <c r="CN481" s="1605"/>
      <c r="CO481" s="1605"/>
      <c r="CP481" s="1605"/>
      <c r="CQ481" s="1605"/>
      <c r="CR481" s="1605"/>
      <c r="CS481" s="1605"/>
      <c r="CT481" s="1605"/>
      <c r="CU481" s="1605"/>
      <c r="CV481" s="1605"/>
      <c r="CW481" s="1605"/>
      <c r="CX481" s="1605"/>
      <c r="CY481" s="1605"/>
      <c r="CZ481" s="1605"/>
      <c r="DA481" s="1605"/>
      <c r="DB481" s="1605"/>
      <c r="DC481" s="1605"/>
      <c r="DD481" s="1605"/>
      <c r="DE481" s="1605"/>
      <c r="DF481" s="1605"/>
      <c r="DG481" s="1605"/>
      <c r="DH481" s="1605"/>
      <c r="DI481" s="1605"/>
      <c r="DJ481" s="1605"/>
      <c r="DK481" s="1605"/>
      <c r="DL481" s="1605"/>
      <c r="DM481" s="1605"/>
      <c r="DN481" s="1605"/>
      <c r="DO481" s="1605"/>
      <c r="DP481" s="1605"/>
      <c r="DQ481" s="1605"/>
      <c r="DR481" s="1605"/>
      <c r="DS481" s="1605"/>
      <c r="DT481" s="1605"/>
      <c r="DU481" s="1605"/>
      <c r="DV481" s="1605"/>
      <c r="DW481" s="1605"/>
      <c r="DX481" s="1605"/>
      <c r="DY481" s="1605"/>
      <c r="DZ481" s="1605"/>
      <c r="EA481" s="1605"/>
      <c r="EB481" s="1605"/>
      <c r="EC481" s="1605"/>
      <c r="ED481" s="1605"/>
      <c r="EE481" s="1605"/>
      <c r="EF481" s="1605"/>
      <c r="EG481" s="1605"/>
      <c r="EH481" s="1605"/>
      <c r="EI481" s="1605"/>
      <c r="EJ481" s="1605"/>
      <c r="EK481" s="1605"/>
      <c r="EL481" s="1605"/>
      <c r="EM481" s="1605"/>
      <c r="EN481" s="1605"/>
      <c r="EO481" s="1605"/>
      <c r="EP481" s="1605"/>
      <c r="EQ481" s="1605"/>
      <c r="ER481" s="1605"/>
      <c r="ES481" s="1605"/>
      <c r="ET481" s="1605"/>
      <c r="EU481" s="1605"/>
      <c r="EV481" s="1605"/>
      <c r="EW481" s="1605"/>
      <c r="EX481" s="1605"/>
      <c r="EY481" s="1605"/>
      <c r="EZ481" s="1605"/>
      <c r="FA481" s="1605"/>
      <c r="FB481" s="1605"/>
      <c r="FC481" s="1605"/>
      <c r="FD481" s="1605"/>
      <c r="FE481" s="1605"/>
      <c r="FF481" s="1605"/>
      <c r="FG481" s="1605"/>
      <c r="FH481" s="1605"/>
      <c r="FI481" s="1605"/>
      <c r="FJ481" s="1605"/>
      <c r="FK481" s="1605"/>
      <c r="FL481" s="1605"/>
      <c r="FM481" s="1605"/>
      <c r="FN481" s="1605"/>
      <c r="FO481" s="1605"/>
      <c r="FP481" s="1605"/>
      <c r="FQ481" s="1605"/>
      <c r="FR481" s="1605"/>
      <c r="FS481" s="1605"/>
      <c r="FT481" s="1605"/>
      <c r="FU481" s="1605"/>
      <c r="FV481" s="1605"/>
      <c r="FW481" s="1605"/>
      <c r="FX481" s="1605"/>
      <c r="FY481" s="1605"/>
      <c r="FZ481" s="1605"/>
      <c r="GA481" s="1605"/>
      <c r="GB481" s="1605"/>
      <c r="GC481" s="1605"/>
      <c r="GD481" s="1605"/>
      <c r="GE481" s="1605"/>
      <c r="GF481" s="1605"/>
      <c r="GG481" s="1605"/>
      <c r="GH481" s="1605"/>
      <c r="GI481" s="1605"/>
      <c r="GJ481" s="1605"/>
      <c r="GK481" s="1605"/>
      <c r="GL481" s="1605"/>
      <c r="GM481" s="1605"/>
      <c r="GN481" s="1605"/>
      <c r="GO481" s="1605"/>
      <c r="GP481" s="1605"/>
      <c r="GQ481" s="1605"/>
      <c r="GR481" s="1605"/>
      <c r="GS481" s="1605"/>
      <c r="GT481" s="1605"/>
      <c r="GU481" s="1605"/>
      <c r="GV481" s="1605"/>
      <c r="GW481" s="1605"/>
      <c r="GX481" s="1605"/>
      <c r="GY481" s="1605"/>
      <c r="GZ481" s="1605"/>
      <c r="HA481" s="1605"/>
      <c r="HB481" s="1605"/>
      <c r="HC481" s="1605"/>
      <c r="HD481" s="1605"/>
      <c r="HE481" s="1605"/>
      <c r="HF481" s="1605"/>
      <c r="HG481" s="1605"/>
      <c r="HH481" s="1605"/>
      <c r="HI481" s="1605"/>
      <c r="HJ481" s="1605"/>
      <c r="HK481" s="1605"/>
      <c r="HL481" s="1605"/>
      <c r="HM481" s="1605"/>
      <c r="HN481" s="1605"/>
      <c r="HO481" s="1605"/>
      <c r="HP481" s="1605"/>
      <c r="HQ481" s="1605"/>
      <c r="HR481" s="1605"/>
      <c r="HS481" s="1605"/>
      <c r="HT481" s="1605"/>
      <c r="HU481" s="1605"/>
      <c r="HV481" s="1605"/>
      <c r="HW481" s="1605"/>
      <c r="HX481" s="1605"/>
      <c r="HY481" s="1605"/>
      <c r="HZ481" s="1605"/>
      <c r="IA481" s="1605"/>
      <c r="IB481" s="1605"/>
      <c r="IC481" s="1605"/>
      <c r="ID481" s="1605"/>
      <c r="IE481" s="1605"/>
      <c r="IF481" s="1605"/>
      <c r="IG481" s="1605"/>
      <c r="IH481" s="1605"/>
      <c r="II481" s="1605"/>
      <c r="IJ481" s="1605"/>
      <c r="IK481" s="1605"/>
      <c r="IL481" s="1605"/>
      <c r="IM481" s="1605"/>
      <c r="IN481" s="1605"/>
      <c r="IO481" s="1605"/>
      <c r="IP481" s="1605"/>
      <c r="IQ481" s="1605"/>
      <c r="IR481" s="1605"/>
      <c r="IS481" s="1605"/>
      <c r="IT481" s="1605"/>
      <c r="IU481" s="1605"/>
      <c r="IV481" s="1605"/>
      <c r="IW481" s="1605"/>
      <c r="IX481" s="1605"/>
      <c r="IY481" s="1605"/>
      <c r="IZ481" s="1605"/>
      <c r="JA481" s="1605"/>
      <c r="JB481" s="1605"/>
      <c r="JC481" s="1605"/>
      <c r="JD481" s="1605"/>
      <c r="JE481" s="1605"/>
      <c r="JF481" s="1605"/>
      <c r="JG481" s="1605"/>
      <c r="JH481" s="1605"/>
      <c r="JI481" s="1605"/>
      <c r="JJ481" s="1605"/>
      <c r="JK481" s="1605"/>
      <c r="JL481" s="1605"/>
      <c r="JM481" s="1605"/>
      <c r="JN481" s="1605"/>
      <c r="JO481" s="1605"/>
      <c r="JP481" s="1605"/>
      <c r="JQ481" s="1605"/>
      <c r="JR481" s="1605"/>
      <c r="JS481" s="1605"/>
      <c r="JT481" s="1605"/>
      <c r="JU481" s="1605"/>
      <c r="JV481" s="1605"/>
      <c r="JW481" s="1605"/>
      <c r="JX481" s="1605"/>
      <c r="JY481" s="1605"/>
      <c r="JZ481" s="1605"/>
      <c r="KA481" s="1605"/>
      <c r="KB481" s="1606"/>
    </row>
    <row r="482" spans="2:288" ht="15" customHeight="1" x14ac:dyDescent="0.25">
      <c r="B482" s="216" t="str">
        <f t="shared" si="37"/>
        <v>Desk 58</v>
      </c>
      <c r="C482" s="218" t="str">
        <v/>
      </c>
      <c r="D482" s="218" t="str">
        <v/>
      </c>
      <c r="E482" s="218" t="str">
        <v/>
      </c>
      <c r="F482" s="218" t="str">
        <v/>
      </c>
      <c r="G482" s="402" t="str">
        <v/>
      </c>
      <c r="H482" s="1605"/>
      <c r="I482" s="1605"/>
      <c r="J482" s="1605"/>
      <c r="K482" s="1605"/>
      <c r="L482" s="1605"/>
      <c r="M482" s="1605"/>
      <c r="N482" s="1605"/>
      <c r="O482" s="1605"/>
      <c r="P482" s="1605"/>
      <c r="Q482" s="1605"/>
      <c r="R482" s="1605"/>
      <c r="S482" s="1605"/>
      <c r="T482" s="1605"/>
      <c r="U482" s="1605"/>
      <c r="V482" s="1605"/>
      <c r="W482" s="1605"/>
      <c r="X482" s="1605"/>
      <c r="Y482" s="1605"/>
      <c r="Z482" s="1605"/>
      <c r="AA482" s="1605"/>
      <c r="AB482" s="1605"/>
      <c r="AC482" s="1605"/>
      <c r="AD482" s="1605"/>
      <c r="AE482" s="1605"/>
      <c r="AF482" s="1605"/>
      <c r="AG482" s="1605"/>
      <c r="AH482" s="1605"/>
      <c r="AI482" s="1605"/>
      <c r="AJ482" s="1605"/>
      <c r="AK482" s="1605"/>
      <c r="AL482" s="1605"/>
      <c r="AM482" s="1605"/>
      <c r="AN482" s="1605"/>
      <c r="AO482" s="1605"/>
      <c r="AP482" s="1605"/>
      <c r="AQ482" s="1605"/>
      <c r="AR482" s="1605"/>
      <c r="AS482" s="1605"/>
      <c r="AT482" s="1605"/>
      <c r="AU482" s="1605"/>
      <c r="AV482" s="1605"/>
      <c r="AW482" s="1605"/>
      <c r="AX482" s="1605"/>
      <c r="AY482" s="1605"/>
      <c r="AZ482" s="1605"/>
      <c r="BA482" s="1605"/>
      <c r="BB482" s="1605"/>
      <c r="BC482" s="1605"/>
      <c r="BD482" s="1605"/>
      <c r="BE482" s="1605"/>
      <c r="BF482" s="1605"/>
      <c r="BG482" s="1605"/>
      <c r="BH482" s="1605"/>
      <c r="BI482" s="1605"/>
      <c r="BJ482" s="1605"/>
      <c r="BK482" s="1605"/>
      <c r="BL482" s="1605"/>
      <c r="BM482" s="1605"/>
      <c r="BN482" s="1605"/>
      <c r="BO482" s="1605"/>
      <c r="BP482" s="1605"/>
      <c r="BQ482" s="1605"/>
      <c r="BR482" s="1605"/>
      <c r="BS482" s="1605"/>
      <c r="BT482" s="1605"/>
      <c r="BU482" s="1605"/>
      <c r="BV482" s="1605"/>
      <c r="BW482" s="1605"/>
      <c r="BX482" s="1605"/>
      <c r="BY482" s="1605"/>
      <c r="BZ482" s="1605"/>
      <c r="CA482" s="1605"/>
      <c r="CB482" s="1605"/>
      <c r="CC482" s="1605"/>
      <c r="CD482" s="1605"/>
      <c r="CE482" s="1605"/>
      <c r="CF482" s="1605"/>
      <c r="CG482" s="1605"/>
      <c r="CH482" s="1605"/>
      <c r="CI482" s="1605"/>
      <c r="CJ482" s="1605"/>
      <c r="CK482" s="1605"/>
      <c r="CL482" s="1605"/>
      <c r="CM482" s="1605"/>
      <c r="CN482" s="1605"/>
      <c r="CO482" s="1605"/>
      <c r="CP482" s="1605"/>
      <c r="CQ482" s="1605"/>
      <c r="CR482" s="1605"/>
      <c r="CS482" s="1605"/>
      <c r="CT482" s="1605"/>
      <c r="CU482" s="1605"/>
      <c r="CV482" s="1605"/>
      <c r="CW482" s="1605"/>
      <c r="CX482" s="1605"/>
      <c r="CY482" s="1605"/>
      <c r="CZ482" s="1605"/>
      <c r="DA482" s="1605"/>
      <c r="DB482" s="1605"/>
      <c r="DC482" s="1605"/>
      <c r="DD482" s="1605"/>
      <c r="DE482" s="1605"/>
      <c r="DF482" s="1605"/>
      <c r="DG482" s="1605"/>
      <c r="DH482" s="1605"/>
      <c r="DI482" s="1605"/>
      <c r="DJ482" s="1605"/>
      <c r="DK482" s="1605"/>
      <c r="DL482" s="1605"/>
      <c r="DM482" s="1605"/>
      <c r="DN482" s="1605"/>
      <c r="DO482" s="1605"/>
      <c r="DP482" s="1605"/>
      <c r="DQ482" s="1605"/>
      <c r="DR482" s="1605"/>
      <c r="DS482" s="1605"/>
      <c r="DT482" s="1605"/>
      <c r="DU482" s="1605"/>
      <c r="DV482" s="1605"/>
      <c r="DW482" s="1605"/>
      <c r="DX482" s="1605"/>
      <c r="DY482" s="1605"/>
      <c r="DZ482" s="1605"/>
      <c r="EA482" s="1605"/>
      <c r="EB482" s="1605"/>
      <c r="EC482" s="1605"/>
      <c r="ED482" s="1605"/>
      <c r="EE482" s="1605"/>
      <c r="EF482" s="1605"/>
      <c r="EG482" s="1605"/>
      <c r="EH482" s="1605"/>
      <c r="EI482" s="1605"/>
      <c r="EJ482" s="1605"/>
      <c r="EK482" s="1605"/>
      <c r="EL482" s="1605"/>
      <c r="EM482" s="1605"/>
      <c r="EN482" s="1605"/>
      <c r="EO482" s="1605"/>
      <c r="EP482" s="1605"/>
      <c r="EQ482" s="1605"/>
      <c r="ER482" s="1605"/>
      <c r="ES482" s="1605"/>
      <c r="ET482" s="1605"/>
      <c r="EU482" s="1605"/>
      <c r="EV482" s="1605"/>
      <c r="EW482" s="1605"/>
      <c r="EX482" s="1605"/>
      <c r="EY482" s="1605"/>
      <c r="EZ482" s="1605"/>
      <c r="FA482" s="1605"/>
      <c r="FB482" s="1605"/>
      <c r="FC482" s="1605"/>
      <c r="FD482" s="1605"/>
      <c r="FE482" s="1605"/>
      <c r="FF482" s="1605"/>
      <c r="FG482" s="1605"/>
      <c r="FH482" s="1605"/>
      <c r="FI482" s="1605"/>
      <c r="FJ482" s="1605"/>
      <c r="FK482" s="1605"/>
      <c r="FL482" s="1605"/>
      <c r="FM482" s="1605"/>
      <c r="FN482" s="1605"/>
      <c r="FO482" s="1605"/>
      <c r="FP482" s="1605"/>
      <c r="FQ482" s="1605"/>
      <c r="FR482" s="1605"/>
      <c r="FS482" s="1605"/>
      <c r="FT482" s="1605"/>
      <c r="FU482" s="1605"/>
      <c r="FV482" s="1605"/>
      <c r="FW482" s="1605"/>
      <c r="FX482" s="1605"/>
      <c r="FY482" s="1605"/>
      <c r="FZ482" s="1605"/>
      <c r="GA482" s="1605"/>
      <c r="GB482" s="1605"/>
      <c r="GC482" s="1605"/>
      <c r="GD482" s="1605"/>
      <c r="GE482" s="1605"/>
      <c r="GF482" s="1605"/>
      <c r="GG482" s="1605"/>
      <c r="GH482" s="1605"/>
      <c r="GI482" s="1605"/>
      <c r="GJ482" s="1605"/>
      <c r="GK482" s="1605"/>
      <c r="GL482" s="1605"/>
      <c r="GM482" s="1605"/>
      <c r="GN482" s="1605"/>
      <c r="GO482" s="1605"/>
      <c r="GP482" s="1605"/>
      <c r="GQ482" s="1605"/>
      <c r="GR482" s="1605"/>
      <c r="GS482" s="1605"/>
      <c r="GT482" s="1605"/>
      <c r="GU482" s="1605"/>
      <c r="GV482" s="1605"/>
      <c r="GW482" s="1605"/>
      <c r="GX482" s="1605"/>
      <c r="GY482" s="1605"/>
      <c r="GZ482" s="1605"/>
      <c r="HA482" s="1605"/>
      <c r="HB482" s="1605"/>
      <c r="HC482" s="1605"/>
      <c r="HD482" s="1605"/>
      <c r="HE482" s="1605"/>
      <c r="HF482" s="1605"/>
      <c r="HG482" s="1605"/>
      <c r="HH482" s="1605"/>
      <c r="HI482" s="1605"/>
      <c r="HJ482" s="1605"/>
      <c r="HK482" s="1605"/>
      <c r="HL482" s="1605"/>
      <c r="HM482" s="1605"/>
      <c r="HN482" s="1605"/>
      <c r="HO482" s="1605"/>
      <c r="HP482" s="1605"/>
      <c r="HQ482" s="1605"/>
      <c r="HR482" s="1605"/>
      <c r="HS482" s="1605"/>
      <c r="HT482" s="1605"/>
      <c r="HU482" s="1605"/>
      <c r="HV482" s="1605"/>
      <c r="HW482" s="1605"/>
      <c r="HX482" s="1605"/>
      <c r="HY482" s="1605"/>
      <c r="HZ482" s="1605"/>
      <c r="IA482" s="1605"/>
      <c r="IB482" s="1605"/>
      <c r="IC482" s="1605"/>
      <c r="ID482" s="1605"/>
      <c r="IE482" s="1605"/>
      <c r="IF482" s="1605"/>
      <c r="IG482" s="1605"/>
      <c r="IH482" s="1605"/>
      <c r="II482" s="1605"/>
      <c r="IJ482" s="1605"/>
      <c r="IK482" s="1605"/>
      <c r="IL482" s="1605"/>
      <c r="IM482" s="1605"/>
      <c r="IN482" s="1605"/>
      <c r="IO482" s="1605"/>
      <c r="IP482" s="1605"/>
      <c r="IQ482" s="1605"/>
      <c r="IR482" s="1605"/>
      <c r="IS482" s="1605"/>
      <c r="IT482" s="1605"/>
      <c r="IU482" s="1605"/>
      <c r="IV482" s="1605"/>
      <c r="IW482" s="1605"/>
      <c r="IX482" s="1605"/>
      <c r="IY482" s="1605"/>
      <c r="IZ482" s="1605"/>
      <c r="JA482" s="1605"/>
      <c r="JB482" s="1605"/>
      <c r="JC482" s="1605"/>
      <c r="JD482" s="1605"/>
      <c r="JE482" s="1605"/>
      <c r="JF482" s="1605"/>
      <c r="JG482" s="1605"/>
      <c r="JH482" s="1605"/>
      <c r="JI482" s="1605"/>
      <c r="JJ482" s="1605"/>
      <c r="JK482" s="1605"/>
      <c r="JL482" s="1605"/>
      <c r="JM482" s="1605"/>
      <c r="JN482" s="1605"/>
      <c r="JO482" s="1605"/>
      <c r="JP482" s="1605"/>
      <c r="JQ482" s="1605"/>
      <c r="JR482" s="1605"/>
      <c r="JS482" s="1605"/>
      <c r="JT482" s="1605"/>
      <c r="JU482" s="1605"/>
      <c r="JV482" s="1605"/>
      <c r="JW482" s="1605"/>
      <c r="JX482" s="1605"/>
      <c r="JY482" s="1605"/>
      <c r="JZ482" s="1605"/>
      <c r="KA482" s="1605"/>
      <c r="KB482" s="1606"/>
    </row>
    <row r="483" spans="2:288" ht="15" customHeight="1" x14ac:dyDescent="0.25">
      <c r="B483" s="216" t="str">
        <f t="shared" si="37"/>
        <v>Desk 59</v>
      </c>
      <c r="C483" s="218" t="str">
        <v/>
      </c>
      <c r="D483" s="218" t="str">
        <v/>
      </c>
      <c r="E483" s="218" t="str">
        <v/>
      </c>
      <c r="F483" s="218" t="str">
        <v/>
      </c>
      <c r="G483" s="402" t="str">
        <v/>
      </c>
      <c r="H483" s="1605"/>
      <c r="I483" s="1605"/>
      <c r="J483" s="1605"/>
      <c r="K483" s="1605"/>
      <c r="L483" s="1605"/>
      <c r="M483" s="1605"/>
      <c r="N483" s="1605"/>
      <c r="O483" s="1605"/>
      <c r="P483" s="1605"/>
      <c r="Q483" s="1605"/>
      <c r="R483" s="1605"/>
      <c r="S483" s="1605"/>
      <c r="T483" s="1605"/>
      <c r="U483" s="1605"/>
      <c r="V483" s="1605"/>
      <c r="W483" s="1605"/>
      <c r="X483" s="1605"/>
      <c r="Y483" s="1605"/>
      <c r="Z483" s="1605"/>
      <c r="AA483" s="1605"/>
      <c r="AB483" s="1605"/>
      <c r="AC483" s="1605"/>
      <c r="AD483" s="1605"/>
      <c r="AE483" s="1605"/>
      <c r="AF483" s="1605"/>
      <c r="AG483" s="1605"/>
      <c r="AH483" s="1605"/>
      <c r="AI483" s="1605"/>
      <c r="AJ483" s="1605"/>
      <c r="AK483" s="1605"/>
      <c r="AL483" s="1605"/>
      <c r="AM483" s="1605"/>
      <c r="AN483" s="1605"/>
      <c r="AO483" s="1605"/>
      <c r="AP483" s="1605"/>
      <c r="AQ483" s="1605"/>
      <c r="AR483" s="1605"/>
      <c r="AS483" s="1605"/>
      <c r="AT483" s="1605"/>
      <c r="AU483" s="1605"/>
      <c r="AV483" s="1605"/>
      <c r="AW483" s="1605"/>
      <c r="AX483" s="1605"/>
      <c r="AY483" s="1605"/>
      <c r="AZ483" s="1605"/>
      <c r="BA483" s="1605"/>
      <c r="BB483" s="1605"/>
      <c r="BC483" s="1605"/>
      <c r="BD483" s="1605"/>
      <c r="BE483" s="1605"/>
      <c r="BF483" s="1605"/>
      <c r="BG483" s="1605"/>
      <c r="BH483" s="1605"/>
      <c r="BI483" s="1605"/>
      <c r="BJ483" s="1605"/>
      <c r="BK483" s="1605"/>
      <c r="BL483" s="1605"/>
      <c r="BM483" s="1605"/>
      <c r="BN483" s="1605"/>
      <c r="BO483" s="1605"/>
      <c r="BP483" s="1605"/>
      <c r="BQ483" s="1605"/>
      <c r="BR483" s="1605"/>
      <c r="BS483" s="1605"/>
      <c r="BT483" s="1605"/>
      <c r="BU483" s="1605"/>
      <c r="BV483" s="1605"/>
      <c r="BW483" s="1605"/>
      <c r="BX483" s="1605"/>
      <c r="BY483" s="1605"/>
      <c r="BZ483" s="1605"/>
      <c r="CA483" s="1605"/>
      <c r="CB483" s="1605"/>
      <c r="CC483" s="1605"/>
      <c r="CD483" s="1605"/>
      <c r="CE483" s="1605"/>
      <c r="CF483" s="1605"/>
      <c r="CG483" s="1605"/>
      <c r="CH483" s="1605"/>
      <c r="CI483" s="1605"/>
      <c r="CJ483" s="1605"/>
      <c r="CK483" s="1605"/>
      <c r="CL483" s="1605"/>
      <c r="CM483" s="1605"/>
      <c r="CN483" s="1605"/>
      <c r="CO483" s="1605"/>
      <c r="CP483" s="1605"/>
      <c r="CQ483" s="1605"/>
      <c r="CR483" s="1605"/>
      <c r="CS483" s="1605"/>
      <c r="CT483" s="1605"/>
      <c r="CU483" s="1605"/>
      <c r="CV483" s="1605"/>
      <c r="CW483" s="1605"/>
      <c r="CX483" s="1605"/>
      <c r="CY483" s="1605"/>
      <c r="CZ483" s="1605"/>
      <c r="DA483" s="1605"/>
      <c r="DB483" s="1605"/>
      <c r="DC483" s="1605"/>
      <c r="DD483" s="1605"/>
      <c r="DE483" s="1605"/>
      <c r="DF483" s="1605"/>
      <c r="DG483" s="1605"/>
      <c r="DH483" s="1605"/>
      <c r="DI483" s="1605"/>
      <c r="DJ483" s="1605"/>
      <c r="DK483" s="1605"/>
      <c r="DL483" s="1605"/>
      <c r="DM483" s="1605"/>
      <c r="DN483" s="1605"/>
      <c r="DO483" s="1605"/>
      <c r="DP483" s="1605"/>
      <c r="DQ483" s="1605"/>
      <c r="DR483" s="1605"/>
      <c r="DS483" s="1605"/>
      <c r="DT483" s="1605"/>
      <c r="DU483" s="1605"/>
      <c r="DV483" s="1605"/>
      <c r="DW483" s="1605"/>
      <c r="DX483" s="1605"/>
      <c r="DY483" s="1605"/>
      <c r="DZ483" s="1605"/>
      <c r="EA483" s="1605"/>
      <c r="EB483" s="1605"/>
      <c r="EC483" s="1605"/>
      <c r="ED483" s="1605"/>
      <c r="EE483" s="1605"/>
      <c r="EF483" s="1605"/>
      <c r="EG483" s="1605"/>
      <c r="EH483" s="1605"/>
      <c r="EI483" s="1605"/>
      <c r="EJ483" s="1605"/>
      <c r="EK483" s="1605"/>
      <c r="EL483" s="1605"/>
      <c r="EM483" s="1605"/>
      <c r="EN483" s="1605"/>
      <c r="EO483" s="1605"/>
      <c r="EP483" s="1605"/>
      <c r="EQ483" s="1605"/>
      <c r="ER483" s="1605"/>
      <c r="ES483" s="1605"/>
      <c r="ET483" s="1605"/>
      <c r="EU483" s="1605"/>
      <c r="EV483" s="1605"/>
      <c r="EW483" s="1605"/>
      <c r="EX483" s="1605"/>
      <c r="EY483" s="1605"/>
      <c r="EZ483" s="1605"/>
      <c r="FA483" s="1605"/>
      <c r="FB483" s="1605"/>
      <c r="FC483" s="1605"/>
      <c r="FD483" s="1605"/>
      <c r="FE483" s="1605"/>
      <c r="FF483" s="1605"/>
      <c r="FG483" s="1605"/>
      <c r="FH483" s="1605"/>
      <c r="FI483" s="1605"/>
      <c r="FJ483" s="1605"/>
      <c r="FK483" s="1605"/>
      <c r="FL483" s="1605"/>
      <c r="FM483" s="1605"/>
      <c r="FN483" s="1605"/>
      <c r="FO483" s="1605"/>
      <c r="FP483" s="1605"/>
      <c r="FQ483" s="1605"/>
      <c r="FR483" s="1605"/>
      <c r="FS483" s="1605"/>
      <c r="FT483" s="1605"/>
      <c r="FU483" s="1605"/>
      <c r="FV483" s="1605"/>
      <c r="FW483" s="1605"/>
      <c r="FX483" s="1605"/>
      <c r="FY483" s="1605"/>
      <c r="FZ483" s="1605"/>
      <c r="GA483" s="1605"/>
      <c r="GB483" s="1605"/>
      <c r="GC483" s="1605"/>
      <c r="GD483" s="1605"/>
      <c r="GE483" s="1605"/>
      <c r="GF483" s="1605"/>
      <c r="GG483" s="1605"/>
      <c r="GH483" s="1605"/>
      <c r="GI483" s="1605"/>
      <c r="GJ483" s="1605"/>
      <c r="GK483" s="1605"/>
      <c r="GL483" s="1605"/>
      <c r="GM483" s="1605"/>
      <c r="GN483" s="1605"/>
      <c r="GO483" s="1605"/>
      <c r="GP483" s="1605"/>
      <c r="GQ483" s="1605"/>
      <c r="GR483" s="1605"/>
      <c r="GS483" s="1605"/>
      <c r="GT483" s="1605"/>
      <c r="GU483" s="1605"/>
      <c r="GV483" s="1605"/>
      <c r="GW483" s="1605"/>
      <c r="GX483" s="1605"/>
      <c r="GY483" s="1605"/>
      <c r="GZ483" s="1605"/>
      <c r="HA483" s="1605"/>
      <c r="HB483" s="1605"/>
      <c r="HC483" s="1605"/>
      <c r="HD483" s="1605"/>
      <c r="HE483" s="1605"/>
      <c r="HF483" s="1605"/>
      <c r="HG483" s="1605"/>
      <c r="HH483" s="1605"/>
      <c r="HI483" s="1605"/>
      <c r="HJ483" s="1605"/>
      <c r="HK483" s="1605"/>
      <c r="HL483" s="1605"/>
      <c r="HM483" s="1605"/>
      <c r="HN483" s="1605"/>
      <c r="HO483" s="1605"/>
      <c r="HP483" s="1605"/>
      <c r="HQ483" s="1605"/>
      <c r="HR483" s="1605"/>
      <c r="HS483" s="1605"/>
      <c r="HT483" s="1605"/>
      <c r="HU483" s="1605"/>
      <c r="HV483" s="1605"/>
      <c r="HW483" s="1605"/>
      <c r="HX483" s="1605"/>
      <c r="HY483" s="1605"/>
      <c r="HZ483" s="1605"/>
      <c r="IA483" s="1605"/>
      <c r="IB483" s="1605"/>
      <c r="IC483" s="1605"/>
      <c r="ID483" s="1605"/>
      <c r="IE483" s="1605"/>
      <c r="IF483" s="1605"/>
      <c r="IG483" s="1605"/>
      <c r="IH483" s="1605"/>
      <c r="II483" s="1605"/>
      <c r="IJ483" s="1605"/>
      <c r="IK483" s="1605"/>
      <c r="IL483" s="1605"/>
      <c r="IM483" s="1605"/>
      <c r="IN483" s="1605"/>
      <c r="IO483" s="1605"/>
      <c r="IP483" s="1605"/>
      <c r="IQ483" s="1605"/>
      <c r="IR483" s="1605"/>
      <c r="IS483" s="1605"/>
      <c r="IT483" s="1605"/>
      <c r="IU483" s="1605"/>
      <c r="IV483" s="1605"/>
      <c r="IW483" s="1605"/>
      <c r="IX483" s="1605"/>
      <c r="IY483" s="1605"/>
      <c r="IZ483" s="1605"/>
      <c r="JA483" s="1605"/>
      <c r="JB483" s="1605"/>
      <c r="JC483" s="1605"/>
      <c r="JD483" s="1605"/>
      <c r="JE483" s="1605"/>
      <c r="JF483" s="1605"/>
      <c r="JG483" s="1605"/>
      <c r="JH483" s="1605"/>
      <c r="JI483" s="1605"/>
      <c r="JJ483" s="1605"/>
      <c r="JK483" s="1605"/>
      <c r="JL483" s="1605"/>
      <c r="JM483" s="1605"/>
      <c r="JN483" s="1605"/>
      <c r="JO483" s="1605"/>
      <c r="JP483" s="1605"/>
      <c r="JQ483" s="1605"/>
      <c r="JR483" s="1605"/>
      <c r="JS483" s="1605"/>
      <c r="JT483" s="1605"/>
      <c r="JU483" s="1605"/>
      <c r="JV483" s="1605"/>
      <c r="JW483" s="1605"/>
      <c r="JX483" s="1605"/>
      <c r="JY483" s="1605"/>
      <c r="JZ483" s="1605"/>
      <c r="KA483" s="1605"/>
      <c r="KB483" s="1606"/>
    </row>
    <row r="484" spans="2:288" ht="15" customHeight="1" x14ac:dyDescent="0.25">
      <c r="B484" s="216" t="str">
        <f t="shared" si="37"/>
        <v>Desk 60</v>
      </c>
      <c r="C484" s="218" t="str">
        <v/>
      </c>
      <c r="D484" s="218" t="str">
        <v/>
      </c>
      <c r="E484" s="218" t="str">
        <v/>
      </c>
      <c r="F484" s="218" t="str">
        <v/>
      </c>
      <c r="G484" s="402" t="str">
        <v/>
      </c>
      <c r="H484" s="1605"/>
      <c r="I484" s="1605"/>
      <c r="J484" s="1605"/>
      <c r="K484" s="1605"/>
      <c r="L484" s="1605"/>
      <c r="M484" s="1605"/>
      <c r="N484" s="1605"/>
      <c r="O484" s="1605"/>
      <c r="P484" s="1605"/>
      <c r="Q484" s="1605"/>
      <c r="R484" s="1605"/>
      <c r="S484" s="1605"/>
      <c r="T484" s="1605"/>
      <c r="U484" s="1605"/>
      <c r="V484" s="1605"/>
      <c r="W484" s="1605"/>
      <c r="X484" s="1605"/>
      <c r="Y484" s="1605"/>
      <c r="Z484" s="1605"/>
      <c r="AA484" s="1605"/>
      <c r="AB484" s="1605"/>
      <c r="AC484" s="1605"/>
      <c r="AD484" s="1605"/>
      <c r="AE484" s="1605"/>
      <c r="AF484" s="1605"/>
      <c r="AG484" s="1605"/>
      <c r="AH484" s="1605"/>
      <c r="AI484" s="1605"/>
      <c r="AJ484" s="1605"/>
      <c r="AK484" s="1605"/>
      <c r="AL484" s="1605"/>
      <c r="AM484" s="1605"/>
      <c r="AN484" s="1605"/>
      <c r="AO484" s="1605"/>
      <c r="AP484" s="1605"/>
      <c r="AQ484" s="1605"/>
      <c r="AR484" s="1605"/>
      <c r="AS484" s="1605"/>
      <c r="AT484" s="1605"/>
      <c r="AU484" s="1605"/>
      <c r="AV484" s="1605"/>
      <c r="AW484" s="1605"/>
      <c r="AX484" s="1605"/>
      <c r="AY484" s="1605"/>
      <c r="AZ484" s="1605"/>
      <c r="BA484" s="1605"/>
      <c r="BB484" s="1605"/>
      <c r="BC484" s="1605"/>
      <c r="BD484" s="1605"/>
      <c r="BE484" s="1605"/>
      <c r="BF484" s="1605"/>
      <c r="BG484" s="1605"/>
      <c r="BH484" s="1605"/>
      <c r="BI484" s="1605"/>
      <c r="BJ484" s="1605"/>
      <c r="BK484" s="1605"/>
      <c r="BL484" s="1605"/>
      <c r="BM484" s="1605"/>
      <c r="BN484" s="1605"/>
      <c r="BO484" s="1605"/>
      <c r="BP484" s="1605"/>
      <c r="BQ484" s="1605"/>
      <c r="BR484" s="1605"/>
      <c r="BS484" s="1605"/>
      <c r="BT484" s="1605"/>
      <c r="BU484" s="1605"/>
      <c r="BV484" s="1605"/>
      <c r="BW484" s="1605"/>
      <c r="BX484" s="1605"/>
      <c r="BY484" s="1605"/>
      <c r="BZ484" s="1605"/>
      <c r="CA484" s="1605"/>
      <c r="CB484" s="1605"/>
      <c r="CC484" s="1605"/>
      <c r="CD484" s="1605"/>
      <c r="CE484" s="1605"/>
      <c r="CF484" s="1605"/>
      <c r="CG484" s="1605"/>
      <c r="CH484" s="1605"/>
      <c r="CI484" s="1605"/>
      <c r="CJ484" s="1605"/>
      <c r="CK484" s="1605"/>
      <c r="CL484" s="1605"/>
      <c r="CM484" s="1605"/>
      <c r="CN484" s="1605"/>
      <c r="CO484" s="1605"/>
      <c r="CP484" s="1605"/>
      <c r="CQ484" s="1605"/>
      <c r="CR484" s="1605"/>
      <c r="CS484" s="1605"/>
      <c r="CT484" s="1605"/>
      <c r="CU484" s="1605"/>
      <c r="CV484" s="1605"/>
      <c r="CW484" s="1605"/>
      <c r="CX484" s="1605"/>
      <c r="CY484" s="1605"/>
      <c r="CZ484" s="1605"/>
      <c r="DA484" s="1605"/>
      <c r="DB484" s="1605"/>
      <c r="DC484" s="1605"/>
      <c r="DD484" s="1605"/>
      <c r="DE484" s="1605"/>
      <c r="DF484" s="1605"/>
      <c r="DG484" s="1605"/>
      <c r="DH484" s="1605"/>
      <c r="DI484" s="1605"/>
      <c r="DJ484" s="1605"/>
      <c r="DK484" s="1605"/>
      <c r="DL484" s="1605"/>
      <c r="DM484" s="1605"/>
      <c r="DN484" s="1605"/>
      <c r="DO484" s="1605"/>
      <c r="DP484" s="1605"/>
      <c r="DQ484" s="1605"/>
      <c r="DR484" s="1605"/>
      <c r="DS484" s="1605"/>
      <c r="DT484" s="1605"/>
      <c r="DU484" s="1605"/>
      <c r="DV484" s="1605"/>
      <c r="DW484" s="1605"/>
      <c r="DX484" s="1605"/>
      <c r="DY484" s="1605"/>
      <c r="DZ484" s="1605"/>
      <c r="EA484" s="1605"/>
      <c r="EB484" s="1605"/>
      <c r="EC484" s="1605"/>
      <c r="ED484" s="1605"/>
      <c r="EE484" s="1605"/>
      <c r="EF484" s="1605"/>
      <c r="EG484" s="1605"/>
      <c r="EH484" s="1605"/>
      <c r="EI484" s="1605"/>
      <c r="EJ484" s="1605"/>
      <c r="EK484" s="1605"/>
      <c r="EL484" s="1605"/>
      <c r="EM484" s="1605"/>
      <c r="EN484" s="1605"/>
      <c r="EO484" s="1605"/>
      <c r="EP484" s="1605"/>
      <c r="EQ484" s="1605"/>
      <c r="ER484" s="1605"/>
      <c r="ES484" s="1605"/>
      <c r="ET484" s="1605"/>
      <c r="EU484" s="1605"/>
      <c r="EV484" s="1605"/>
      <c r="EW484" s="1605"/>
      <c r="EX484" s="1605"/>
      <c r="EY484" s="1605"/>
      <c r="EZ484" s="1605"/>
      <c r="FA484" s="1605"/>
      <c r="FB484" s="1605"/>
      <c r="FC484" s="1605"/>
      <c r="FD484" s="1605"/>
      <c r="FE484" s="1605"/>
      <c r="FF484" s="1605"/>
      <c r="FG484" s="1605"/>
      <c r="FH484" s="1605"/>
      <c r="FI484" s="1605"/>
      <c r="FJ484" s="1605"/>
      <c r="FK484" s="1605"/>
      <c r="FL484" s="1605"/>
      <c r="FM484" s="1605"/>
      <c r="FN484" s="1605"/>
      <c r="FO484" s="1605"/>
      <c r="FP484" s="1605"/>
      <c r="FQ484" s="1605"/>
      <c r="FR484" s="1605"/>
      <c r="FS484" s="1605"/>
      <c r="FT484" s="1605"/>
      <c r="FU484" s="1605"/>
      <c r="FV484" s="1605"/>
      <c r="FW484" s="1605"/>
      <c r="FX484" s="1605"/>
      <c r="FY484" s="1605"/>
      <c r="FZ484" s="1605"/>
      <c r="GA484" s="1605"/>
      <c r="GB484" s="1605"/>
      <c r="GC484" s="1605"/>
      <c r="GD484" s="1605"/>
      <c r="GE484" s="1605"/>
      <c r="GF484" s="1605"/>
      <c r="GG484" s="1605"/>
      <c r="GH484" s="1605"/>
      <c r="GI484" s="1605"/>
      <c r="GJ484" s="1605"/>
      <c r="GK484" s="1605"/>
      <c r="GL484" s="1605"/>
      <c r="GM484" s="1605"/>
      <c r="GN484" s="1605"/>
      <c r="GO484" s="1605"/>
      <c r="GP484" s="1605"/>
      <c r="GQ484" s="1605"/>
      <c r="GR484" s="1605"/>
      <c r="GS484" s="1605"/>
      <c r="GT484" s="1605"/>
      <c r="GU484" s="1605"/>
      <c r="GV484" s="1605"/>
      <c r="GW484" s="1605"/>
      <c r="GX484" s="1605"/>
      <c r="GY484" s="1605"/>
      <c r="GZ484" s="1605"/>
      <c r="HA484" s="1605"/>
      <c r="HB484" s="1605"/>
      <c r="HC484" s="1605"/>
      <c r="HD484" s="1605"/>
      <c r="HE484" s="1605"/>
      <c r="HF484" s="1605"/>
      <c r="HG484" s="1605"/>
      <c r="HH484" s="1605"/>
      <c r="HI484" s="1605"/>
      <c r="HJ484" s="1605"/>
      <c r="HK484" s="1605"/>
      <c r="HL484" s="1605"/>
      <c r="HM484" s="1605"/>
      <c r="HN484" s="1605"/>
      <c r="HO484" s="1605"/>
      <c r="HP484" s="1605"/>
      <c r="HQ484" s="1605"/>
      <c r="HR484" s="1605"/>
      <c r="HS484" s="1605"/>
      <c r="HT484" s="1605"/>
      <c r="HU484" s="1605"/>
      <c r="HV484" s="1605"/>
      <c r="HW484" s="1605"/>
      <c r="HX484" s="1605"/>
      <c r="HY484" s="1605"/>
      <c r="HZ484" s="1605"/>
      <c r="IA484" s="1605"/>
      <c r="IB484" s="1605"/>
      <c r="IC484" s="1605"/>
      <c r="ID484" s="1605"/>
      <c r="IE484" s="1605"/>
      <c r="IF484" s="1605"/>
      <c r="IG484" s="1605"/>
      <c r="IH484" s="1605"/>
      <c r="II484" s="1605"/>
      <c r="IJ484" s="1605"/>
      <c r="IK484" s="1605"/>
      <c r="IL484" s="1605"/>
      <c r="IM484" s="1605"/>
      <c r="IN484" s="1605"/>
      <c r="IO484" s="1605"/>
      <c r="IP484" s="1605"/>
      <c r="IQ484" s="1605"/>
      <c r="IR484" s="1605"/>
      <c r="IS484" s="1605"/>
      <c r="IT484" s="1605"/>
      <c r="IU484" s="1605"/>
      <c r="IV484" s="1605"/>
      <c r="IW484" s="1605"/>
      <c r="IX484" s="1605"/>
      <c r="IY484" s="1605"/>
      <c r="IZ484" s="1605"/>
      <c r="JA484" s="1605"/>
      <c r="JB484" s="1605"/>
      <c r="JC484" s="1605"/>
      <c r="JD484" s="1605"/>
      <c r="JE484" s="1605"/>
      <c r="JF484" s="1605"/>
      <c r="JG484" s="1605"/>
      <c r="JH484" s="1605"/>
      <c r="JI484" s="1605"/>
      <c r="JJ484" s="1605"/>
      <c r="JK484" s="1605"/>
      <c r="JL484" s="1605"/>
      <c r="JM484" s="1605"/>
      <c r="JN484" s="1605"/>
      <c r="JO484" s="1605"/>
      <c r="JP484" s="1605"/>
      <c r="JQ484" s="1605"/>
      <c r="JR484" s="1605"/>
      <c r="JS484" s="1605"/>
      <c r="JT484" s="1605"/>
      <c r="JU484" s="1605"/>
      <c r="JV484" s="1605"/>
      <c r="JW484" s="1605"/>
      <c r="JX484" s="1605"/>
      <c r="JY484" s="1605"/>
      <c r="JZ484" s="1605"/>
      <c r="KA484" s="1605"/>
      <c r="KB484" s="1606"/>
    </row>
    <row r="485" spans="2:288" ht="15" customHeight="1" x14ac:dyDescent="0.25">
      <c r="B485" s="216" t="str">
        <f t="shared" si="37"/>
        <v>Desk 61</v>
      </c>
      <c r="C485" s="218" t="str">
        <v/>
      </c>
      <c r="D485" s="218" t="str">
        <v/>
      </c>
      <c r="E485" s="218" t="str">
        <v/>
      </c>
      <c r="F485" s="218" t="str">
        <v/>
      </c>
      <c r="G485" s="402" t="str">
        <v/>
      </c>
      <c r="H485" s="1605"/>
      <c r="I485" s="1605"/>
      <c r="J485" s="1605"/>
      <c r="K485" s="1605"/>
      <c r="L485" s="1605"/>
      <c r="M485" s="1605"/>
      <c r="N485" s="1605"/>
      <c r="O485" s="1605"/>
      <c r="P485" s="1605"/>
      <c r="Q485" s="1605"/>
      <c r="R485" s="1605"/>
      <c r="S485" s="1605"/>
      <c r="T485" s="1605"/>
      <c r="U485" s="1605"/>
      <c r="V485" s="1605"/>
      <c r="W485" s="1605"/>
      <c r="X485" s="1605"/>
      <c r="Y485" s="1605"/>
      <c r="Z485" s="1605"/>
      <c r="AA485" s="1605"/>
      <c r="AB485" s="1605"/>
      <c r="AC485" s="1605"/>
      <c r="AD485" s="1605"/>
      <c r="AE485" s="1605"/>
      <c r="AF485" s="1605"/>
      <c r="AG485" s="1605"/>
      <c r="AH485" s="1605"/>
      <c r="AI485" s="1605"/>
      <c r="AJ485" s="1605"/>
      <c r="AK485" s="1605"/>
      <c r="AL485" s="1605"/>
      <c r="AM485" s="1605"/>
      <c r="AN485" s="1605"/>
      <c r="AO485" s="1605"/>
      <c r="AP485" s="1605"/>
      <c r="AQ485" s="1605"/>
      <c r="AR485" s="1605"/>
      <c r="AS485" s="1605"/>
      <c r="AT485" s="1605"/>
      <c r="AU485" s="1605"/>
      <c r="AV485" s="1605"/>
      <c r="AW485" s="1605"/>
      <c r="AX485" s="1605"/>
      <c r="AY485" s="1605"/>
      <c r="AZ485" s="1605"/>
      <c r="BA485" s="1605"/>
      <c r="BB485" s="1605"/>
      <c r="BC485" s="1605"/>
      <c r="BD485" s="1605"/>
      <c r="BE485" s="1605"/>
      <c r="BF485" s="1605"/>
      <c r="BG485" s="1605"/>
      <c r="BH485" s="1605"/>
      <c r="BI485" s="1605"/>
      <c r="BJ485" s="1605"/>
      <c r="BK485" s="1605"/>
      <c r="BL485" s="1605"/>
      <c r="BM485" s="1605"/>
      <c r="BN485" s="1605"/>
      <c r="BO485" s="1605"/>
      <c r="BP485" s="1605"/>
      <c r="BQ485" s="1605"/>
      <c r="BR485" s="1605"/>
      <c r="BS485" s="1605"/>
      <c r="BT485" s="1605"/>
      <c r="BU485" s="1605"/>
      <c r="BV485" s="1605"/>
      <c r="BW485" s="1605"/>
      <c r="BX485" s="1605"/>
      <c r="BY485" s="1605"/>
      <c r="BZ485" s="1605"/>
      <c r="CA485" s="1605"/>
      <c r="CB485" s="1605"/>
      <c r="CC485" s="1605"/>
      <c r="CD485" s="1605"/>
      <c r="CE485" s="1605"/>
      <c r="CF485" s="1605"/>
      <c r="CG485" s="1605"/>
      <c r="CH485" s="1605"/>
      <c r="CI485" s="1605"/>
      <c r="CJ485" s="1605"/>
      <c r="CK485" s="1605"/>
      <c r="CL485" s="1605"/>
      <c r="CM485" s="1605"/>
      <c r="CN485" s="1605"/>
      <c r="CO485" s="1605"/>
      <c r="CP485" s="1605"/>
      <c r="CQ485" s="1605"/>
      <c r="CR485" s="1605"/>
      <c r="CS485" s="1605"/>
      <c r="CT485" s="1605"/>
      <c r="CU485" s="1605"/>
      <c r="CV485" s="1605"/>
      <c r="CW485" s="1605"/>
      <c r="CX485" s="1605"/>
      <c r="CY485" s="1605"/>
      <c r="CZ485" s="1605"/>
      <c r="DA485" s="1605"/>
      <c r="DB485" s="1605"/>
      <c r="DC485" s="1605"/>
      <c r="DD485" s="1605"/>
      <c r="DE485" s="1605"/>
      <c r="DF485" s="1605"/>
      <c r="DG485" s="1605"/>
      <c r="DH485" s="1605"/>
      <c r="DI485" s="1605"/>
      <c r="DJ485" s="1605"/>
      <c r="DK485" s="1605"/>
      <c r="DL485" s="1605"/>
      <c r="DM485" s="1605"/>
      <c r="DN485" s="1605"/>
      <c r="DO485" s="1605"/>
      <c r="DP485" s="1605"/>
      <c r="DQ485" s="1605"/>
      <c r="DR485" s="1605"/>
      <c r="DS485" s="1605"/>
      <c r="DT485" s="1605"/>
      <c r="DU485" s="1605"/>
      <c r="DV485" s="1605"/>
      <c r="DW485" s="1605"/>
      <c r="DX485" s="1605"/>
      <c r="DY485" s="1605"/>
      <c r="DZ485" s="1605"/>
      <c r="EA485" s="1605"/>
      <c r="EB485" s="1605"/>
      <c r="EC485" s="1605"/>
      <c r="ED485" s="1605"/>
      <c r="EE485" s="1605"/>
      <c r="EF485" s="1605"/>
      <c r="EG485" s="1605"/>
      <c r="EH485" s="1605"/>
      <c r="EI485" s="1605"/>
      <c r="EJ485" s="1605"/>
      <c r="EK485" s="1605"/>
      <c r="EL485" s="1605"/>
      <c r="EM485" s="1605"/>
      <c r="EN485" s="1605"/>
      <c r="EO485" s="1605"/>
      <c r="EP485" s="1605"/>
      <c r="EQ485" s="1605"/>
      <c r="ER485" s="1605"/>
      <c r="ES485" s="1605"/>
      <c r="ET485" s="1605"/>
      <c r="EU485" s="1605"/>
      <c r="EV485" s="1605"/>
      <c r="EW485" s="1605"/>
      <c r="EX485" s="1605"/>
      <c r="EY485" s="1605"/>
      <c r="EZ485" s="1605"/>
      <c r="FA485" s="1605"/>
      <c r="FB485" s="1605"/>
      <c r="FC485" s="1605"/>
      <c r="FD485" s="1605"/>
      <c r="FE485" s="1605"/>
      <c r="FF485" s="1605"/>
      <c r="FG485" s="1605"/>
      <c r="FH485" s="1605"/>
      <c r="FI485" s="1605"/>
      <c r="FJ485" s="1605"/>
      <c r="FK485" s="1605"/>
      <c r="FL485" s="1605"/>
      <c r="FM485" s="1605"/>
      <c r="FN485" s="1605"/>
      <c r="FO485" s="1605"/>
      <c r="FP485" s="1605"/>
      <c r="FQ485" s="1605"/>
      <c r="FR485" s="1605"/>
      <c r="FS485" s="1605"/>
      <c r="FT485" s="1605"/>
      <c r="FU485" s="1605"/>
      <c r="FV485" s="1605"/>
      <c r="FW485" s="1605"/>
      <c r="FX485" s="1605"/>
      <c r="FY485" s="1605"/>
      <c r="FZ485" s="1605"/>
      <c r="GA485" s="1605"/>
      <c r="GB485" s="1605"/>
      <c r="GC485" s="1605"/>
      <c r="GD485" s="1605"/>
      <c r="GE485" s="1605"/>
      <c r="GF485" s="1605"/>
      <c r="GG485" s="1605"/>
      <c r="GH485" s="1605"/>
      <c r="GI485" s="1605"/>
      <c r="GJ485" s="1605"/>
      <c r="GK485" s="1605"/>
      <c r="GL485" s="1605"/>
      <c r="GM485" s="1605"/>
      <c r="GN485" s="1605"/>
      <c r="GO485" s="1605"/>
      <c r="GP485" s="1605"/>
      <c r="GQ485" s="1605"/>
      <c r="GR485" s="1605"/>
      <c r="GS485" s="1605"/>
      <c r="GT485" s="1605"/>
      <c r="GU485" s="1605"/>
      <c r="GV485" s="1605"/>
      <c r="GW485" s="1605"/>
      <c r="GX485" s="1605"/>
      <c r="GY485" s="1605"/>
      <c r="GZ485" s="1605"/>
      <c r="HA485" s="1605"/>
      <c r="HB485" s="1605"/>
      <c r="HC485" s="1605"/>
      <c r="HD485" s="1605"/>
      <c r="HE485" s="1605"/>
      <c r="HF485" s="1605"/>
      <c r="HG485" s="1605"/>
      <c r="HH485" s="1605"/>
      <c r="HI485" s="1605"/>
      <c r="HJ485" s="1605"/>
      <c r="HK485" s="1605"/>
      <c r="HL485" s="1605"/>
      <c r="HM485" s="1605"/>
      <c r="HN485" s="1605"/>
      <c r="HO485" s="1605"/>
      <c r="HP485" s="1605"/>
      <c r="HQ485" s="1605"/>
      <c r="HR485" s="1605"/>
      <c r="HS485" s="1605"/>
      <c r="HT485" s="1605"/>
      <c r="HU485" s="1605"/>
      <c r="HV485" s="1605"/>
      <c r="HW485" s="1605"/>
      <c r="HX485" s="1605"/>
      <c r="HY485" s="1605"/>
      <c r="HZ485" s="1605"/>
      <c r="IA485" s="1605"/>
      <c r="IB485" s="1605"/>
      <c r="IC485" s="1605"/>
      <c r="ID485" s="1605"/>
      <c r="IE485" s="1605"/>
      <c r="IF485" s="1605"/>
      <c r="IG485" s="1605"/>
      <c r="IH485" s="1605"/>
      <c r="II485" s="1605"/>
      <c r="IJ485" s="1605"/>
      <c r="IK485" s="1605"/>
      <c r="IL485" s="1605"/>
      <c r="IM485" s="1605"/>
      <c r="IN485" s="1605"/>
      <c r="IO485" s="1605"/>
      <c r="IP485" s="1605"/>
      <c r="IQ485" s="1605"/>
      <c r="IR485" s="1605"/>
      <c r="IS485" s="1605"/>
      <c r="IT485" s="1605"/>
      <c r="IU485" s="1605"/>
      <c r="IV485" s="1605"/>
      <c r="IW485" s="1605"/>
      <c r="IX485" s="1605"/>
      <c r="IY485" s="1605"/>
      <c r="IZ485" s="1605"/>
      <c r="JA485" s="1605"/>
      <c r="JB485" s="1605"/>
      <c r="JC485" s="1605"/>
      <c r="JD485" s="1605"/>
      <c r="JE485" s="1605"/>
      <c r="JF485" s="1605"/>
      <c r="JG485" s="1605"/>
      <c r="JH485" s="1605"/>
      <c r="JI485" s="1605"/>
      <c r="JJ485" s="1605"/>
      <c r="JK485" s="1605"/>
      <c r="JL485" s="1605"/>
      <c r="JM485" s="1605"/>
      <c r="JN485" s="1605"/>
      <c r="JO485" s="1605"/>
      <c r="JP485" s="1605"/>
      <c r="JQ485" s="1605"/>
      <c r="JR485" s="1605"/>
      <c r="JS485" s="1605"/>
      <c r="JT485" s="1605"/>
      <c r="JU485" s="1605"/>
      <c r="JV485" s="1605"/>
      <c r="JW485" s="1605"/>
      <c r="JX485" s="1605"/>
      <c r="JY485" s="1605"/>
      <c r="JZ485" s="1605"/>
      <c r="KA485" s="1605"/>
      <c r="KB485" s="1606"/>
    </row>
    <row r="486" spans="2:288" ht="15" customHeight="1" x14ac:dyDescent="0.25">
      <c r="B486" s="216" t="str">
        <f t="shared" si="37"/>
        <v>Desk 62</v>
      </c>
      <c r="C486" s="218" t="str">
        <v/>
      </c>
      <c r="D486" s="218" t="str">
        <v/>
      </c>
      <c r="E486" s="218" t="str">
        <v/>
      </c>
      <c r="F486" s="218" t="str">
        <v/>
      </c>
      <c r="G486" s="402" t="str">
        <v/>
      </c>
      <c r="H486" s="1605"/>
      <c r="I486" s="1605"/>
      <c r="J486" s="1605"/>
      <c r="K486" s="1605"/>
      <c r="L486" s="1605"/>
      <c r="M486" s="1605"/>
      <c r="N486" s="1605"/>
      <c r="O486" s="1605"/>
      <c r="P486" s="1605"/>
      <c r="Q486" s="1605"/>
      <c r="R486" s="1605"/>
      <c r="S486" s="1605"/>
      <c r="T486" s="1605"/>
      <c r="U486" s="1605"/>
      <c r="V486" s="1605"/>
      <c r="W486" s="1605"/>
      <c r="X486" s="1605"/>
      <c r="Y486" s="1605"/>
      <c r="Z486" s="1605"/>
      <c r="AA486" s="1605"/>
      <c r="AB486" s="1605"/>
      <c r="AC486" s="1605"/>
      <c r="AD486" s="1605"/>
      <c r="AE486" s="1605"/>
      <c r="AF486" s="1605"/>
      <c r="AG486" s="1605"/>
      <c r="AH486" s="1605"/>
      <c r="AI486" s="1605"/>
      <c r="AJ486" s="1605"/>
      <c r="AK486" s="1605"/>
      <c r="AL486" s="1605"/>
      <c r="AM486" s="1605"/>
      <c r="AN486" s="1605"/>
      <c r="AO486" s="1605"/>
      <c r="AP486" s="1605"/>
      <c r="AQ486" s="1605"/>
      <c r="AR486" s="1605"/>
      <c r="AS486" s="1605"/>
      <c r="AT486" s="1605"/>
      <c r="AU486" s="1605"/>
      <c r="AV486" s="1605"/>
      <c r="AW486" s="1605"/>
      <c r="AX486" s="1605"/>
      <c r="AY486" s="1605"/>
      <c r="AZ486" s="1605"/>
      <c r="BA486" s="1605"/>
      <c r="BB486" s="1605"/>
      <c r="BC486" s="1605"/>
      <c r="BD486" s="1605"/>
      <c r="BE486" s="1605"/>
      <c r="BF486" s="1605"/>
      <c r="BG486" s="1605"/>
      <c r="BH486" s="1605"/>
      <c r="BI486" s="1605"/>
      <c r="BJ486" s="1605"/>
      <c r="BK486" s="1605"/>
      <c r="BL486" s="1605"/>
      <c r="BM486" s="1605"/>
      <c r="BN486" s="1605"/>
      <c r="BO486" s="1605"/>
      <c r="BP486" s="1605"/>
      <c r="BQ486" s="1605"/>
      <c r="BR486" s="1605"/>
      <c r="BS486" s="1605"/>
      <c r="BT486" s="1605"/>
      <c r="BU486" s="1605"/>
      <c r="BV486" s="1605"/>
      <c r="BW486" s="1605"/>
      <c r="BX486" s="1605"/>
      <c r="BY486" s="1605"/>
      <c r="BZ486" s="1605"/>
      <c r="CA486" s="1605"/>
      <c r="CB486" s="1605"/>
      <c r="CC486" s="1605"/>
      <c r="CD486" s="1605"/>
      <c r="CE486" s="1605"/>
      <c r="CF486" s="1605"/>
      <c r="CG486" s="1605"/>
      <c r="CH486" s="1605"/>
      <c r="CI486" s="1605"/>
      <c r="CJ486" s="1605"/>
      <c r="CK486" s="1605"/>
      <c r="CL486" s="1605"/>
      <c r="CM486" s="1605"/>
      <c r="CN486" s="1605"/>
      <c r="CO486" s="1605"/>
      <c r="CP486" s="1605"/>
      <c r="CQ486" s="1605"/>
      <c r="CR486" s="1605"/>
      <c r="CS486" s="1605"/>
      <c r="CT486" s="1605"/>
      <c r="CU486" s="1605"/>
      <c r="CV486" s="1605"/>
      <c r="CW486" s="1605"/>
      <c r="CX486" s="1605"/>
      <c r="CY486" s="1605"/>
      <c r="CZ486" s="1605"/>
      <c r="DA486" s="1605"/>
      <c r="DB486" s="1605"/>
      <c r="DC486" s="1605"/>
      <c r="DD486" s="1605"/>
      <c r="DE486" s="1605"/>
      <c r="DF486" s="1605"/>
      <c r="DG486" s="1605"/>
      <c r="DH486" s="1605"/>
      <c r="DI486" s="1605"/>
      <c r="DJ486" s="1605"/>
      <c r="DK486" s="1605"/>
      <c r="DL486" s="1605"/>
      <c r="DM486" s="1605"/>
      <c r="DN486" s="1605"/>
      <c r="DO486" s="1605"/>
      <c r="DP486" s="1605"/>
      <c r="DQ486" s="1605"/>
      <c r="DR486" s="1605"/>
      <c r="DS486" s="1605"/>
      <c r="DT486" s="1605"/>
      <c r="DU486" s="1605"/>
      <c r="DV486" s="1605"/>
      <c r="DW486" s="1605"/>
      <c r="DX486" s="1605"/>
      <c r="DY486" s="1605"/>
      <c r="DZ486" s="1605"/>
      <c r="EA486" s="1605"/>
      <c r="EB486" s="1605"/>
      <c r="EC486" s="1605"/>
      <c r="ED486" s="1605"/>
      <c r="EE486" s="1605"/>
      <c r="EF486" s="1605"/>
      <c r="EG486" s="1605"/>
      <c r="EH486" s="1605"/>
      <c r="EI486" s="1605"/>
      <c r="EJ486" s="1605"/>
      <c r="EK486" s="1605"/>
      <c r="EL486" s="1605"/>
      <c r="EM486" s="1605"/>
      <c r="EN486" s="1605"/>
      <c r="EO486" s="1605"/>
      <c r="EP486" s="1605"/>
      <c r="EQ486" s="1605"/>
      <c r="ER486" s="1605"/>
      <c r="ES486" s="1605"/>
      <c r="ET486" s="1605"/>
      <c r="EU486" s="1605"/>
      <c r="EV486" s="1605"/>
      <c r="EW486" s="1605"/>
      <c r="EX486" s="1605"/>
      <c r="EY486" s="1605"/>
      <c r="EZ486" s="1605"/>
      <c r="FA486" s="1605"/>
      <c r="FB486" s="1605"/>
      <c r="FC486" s="1605"/>
      <c r="FD486" s="1605"/>
      <c r="FE486" s="1605"/>
      <c r="FF486" s="1605"/>
      <c r="FG486" s="1605"/>
      <c r="FH486" s="1605"/>
      <c r="FI486" s="1605"/>
      <c r="FJ486" s="1605"/>
      <c r="FK486" s="1605"/>
      <c r="FL486" s="1605"/>
      <c r="FM486" s="1605"/>
      <c r="FN486" s="1605"/>
      <c r="FO486" s="1605"/>
      <c r="FP486" s="1605"/>
      <c r="FQ486" s="1605"/>
      <c r="FR486" s="1605"/>
      <c r="FS486" s="1605"/>
      <c r="FT486" s="1605"/>
      <c r="FU486" s="1605"/>
      <c r="FV486" s="1605"/>
      <c r="FW486" s="1605"/>
      <c r="FX486" s="1605"/>
      <c r="FY486" s="1605"/>
      <c r="FZ486" s="1605"/>
      <c r="GA486" s="1605"/>
      <c r="GB486" s="1605"/>
      <c r="GC486" s="1605"/>
      <c r="GD486" s="1605"/>
      <c r="GE486" s="1605"/>
      <c r="GF486" s="1605"/>
      <c r="GG486" s="1605"/>
      <c r="GH486" s="1605"/>
      <c r="GI486" s="1605"/>
      <c r="GJ486" s="1605"/>
      <c r="GK486" s="1605"/>
      <c r="GL486" s="1605"/>
      <c r="GM486" s="1605"/>
      <c r="GN486" s="1605"/>
      <c r="GO486" s="1605"/>
      <c r="GP486" s="1605"/>
      <c r="GQ486" s="1605"/>
      <c r="GR486" s="1605"/>
      <c r="GS486" s="1605"/>
      <c r="GT486" s="1605"/>
      <c r="GU486" s="1605"/>
      <c r="GV486" s="1605"/>
      <c r="GW486" s="1605"/>
      <c r="GX486" s="1605"/>
      <c r="GY486" s="1605"/>
      <c r="GZ486" s="1605"/>
      <c r="HA486" s="1605"/>
      <c r="HB486" s="1605"/>
      <c r="HC486" s="1605"/>
      <c r="HD486" s="1605"/>
      <c r="HE486" s="1605"/>
      <c r="HF486" s="1605"/>
      <c r="HG486" s="1605"/>
      <c r="HH486" s="1605"/>
      <c r="HI486" s="1605"/>
      <c r="HJ486" s="1605"/>
      <c r="HK486" s="1605"/>
      <c r="HL486" s="1605"/>
      <c r="HM486" s="1605"/>
      <c r="HN486" s="1605"/>
      <c r="HO486" s="1605"/>
      <c r="HP486" s="1605"/>
      <c r="HQ486" s="1605"/>
      <c r="HR486" s="1605"/>
      <c r="HS486" s="1605"/>
      <c r="HT486" s="1605"/>
      <c r="HU486" s="1605"/>
      <c r="HV486" s="1605"/>
      <c r="HW486" s="1605"/>
      <c r="HX486" s="1605"/>
      <c r="HY486" s="1605"/>
      <c r="HZ486" s="1605"/>
      <c r="IA486" s="1605"/>
      <c r="IB486" s="1605"/>
      <c r="IC486" s="1605"/>
      <c r="ID486" s="1605"/>
      <c r="IE486" s="1605"/>
      <c r="IF486" s="1605"/>
      <c r="IG486" s="1605"/>
      <c r="IH486" s="1605"/>
      <c r="II486" s="1605"/>
      <c r="IJ486" s="1605"/>
      <c r="IK486" s="1605"/>
      <c r="IL486" s="1605"/>
      <c r="IM486" s="1605"/>
      <c r="IN486" s="1605"/>
      <c r="IO486" s="1605"/>
      <c r="IP486" s="1605"/>
      <c r="IQ486" s="1605"/>
      <c r="IR486" s="1605"/>
      <c r="IS486" s="1605"/>
      <c r="IT486" s="1605"/>
      <c r="IU486" s="1605"/>
      <c r="IV486" s="1605"/>
      <c r="IW486" s="1605"/>
      <c r="IX486" s="1605"/>
      <c r="IY486" s="1605"/>
      <c r="IZ486" s="1605"/>
      <c r="JA486" s="1605"/>
      <c r="JB486" s="1605"/>
      <c r="JC486" s="1605"/>
      <c r="JD486" s="1605"/>
      <c r="JE486" s="1605"/>
      <c r="JF486" s="1605"/>
      <c r="JG486" s="1605"/>
      <c r="JH486" s="1605"/>
      <c r="JI486" s="1605"/>
      <c r="JJ486" s="1605"/>
      <c r="JK486" s="1605"/>
      <c r="JL486" s="1605"/>
      <c r="JM486" s="1605"/>
      <c r="JN486" s="1605"/>
      <c r="JO486" s="1605"/>
      <c r="JP486" s="1605"/>
      <c r="JQ486" s="1605"/>
      <c r="JR486" s="1605"/>
      <c r="JS486" s="1605"/>
      <c r="JT486" s="1605"/>
      <c r="JU486" s="1605"/>
      <c r="JV486" s="1605"/>
      <c r="JW486" s="1605"/>
      <c r="JX486" s="1605"/>
      <c r="JY486" s="1605"/>
      <c r="JZ486" s="1605"/>
      <c r="KA486" s="1605"/>
      <c r="KB486" s="1606"/>
    </row>
    <row r="487" spans="2:288" ht="15" customHeight="1" x14ac:dyDescent="0.25">
      <c r="B487" s="216" t="str">
        <f t="shared" si="37"/>
        <v>Desk 63</v>
      </c>
      <c r="C487" s="218" t="str">
        <v/>
      </c>
      <c r="D487" s="218" t="str">
        <v/>
      </c>
      <c r="E487" s="218" t="str">
        <v/>
      </c>
      <c r="F487" s="218" t="str">
        <v/>
      </c>
      <c r="G487" s="402" t="str">
        <v/>
      </c>
      <c r="H487" s="1605"/>
      <c r="I487" s="1605"/>
      <c r="J487" s="1605"/>
      <c r="K487" s="1605"/>
      <c r="L487" s="1605"/>
      <c r="M487" s="1605"/>
      <c r="N487" s="1605"/>
      <c r="O487" s="1605"/>
      <c r="P487" s="1605"/>
      <c r="Q487" s="1605"/>
      <c r="R487" s="1605"/>
      <c r="S487" s="1605"/>
      <c r="T487" s="1605"/>
      <c r="U487" s="1605"/>
      <c r="V487" s="1605"/>
      <c r="W487" s="1605"/>
      <c r="X487" s="1605"/>
      <c r="Y487" s="1605"/>
      <c r="Z487" s="1605"/>
      <c r="AA487" s="1605"/>
      <c r="AB487" s="1605"/>
      <c r="AC487" s="1605"/>
      <c r="AD487" s="1605"/>
      <c r="AE487" s="1605"/>
      <c r="AF487" s="1605"/>
      <c r="AG487" s="1605"/>
      <c r="AH487" s="1605"/>
      <c r="AI487" s="1605"/>
      <c r="AJ487" s="1605"/>
      <c r="AK487" s="1605"/>
      <c r="AL487" s="1605"/>
      <c r="AM487" s="1605"/>
      <c r="AN487" s="1605"/>
      <c r="AO487" s="1605"/>
      <c r="AP487" s="1605"/>
      <c r="AQ487" s="1605"/>
      <c r="AR487" s="1605"/>
      <c r="AS487" s="1605"/>
      <c r="AT487" s="1605"/>
      <c r="AU487" s="1605"/>
      <c r="AV487" s="1605"/>
      <c r="AW487" s="1605"/>
      <c r="AX487" s="1605"/>
      <c r="AY487" s="1605"/>
      <c r="AZ487" s="1605"/>
      <c r="BA487" s="1605"/>
      <c r="BB487" s="1605"/>
      <c r="BC487" s="1605"/>
      <c r="BD487" s="1605"/>
      <c r="BE487" s="1605"/>
      <c r="BF487" s="1605"/>
      <c r="BG487" s="1605"/>
      <c r="BH487" s="1605"/>
      <c r="BI487" s="1605"/>
      <c r="BJ487" s="1605"/>
      <c r="BK487" s="1605"/>
      <c r="BL487" s="1605"/>
      <c r="BM487" s="1605"/>
      <c r="BN487" s="1605"/>
      <c r="BO487" s="1605"/>
      <c r="BP487" s="1605"/>
      <c r="BQ487" s="1605"/>
      <c r="BR487" s="1605"/>
      <c r="BS487" s="1605"/>
      <c r="BT487" s="1605"/>
      <c r="BU487" s="1605"/>
      <c r="BV487" s="1605"/>
      <c r="BW487" s="1605"/>
      <c r="BX487" s="1605"/>
      <c r="BY487" s="1605"/>
      <c r="BZ487" s="1605"/>
      <c r="CA487" s="1605"/>
      <c r="CB487" s="1605"/>
      <c r="CC487" s="1605"/>
      <c r="CD487" s="1605"/>
      <c r="CE487" s="1605"/>
      <c r="CF487" s="1605"/>
      <c r="CG487" s="1605"/>
      <c r="CH487" s="1605"/>
      <c r="CI487" s="1605"/>
      <c r="CJ487" s="1605"/>
      <c r="CK487" s="1605"/>
      <c r="CL487" s="1605"/>
      <c r="CM487" s="1605"/>
      <c r="CN487" s="1605"/>
      <c r="CO487" s="1605"/>
      <c r="CP487" s="1605"/>
      <c r="CQ487" s="1605"/>
      <c r="CR487" s="1605"/>
      <c r="CS487" s="1605"/>
      <c r="CT487" s="1605"/>
      <c r="CU487" s="1605"/>
      <c r="CV487" s="1605"/>
      <c r="CW487" s="1605"/>
      <c r="CX487" s="1605"/>
      <c r="CY487" s="1605"/>
      <c r="CZ487" s="1605"/>
      <c r="DA487" s="1605"/>
      <c r="DB487" s="1605"/>
      <c r="DC487" s="1605"/>
      <c r="DD487" s="1605"/>
      <c r="DE487" s="1605"/>
      <c r="DF487" s="1605"/>
      <c r="DG487" s="1605"/>
      <c r="DH487" s="1605"/>
      <c r="DI487" s="1605"/>
      <c r="DJ487" s="1605"/>
      <c r="DK487" s="1605"/>
      <c r="DL487" s="1605"/>
      <c r="DM487" s="1605"/>
      <c r="DN487" s="1605"/>
      <c r="DO487" s="1605"/>
      <c r="DP487" s="1605"/>
      <c r="DQ487" s="1605"/>
      <c r="DR487" s="1605"/>
      <c r="DS487" s="1605"/>
      <c r="DT487" s="1605"/>
      <c r="DU487" s="1605"/>
      <c r="DV487" s="1605"/>
      <c r="DW487" s="1605"/>
      <c r="DX487" s="1605"/>
      <c r="DY487" s="1605"/>
      <c r="DZ487" s="1605"/>
      <c r="EA487" s="1605"/>
      <c r="EB487" s="1605"/>
      <c r="EC487" s="1605"/>
      <c r="ED487" s="1605"/>
      <c r="EE487" s="1605"/>
      <c r="EF487" s="1605"/>
      <c r="EG487" s="1605"/>
      <c r="EH487" s="1605"/>
      <c r="EI487" s="1605"/>
      <c r="EJ487" s="1605"/>
      <c r="EK487" s="1605"/>
      <c r="EL487" s="1605"/>
      <c r="EM487" s="1605"/>
      <c r="EN487" s="1605"/>
      <c r="EO487" s="1605"/>
      <c r="EP487" s="1605"/>
      <c r="EQ487" s="1605"/>
      <c r="ER487" s="1605"/>
      <c r="ES487" s="1605"/>
      <c r="ET487" s="1605"/>
      <c r="EU487" s="1605"/>
      <c r="EV487" s="1605"/>
      <c r="EW487" s="1605"/>
      <c r="EX487" s="1605"/>
      <c r="EY487" s="1605"/>
      <c r="EZ487" s="1605"/>
      <c r="FA487" s="1605"/>
      <c r="FB487" s="1605"/>
      <c r="FC487" s="1605"/>
      <c r="FD487" s="1605"/>
      <c r="FE487" s="1605"/>
      <c r="FF487" s="1605"/>
      <c r="FG487" s="1605"/>
      <c r="FH487" s="1605"/>
      <c r="FI487" s="1605"/>
      <c r="FJ487" s="1605"/>
      <c r="FK487" s="1605"/>
      <c r="FL487" s="1605"/>
      <c r="FM487" s="1605"/>
      <c r="FN487" s="1605"/>
      <c r="FO487" s="1605"/>
      <c r="FP487" s="1605"/>
      <c r="FQ487" s="1605"/>
      <c r="FR487" s="1605"/>
      <c r="FS487" s="1605"/>
      <c r="FT487" s="1605"/>
      <c r="FU487" s="1605"/>
      <c r="FV487" s="1605"/>
      <c r="FW487" s="1605"/>
      <c r="FX487" s="1605"/>
      <c r="FY487" s="1605"/>
      <c r="FZ487" s="1605"/>
      <c r="GA487" s="1605"/>
      <c r="GB487" s="1605"/>
      <c r="GC487" s="1605"/>
      <c r="GD487" s="1605"/>
      <c r="GE487" s="1605"/>
      <c r="GF487" s="1605"/>
      <c r="GG487" s="1605"/>
      <c r="GH487" s="1605"/>
      <c r="GI487" s="1605"/>
      <c r="GJ487" s="1605"/>
      <c r="GK487" s="1605"/>
      <c r="GL487" s="1605"/>
      <c r="GM487" s="1605"/>
      <c r="GN487" s="1605"/>
      <c r="GO487" s="1605"/>
      <c r="GP487" s="1605"/>
      <c r="GQ487" s="1605"/>
      <c r="GR487" s="1605"/>
      <c r="GS487" s="1605"/>
      <c r="GT487" s="1605"/>
      <c r="GU487" s="1605"/>
      <c r="GV487" s="1605"/>
      <c r="GW487" s="1605"/>
      <c r="GX487" s="1605"/>
      <c r="GY487" s="1605"/>
      <c r="GZ487" s="1605"/>
      <c r="HA487" s="1605"/>
      <c r="HB487" s="1605"/>
      <c r="HC487" s="1605"/>
      <c r="HD487" s="1605"/>
      <c r="HE487" s="1605"/>
      <c r="HF487" s="1605"/>
      <c r="HG487" s="1605"/>
      <c r="HH487" s="1605"/>
      <c r="HI487" s="1605"/>
      <c r="HJ487" s="1605"/>
      <c r="HK487" s="1605"/>
      <c r="HL487" s="1605"/>
      <c r="HM487" s="1605"/>
      <c r="HN487" s="1605"/>
      <c r="HO487" s="1605"/>
      <c r="HP487" s="1605"/>
      <c r="HQ487" s="1605"/>
      <c r="HR487" s="1605"/>
      <c r="HS487" s="1605"/>
      <c r="HT487" s="1605"/>
      <c r="HU487" s="1605"/>
      <c r="HV487" s="1605"/>
      <c r="HW487" s="1605"/>
      <c r="HX487" s="1605"/>
      <c r="HY487" s="1605"/>
      <c r="HZ487" s="1605"/>
      <c r="IA487" s="1605"/>
      <c r="IB487" s="1605"/>
      <c r="IC487" s="1605"/>
      <c r="ID487" s="1605"/>
      <c r="IE487" s="1605"/>
      <c r="IF487" s="1605"/>
      <c r="IG487" s="1605"/>
      <c r="IH487" s="1605"/>
      <c r="II487" s="1605"/>
      <c r="IJ487" s="1605"/>
      <c r="IK487" s="1605"/>
      <c r="IL487" s="1605"/>
      <c r="IM487" s="1605"/>
      <c r="IN487" s="1605"/>
      <c r="IO487" s="1605"/>
      <c r="IP487" s="1605"/>
      <c r="IQ487" s="1605"/>
      <c r="IR487" s="1605"/>
      <c r="IS487" s="1605"/>
      <c r="IT487" s="1605"/>
      <c r="IU487" s="1605"/>
      <c r="IV487" s="1605"/>
      <c r="IW487" s="1605"/>
      <c r="IX487" s="1605"/>
      <c r="IY487" s="1605"/>
      <c r="IZ487" s="1605"/>
      <c r="JA487" s="1605"/>
      <c r="JB487" s="1605"/>
      <c r="JC487" s="1605"/>
      <c r="JD487" s="1605"/>
      <c r="JE487" s="1605"/>
      <c r="JF487" s="1605"/>
      <c r="JG487" s="1605"/>
      <c r="JH487" s="1605"/>
      <c r="JI487" s="1605"/>
      <c r="JJ487" s="1605"/>
      <c r="JK487" s="1605"/>
      <c r="JL487" s="1605"/>
      <c r="JM487" s="1605"/>
      <c r="JN487" s="1605"/>
      <c r="JO487" s="1605"/>
      <c r="JP487" s="1605"/>
      <c r="JQ487" s="1605"/>
      <c r="JR487" s="1605"/>
      <c r="JS487" s="1605"/>
      <c r="JT487" s="1605"/>
      <c r="JU487" s="1605"/>
      <c r="JV487" s="1605"/>
      <c r="JW487" s="1605"/>
      <c r="JX487" s="1605"/>
      <c r="JY487" s="1605"/>
      <c r="JZ487" s="1605"/>
      <c r="KA487" s="1605"/>
      <c r="KB487" s="1606"/>
    </row>
    <row r="488" spans="2:288" ht="15" customHeight="1" x14ac:dyDescent="0.25">
      <c r="B488" s="216" t="str">
        <f t="shared" si="37"/>
        <v>Desk 64</v>
      </c>
      <c r="C488" s="218" t="str">
        <v/>
      </c>
      <c r="D488" s="218" t="str">
        <v/>
      </c>
      <c r="E488" s="218" t="str">
        <v/>
      </c>
      <c r="F488" s="218" t="str">
        <v/>
      </c>
      <c r="G488" s="402" t="str">
        <v/>
      </c>
      <c r="H488" s="1605"/>
      <c r="I488" s="1605"/>
      <c r="J488" s="1605"/>
      <c r="K488" s="1605"/>
      <c r="L488" s="1605"/>
      <c r="M488" s="1605"/>
      <c r="N488" s="1605"/>
      <c r="O488" s="1605"/>
      <c r="P488" s="1605"/>
      <c r="Q488" s="1605"/>
      <c r="R488" s="1605"/>
      <c r="S488" s="1605"/>
      <c r="T488" s="1605"/>
      <c r="U488" s="1605"/>
      <c r="V488" s="1605"/>
      <c r="W488" s="1605"/>
      <c r="X488" s="1605"/>
      <c r="Y488" s="1605"/>
      <c r="Z488" s="1605"/>
      <c r="AA488" s="1605"/>
      <c r="AB488" s="1605"/>
      <c r="AC488" s="1605"/>
      <c r="AD488" s="1605"/>
      <c r="AE488" s="1605"/>
      <c r="AF488" s="1605"/>
      <c r="AG488" s="1605"/>
      <c r="AH488" s="1605"/>
      <c r="AI488" s="1605"/>
      <c r="AJ488" s="1605"/>
      <c r="AK488" s="1605"/>
      <c r="AL488" s="1605"/>
      <c r="AM488" s="1605"/>
      <c r="AN488" s="1605"/>
      <c r="AO488" s="1605"/>
      <c r="AP488" s="1605"/>
      <c r="AQ488" s="1605"/>
      <c r="AR488" s="1605"/>
      <c r="AS488" s="1605"/>
      <c r="AT488" s="1605"/>
      <c r="AU488" s="1605"/>
      <c r="AV488" s="1605"/>
      <c r="AW488" s="1605"/>
      <c r="AX488" s="1605"/>
      <c r="AY488" s="1605"/>
      <c r="AZ488" s="1605"/>
      <c r="BA488" s="1605"/>
      <c r="BB488" s="1605"/>
      <c r="BC488" s="1605"/>
      <c r="BD488" s="1605"/>
      <c r="BE488" s="1605"/>
      <c r="BF488" s="1605"/>
      <c r="BG488" s="1605"/>
      <c r="BH488" s="1605"/>
      <c r="BI488" s="1605"/>
      <c r="BJ488" s="1605"/>
      <c r="BK488" s="1605"/>
      <c r="BL488" s="1605"/>
      <c r="BM488" s="1605"/>
      <c r="BN488" s="1605"/>
      <c r="BO488" s="1605"/>
      <c r="BP488" s="1605"/>
      <c r="BQ488" s="1605"/>
      <c r="BR488" s="1605"/>
      <c r="BS488" s="1605"/>
      <c r="BT488" s="1605"/>
      <c r="BU488" s="1605"/>
      <c r="BV488" s="1605"/>
      <c r="BW488" s="1605"/>
      <c r="BX488" s="1605"/>
      <c r="BY488" s="1605"/>
      <c r="BZ488" s="1605"/>
      <c r="CA488" s="1605"/>
      <c r="CB488" s="1605"/>
      <c r="CC488" s="1605"/>
      <c r="CD488" s="1605"/>
      <c r="CE488" s="1605"/>
      <c r="CF488" s="1605"/>
      <c r="CG488" s="1605"/>
      <c r="CH488" s="1605"/>
      <c r="CI488" s="1605"/>
      <c r="CJ488" s="1605"/>
      <c r="CK488" s="1605"/>
      <c r="CL488" s="1605"/>
      <c r="CM488" s="1605"/>
      <c r="CN488" s="1605"/>
      <c r="CO488" s="1605"/>
      <c r="CP488" s="1605"/>
      <c r="CQ488" s="1605"/>
      <c r="CR488" s="1605"/>
      <c r="CS488" s="1605"/>
      <c r="CT488" s="1605"/>
      <c r="CU488" s="1605"/>
      <c r="CV488" s="1605"/>
      <c r="CW488" s="1605"/>
      <c r="CX488" s="1605"/>
      <c r="CY488" s="1605"/>
      <c r="CZ488" s="1605"/>
      <c r="DA488" s="1605"/>
      <c r="DB488" s="1605"/>
      <c r="DC488" s="1605"/>
      <c r="DD488" s="1605"/>
      <c r="DE488" s="1605"/>
      <c r="DF488" s="1605"/>
      <c r="DG488" s="1605"/>
      <c r="DH488" s="1605"/>
      <c r="DI488" s="1605"/>
      <c r="DJ488" s="1605"/>
      <c r="DK488" s="1605"/>
      <c r="DL488" s="1605"/>
      <c r="DM488" s="1605"/>
      <c r="DN488" s="1605"/>
      <c r="DO488" s="1605"/>
      <c r="DP488" s="1605"/>
      <c r="DQ488" s="1605"/>
      <c r="DR488" s="1605"/>
      <c r="DS488" s="1605"/>
      <c r="DT488" s="1605"/>
      <c r="DU488" s="1605"/>
      <c r="DV488" s="1605"/>
      <c r="DW488" s="1605"/>
      <c r="DX488" s="1605"/>
      <c r="DY488" s="1605"/>
      <c r="DZ488" s="1605"/>
      <c r="EA488" s="1605"/>
      <c r="EB488" s="1605"/>
      <c r="EC488" s="1605"/>
      <c r="ED488" s="1605"/>
      <c r="EE488" s="1605"/>
      <c r="EF488" s="1605"/>
      <c r="EG488" s="1605"/>
      <c r="EH488" s="1605"/>
      <c r="EI488" s="1605"/>
      <c r="EJ488" s="1605"/>
      <c r="EK488" s="1605"/>
      <c r="EL488" s="1605"/>
      <c r="EM488" s="1605"/>
      <c r="EN488" s="1605"/>
      <c r="EO488" s="1605"/>
      <c r="EP488" s="1605"/>
      <c r="EQ488" s="1605"/>
      <c r="ER488" s="1605"/>
      <c r="ES488" s="1605"/>
      <c r="ET488" s="1605"/>
      <c r="EU488" s="1605"/>
      <c r="EV488" s="1605"/>
      <c r="EW488" s="1605"/>
      <c r="EX488" s="1605"/>
      <c r="EY488" s="1605"/>
      <c r="EZ488" s="1605"/>
      <c r="FA488" s="1605"/>
      <c r="FB488" s="1605"/>
      <c r="FC488" s="1605"/>
      <c r="FD488" s="1605"/>
      <c r="FE488" s="1605"/>
      <c r="FF488" s="1605"/>
      <c r="FG488" s="1605"/>
      <c r="FH488" s="1605"/>
      <c r="FI488" s="1605"/>
      <c r="FJ488" s="1605"/>
      <c r="FK488" s="1605"/>
      <c r="FL488" s="1605"/>
      <c r="FM488" s="1605"/>
      <c r="FN488" s="1605"/>
      <c r="FO488" s="1605"/>
      <c r="FP488" s="1605"/>
      <c r="FQ488" s="1605"/>
      <c r="FR488" s="1605"/>
      <c r="FS488" s="1605"/>
      <c r="FT488" s="1605"/>
      <c r="FU488" s="1605"/>
      <c r="FV488" s="1605"/>
      <c r="FW488" s="1605"/>
      <c r="FX488" s="1605"/>
      <c r="FY488" s="1605"/>
      <c r="FZ488" s="1605"/>
      <c r="GA488" s="1605"/>
      <c r="GB488" s="1605"/>
      <c r="GC488" s="1605"/>
      <c r="GD488" s="1605"/>
      <c r="GE488" s="1605"/>
      <c r="GF488" s="1605"/>
      <c r="GG488" s="1605"/>
      <c r="GH488" s="1605"/>
      <c r="GI488" s="1605"/>
      <c r="GJ488" s="1605"/>
      <c r="GK488" s="1605"/>
      <c r="GL488" s="1605"/>
      <c r="GM488" s="1605"/>
      <c r="GN488" s="1605"/>
      <c r="GO488" s="1605"/>
      <c r="GP488" s="1605"/>
      <c r="GQ488" s="1605"/>
      <c r="GR488" s="1605"/>
      <c r="GS488" s="1605"/>
      <c r="GT488" s="1605"/>
      <c r="GU488" s="1605"/>
      <c r="GV488" s="1605"/>
      <c r="GW488" s="1605"/>
      <c r="GX488" s="1605"/>
      <c r="GY488" s="1605"/>
      <c r="GZ488" s="1605"/>
      <c r="HA488" s="1605"/>
      <c r="HB488" s="1605"/>
      <c r="HC488" s="1605"/>
      <c r="HD488" s="1605"/>
      <c r="HE488" s="1605"/>
      <c r="HF488" s="1605"/>
      <c r="HG488" s="1605"/>
      <c r="HH488" s="1605"/>
      <c r="HI488" s="1605"/>
      <c r="HJ488" s="1605"/>
      <c r="HK488" s="1605"/>
      <c r="HL488" s="1605"/>
      <c r="HM488" s="1605"/>
      <c r="HN488" s="1605"/>
      <c r="HO488" s="1605"/>
      <c r="HP488" s="1605"/>
      <c r="HQ488" s="1605"/>
      <c r="HR488" s="1605"/>
      <c r="HS488" s="1605"/>
      <c r="HT488" s="1605"/>
      <c r="HU488" s="1605"/>
      <c r="HV488" s="1605"/>
      <c r="HW488" s="1605"/>
      <c r="HX488" s="1605"/>
      <c r="HY488" s="1605"/>
      <c r="HZ488" s="1605"/>
      <c r="IA488" s="1605"/>
      <c r="IB488" s="1605"/>
      <c r="IC488" s="1605"/>
      <c r="ID488" s="1605"/>
      <c r="IE488" s="1605"/>
      <c r="IF488" s="1605"/>
      <c r="IG488" s="1605"/>
      <c r="IH488" s="1605"/>
      <c r="II488" s="1605"/>
      <c r="IJ488" s="1605"/>
      <c r="IK488" s="1605"/>
      <c r="IL488" s="1605"/>
      <c r="IM488" s="1605"/>
      <c r="IN488" s="1605"/>
      <c r="IO488" s="1605"/>
      <c r="IP488" s="1605"/>
      <c r="IQ488" s="1605"/>
      <c r="IR488" s="1605"/>
      <c r="IS488" s="1605"/>
      <c r="IT488" s="1605"/>
      <c r="IU488" s="1605"/>
      <c r="IV488" s="1605"/>
      <c r="IW488" s="1605"/>
      <c r="IX488" s="1605"/>
      <c r="IY488" s="1605"/>
      <c r="IZ488" s="1605"/>
      <c r="JA488" s="1605"/>
      <c r="JB488" s="1605"/>
      <c r="JC488" s="1605"/>
      <c r="JD488" s="1605"/>
      <c r="JE488" s="1605"/>
      <c r="JF488" s="1605"/>
      <c r="JG488" s="1605"/>
      <c r="JH488" s="1605"/>
      <c r="JI488" s="1605"/>
      <c r="JJ488" s="1605"/>
      <c r="JK488" s="1605"/>
      <c r="JL488" s="1605"/>
      <c r="JM488" s="1605"/>
      <c r="JN488" s="1605"/>
      <c r="JO488" s="1605"/>
      <c r="JP488" s="1605"/>
      <c r="JQ488" s="1605"/>
      <c r="JR488" s="1605"/>
      <c r="JS488" s="1605"/>
      <c r="JT488" s="1605"/>
      <c r="JU488" s="1605"/>
      <c r="JV488" s="1605"/>
      <c r="JW488" s="1605"/>
      <c r="JX488" s="1605"/>
      <c r="JY488" s="1605"/>
      <c r="JZ488" s="1605"/>
      <c r="KA488" s="1605"/>
      <c r="KB488" s="1606"/>
    </row>
    <row r="489" spans="2:288" ht="15" customHeight="1" x14ac:dyDescent="0.25">
      <c r="B489" s="216" t="str">
        <f t="shared" ref="B489:B520" si="38">B75</f>
        <v>Desk 65</v>
      </c>
      <c r="C489" s="218" t="str">
        <v/>
      </c>
      <c r="D489" s="218" t="str">
        <v/>
      </c>
      <c r="E489" s="218" t="str">
        <v/>
      </c>
      <c r="F489" s="218" t="str">
        <v/>
      </c>
      <c r="G489" s="402" t="str">
        <v/>
      </c>
      <c r="H489" s="1605"/>
      <c r="I489" s="1605"/>
      <c r="J489" s="1605"/>
      <c r="K489" s="1605"/>
      <c r="L489" s="1605"/>
      <c r="M489" s="1605"/>
      <c r="N489" s="1605"/>
      <c r="O489" s="1605"/>
      <c r="P489" s="1605"/>
      <c r="Q489" s="1605"/>
      <c r="R489" s="1605"/>
      <c r="S489" s="1605"/>
      <c r="T489" s="1605"/>
      <c r="U489" s="1605"/>
      <c r="V489" s="1605"/>
      <c r="W489" s="1605"/>
      <c r="X489" s="1605"/>
      <c r="Y489" s="1605"/>
      <c r="Z489" s="1605"/>
      <c r="AA489" s="1605"/>
      <c r="AB489" s="1605"/>
      <c r="AC489" s="1605"/>
      <c r="AD489" s="1605"/>
      <c r="AE489" s="1605"/>
      <c r="AF489" s="1605"/>
      <c r="AG489" s="1605"/>
      <c r="AH489" s="1605"/>
      <c r="AI489" s="1605"/>
      <c r="AJ489" s="1605"/>
      <c r="AK489" s="1605"/>
      <c r="AL489" s="1605"/>
      <c r="AM489" s="1605"/>
      <c r="AN489" s="1605"/>
      <c r="AO489" s="1605"/>
      <c r="AP489" s="1605"/>
      <c r="AQ489" s="1605"/>
      <c r="AR489" s="1605"/>
      <c r="AS489" s="1605"/>
      <c r="AT489" s="1605"/>
      <c r="AU489" s="1605"/>
      <c r="AV489" s="1605"/>
      <c r="AW489" s="1605"/>
      <c r="AX489" s="1605"/>
      <c r="AY489" s="1605"/>
      <c r="AZ489" s="1605"/>
      <c r="BA489" s="1605"/>
      <c r="BB489" s="1605"/>
      <c r="BC489" s="1605"/>
      <c r="BD489" s="1605"/>
      <c r="BE489" s="1605"/>
      <c r="BF489" s="1605"/>
      <c r="BG489" s="1605"/>
      <c r="BH489" s="1605"/>
      <c r="BI489" s="1605"/>
      <c r="BJ489" s="1605"/>
      <c r="BK489" s="1605"/>
      <c r="BL489" s="1605"/>
      <c r="BM489" s="1605"/>
      <c r="BN489" s="1605"/>
      <c r="BO489" s="1605"/>
      <c r="BP489" s="1605"/>
      <c r="BQ489" s="1605"/>
      <c r="BR489" s="1605"/>
      <c r="BS489" s="1605"/>
      <c r="BT489" s="1605"/>
      <c r="BU489" s="1605"/>
      <c r="BV489" s="1605"/>
      <c r="BW489" s="1605"/>
      <c r="BX489" s="1605"/>
      <c r="BY489" s="1605"/>
      <c r="BZ489" s="1605"/>
      <c r="CA489" s="1605"/>
      <c r="CB489" s="1605"/>
      <c r="CC489" s="1605"/>
      <c r="CD489" s="1605"/>
      <c r="CE489" s="1605"/>
      <c r="CF489" s="1605"/>
      <c r="CG489" s="1605"/>
      <c r="CH489" s="1605"/>
      <c r="CI489" s="1605"/>
      <c r="CJ489" s="1605"/>
      <c r="CK489" s="1605"/>
      <c r="CL489" s="1605"/>
      <c r="CM489" s="1605"/>
      <c r="CN489" s="1605"/>
      <c r="CO489" s="1605"/>
      <c r="CP489" s="1605"/>
      <c r="CQ489" s="1605"/>
      <c r="CR489" s="1605"/>
      <c r="CS489" s="1605"/>
      <c r="CT489" s="1605"/>
      <c r="CU489" s="1605"/>
      <c r="CV489" s="1605"/>
      <c r="CW489" s="1605"/>
      <c r="CX489" s="1605"/>
      <c r="CY489" s="1605"/>
      <c r="CZ489" s="1605"/>
      <c r="DA489" s="1605"/>
      <c r="DB489" s="1605"/>
      <c r="DC489" s="1605"/>
      <c r="DD489" s="1605"/>
      <c r="DE489" s="1605"/>
      <c r="DF489" s="1605"/>
      <c r="DG489" s="1605"/>
      <c r="DH489" s="1605"/>
      <c r="DI489" s="1605"/>
      <c r="DJ489" s="1605"/>
      <c r="DK489" s="1605"/>
      <c r="DL489" s="1605"/>
      <c r="DM489" s="1605"/>
      <c r="DN489" s="1605"/>
      <c r="DO489" s="1605"/>
      <c r="DP489" s="1605"/>
      <c r="DQ489" s="1605"/>
      <c r="DR489" s="1605"/>
      <c r="DS489" s="1605"/>
      <c r="DT489" s="1605"/>
      <c r="DU489" s="1605"/>
      <c r="DV489" s="1605"/>
      <c r="DW489" s="1605"/>
      <c r="DX489" s="1605"/>
      <c r="DY489" s="1605"/>
      <c r="DZ489" s="1605"/>
      <c r="EA489" s="1605"/>
      <c r="EB489" s="1605"/>
      <c r="EC489" s="1605"/>
      <c r="ED489" s="1605"/>
      <c r="EE489" s="1605"/>
      <c r="EF489" s="1605"/>
      <c r="EG489" s="1605"/>
      <c r="EH489" s="1605"/>
      <c r="EI489" s="1605"/>
      <c r="EJ489" s="1605"/>
      <c r="EK489" s="1605"/>
      <c r="EL489" s="1605"/>
      <c r="EM489" s="1605"/>
      <c r="EN489" s="1605"/>
      <c r="EO489" s="1605"/>
      <c r="EP489" s="1605"/>
      <c r="EQ489" s="1605"/>
      <c r="ER489" s="1605"/>
      <c r="ES489" s="1605"/>
      <c r="ET489" s="1605"/>
      <c r="EU489" s="1605"/>
      <c r="EV489" s="1605"/>
      <c r="EW489" s="1605"/>
      <c r="EX489" s="1605"/>
      <c r="EY489" s="1605"/>
      <c r="EZ489" s="1605"/>
      <c r="FA489" s="1605"/>
      <c r="FB489" s="1605"/>
      <c r="FC489" s="1605"/>
      <c r="FD489" s="1605"/>
      <c r="FE489" s="1605"/>
      <c r="FF489" s="1605"/>
      <c r="FG489" s="1605"/>
      <c r="FH489" s="1605"/>
      <c r="FI489" s="1605"/>
      <c r="FJ489" s="1605"/>
      <c r="FK489" s="1605"/>
      <c r="FL489" s="1605"/>
      <c r="FM489" s="1605"/>
      <c r="FN489" s="1605"/>
      <c r="FO489" s="1605"/>
      <c r="FP489" s="1605"/>
      <c r="FQ489" s="1605"/>
      <c r="FR489" s="1605"/>
      <c r="FS489" s="1605"/>
      <c r="FT489" s="1605"/>
      <c r="FU489" s="1605"/>
      <c r="FV489" s="1605"/>
      <c r="FW489" s="1605"/>
      <c r="FX489" s="1605"/>
      <c r="FY489" s="1605"/>
      <c r="FZ489" s="1605"/>
      <c r="GA489" s="1605"/>
      <c r="GB489" s="1605"/>
      <c r="GC489" s="1605"/>
      <c r="GD489" s="1605"/>
      <c r="GE489" s="1605"/>
      <c r="GF489" s="1605"/>
      <c r="GG489" s="1605"/>
      <c r="GH489" s="1605"/>
      <c r="GI489" s="1605"/>
      <c r="GJ489" s="1605"/>
      <c r="GK489" s="1605"/>
      <c r="GL489" s="1605"/>
      <c r="GM489" s="1605"/>
      <c r="GN489" s="1605"/>
      <c r="GO489" s="1605"/>
      <c r="GP489" s="1605"/>
      <c r="GQ489" s="1605"/>
      <c r="GR489" s="1605"/>
      <c r="GS489" s="1605"/>
      <c r="GT489" s="1605"/>
      <c r="GU489" s="1605"/>
      <c r="GV489" s="1605"/>
      <c r="GW489" s="1605"/>
      <c r="GX489" s="1605"/>
      <c r="GY489" s="1605"/>
      <c r="GZ489" s="1605"/>
      <c r="HA489" s="1605"/>
      <c r="HB489" s="1605"/>
      <c r="HC489" s="1605"/>
      <c r="HD489" s="1605"/>
      <c r="HE489" s="1605"/>
      <c r="HF489" s="1605"/>
      <c r="HG489" s="1605"/>
      <c r="HH489" s="1605"/>
      <c r="HI489" s="1605"/>
      <c r="HJ489" s="1605"/>
      <c r="HK489" s="1605"/>
      <c r="HL489" s="1605"/>
      <c r="HM489" s="1605"/>
      <c r="HN489" s="1605"/>
      <c r="HO489" s="1605"/>
      <c r="HP489" s="1605"/>
      <c r="HQ489" s="1605"/>
      <c r="HR489" s="1605"/>
      <c r="HS489" s="1605"/>
      <c r="HT489" s="1605"/>
      <c r="HU489" s="1605"/>
      <c r="HV489" s="1605"/>
      <c r="HW489" s="1605"/>
      <c r="HX489" s="1605"/>
      <c r="HY489" s="1605"/>
      <c r="HZ489" s="1605"/>
      <c r="IA489" s="1605"/>
      <c r="IB489" s="1605"/>
      <c r="IC489" s="1605"/>
      <c r="ID489" s="1605"/>
      <c r="IE489" s="1605"/>
      <c r="IF489" s="1605"/>
      <c r="IG489" s="1605"/>
      <c r="IH489" s="1605"/>
      <c r="II489" s="1605"/>
      <c r="IJ489" s="1605"/>
      <c r="IK489" s="1605"/>
      <c r="IL489" s="1605"/>
      <c r="IM489" s="1605"/>
      <c r="IN489" s="1605"/>
      <c r="IO489" s="1605"/>
      <c r="IP489" s="1605"/>
      <c r="IQ489" s="1605"/>
      <c r="IR489" s="1605"/>
      <c r="IS489" s="1605"/>
      <c r="IT489" s="1605"/>
      <c r="IU489" s="1605"/>
      <c r="IV489" s="1605"/>
      <c r="IW489" s="1605"/>
      <c r="IX489" s="1605"/>
      <c r="IY489" s="1605"/>
      <c r="IZ489" s="1605"/>
      <c r="JA489" s="1605"/>
      <c r="JB489" s="1605"/>
      <c r="JC489" s="1605"/>
      <c r="JD489" s="1605"/>
      <c r="JE489" s="1605"/>
      <c r="JF489" s="1605"/>
      <c r="JG489" s="1605"/>
      <c r="JH489" s="1605"/>
      <c r="JI489" s="1605"/>
      <c r="JJ489" s="1605"/>
      <c r="JK489" s="1605"/>
      <c r="JL489" s="1605"/>
      <c r="JM489" s="1605"/>
      <c r="JN489" s="1605"/>
      <c r="JO489" s="1605"/>
      <c r="JP489" s="1605"/>
      <c r="JQ489" s="1605"/>
      <c r="JR489" s="1605"/>
      <c r="JS489" s="1605"/>
      <c r="JT489" s="1605"/>
      <c r="JU489" s="1605"/>
      <c r="JV489" s="1605"/>
      <c r="JW489" s="1605"/>
      <c r="JX489" s="1605"/>
      <c r="JY489" s="1605"/>
      <c r="JZ489" s="1605"/>
      <c r="KA489" s="1605"/>
      <c r="KB489" s="1606"/>
    </row>
    <row r="490" spans="2:288" ht="15" customHeight="1" x14ac:dyDescent="0.25">
      <c r="B490" s="216" t="str">
        <f t="shared" si="38"/>
        <v>Desk 66</v>
      </c>
      <c r="C490" s="218" t="str">
        <v/>
      </c>
      <c r="D490" s="218" t="str">
        <v/>
      </c>
      <c r="E490" s="218" t="str">
        <v/>
      </c>
      <c r="F490" s="218" t="str">
        <v/>
      </c>
      <c r="G490" s="402" t="str">
        <v/>
      </c>
      <c r="H490" s="1605"/>
      <c r="I490" s="1605"/>
      <c r="J490" s="1605"/>
      <c r="K490" s="1605"/>
      <c r="L490" s="1605"/>
      <c r="M490" s="1605"/>
      <c r="N490" s="1605"/>
      <c r="O490" s="1605"/>
      <c r="P490" s="1605"/>
      <c r="Q490" s="1605"/>
      <c r="R490" s="1605"/>
      <c r="S490" s="1605"/>
      <c r="T490" s="1605"/>
      <c r="U490" s="1605"/>
      <c r="V490" s="1605"/>
      <c r="W490" s="1605"/>
      <c r="X490" s="1605"/>
      <c r="Y490" s="1605"/>
      <c r="Z490" s="1605"/>
      <c r="AA490" s="1605"/>
      <c r="AB490" s="1605"/>
      <c r="AC490" s="1605"/>
      <c r="AD490" s="1605"/>
      <c r="AE490" s="1605"/>
      <c r="AF490" s="1605"/>
      <c r="AG490" s="1605"/>
      <c r="AH490" s="1605"/>
      <c r="AI490" s="1605"/>
      <c r="AJ490" s="1605"/>
      <c r="AK490" s="1605"/>
      <c r="AL490" s="1605"/>
      <c r="AM490" s="1605"/>
      <c r="AN490" s="1605"/>
      <c r="AO490" s="1605"/>
      <c r="AP490" s="1605"/>
      <c r="AQ490" s="1605"/>
      <c r="AR490" s="1605"/>
      <c r="AS490" s="1605"/>
      <c r="AT490" s="1605"/>
      <c r="AU490" s="1605"/>
      <c r="AV490" s="1605"/>
      <c r="AW490" s="1605"/>
      <c r="AX490" s="1605"/>
      <c r="AY490" s="1605"/>
      <c r="AZ490" s="1605"/>
      <c r="BA490" s="1605"/>
      <c r="BB490" s="1605"/>
      <c r="BC490" s="1605"/>
      <c r="BD490" s="1605"/>
      <c r="BE490" s="1605"/>
      <c r="BF490" s="1605"/>
      <c r="BG490" s="1605"/>
      <c r="BH490" s="1605"/>
      <c r="BI490" s="1605"/>
      <c r="BJ490" s="1605"/>
      <c r="BK490" s="1605"/>
      <c r="BL490" s="1605"/>
      <c r="BM490" s="1605"/>
      <c r="BN490" s="1605"/>
      <c r="BO490" s="1605"/>
      <c r="BP490" s="1605"/>
      <c r="BQ490" s="1605"/>
      <c r="BR490" s="1605"/>
      <c r="BS490" s="1605"/>
      <c r="BT490" s="1605"/>
      <c r="BU490" s="1605"/>
      <c r="BV490" s="1605"/>
      <c r="BW490" s="1605"/>
      <c r="BX490" s="1605"/>
      <c r="BY490" s="1605"/>
      <c r="BZ490" s="1605"/>
      <c r="CA490" s="1605"/>
      <c r="CB490" s="1605"/>
      <c r="CC490" s="1605"/>
      <c r="CD490" s="1605"/>
      <c r="CE490" s="1605"/>
      <c r="CF490" s="1605"/>
      <c r="CG490" s="1605"/>
      <c r="CH490" s="1605"/>
      <c r="CI490" s="1605"/>
      <c r="CJ490" s="1605"/>
      <c r="CK490" s="1605"/>
      <c r="CL490" s="1605"/>
      <c r="CM490" s="1605"/>
      <c r="CN490" s="1605"/>
      <c r="CO490" s="1605"/>
      <c r="CP490" s="1605"/>
      <c r="CQ490" s="1605"/>
      <c r="CR490" s="1605"/>
      <c r="CS490" s="1605"/>
      <c r="CT490" s="1605"/>
      <c r="CU490" s="1605"/>
      <c r="CV490" s="1605"/>
      <c r="CW490" s="1605"/>
      <c r="CX490" s="1605"/>
      <c r="CY490" s="1605"/>
      <c r="CZ490" s="1605"/>
      <c r="DA490" s="1605"/>
      <c r="DB490" s="1605"/>
      <c r="DC490" s="1605"/>
      <c r="DD490" s="1605"/>
      <c r="DE490" s="1605"/>
      <c r="DF490" s="1605"/>
      <c r="DG490" s="1605"/>
      <c r="DH490" s="1605"/>
      <c r="DI490" s="1605"/>
      <c r="DJ490" s="1605"/>
      <c r="DK490" s="1605"/>
      <c r="DL490" s="1605"/>
      <c r="DM490" s="1605"/>
      <c r="DN490" s="1605"/>
      <c r="DO490" s="1605"/>
      <c r="DP490" s="1605"/>
      <c r="DQ490" s="1605"/>
      <c r="DR490" s="1605"/>
      <c r="DS490" s="1605"/>
      <c r="DT490" s="1605"/>
      <c r="DU490" s="1605"/>
      <c r="DV490" s="1605"/>
      <c r="DW490" s="1605"/>
      <c r="DX490" s="1605"/>
      <c r="DY490" s="1605"/>
      <c r="DZ490" s="1605"/>
      <c r="EA490" s="1605"/>
      <c r="EB490" s="1605"/>
      <c r="EC490" s="1605"/>
      <c r="ED490" s="1605"/>
      <c r="EE490" s="1605"/>
      <c r="EF490" s="1605"/>
      <c r="EG490" s="1605"/>
      <c r="EH490" s="1605"/>
      <c r="EI490" s="1605"/>
      <c r="EJ490" s="1605"/>
      <c r="EK490" s="1605"/>
      <c r="EL490" s="1605"/>
      <c r="EM490" s="1605"/>
      <c r="EN490" s="1605"/>
      <c r="EO490" s="1605"/>
      <c r="EP490" s="1605"/>
      <c r="EQ490" s="1605"/>
      <c r="ER490" s="1605"/>
      <c r="ES490" s="1605"/>
      <c r="ET490" s="1605"/>
      <c r="EU490" s="1605"/>
      <c r="EV490" s="1605"/>
      <c r="EW490" s="1605"/>
      <c r="EX490" s="1605"/>
      <c r="EY490" s="1605"/>
      <c r="EZ490" s="1605"/>
      <c r="FA490" s="1605"/>
      <c r="FB490" s="1605"/>
      <c r="FC490" s="1605"/>
      <c r="FD490" s="1605"/>
      <c r="FE490" s="1605"/>
      <c r="FF490" s="1605"/>
      <c r="FG490" s="1605"/>
      <c r="FH490" s="1605"/>
      <c r="FI490" s="1605"/>
      <c r="FJ490" s="1605"/>
      <c r="FK490" s="1605"/>
      <c r="FL490" s="1605"/>
      <c r="FM490" s="1605"/>
      <c r="FN490" s="1605"/>
      <c r="FO490" s="1605"/>
      <c r="FP490" s="1605"/>
      <c r="FQ490" s="1605"/>
      <c r="FR490" s="1605"/>
      <c r="FS490" s="1605"/>
      <c r="FT490" s="1605"/>
      <c r="FU490" s="1605"/>
      <c r="FV490" s="1605"/>
      <c r="FW490" s="1605"/>
      <c r="FX490" s="1605"/>
      <c r="FY490" s="1605"/>
      <c r="FZ490" s="1605"/>
      <c r="GA490" s="1605"/>
      <c r="GB490" s="1605"/>
      <c r="GC490" s="1605"/>
      <c r="GD490" s="1605"/>
      <c r="GE490" s="1605"/>
      <c r="GF490" s="1605"/>
      <c r="GG490" s="1605"/>
      <c r="GH490" s="1605"/>
      <c r="GI490" s="1605"/>
      <c r="GJ490" s="1605"/>
      <c r="GK490" s="1605"/>
      <c r="GL490" s="1605"/>
      <c r="GM490" s="1605"/>
      <c r="GN490" s="1605"/>
      <c r="GO490" s="1605"/>
      <c r="GP490" s="1605"/>
      <c r="GQ490" s="1605"/>
      <c r="GR490" s="1605"/>
      <c r="GS490" s="1605"/>
      <c r="GT490" s="1605"/>
      <c r="GU490" s="1605"/>
      <c r="GV490" s="1605"/>
      <c r="GW490" s="1605"/>
      <c r="GX490" s="1605"/>
      <c r="GY490" s="1605"/>
      <c r="GZ490" s="1605"/>
      <c r="HA490" s="1605"/>
      <c r="HB490" s="1605"/>
      <c r="HC490" s="1605"/>
      <c r="HD490" s="1605"/>
      <c r="HE490" s="1605"/>
      <c r="HF490" s="1605"/>
      <c r="HG490" s="1605"/>
      <c r="HH490" s="1605"/>
      <c r="HI490" s="1605"/>
      <c r="HJ490" s="1605"/>
      <c r="HK490" s="1605"/>
      <c r="HL490" s="1605"/>
      <c r="HM490" s="1605"/>
      <c r="HN490" s="1605"/>
      <c r="HO490" s="1605"/>
      <c r="HP490" s="1605"/>
      <c r="HQ490" s="1605"/>
      <c r="HR490" s="1605"/>
      <c r="HS490" s="1605"/>
      <c r="HT490" s="1605"/>
      <c r="HU490" s="1605"/>
      <c r="HV490" s="1605"/>
      <c r="HW490" s="1605"/>
      <c r="HX490" s="1605"/>
      <c r="HY490" s="1605"/>
      <c r="HZ490" s="1605"/>
      <c r="IA490" s="1605"/>
      <c r="IB490" s="1605"/>
      <c r="IC490" s="1605"/>
      <c r="ID490" s="1605"/>
      <c r="IE490" s="1605"/>
      <c r="IF490" s="1605"/>
      <c r="IG490" s="1605"/>
      <c r="IH490" s="1605"/>
      <c r="II490" s="1605"/>
      <c r="IJ490" s="1605"/>
      <c r="IK490" s="1605"/>
      <c r="IL490" s="1605"/>
      <c r="IM490" s="1605"/>
      <c r="IN490" s="1605"/>
      <c r="IO490" s="1605"/>
      <c r="IP490" s="1605"/>
      <c r="IQ490" s="1605"/>
      <c r="IR490" s="1605"/>
      <c r="IS490" s="1605"/>
      <c r="IT490" s="1605"/>
      <c r="IU490" s="1605"/>
      <c r="IV490" s="1605"/>
      <c r="IW490" s="1605"/>
      <c r="IX490" s="1605"/>
      <c r="IY490" s="1605"/>
      <c r="IZ490" s="1605"/>
      <c r="JA490" s="1605"/>
      <c r="JB490" s="1605"/>
      <c r="JC490" s="1605"/>
      <c r="JD490" s="1605"/>
      <c r="JE490" s="1605"/>
      <c r="JF490" s="1605"/>
      <c r="JG490" s="1605"/>
      <c r="JH490" s="1605"/>
      <c r="JI490" s="1605"/>
      <c r="JJ490" s="1605"/>
      <c r="JK490" s="1605"/>
      <c r="JL490" s="1605"/>
      <c r="JM490" s="1605"/>
      <c r="JN490" s="1605"/>
      <c r="JO490" s="1605"/>
      <c r="JP490" s="1605"/>
      <c r="JQ490" s="1605"/>
      <c r="JR490" s="1605"/>
      <c r="JS490" s="1605"/>
      <c r="JT490" s="1605"/>
      <c r="JU490" s="1605"/>
      <c r="JV490" s="1605"/>
      <c r="JW490" s="1605"/>
      <c r="JX490" s="1605"/>
      <c r="JY490" s="1605"/>
      <c r="JZ490" s="1605"/>
      <c r="KA490" s="1605"/>
      <c r="KB490" s="1606"/>
    </row>
    <row r="491" spans="2:288" ht="15" customHeight="1" x14ac:dyDescent="0.25">
      <c r="B491" s="216" t="str">
        <f t="shared" si="38"/>
        <v>Desk 67</v>
      </c>
      <c r="C491" s="218" t="str">
        <v/>
      </c>
      <c r="D491" s="218" t="str">
        <v/>
      </c>
      <c r="E491" s="218" t="str">
        <v/>
      </c>
      <c r="F491" s="218" t="str">
        <v/>
      </c>
      <c r="G491" s="402" t="str">
        <v/>
      </c>
      <c r="H491" s="1605"/>
      <c r="I491" s="1605"/>
      <c r="J491" s="1605"/>
      <c r="K491" s="1605"/>
      <c r="L491" s="1605"/>
      <c r="M491" s="1605"/>
      <c r="N491" s="1605"/>
      <c r="O491" s="1605"/>
      <c r="P491" s="1605"/>
      <c r="Q491" s="1605"/>
      <c r="R491" s="1605"/>
      <c r="S491" s="1605"/>
      <c r="T491" s="1605"/>
      <c r="U491" s="1605"/>
      <c r="V491" s="1605"/>
      <c r="W491" s="1605"/>
      <c r="X491" s="1605"/>
      <c r="Y491" s="1605"/>
      <c r="Z491" s="1605"/>
      <c r="AA491" s="1605"/>
      <c r="AB491" s="1605"/>
      <c r="AC491" s="1605"/>
      <c r="AD491" s="1605"/>
      <c r="AE491" s="1605"/>
      <c r="AF491" s="1605"/>
      <c r="AG491" s="1605"/>
      <c r="AH491" s="1605"/>
      <c r="AI491" s="1605"/>
      <c r="AJ491" s="1605"/>
      <c r="AK491" s="1605"/>
      <c r="AL491" s="1605"/>
      <c r="AM491" s="1605"/>
      <c r="AN491" s="1605"/>
      <c r="AO491" s="1605"/>
      <c r="AP491" s="1605"/>
      <c r="AQ491" s="1605"/>
      <c r="AR491" s="1605"/>
      <c r="AS491" s="1605"/>
      <c r="AT491" s="1605"/>
      <c r="AU491" s="1605"/>
      <c r="AV491" s="1605"/>
      <c r="AW491" s="1605"/>
      <c r="AX491" s="1605"/>
      <c r="AY491" s="1605"/>
      <c r="AZ491" s="1605"/>
      <c r="BA491" s="1605"/>
      <c r="BB491" s="1605"/>
      <c r="BC491" s="1605"/>
      <c r="BD491" s="1605"/>
      <c r="BE491" s="1605"/>
      <c r="BF491" s="1605"/>
      <c r="BG491" s="1605"/>
      <c r="BH491" s="1605"/>
      <c r="BI491" s="1605"/>
      <c r="BJ491" s="1605"/>
      <c r="BK491" s="1605"/>
      <c r="BL491" s="1605"/>
      <c r="BM491" s="1605"/>
      <c r="BN491" s="1605"/>
      <c r="BO491" s="1605"/>
      <c r="BP491" s="1605"/>
      <c r="BQ491" s="1605"/>
      <c r="BR491" s="1605"/>
      <c r="BS491" s="1605"/>
      <c r="BT491" s="1605"/>
      <c r="BU491" s="1605"/>
      <c r="BV491" s="1605"/>
      <c r="BW491" s="1605"/>
      <c r="BX491" s="1605"/>
      <c r="BY491" s="1605"/>
      <c r="BZ491" s="1605"/>
      <c r="CA491" s="1605"/>
      <c r="CB491" s="1605"/>
      <c r="CC491" s="1605"/>
      <c r="CD491" s="1605"/>
      <c r="CE491" s="1605"/>
      <c r="CF491" s="1605"/>
      <c r="CG491" s="1605"/>
      <c r="CH491" s="1605"/>
      <c r="CI491" s="1605"/>
      <c r="CJ491" s="1605"/>
      <c r="CK491" s="1605"/>
      <c r="CL491" s="1605"/>
      <c r="CM491" s="1605"/>
      <c r="CN491" s="1605"/>
      <c r="CO491" s="1605"/>
      <c r="CP491" s="1605"/>
      <c r="CQ491" s="1605"/>
      <c r="CR491" s="1605"/>
      <c r="CS491" s="1605"/>
      <c r="CT491" s="1605"/>
      <c r="CU491" s="1605"/>
      <c r="CV491" s="1605"/>
      <c r="CW491" s="1605"/>
      <c r="CX491" s="1605"/>
      <c r="CY491" s="1605"/>
      <c r="CZ491" s="1605"/>
      <c r="DA491" s="1605"/>
      <c r="DB491" s="1605"/>
      <c r="DC491" s="1605"/>
      <c r="DD491" s="1605"/>
      <c r="DE491" s="1605"/>
      <c r="DF491" s="1605"/>
      <c r="DG491" s="1605"/>
      <c r="DH491" s="1605"/>
      <c r="DI491" s="1605"/>
      <c r="DJ491" s="1605"/>
      <c r="DK491" s="1605"/>
      <c r="DL491" s="1605"/>
      <c r="DM491" s="1605"/>
      <c r="DN491" s="1605"/>
      <c r="DO491" s="1605"/>
      <c r="DP491" s="1605"/>
      <c r="DQ491" s="1605"/>
      <c r="DR491" s="1605"/>
      <c r="DS491" s="1605"/>
      <c r="DT491" s="1605"/>
      <c r="DU491" s="1605"/>
      <c r="DV491" s="1605"/>
      <c r="DW491" s="1605"/>
      <c r="DX491" s="1605"/>
      <c r="DY491" s="1605"/>
      <c r="DZ491" s="1605"/>
      <c r="EA491" s="1605"/>
      <c r="EB491" s="1605"/>
      <c r="EC491" s="1605"/>
      <c r="ED491" s="1605"/>
      <c r="EE491" s="1605"/>
      <c r="EF491" s="1605"/>
      <c r="EG491" s="1605"/>
      <c r="EH491" s="1605"/>
      <c r="EI491" s="1605"/>
      <c r="EJ491" s="1605"/>
      <c r="EK491" s="1605"/>
      <c r="EL491" s="1605"/>
      <c r="EM491" s="1605"/>
      <c r="EN491" s="1605"/>
      <c r="EO491" s="1605"/>
      <c r="EP491" s="1605"/>
      <c r="EQ491" s="1605"/>
      <c r="ER491" s="1605"/>
      <c r="ES491" s="1605"/>
      <c r="ET491" s="1605"/>
      <c r="EU491" s="1605"/>
      <c r="EV491" s="1605"/>
      <c r="EW491" s="1605"/>
      <c r="EX491" s="1605"/>
      <c r="EY491" s="1605"/>
      <c r="EZ491" s="1605"/>
      <c r="FA491" s="1605"/>
      <c r="FB491" s="1605"/>
      <c r="FC491" s="1605"/>
      <c r="FD491" s="1605"/>
      <c r="FE491" s="1605"/>
      <c r="FF491" s="1605"/>
      <c r="FG491" s="1605"/>
      <c r="FH491" s="1605"/>
      <c r="FI491" s="1605"/>
      <c r="FJ491" s="1605"/>
      <c r="FK491" s="1605"/>
      <c r="FL491" s="1605"/>
      <c r="FM491" s="1605"/>
      <c r="FN491" s="1605"/>
      <c r="FO491" s="1605"/>
      <c r="FP491" s="1605"/>
      <c r="FQ491" s="1605"/>
      <c r="FR491" s="1605"/>
      <c r="FS491" s="1605"/>
      <c r="FT491" s="1605"/>
      <c r="FU491" s="1605"/>
      <c r="FV491" s="1605"/>
      <c r="FW491" s="1605"/>
      <c r="FX491" s="1605"/>
      <c r="FY491" s="1605"/>
      <c r="FZ491" s="1605"/>
      <c r="GA491" s="1605"/>
      <c r="GB491" s="1605"/>
      <c r="GC491" s="1605"/>
      <c r="GD491" s="1605"/>
      <c r="GE491" s="1605"/>
      <c r="GF491" s="1605"/>
      <c r="GG491" s="1605"/>
      <c r="GH491" s="1605"/>
      <c r="GI491" s="1605"/>
      <c r="GJ491" s="1605"/>
      <c r="GK491" s="1605"/>
      <c r="GL491" s="1605"/>
      <c r="GM491" s="1605"/>
      <c r="GN491" s="1605"/>
      <c r="GO491" s="1605"/>
      <c r="GP491" s="1605"/>
      <c r="GQ491" s="1605"/>
      <c r="GR491" s="1605"/>
      <c r="GS491" s="1605"/>
      <c r="GT491" s="1605"/>
      <c r="GU491" s="1605"/>
      <c r="GV491" s="1605"/>
      <c r="GW491" s="1605"/>
      <c r="GX491" s="1605"/>
      <c r="GY491" s="1605"/>
      <c r="GZ491" s="1605"/>
      <c r="HA491" s="1605"/>
      <c r="HB491" s="1605"/>
      <c r="HC491" s="1605"/>
      <c r="HD491" s="1605"/>
      <c r="HE491" s="1605"/>
      <c r="HF491" s="1605"/>
      <c r="HG491" s="1605"/>
      <c r="HH491" s="1605"/>
      <c r="HI491" s="1605"/>
      <c r="HJ491" s="1605"/>
      <c r="HK491" s="1605"/>
      <c r="HL491" s="1605"/>
      <c r="HM491" s="1605"/>
      <c r="HN491" s="1605"/>
      <c r="HO491" s="1605"/>
      <c r="HP491" s="1605"/>
      <c r="HQ491" s="1605"/>
      <c r="HR491" s="1605"/>
      <c r="HS491" s="1605"/>
      <c r="HT491" s="1605"/>
      <c r="HU491" s="1605"/>
      <c r="HV491" s="1605"/>
      <c r="HW491" s="1605"/>
      <c r="HX491" s="1605"/>
      <c r="HY491" s="1605"/>
      <c r="HZ491" s="1605"/>
      <c r="IA491" s="1605"/>
      <c r="IB491" s="1605"/>
      <c r="IC491" s="1605"/>
      <c r="ID491" s="1605"/>
      <c r="IE491" s="1605"/>
      <c r="IF491" s="1605"/>
      <c r="IG491" s="1605"/>
      <c r="IH491" s="1605"/>
      <c r="II491" s="1605"/>
      <c r="IJ491" s="1605"/>
      <c r="IK491" s="1605"/>
      <c r="IL491" s="1605"/>
      <c r="IM491" s="1605"/>
      <c r="IN491" s="1605"/>
      <c r="IO491" s="1605"/>
      <c r="IP491" s="1605"/>
      <c r="IQ491" s="1605"/>
      <c r="IR491" s="1605"/>
      <c r="IS491" s="1605"/>
      <c r="IT491" s="1605"/>
      <c r="IU491" s="1605"/>
      <c r="IV491" s="1605"/>
      <c r="IW491" s="1605"/>
      <c r="IX491" s="1605"/>
      <c r="IY491" s="1605"/>
      <c r="IZ491" s="1605"/>
      <c r="JA491" s="1605"/>
      <c r="JB491" s="1605"/>
      <c r="JC491" s="1605"/>
      <c r="JD491" s="1605"/>
      <c r="JE491" s="1605"/>
      <c r="JF491" s="1605"/>
      <c r="JG491" s="1605"/>
      <c r="JH491" s="1605"/>
      <c r="JI491" s="1605"/>
      <c r="JJ491" s="1605"/>
      <c r="JK491" s="1605"/>
      <c r="JL491" s="1605"/>
      <c r="JM491" s="1605"/>
      <c r="JN491" s="1605"/>
      <c r="JO491" s="1605"/>
      <c r="JP491" s="1605"/>
      <c r="JQ491" s="1605"/>
      <c r="JR491" s="1605"/>
      <c r="JS491" s="1605"/>
      <c r="JT491" s="1605"/>
      <c r="JU491" s="1605"/>
      <c r="JV491" s="1605"/>
      <c r="JW491" s="1605"/>
      <c r="JX491" s="1605"/>
      <c r="JY491" s="1605"/>
      <c r="JZ491" s="1605"/>
      <c r="KA491" s="1605"/>
      <c r="KB491" s="1606"/>
    </row>
    <row r="492" spans="2:288" ht="15" customHeight="1" x14ac:dyDescent="0.25">
      <c r="B492" s="216" t="str">
        <f t="shared" si="38"/>
        <v>Desk 68</v>
      </c>
      <c r="C492" s="218" t="str">
        <v/>
      </c>
      <c r="D492" s="218" t="str">
        <v/>
      </c>
      <c r="E492" s="218" t="str">
        <v/>
      </c>
      <c r="F492" s="218" t="str">
        <v/>
      </c>
      <c r="G492" s="402" t="str">
        <v/>
      </c>
      <c r="H492" s="1605"/>
      <c r="I492" s="1605"/>
      <c r="J492" s="1605"/>
      <c r="K492" s="1605"/>
      <c r="L492" s="1605"/>
      <c r="M492" s="1605"/>
      <c r="N492" s="1605"/>
      <c r="O492" s="1605"/>
      <c r="P492" s="1605"/>
      <c r="Q492" s="1605"/>
      <c r="R492" s="1605"/>
      <c r="S492" s="1605"/>
      <c r="T492" s="1605"/>
      <c r="U492" s="1605"/>
      <c r="V492" s="1605"/>
      <c r="W492" s="1605"/>
      <c r="X492" s="1605"/>
      <c r="Y492" s="1605"/>
      <c r="Z492" s="1605"/>
      <c r="AA492" s="1605"/>
      <c r="AB492" s="1605"/>
      <c r="AC492" s="1605"/>
      <c r="AD492" s="1605"/>
      <c r="AE492" s="1605"/>
      <c r="AF492" s="1605"/>
      <c r="AG492" s="1605"/>
      <c r="AH492" s="1605"/>
      <c r="AI492" s="1605"/>
      <c r="AJ492" s="1605"/>
      <c r="AK492" s="1605"/>
      <c r="AL492" s="1605"/>
      <c r="AM492" s="1605"/>
      <c r="AN492" s="1605"/>
      <c r="AO492" s="1605"/>
      <c r="AP492" s="1605"/>
      <c r="AQ492" s="1605"/>
      <c r="AR492" s="1605"/>
      <c r="AS492" s="1605"/>
      <c r="AT492" s="1605"/>
      <c r="AU492" s="1605"/>
      <c r="AV492" s="1605"/>
      <c r="AW492" s="1605"/>
      <c r="AX492" s="1605"/>
      <c r="AY492" s="1605"/>
      <c r="AZ492" s="1605"/>
      <c r="BA492" s="1605"/>
      <c r="BB492" s="1605"/>
      <c r="BC492" s="1605"/>
      <c r="BD492" s="1605"/>
      <c r="BE492" s="1605"/>
      <c r="BF492" s="1605"/>
      <c r="BG492" s="1605"/>
      <c r="BH492" s="1605"/>
      <c r="BI492" s="1605"/>
      <c r="BJ492" s="1605"/>
      <c r="BK492" s="1605"/>
      <c r="BL492" s="1605"/>
      <c r="BM492" s="1605"/>
      <c r="BN492" s="1605"/>
      <c r="BO492" s="1605"/>
      <c r="BP492" s="1605"/>
      <c r="BQ492" s="1605"/>
      <c r="BR492" s="1605"/>
      <c r="BS492" s="1605"/>
      <c r="BT492" s="1605"/>
      <c r="BU492" s="1605"/>
      <c r="BV492" s="1605"/>
      <c r="BW492" s="1605"/>
      <c r="BX492" s="1605"/>
      <c r="BY492" s="1605"/>
      <c r="BZ492" s="1605"/>
      <c r="CA492" s="1605"/>
      <c r="CB492" s="1605"/>
      <c r="CC492" s="1605"/>
      <c r="CD492" s="1605"/>
      <c r="CE492" s="1605"/>
      <c r="CF492" s="1605"/>
      <c r="CG492" s="1605"/>
      <c r="CH492" s="1605"/>
      <c r="CI492" s="1605"/>
      <c r="CJ492" s="1605"/>
      <c r="CK492" s="1605"/>
      <c r="CL492" s="1605"/>
      <c r="CM492" s="1605"/>
      <c r="CN492" s="1605"/>
      <c r="CO492" s="1605"/>
      <c r="CP492" s="1605"/>
      <c r="CQ492" s="1605"/>
      <c r="CR492" s="1605"/>
      <c r="CS492" s="1605"/>
      <c r="CT492" s="1605"/>
      <c r="CU492" s="1605"/>
      <c r="CV492" s="1605"/>
      <c r="CW492" s="1605"/>
      <c r="CX492" s="1605"/>
      <c r="CY492" s="1605"/>
      <c r="CZ492" s="1605"/>
      <c r="DA492" s="1605"/>
      <c r="DB492" s="1605"/>
      <c r="DC492" s="1605"/>
      <c r="DD492" s="1605"/>
      <c r="DE492" s="1605"/>
      <c r="DF492" s="1605"/>
      <c r="DG492" s="1605"/>
      <c r="DH492" s="1605"/>
      <c r="DI492" s="1605"/>
      <c r="DJ492" s="1605"/>
      <c r="DK492" s="1605"/>
      <c r="DL492" s="1605"/>
      <c r="DM492" s="1605"/>
      <c r="DN492" s="1605"/>
      <c r="DO492" s="1605"/>
      <c r="DP492" s="1605"/>
      <c r="DQ492" s="1605"/>
      <c r="DR492" s="1605"/>
      <c r="DS492" s="1605"/>
      <c r="DT492" s="1605"/>
      <c r="DU492" s="1605"/>
      <c r="DV492" s="1605"/>
      <c r="DW492" s="1605"/>
      <c r="DX492" s="1605"/>
      <c r="DY492" s="1605"/>
      <c r="DZ492" s="1605"/>
      <c r="EA492" s="1605"/>
      <c r="EB492" s="1605"/>
      <c r="EC492" s="1605"/>
      <c r="ED492" s="1605"/>
      <c r="EE492" s="1605"/>
      <c r="EF492" s="1605"/>
      <c r="EG492" s="1605"/>
      <c r="EH492" s="1605"/>
      <c r="EI492" s="1605"/>
      <c r="EJ492" s="1605"/>
      <c r="EK492" s="1605"/>
      <c r="EL492" s="1605"/>
      <c r="EM492" s="1605"/>
      <c r="EN492" s="1605"/>
      <c r="EO492" s="1605"/>
      <c r="EP492" s="1605"/>
      <c r="EQ492" s="1605"/>
      <c r="ER492" s="1605"/>
      <c r="ES492" s="1605"/>
      <c r="ET492" s="1605"/>
      <c r="EU492" s="1605"/>
      <c r="EV492" s="1605"/>
      <c r="EW492" s="1605"/>
      <c r="EX492" s="1605"/>
      <c r="EY492" s="1605"/>
      <c r="EZ492" s="1605"/>
      <c r="FA492" s="1605"/>
      <c r="FB492" s="1605"/>
      <c r="FC492" s="1605"/>
      <c r="FD492" s="1605"/>
      <c r="FE492" s="1605"/>
      <c r="FF492" s="1605"/>
      <c r="FG492" s="1605"/>
      <c r="FH492" s="1605"/>
      <c r="FI492" s="1605"/>
      <c r="FJ492" s="1605"/>
      <c r="FK492" s="1605"/>
      <c r="FL492" s="1605"/>
      <c r="FM492" s="1605"/>
      <c r="FN492" s="1605"/>
      <c r="FO492" s="1605"/>
      <c r="FP492" s="1605"/>
      <c r="FQ492" s="1605"/>
      <c r="FR492" s="1605"/>
      <c r="FS492" s="1605"/>
      <c r="FT492" s="1605"/>
      <c r="FU492" s="1605"/>
      <c r="FV492" s="1605"/>
      <c r="FW492" s="1605"/>
      <c r="FX492" s="1605"/>
      <c r="FY492" s="1605"/>
      <c r="FZ492" s="1605"/>
      <c r="GA492" s="1605"/>
      <c r="GB492" s="1605"/>
      <c r="GC492" s="1605"/>
      <c r="GD492" s="1605"/>
      <c r="GE492" s="1605"/>
      <c r="GF492" s="1605"/>
      <c r="GG492" s="1605"/>
      <c r="GH492" s="1605"/>
      <c r="GI492" s="1605"/>
      <c r="GJ492" s="1605"/>
      <c r="GK492" s="1605"/>
      <c r="GL492" s="1605"/>
      <c r="GM492" s="1605"/>
      <c r="GN492" s="1605"/>
      <c r="GO492" s="1605"/>
      <c r="GP492" s="1605"/>
      <c r="GQ492" s="1605"/>
      <c r="GR492" s="1605"/>
      <c r="GS492" s="1605"/>
      <c r="GT492" s="1605"/>
      <c r="GU492" s="1605"/>
      <c r="GV492" s="1605"/>
      <c r="GW492" s="1605"/>
      <c r="GX492" s="1605"/>
      <c r="GY492" s="1605"/>
      <c r="GZ492" s="1605"/>
      <c r="HA492" s="1605"/>
      <c r="HB492" s="1605"/>
      <c r="HC492" s="1605"/>
      <c r="HD492" s="1605"/>
      <c r="HE492" s="1605"/>
      <c r="HF492" s="1605"/>
      <c r="HG492" s="1605"/>
      <c r="HH492" s="1605"/>
      <c r="HI492" s="1605"/>
      <c r="HJ492" s="1605"/>
      <c r="HK492" s="1605"/>
      <c r="HL492" s="1605"/>
      <c r="HM492" s="1605"/>
      <c r="HN492" s="1605"/>
      <c r="HO492" s="1605"/>
      <c r="HP492" s="1605"/>
      <c r="HQ492" s="1605"/>
      <c r="HR492" s="1605"/>
      <c r="HS492" s="1605"/>
      <c r="HT492" s="1605"/>
      <c r="HU492" s="1605"/>
      <c r="HV492" s="1605"/>
      <c r="HW492" s="1605"/>
      <c r="HX492" s="1605"/>
      <c r="HY492" s="1605"/>
      <c r="HZ492" s="1605"/>
      <c r="IA492" s="1605"/>
      <c r="IB492" s="1605"/>
      <c r="IC492" s="1605"/>
      <c r="ID492" s="1605"/>
      <c r="IE492" s="1605"/>
      <c r="IF492" s="1605"/>
      <c r="IG492" s="1605"/>
      <c r="IH492" s="1605"/>
      <c r="II492" s="1605"/>
      <c r="IJ492" s="1605"/>
      <c r="IK492" s="1605"/>
      <c r="IL492" s="1605"/>
      <c r="IM492" s="1605"/>
      <c r="IN492" s="1605"/>
      <c r="IO492" s="1605"/>
      <c r="IP492" s="1605"/>
      <c r="IQ492" s="1605"/>
      <c r="IR492" s="1605"/>
      <c r="IS492" s="1605"/>
      <c r="IT492" s="1605"/>
      <c r="IU492" s="1605"/>
      <c r="IV492" s="1605"/>
      <c r="IW492" s="1605"/>
      <c r="IX492" s="1605"/>
      <c r="IY492" s="1605"/>
      <c r="IZ492" s="1605"/>
      <c r="JA492" s="1605"/>
      <c r="JB492" s="1605"/>
      <c r="JC492" s="1605"/>
      <c r="JD492" s="1605"/>
      <c r="JE492" s="1605"/>
      <c r="JF492" s="1605"/>
      <c r="JG492" s="1605"/>
      <c r="JH492" s="1605"/>
      <c r="JI492" s="1605"/>
      <c r="JJ492" s="1605"/>
      <c r="JK492" s="1605"/>
      <c r="JL492" s="1605"/>
      <c r="JM492" s="1605"/>
      <c r="JN492" s="1605"/>
      <c r="JO492" s="1605"/>
      <c r="JP492" s="1605"/>
      <c r="JQ492" s="1605"/>
      <c r="JR492" s="1605"/>
      <c r="JS492" s="1605"/>
      <c r="JT492" s="1605"/>
      <c r="JU492" s="1605"/>
      <c r="JV492" s="1605"/>
      <c r="JW492" s="1605"/>
      <c r="JX492" s="1605"/>
      <c r="JY492" s="1605"/>
      <c r="JZ492" s="1605"/>
      <c r="KA492" s="1605"/>
      <c r="KB492" s="1606"/>
    </row>
    <row r="493" spans="2:288" ht="15" customHeight="1" x14ac:dyDescent="0.25">
      <c r="B493" s="216" t="str">
        <f t="shared" si="38"/>
        <v>Desk 69</v>
      </c>
      <c r="C493" s="218" t="str">
        <v/>
      </c>
      <c r="D493" s="218" t="str">
        <v/>
      </c>
      <c r="E493" s="218" t="str">
        <v/>
      </c>
      <c r="F493" s="218" t="str">
        <v/>
      </c>
      <c r="G493" s="402" t="str">
        <v/>
      </c>
      <c r="H493" s="1605"/>
      <c r="I493" s="1605"/>
      <c r="J493" s="1605"/>
      <c r="K493" s="1605"/>
      <c r="L493" s="1605"/>
      <c r="M493" s="1605"/>
      <c r="N493" s="1605"/>
      <c r="O493" s="1605"/>
      <c r="P493" s="1605"/>
      <c r="Q493" s="1605"/>
      <c r="R493" s="1605"/>
      <c r="S493" s="1605"/>
      <c r="T493" s="1605"/>
      <c r="U493" s="1605"/>
      <c r="V493" s="1605"/>
      <c r="W493" s="1605"/>
      <c r="X493" s="1605"/>
      <c r="Y493" s="1605"/>
      <c r="Z493" s="1605"/>
      <c r="AA493" s="1605"/>
      <c r="AB493" s="1605"/>
      <c r="AC493" s="1605"/>
      <c r="AD493" s="1605"/>
      <c r="AE493" s="1605"/>
      <c r="AF493" s="1605"/>
      <c r="AG493" s="1605"/>
      <c r="AH493" s="1605"/>
      <c r="AI493" s="1605"/>
      <c r="AJ493" s="1605"/>
      <c r="AK493" s="1605"/>
      <c r="AL493" s="1605"/>
      <c r="AM493" s="1605"/>
      <c r="AN493" s="1605"/>
      <c r="AO493" s="1605"/>
      <c r="AP493" s="1605"/>
      <c r="AQ493" s="1605"/>
      <c r="AR493" s="1605"/>
      <c r="AS493" s="1605"/>
      <c r="AT493" s="1605"/>
      <c r="AU493" s="1605"/>
      <c r="AV493" s="1605"/>
      <c r="AW493" s="1605"/>
      <c r="AX493" s="1605"/>
      <c r="AY493" s="1605"/>
      <c r="AZ493" s="1605"/>
      <c r="BA493" s="1605"/>
      <c r="BB493" s="1605"/>
      <c r="BC493" s="1605"/>
      <c r="BD493" s="1605"/>
      <c r="BE493" s="1605"/>
      <c r="BF493" s="1605"/>
      <c r="BG493" s="1605"/>
      <c r="BH493" s="1605"/>
      <c r="BI493" s="1605"/>
      <c r="BJ493" s="1605"/>
      <c r="BK493" s="1605"/>
      <c r="BL493" s="1605"/>
      <c r="BM493" s="1605"/>
      <c r="BN493" s="1605"/>
      <c r="BO493" s="1605"/>
      <c r="BP493" s="1605"/>
      <c r="BQ493" s="1605"/>
      <c r="BR493" s="1605"/>
      <c r="BS493" s="1605"/>
      <c r="BT493" s="1605"/>
      <c r="BU493" s="1605"/>
      <c r="BV493" s="1605"/>
      <c r="BW493" s="1605"/>
      <c r="BX493" s="1605"/>
      <c r="BY493" s="1605"/>
      <c r="BZ493" s="1605"/>
      <c r="CA493" s="1605"/>
      <c r="CB493" s="1605"/>
      <c r="CC493" s="1605"/>
      <c r="CD493" s="1605"/>
      <c r="CE493" s="1605"/>
      <c r="CF493" s="1605"/>
      <c r="CG493" s="1605"/>
      <c r="CH493" s="1605"/>
      <c r="CI493" s="1605"/>
      <c r="CJ493" s="1605"/>
      <c r="CK493" s="1605"/>
      <c r="CL493" s="1605"/>
      <c r="CM493" s="1605"/>
      <c r="CN493" s="1605"/>
      <c r="CO493" s="1605"/>
      <c r="CP493" s="1605"/>
      <c r="CQ493" s="1605"/>
      <c r="CR493" s="1605"/>
      <c r="CS493" s="1605"/>
      <c r="CT493" s="1605"/>
      <c r="CU493" s="1605"/>
      <c r="CV493" s="1605"/>
      <c r="CW493" s="1605"/>
      <c r="CX493" s="1605"/>
      <c r="CY493" s="1605"/>
      <c r="CZ493" s="1605"/>
      <c r="DA493" s="1605"/>
      <c r="DB493" s="1605"/>
      <c r="DC493" s="1605"/>
      <c r="DD493" s="1605"/>
      <c r="DE493" s="1605"/>
      <c r="DF493" s="1605"/>
      <c r="DG493" s="1605"/>
      <c r="DH493" s="1605"/>
      <c r="DI493" s="1605"/>
      <c r="DJ493" s="1605"/>
      <c r="DK493" s="1605"/>
      <c r="DL493" s="1605"/>
      <c r="DM493" s="1605"/>
      <c r="DN493" s="1605"/>
      <c r="DO493" s="1605"/>
      <c r="DP493" s="1605"/>
      <c r="DQ493" s="1605"/>
      <c r="DR493" s="1605"/>
      <c r="DS493" s="1605"/>
      <c r="DT493" s="1605"/>
      <c r="DU493" s="1605"/>
      <c r="DV493" s="1605"/>
      <c r="DW493" s="1605"/>
      <c r="DX493" s="1605"/>
      <c r="DY493" s="1605"/>
      <c r="DZ493" s="1605"/>
      <c r="EA493" s="1605"/>
      <c r="EB493" s="1605"/>
      <c r="EC493" s="1605"/>
      <c r="ED493" s="1605"/>
      <c r="EE493" s="1605"/>
      <c r="EF493" s="1605"/>
      <c r="EG493" s="1605"/>
      <c r="EH493" s="1605"/>
      <c r="EI493" s="1605"/>
      <c r="EJ493" s="1605"/>
      <c r="EK493" s="1605"/>
      <c r="EL493" s="1605"/>
      <c r="EM493" s="1605"/>
      <c r="EN493" s="1605"/>
      <c r="EO493" s="1605"/>
      <c r="EP493" s="1605"/>
      <c r="EQ493" s="1605"/>
      <c r="ER493" s="1605"/>
      <c r="ES493" s="1605"/>
      <c r="ET493" s="1605"/>
      <c r="EU493" s="1605"/>
      <c r="EV493" s="1605"/>
      <c r="EW493" s="1605"/>
      <c r="EX493" s="1605"/>
      <c r="EY493" s="1605"/>
      <c r="EZ493" s="1605"/>
      <c r="FA493" s="1605"/>
      <c r="FB493" s="1605"/>
      <c r="FC493" s="1605"/>
      <c r="FD493" s="1605"/>
      <c r="FE493" s="1605"/>
      <c r="FF493" s="1605"/>
      <c r="FG493" s="1605"/>
      <c r="FH493" s="1605"/>
      <c r="FI493" s="1605"/>
      <c r="FJ493" s="1605"/>
      <c r="FK493" s="1605"/>
      <c r="FL493" s="1605"/>
      <c r="FM493" s="1605"/>
      <c r="FN493" s="1605"/>
      <c r="FO493" s="1605"/>
      <c r="FP493" s="1605"/>
      <c r="FQ493" s="1605"/>
      <c r="FR493" s="1605"/>
      <c r="FS493" s="1605"/>
      <c r="FT493" s="1605"/>
      <c r="FU493" s="1605"/>
      <c r="FV493" s="1605"/>
      <c r="FW493" s="1605"/>
      <c r="FX493" s="1605"/>
      <c r="FY493" s="1605"/>
      <c r="FZ493" s="1605"/>
      <c r="GA493" s="1605"/>
      <c r="GB493" s="1605"/>
      <c r="GC493" s="1605"/>
      <c r="GD493" s="1605"/>
      <c r="GE493" s="1605"/>
      <c r="GF493" s="1605"/>
      <c r="GG493" s="1605"/>
      <c r="GH493" s="1605"/>
      <c r="GI493" s="1605"/>
      <c r="GJ493" s="1605"/>
      <c r="GK493" s="1605"/>
      <c r="GL493" s="1605"/>
      <c r="GM493" s="1605"/>
      <c r="GN493" s="1605"/>
      <c r="GO493" s="1605"/>
      <c r="GP493" s="1605"/>
      <c r="GQ493" s="1605"/>
      <c r="GR493" s="1605"/>
      <c r="GS493" s="1605"/>
      <c r="GT493" s="1605"/>
      <c r="GU493" s="1605"/>
      <c r="GV493" s="1605"/>
      <c r="GW493" s="1605"/>
      <c r="GX493" s="1605"/>
      <c r="GY493" s="1605"/>
      <c r="GZ493" s="1605"/>
      <c r="HA493" s="1605"/>
      <c r="HB493" s="1605"/>
      <c r="HC493" s="1605"/>
      <c r="HD493" s="1605"/>
      <c r="HE493" s="1605"/>
      <c r="HF493" s="1605"/>
      <c r="HG493" s="1605"/>
      <c r="HH493" s="1605"/>
      <c r="HI493" s="1605"/>
      <c r="HJ493" s="1605"/>
      <c r="HK493" s="1605"/>
      <c r="HL493" s="1605"/>
      <c r="HM493" s="1605"/>
      <c r="HN493" s="1605"/>
      <c r="HO493" s="1605"/>
      <c r="HP493" s="1605"/>
      <c r="HQ493" s="1605"/>
      <c r="HR493" s="1605"/>
      <c r="HS493" s="1605"/>
      <c r="HT493" s="1605"/>
      <c r="HU493" s="1605"/>
      <c r="HV493" s="1605"/>
      <c r="HW493" s="1605"/>
      <c r="HX493" s="1605"/>
      <c r="HY493" s="1605"/>
      <c r="HZ493" s="1605"/>
      <c r="IA493" s="1605"/>
      <c r="IB493" s="1605"/>
      <c r="IC493" s="1605"/>
      <c r="ID493" s="1605"/>
      <c r="IE493" s="1605"/>
      <c r="IF493" s="1605"/>
      <c r="IG493" s="1605"/>
      <c r="IH493" s="1605"/>
      <c r="II493" s="1605"/>
      <c r="IJ493" s="1605"/>
      <c r="IK493" s="1605"/>
      <c r="IL493" s="1605"/>
      <c r="IM493" s="1605"/>
      <c r="IN493" s="1605"/>
      <c r="IO493" s="1605"/>
      <c r="IP493" s="1605"/>
      <c r="IQ493" s="1605"/>
      <c r="IR493" s="1605"/>
      <c r="IS493" s="1605"/>
      <c r="IT493" s="1605"/>
      <c r="IU493" s="1605"/>
      <c r="IV493" s="1605"/>
      <c r="IW493" s="1605"/>
      <c r="IX493" s="1605"/>
      <c r="IY493" s="1605"/>
      <c r="IZ493" s="1605"/>
      <c r="JA493" s="1605"/>
      <c r="JB493" s="1605"/>
      <c r="JC493" s="1605"/>
      <c r="JD493" s="1605"/>
      <c r="JE493" s="1605"/>
      <c r="JF493" s="1605"/>
      <c r="JG493" s="1605"/>
      <c r="JH493" s="1605"/>
      <c r="JI493" s="1605"/>
      <c r="JJ493" s="1605"/>
      <c r="JK493" s="1605"/>
      <c r="JL493" s="1605"/>
      <c r="JM493" s="1605"/>
      <c r="JN493" s="1605"/>
      <c r="JO493" s="1605"/>
      <c r="JP493" s="1605"/>
      <c r="JQ493" s="1605"/>
      <c r="JR493" s="1605"/>
      <c r="JS493" s="1605"/>
      <c r="JT493" s="1605"/>
      <c r="JU493" s="1605"/>
      <c r="JV493" s="1605"/>
      <c r="JW493" s="1605"/>
      <c r="JX493" s="1605"/>
      <c r="JY493" s="1605"/>
      <c r="JZ493" s="1605"/>
      <c r="KA493" s="1605"/>
      <c r="KB493" s="1606"/>
    </row>
    <row r="494" spans="2:288" ht="15" customHeight="1" x14ac:dyDescent="0.25">
      <c r="B494" s="216" t="str">
        <f t="shared" si="38"/>
        <v>Desk 70</v>
      </c>
      <c r="C494" s="218" t="str">
        <v/>
      </c>
      <c r="D494" s="218" t="str">
        <v/>
      </c>
      <c r="E494" s="218" t="str">
        <v/>
      </c>
      <c r="F494" s="218" t="str">
        <v/>
      </c>
      <c r="G494" s="402" t="str">
        <v/>
      </c>
      <c r="H494" s="1605"/>
      <c r="I494" s="1605"/>
      <c r="J494" s="1605"/>
      <c r="K494" s="1605"/>
      <c r="L494" s="1605"/>
      <c r="M494" s="1605"/>
      <c r="N494" s="1605"/>
      <c r="O494" s="1605"/>
      <c r="P494" s="1605"/>
      <c r="Q494" s="1605"/>
      <c r="R494" s="1605"/>
      <c r="S494" s="1605"/>
      <c r="T494" s="1605"/>
      <c r="U494" s="1605"/>
      <c r="V494" s="1605"/>
      <c r="W494" s="1605"/>
      <c r="X494" s="1605"/>
      <c r="Y494" s="1605"/>
      <c r="Z494" s="1605"/>
      <c r="AA494" s="1605"/>
      <c r="AB494" s="1605"/>
      <c r="AC494" s="1605"/>
      <c r="AD494" s="1605"/>
      <c r="AE494" s="1605"/>
      <c r="AF494" s="1605"/>
      <c r="AG494" s="1605"/>
      <c r="AH494" s="1605"/>
      <c r="AI494" s="1605"/>
      <c r="AJ494" s="1605"/>
      <c r="AK494" s="1605"/>
      <c r="AL494" s="1605"/>
      <c r="AM494" s="1605"/>
      <c r="AN494" s="1605"/>
      <c r="AO494" s="1605"/>
      <c r="AP494" s="1605"/>
      <c r="AQ494" s="1605"/>
      <c r="AR494" s="1605"/>
      <c r="AS494" s="1605"/>
      <c r="AT494" s="1605"/>
      <c r="AU494" s="1605"/>
      <c r="AV494" s="1605"/>
      <c r="AW494" s="1605"/>
      <c r="AX494" s="1605"/>
      <c r="AY494" s="1605"/>
      <c r="AZ494" s="1605"/>
      <c r="BA494" s="1605"/>
      <c r="BB494" s="1605"/>
      <c r="BC494" s="1605"/>
      <c r="BD494" s="1605"/>
      <c r="BE494" s="1605"/>
      <c r="BF494" s="1605"/>
      <c r="BG494" s="1605"/>
      <c r="BH494" s="1605"/>
      <c r="BI494" s="1605"/>
      <c r="BJ494" s="1605"/>
      <c r="BK494" s="1605"/>
      <c r="BL494" s="1605"/>
      <c r="BM494" s="1605"/>
      <c r="BN494" s="1605"/>
      <c r="BO494" s="1605"/>
      <c r="BP494" s="1605"/>
      <c r="BQ494" s="1605"/>
      <c r="BR494" s="1605"/>
      <c r="BS494" s="1605"/>
      <c r="BT494" s="1605"/>
      <c r="BU494" s="1605"/>
      <c r="BV494" s="1605"/>
      <c r="BW494" s="1605"/>
      <c r="BX494" s="1605"/>
      <c r="BY494" s="1605"/>
      <c r="BZ494" s="1605"/>
      <c r="CA494" s="1605"/>
      <c r="CB494" s="1605"/>
      <c r="CC494" s="1605"/>
      <c r="CD494" s="1605"/>
      <c r="CE494" s="1605"/>
      <c r="CF494" s="1605"/>
      <c r="CG494" s="1605"/>
      <c r="CH494" s="1605"/>
      <c r="CI494" s="1605"/>
      <c r="CJ494" s="1605"/>
      <c r="CK494" s="1605"/>
      <c r="CL494" s="1605"/>
      <c r="CM494" s="1605"/>
      <c r="CN494" s="1605"/>
      <c r="CO494" s="1605"/>
      <c r="CP494" s="1605"/>
      <c r="CQ494" s="1605"/>
      <c r="CR494" s="1605"/>
      <c r="CS494" s="1605"/>
      <c r="CT494" s="1605"/>
      <c r="CU494" s="1605"/>
      <c r="CV494" s="1605"/>
      <c r="CW494" s="1605"/>
      <c r="CX494" s="1605"/>
      <c r="CY494" s="1605"/>
      <c r="CZ494" s="1605"/>
      <c r="DA494" s="1605"/>
      <c r="DB494" s="1605"/>
      <c r="DC494" s="1605"/>
      <c r="DD494" s="1605"/>
      <c r="DE494" s="1605"/>
      <c r="DF494" s="1605"/>
      <c r="DG494" s="1605"/>
      <c r="DH494" s="1605"/>
      <c r="DI494" s="1605"/>
      <c r="DJ494" s="1605"/>
      <c r="DK494" s="1605"/>
      <c r="DL494" s="1605"/>
      <c r="DM494" s="1605"/>
      <c r="DN494" s="1605"/>
      <c r="DO494" s="1605"/>
      <c r="DP494" s="1605"/>
      <c r="DQ494" s="1605"/>
      <c r="DR494" s="1605"/>
      <c r="DS494" s="1605"/>
      <c r="DT494" s="1605"/>
      <c r="DU494" s="1605"/>
      <c r="DV494" s="1605"/>
      <c r="DW494" s="1605"/>
      <c r="DX494" s="1605"/>
      <c r="DY494" s="1605"/>
      <c r="DZ494" s="1605"/>
      <c r="EA494" s="1605"/>
      <c r="EB494" s="1605"/>
      <c r="EC494" s="1605"/>
      <c r="ED494" s="1605"/>
      <c r="EE494" s="1605"/>
      <c r="EF494" s="1605"/>
      <c r="EG494" s="1605"/>
      <c r="EH494" s="1605"/>
      <c r="EI494" s="1605"/>
      <c r="EJ494" s="1605"/>
      <c r="EK494" s="1605"/>
      <c r="EL494" s="1605"/>
      <c r="EM494" s="1605"/>
      <c r="EN494" s="1605"/>
      <c r="EO494" s="1605"/>
      <c r="EP494" s="1605"/>
      <c r="EQ494" s="1605"/>
      <c r="ER494" s="1605"/>
      <c r="ES494" s="1605"/>
      <c r="ET494" s="1605"/>
      <c r="EU494" s="1605"/>
      <c r="EV494" s="1605"/>
      <c r="EW494" s="1605"/>
      <c r="EX494" s="1605"/>
      <c r="EY494" s="1605"/>
      <c r="EZ494" s="1605"/>
      <c r="FA494" s="1605"/>
      <c r="FB494" s="1605"/>
      <c r="FC494" s="1605"/>
      <c r="FD494" s="1605"/>
      <c r="FE494" s="1605"/>
      <c r="FF494" s="1605"/>
      <c r="FG494" s="1605"/>
      <c r="FH494" s="1605"/>
      <c r="FI494" s="1605"/>
      <c r="FJ494" s="1605"/>
      <c r="FK494" s="1605"/>
      <c r="FL494" s="1605"/>
      <c r="FM494" s="1605"/>
      <c r="FN494" s="1605"/>
      <c r="FO494" s="1605"/>
      <c r="FP494" s="1605"/>
      <c r="FQ494" s="1605"/>
      <c r="FR494" s="1605"/>
      <c r="FS494" s="1605"/>
      <c r="FT494" s="1605"/>
      <c r="FU494" s="1605"/>
      <c r="FV494" s="1605"/>
      <c r="FW494" s="1605"/>
      <c r="FX494" s="1605"/>
      <c r="FY494" s="1605"/>
      <c r="FZ494" s="1605"/>
      <c r="GA494" s="1605"/>
      <c r="GB494" s="1605"/>
      <c r="GC494" s="1605"/>
      <c r="GD494" s="1605"/>
      <c r="GE494" s="1605"/>
      <c r="GF494" s="1605"/>
      <c r="GG494" s="1605"/>
      <c r="GH494" s="1605"/>
      <c r="GI494" s="1605"/>
      <c r="GJ494" s="1605"/>
      <c r="GK494" s="1605"/>
      <c r="GL494" s="1605"/>
      <c r="GM494" s="1605"/>
      <c r="GN494" s="1605"/>
      <c r="GO494" s="1605"/>
      <c r="GP494" s="1605"/>
      <c r="GQ494" s="1605"/>
      <c r="GR494" s="1605"/>
      <c r="GS494" s="1605"/>
      <c r="GT494" s="1605"/>
      <c r="GU494" s="1605"/>
      <c r="GV494" s="1605"/>
      <c r="GW494" s="1605"/>
      <c r="GX494" s="1605"/>
      <c r="GY494" s="1605"/>
      <c r="GZ494" s="1605"/>
      <c r="HA494" s="1605"/>
      <c r="HB494" s="1605"/>
      <c r="HC494" s="1605"/>
      <c r="HD494" s="1605"/>
      <c r="HE494" s="1605"/>
      <c r="HF494" s="1605"/>
      <c r="HG494" s="1605"/>
      <c r="HH494" s="1605"/>
      <c r="HI494" s="1605"/>
      <c r="HJ494" s="1605"/>
      <c r="HK494" s="1605"/>
      <c r="HL494" s="1605"/>
      <c r="HM494" s="1605"/>
      <c r="HN494" s="1605"/>
      <c r="HO494" s="1605"/>
      <c r="HP494" s="1605"/>
      <c r="HQ494" s="1605"/>
      <c r="HR494" s="1605"/>
      <c r="HS494" s="1605"/>
      <c r="HT494" s="1605"/>
      <c r="HU494" s="1605"/>
      <c r="HV494" s="1605"/>
      <c r="HW494" s="1605"/>
      <c r="HX494" s="1605"/>
      <c r="HY494" s="1605"/>
      <c r="HZ494" s="1605"/>
      <c r="IA494" s="1605"/>
      <c r="IB494" s="1605"/>
      <c r="IC494" s="1605"/>
      <c r="ID494" s="1605"/>
      <c r="IE494" s="1605"/>
      <c r="IF494" s="1605"/>
      <c r="IG494" s="1605"/>
      <c r="IH494" s="1605"/>
      <c r="II494" s="1605"/>
      <c r="IJ494" s="1605"/>
      <c r="IK494" s="1605"/>
      <c r="IL494" s="1605"/>
      <c r="IM494" s="1605"/>
      <c r="IN494" s="1605"/>
      <c r="IO494" s="1605"/>
      <c r="IP494" s="1605"/>
      <c r="IQ494" s="1605"/>
      <c r="IR494" s="1605"/>
      <c r="IS494" s="1605"/>
      <c r="IT494" s="1605"/>
      <c r="IU494" s="1605"/>
      <c r="IV494" s="1605"/>
      <c r="IW494" s="1605"/>
      <c r="IX494" s="1605"/>
      <c r="IY494" s="1605"/>
      <c r="IZ494" s="1605"/>
      <c r="JA494" s="1605"/>
      <c r="JB494" s="1605"/>
      <c r="JC494" s="1605"/>
      <c r="JD494" s="1605"/>
      <c r="JE494" s="1605"/>
      <c r="JF494" s="1605"/>
      <c r="JG494" s="1605"/>
      <c r="JH494" s="1605"/>
      <c r="JI494" s="1605"/>
      <c r="JJ494" s="1605"/>
      <c r="JK494" s="1605"/>
      <c r="JL494" s="1605"/>
      <c r="JM494" s="1605"/>
      <c r="JN494" s="1605"/>
      <c r="JO494" s="1605"/>
      <c r="JP494" s="1605"/>
      <c r="JQ494" s="1605"/>
      <c r="JR494" s="1605"/>
      <c r="JS494" s="1605"/>
      <c r="JT494" s="1605"/>
      <c r="JU494" s="1605"/>
      <c r="JV494" s="1605"/>
      <c r="JW494" s="1605"/>
      <c r="JX494" s="1605"/>
      <c r="JY494" s="1605"/>
      <c r="JZ494" s="1605"/>
      <c r="KA494" s="1605"/>
      <c r="KB494" s="1606"/>
    </row>
    <row r="495" spans="2:288" ht="15" customHeight="1" x14ac:dyDescent="0.25">
      <c r="B495" s="216" t="str">
        <f t="shared" si="38"/>
        <v>Desk 71</v>
      </c>
      <c r="C495" s="218" t="str">
        <v/>
      </c>
      <c r="D495" s="218" t="str">
        <v/>
      </c>
      <c r="E495" s="218" t="str">
        <v/>
      </c>
      <c r="F495" s="218" t="str">
        <v/>
      </c>
      <c r="G495" s="402" t="str">
        <v/>
      </c>
      <c r="H495" s="1605"/>
      <c r="I495" s="1605"/>
      <c r="J495" s="1605"/>
      <c r="K495" s="1605"/>
      <c r="L495" s="1605"/>
      <c r="M495" s="1605"/>
      <c r="N495" s="1605"/>
      <c r="O495" s="1605"/>
      <c r="P495" s="1605"/>
      <c r="Q495" s="1605"/>
      <c r="R495" s="1605"/>
      <c r="S495" s="1605"/>
      <c r="T495" s="1605"/>
      <c r="U495" s="1605"/>
      <c r="V495" s="1605"/>
      <c r="W495" s="1605"/>
      <c r="X495" s="1605"/>
      <c r="Y495" s="1605"/>
      <c r="Z495" s="1605"/>
      <c r="AA495" s="1605"/>
      <c r="AB495" s="1605"/>
      <c r="AC495" s="1605"/>
      <c r="AD495" s="1605"/>
      <c r="AE495" s="1605"/>
      <c r="AF495" s="1605"/>
      <c r="AG495" s="1605"/>
      <c r="AH495" s="1605"/>
      <c r="AI495" s="1605"/>
      <c r="AJ495" s="1605"/>
      <c r="AK495" s="1605"/>
      <c r="AL495" s="1605"/>
      <c r="AM495" s="1605"/>
      <c r="AN495" s="1605"/>
      <c r="AO495" s="1605"/>
      <c r="AP495" s="1605"/>
      <c r="AQ495" s="1605"/>
      <c r="AR495" s="1605"/>
      <c r="AS495" s="1605"/>
      <c r="AT495" s="1605"/>
      <c r="AU495" s="1605"/>
      <c r="AV495" s="1605"/>
      <c r="AW495" s="1605"/>
      <c r="AX495" s="1605"/>
      <c r="AY495" s="1605"/>
      <c r="AZ495" s="1605"/>
      <c r="BA495" s="1605"/>
      <c r="BB495" s="1605"/>
      <c r="BC495" s="1605"/>
      <c r="BD495" s="1605"/>
      <c r="BE495" s="1605"/>
      <c r="BF495" s="1605"/>
      <c r="BG495" s="1605"/>
      <c r="BH495" s="1605"/>
      <c r="BI495" s="1605"/>
      <c r="BJ495" s="1605"/>
      <c r="BK495" s="1605"/>
      <c r="BL495" s="1605"/>
      <c r="BM495" s="1605"/>
      <c r="BN495" s="1605"/>
      <c r="BO495" s="1605"/>
      <c r="BP495" s="1605"/>
      <c r="BQ495" s="1605"/>
      <c r="BR495" s="1605"/>
      <c r="BS495" s="1605"/>
      <c r="BT495" s="1605"/>
      <c r="BU495" s="1605"/>
      <c r="BV495" s="1605"/>
      <c r="BW495" s="1605"/>
      <c r="BX495" s="1605"/>
      <c r="BY495" s="1605"/>
      <c r="BZ495" s="1605"/>
      <c r="CA495" s="1605"/>
      <c r="CB495" s="1605"/>
      <c r="CC495" s="1605"/>
      <c r="CD495" s="1605"/>
      <c r="CE495" s="1605"/>
      <c r="CF495" s="1605"/>
      <c r="CG495" s="1605"/>
      <c r="CH495" s="1605"/>
      <c r="CI495" s="1605"/>
      <c r="CJ495" s="1605"/>
      <c r="CK495" s="1605"/>
      <c r="CL495" s="1605"/>
      <c r="CM495" s="1605"/>
      <c r="CN495" s="1605"/>
      <c r="CO495" s="1605"/>
      <c r="CP495" s="1605"/>
      <c r="CQ495" s="1605"/>
      <c r="CR495" s="1605"/>
      <c r="CS495" s="1605"/>
      <c r="CT495" s="1605"/>
      <c r="CU495" s="1605"/>
      <c r="CV495" s="1605"/>
      <c r="CW495" s="1605"/>
      <c r="CX495" s="1605"/>
      <c r="CY495" s="1605"/>
      <c r="CZ495" s="1605"/>
      <c r="DA495" s="1605"/>
      <c r="DB495" s="1605"/>
      <c r="DC495" s="1605"/>
      <c r="DD495" s="1605"/>
      <c r="DE495" s="1605"/>
      <c r="DF495" s="1605"/>
      <c r="DG495" s="1605"/>
      <c r="DH495" s="1605"/>
      <c r="DI495" s="1605"/>
      <c r="DJ495" s="1605"/>
      <c r="DK495" s="1605"/>
      <c r="DL495" s="1605"/>
      <c r="DM495" s="1605"/>
      <c r="DN495" s="1605"/>
      <c r="DO495" s="1605"/>
      <c r="DP495" s="1605"/>
      <c r="DQ495" s="1605"/>
      <c r="DR495" s="1605"/>
      <c r="DS495" s="1605"/>
      <c r="DT495" s="1605"/>
      <c r="DU495" s="1605"/>
      <c r="DV495" s="1605"/>
      <c r="DW495" s="1605"/>
      <c r="DX495" s="1605"/>
      <c r="DY495" s="1605"/>
      <c r="DZ495" s="1605"/>
      <c r="EA495" s="1605"/>
      <c r="EB495" s="1605"/>
      <c r="EC495" s="1605"/>
      <c r="ED495" s="1605"/>
      <c r="EE495" s="1605"/>
      <c r="EF495" s="1605"/>
      <c r="EG495" s="1605"/>
      <c r="EH495" s="1605"/>
      <c r="EI495" s="1605"/>
      <c r="EJ495" s="1605"/>
      <c r="EK495" s="1605"/>
      <c r="EL495" s="1605"/>
      <c r="EM495" s="1605"/>
      <c r="EN495" s="1605"/>
      <c r="EO495" s="1605"/>
      <c r="EP495" s="1605"/>
      <c r="EQ495" s="1605"/>
      <c r="ER495" s="1605"/>
      <c r="ES495" s="1605"/>
      <c r="ET495" s="1605"/>
      <c r="EU495" s="1605"/>
      <c r="EV495" s="1605"/>
      <c r="EW495" s="1605"/>
      <c r="EX495" s="1605"/>
      <c r="EY495" s="1605"/>
      <c r="EZ495" s="1605"/>
      <c r="FA495" s="1605"/>
      <c r="FB495" s="1605"/>
      <c r="FC495" s="1605"/>
      <c r="FD495" s="1605"/>
      <c r="FE495" s="1605"/>
      <c r="FF495" s="1605"/>
      <c r="FG495" s="1605"/>
      <c r="FH495" s="1605"/>
      <c r="FI495" s="1605"/>
      <c r="FJ495" s="1605"/>
      <c r="FK495" s="1605"/>
      <c r="FL495" s="1605"/>
      <c r="FM495" s="1605"/>
      <c r="FN495" s="1605"/>
      <c r="FO495" s="1605"/>
      <c r="FP495" s="1605"/>
      <c r="FQ495" s="1605"/>
      <c r="FR495" s="1605"/>
      <c r="FS495" s="1605"/>
      <c r="FT495" s="1605"/>
      <c r="FU495" s="1605"/>
      <c r="FV495" s="1605"/>
      <c r="FW495" s="1605"/>
      <c r="FX495" s="1605"/>
      <c r="FY495" s="1605"/>
      <c r="FZ495" s="1605"/>
      <c r="GA495" s="1605"/>
      <c r="GB495" s="1605"/>
      <c r="GC495" s="1605"/>
      <c r="GD495" s="1605"/>
      <c r="GE495" s="1605"/>
      <c r="GF495" s="1605"/>
      <c r="GG495" s="1605"/>
      <c r="GH495" s="1605"/>
      <c r="GI495" s="1605"/>
      <c r="GJ495" s="1605"/>
      <c r="GK495" s="1605"/>
      <c r="GL495" s="1605"/>
      <c r="GM495" s="1605"/>
      <c r="GN495" s="1605"/>
      <c r="GO495" s="1605"/>
      <c r="GP495" s="1605"/>
      <c r="GQ495" s="1605"/>
      <c r="GR495" s="1605"/>
      <c r="GS495" s="1605"/>
      <c r="GT495" s="1605"/>
      <c r="GU495" s="1605"/>
      <c r="GV495" s="1605"/>
      <c r="GW495" s="1605"/>
      <c r="GX495" s="1605"/>
      <c r="GY495" s="1605"/>
      <c r="GZ495" s="1605"/>
      <c r="HA495" s="1605"/>
      <c r="HB495" s="1605"/>
      <c r="HC495" s="1605"/>
      <c r="HD495" s="1605"/>
      <c r="HE495" s="1605"/>
      <c r="HF495" s="1605"/>
      <c r="HG495" s="1605"/>
      <c r="HH495" s="1605"/>
      <c r="HI495" s="1605"/>
      <c r="HJ495" s="1605"/>
      <c r="HK495" s="1605"/>
      <c r="HL495" s="1605"/>
      <c r="HM495" s="1605"/>
      <c r="HN495" s="1605"/>
      <c r="HO495" s="1605"/>
      <c r="HP495" s="1605"/>
      <c r="HQ495" s="1605"/>
      <c r="HR495" s="1605"/>
      <c r="HS495" s="1605"/>
      <c r="HT495" s="1605"/>
      <c r="HU495" s="1605"/>
      <c r="HV495" s="1605"/>
      <c r="HW495" s="1605"/>
      <c r="HX495" s="1605"/>
      <c r="HY495" s="1605"/>
      <c r="HZ495" s="1605"/>
      <c r="IA495" s="1605"/>
      <c r="IB495" s="1605"/>
      <c r="IC495" s="1605"/>
      <c r="ID495" s="1605"/>
      <c r="IE495" s="1605"/>
      <c r="IF495" s="1605"/>
      <c r="IG495" s="1605"/>
      <c r="IH495" s="1605"/>
      <c r="II495" s="1605"/>
      <c r="IJ495" s="1605"/>
      <c r="IK495" s="1605"/>
      <c r="IL495" s="1605"/>
      <c r="IM495" s="1605"/>
      <c r="IN495" s="1605"/>
      <c r="IO495" s="1605"/>
      <c r="IP495" s="1605"/>
      <c r="IQ495" s="1605"/>
      <c r="IR495" s="1605"/>
      <c r="IS495" s="1605"/>
      <c r="IT495" s="1605"/>
      <c r="IU495" s="1605"/>
      <c r="IV495" s="1605"/>
      <c r="IW495" s="1605"/>
      <c r="IX495" s="1605"/>
      <c r="IY495" s="1605"/>
      <c r="IZ495" s="1605"/>
      <c r="JA495" s="1605"/>
      <c r="JB495" s="1605"/>
      <c r="JC495" s="1605"/>
      <c r="JD495" s="1605"/>
      <c r="JE495" s="1605"/>
      <c r="JF495" s="1605"/>
      <c r="JG495" s="1605"/>
      <c r="JH495" s="1605"/>
      <c r="JI495" s="1605"/>
      <c r="JJ495" s="1605"/>
      <c r="JK495" s="1605"/>
      <c r="JL495" s="1605"/>
      <c r="JM495" s="1605"/>
      <c r="JN495" s="1605"/>
      <c r="JO495" s="1605"/>
      <c r="JP495" s="1605"/>
      <c r="JQ495" s="1605"/>
      <c r="JR495" s="1605"/>
      <c r="JS495" s="1605"/>
      <c r="JT495" s="1605"/>
      <c r="JU495" s="1605"/>
      <c r="JV495" s="1605"/>
      <c r="JW495" s="1605"/>
      <c r="JX495" s="1605"/>
      <c r="JY495" s="1605"/>
      <c r="JZ495" s="1605"/>
      <c r="KA495" s="1605"/>
      <c r="KB495" s="1606"/>
    </row>
    <row r="496" spans="2:288" ht="15" customHeight="1" x14ac:dyDescent="0.25">
      <c r="B496" s="216" t="str">
        <f t="shared" si="38"/>
        <v>Desk 72</v>
      </c>
      <c r="C496" s="218" t="str">
        <v/>
      </c>
      <c r="D496" s="218" t="str">
        <v/>
      </c>
      <c r="E496" s="218" t="str">
        <v/>
      </c>
      <c r="F496" s="218" t="str">
        <v/>
      </c>
      <c r="G496" s="402" t="str">
        <v/>
      </c>
      <c r="H496" s="1605"/>
      <c r="I496" s="1605"/>
      <c r="J496" s="1605"/>
      <c r="K496" s="1605"/>
      <c r="L496" s="1605"/>
      <c r="M496" s="1605"/>
      <c r="N496" s="1605"/>
      <c r="O496" s="1605"/>
      <c r="P496" s="1605"/>
      <c r="Q496" s="1605"/>
      <c r="R496" s="1605"/>
      <c r="S496" s="1605"/>
      <c r="T496" s="1605"/>
      <c r="U496" s="1605"/>
      <c r="V496" s="1605"/>
      <c r="W496" s="1605"/>
      <c r="X496" s="1605"/>
      <c r="Y496" s="1605"/>
      <c r="Z496" s="1605"/>
      <c r="AA496" s="1605"/>
      <c r="AB496" s="1605"/>
      <c r="AC496" s="1605"/>
      <c r="AD496" s="1605"/>
      <c r="AE496" s="1605"/>
      <c r="AF496" s="1605"/>
      <c r="AG496" s="1605"/>
      <c r="AH496" s="1605"/>
      <c r="AI496" s="1605"/>
      <c r="AJ496" s="1605"/>
      <c r="AK496" s="1605"/>
      <c r="AL496" s="1605"/>
      <c r="AM496" s="1605"/>
      <c r="AN496" s="1605"/>
      <c r="AO496" s="1605"/>
      <c r="AP496" s="1605"/>
      <c r="AQ496" s="1605"/>
      <c r="AR496" s="1605"/>
      <c r="AS496" s="1605"/>
      <c r="AT496" s="1605"/>
      <c r="AU496" s="1605"/>
      <c r="AV496" s="1605"/>
      <c r="AW496" s="1605"/>
      <c r="AX496" s="1605"/>
      <c r="AY496" s="1605"/>
      <c r="AZ496" s="1605"/>
      <c r="BA496" s="1605"/>
      <c r="BB496" s="1605"/>
      <c r="BC496" s="1605"/>
      <c r="BD496" s="1605"/>
      <c r="BE496" s="1605"/>
      <c r="BF496" s="1605"/>
      <c r="BG496" s="1605"/>
      <c r="BH496" s="1605"/>
      <c r="BI496" s="1605"/>
      <c r="BJ496" s="1605"/>
      <c r="BK496" s="1605"/>
      <c r="BL496" s="1605"/>
      <c r="BM496" s="1605"/>
      <c r="BN496" s="1605"/>
      <c r="BO496" s="1605"/>
      <c r="BP496" s="1605"/>
      <c r="BQ496" s="1605"/>
      <c r="BR496" s="1605"/>
      <c r="BS496" s="1605"/>
      <c r="BT496" s="1605"/>
      <c r="BU496" s="1605"/>
      <c r="BV496" s="1605"/>
      <c r="BW496" s="1605"/>
      <c r="BX496" s="1605"/>
      <c r="BY496" s="1605"/>
      <c r="BZ496" s="1605"/>
      <c r="CA496" s="1605"/>
      <c r="CB496" s="1605"/>
      <c r="CC496" s="1605"/>
      <c r="CD496" s="1605"/>
      <c r="CE496" s="1605"/>
      <c r="CF496" s="1605"/>
      <c r="CG496" s="1605"/>
      <c r="CH496" s="1605"/>
      <c r="CI496" s="1605"/>
      <c r="CJ496" s="1605"/>
      <c r="CK496" s="1605"/>
      <c r="CL496" s="1605"/>
      <c r="CM496" s="1605"/>
      <c r="CN496" s="1605"/>
      <c r="CO496" s="1605"/>
      <c r="CP496" s="1605"/>
      <c r="CQ496" s="1605"/>
      <c r="CR496" s="1605"/>
      <c r="CS496" s="1605"/>
      <c r="CT496" s="1605"/>
      <c r="CU496" s="1605"/>
      <c r="CV496" s="1605"/>
      <c r="CW496" s="1605"/>
      <c r="CX496" s="1605"/>
      <c r="CY496" s="1605"/>
      <c r="CZ496" s="1605"/>
      <c r="DA496" s="1605"/>
      <c r="DB496" s="1605"/>
      <c r="DC496" s="1605"/>
      <c r="DD496" s="1605"/>
      <c r="DE496" s="1605"/>
      <c r="DF496" s="1605"/>
      <c r="DG496" s="1605"/>
      <c r="DH496" s="1605"/>
      <c r="DI496" s="1605"/>
      <c r="DJ496" s="1605"/>
      <c r="DK496" s="1605"/>
      <c r="DL496" s="1605"/>
      <c r="DM496" s="1605"/>
      <c r="DN496" s="1605"/>
      <c r="DO496" s="1605"/>
      <c r="DP496" s="1605"/>
      <c r="DQ496" s="1605"/>
      <c r="DR496" s="1605"/>
      <c r="DS496" s="1605"/>
      <c r="DT496" s="1605"/>
      <c r="DU496" s="1605"/>
      <c r="DV496" s="1605"/>
      <c r="DW496" s="1605"/>
      <c r="DX496" s="1605"/>
      <c r="DY496" s="1605"/>
      <c r="DZ496" s="1605"/>
      <c r="EA496" s="1605"/>
      <c r="EB496" s="1605"/>
      <c r="EC496" s="1605"/>
      <c r="ED496" s="1605"/>
      <c r="EE496" s="1605"/>
      <c r="EF496" s="1605"/>
      <c r="EG496" s="1605"/>
      <c r="EH496" s="1605"/>
      <c r="EI496" s="1605"/>
      <c r="EJ496" s="1605"/>
      <c r="EK496" s="1605"/>
      <c r="EL496" s="1605"/>
      <c r="EM496" s="1605"/>
      <c r="EN496" s="1605"/>
      <c r="EO496" s="1605"/>
      <c r="EP496" s="1605"/>
      <c r="EQ496" s="1605"/>
      <c r="ER496" s="1605"/>
      <c r="ES496" s="1605"/>
      <c r="ET496" s="1605"/>
      <c r="EU496" s="1605"/>
      <c r="EV496" s="1605"/>
      <c r="EW496" s="1605"/>
      <c r="EX496" s="1605"/>
      <c r="EY496" s="1605"/>
      <c r="EZ496" s="1605"/>
      <c r="FA496" s="1605"/>
      <c r="FB496" s="1605"/>
      <c r="FC496" s="1605"/>
      <c r="FD496" s="1605"/>
      <c r="FE496" s="1605"/>
      <c r="FF496" s="1605"/>
      <c r="FG496" s="1605"/>
      <c r="FH496" s="1605"/>
      <c r="FI496" s="1605"/>
      <c r="FJ496" s="1605"/>
      <c r="FK496" s="1605"/>
      <c r="FL496" s="1605"/>
      <c r="FM496" s="1605"/>
      <c r="FN496" s="1605"/>
      <c r="FO496" s="1605"/>
      <c r="FP496" s="1605"/>
      <c r="FQ496" s="1605"/>
      <c r="FR496" s="1605"/>
      <c r="FS496" s="1605"/>
      <c r="FT496" s="1605"/>
      <c r="FU496" s="1605"/>
      <c r="FV496" s="1605"/>
      <c r="FW496" s="1605"/>
      <c r="FX496" s="1605"/>
      <c r="FY496" s="1605"/>
      <c r="FZ496" s="1605"/>
      <c r="GA496" s="1605"/>
      <c r="GB496" s="1605"/>
      <c r="GC496" s="1605"/>
      <c r="GD496" s="1605"/>
      <c r="GE496" s="1605"/>
      <c r="GF496" s="1605"/>
      <c r="GG496" s="1605"/>
      <c r="GH496" s="1605"/>
      <c r="GI496" s="1605"/>
      <c r="GJ496" s="1605"/>
      <c r="GK496" s="1605"/>
      <c r="GL496" s="1605"/>
      <c r="GM496" s="1605"/>
      <c r="GN496" s="1605"/>
      <c r="GO496" s="1605"/>
      <c r="GP496" s="1605"/>
      <c r="GQ496" s="1605"/>
      <c r="GR496" s="1605"/>
      <c r="GS496" s="1605"/>
      <c r="GT496" s="1605"/>
      <c r="GU496" s="1605"/>
      <c r="GV496" s="1605"/>
      <c r="GW496" s="1605"/>
      <c r="GX496" s="1605"/>
      <c r="GY496" s="1605"/>
      <c r="GZ496" s="1605"/>
      <c r="HA496" s="1605"/>
      <c r="HB496" s="1605"/>
      <c r="HC496" s="1605"/>
      <c r="HD496" s="1605"/>
      <c r="HE496" s="1605"/>
      <c r="HF496" s="1605"/>
      <c r="HG496" s="1605"/>
      <c r="HH496" s="1605"/>
      <c r="HI496" s="1605"/>
      <c r="HJ496" s="1605"/>
      <c r="HK496" s="1605"/>
      <c r="HL496" s="1605"/>
      <c r="HM496" s="1605"/>
      <c r="HN496" s="1605"/>
      <c r="HO496" s="1605"/>
      <c r="HP496" s="1605"/>
      <c r="HQ496" s="1605"/>
      <c r="HR496" s="1605"/>
      <c r="HS496" s="1605"/>
      <c r="HT496" s="1605"/>
      <c r="HU496" s="1605"/>
      <c r="HV496" s="1605"/>
      <c r="HW496" s="1605"/>
      <c r="HX496" s="1605"/>
      <c r="HY496" s="1605"/>
      <c r="HZ496" s="1605"/>
      <c r="IA496" s="1605"/>
      <c r="IB496" s="1605"/>
      <c r="IC496" s="1605"/>
      <c r="ID496" s="1605"/>
      <c r="IE496" s="1605"/>
      <c r="IF496" s="1605"/>
      <c r="IG496" s="1605"/>
      <c r="IH496" s="1605"/>
      <c r="II496" s="1605"/>
      <c r="IJ496" s="1605"/>
      <c r="IK496" s="1605"/>
      <c r="IL496" s="1605"/>
      <c r="IM496" s="1605"/>
      <c r="IN496" s="1605"/>
      <c r="IO496" s="1605"/>
      <c r="IP496" s="1605"/>
      <c r="IQ496" s="1605"/>
      <c r="IR496" s="1605"/>
      <c r="IS496" s="1605"/>
      <c r="IT496" s="1605"/>
      <c r="IU496" s="1605"/>
      <c r="IV496" s="1605"/>
      <c r="IW496" s="1605"/>
      <c r="IX496" s="1605"/>
      <c r="IY496" s="1605"/>
      <c r="IZ496" s="1605"/>
      <c r="JA496" s="1605"/>
      <c r="JB496" s="1605"/>
      <c r="JC496" s="1605"/>
      <c r="JD496" s="1605"/>
      <c r="JE496" s="1605"/>
      <c r="JF496" s="1605"/>
      <c r="JG496" s="1605"/>
      <c r="JH496" s="1605"/>
      <c r="JI496" s="1605"/>
      <c r="JJ496" s="1605"/>
      <c r="JK496" s="1605"/>
      <c r="JL496" s="1605"/>
      <c r="JM496" s="1605"/>
      <c r="JN496" s="1605"/>
      <c r="JO496" s="1605"/>
      <c r="JP496" s="1605"/>
      <c r="JQ496" s="1605"/>
      <c r="JR496" s="1605"/>
      <c r="JS496" s="1605"/>
      <c r="JT496" s="1605"/>
      <c r="JU496" s="1605"/>
      <c r="JV496" s="1605"/>
      <c r="JW496" s="1605"/>
      <c r="JX496" s="1605"/>
      <c r="JY496" s="1605"/>
      <c r="JZ496" s="1605"/>
      <c r="KA496" s="1605"/>
      <c r="KB496" s="1606"/>
    </row>
    <row r="497" spans="2:288" ht="15" customHeight="1" x14ac:dyDescent="0.25">
      <c r="B497" s="216" t="str">
        <f t="shared" si="38"/>
        <v>Desk 73</v>
      </c>
      <c r="C497" s="218" t="str">
        <v/>
      </c>
      <c r="D497" s="218" t="str">
        <v/>
      </c>
      <c r="E497" s="218" t="str">
        <v/>
      </c>
      <c r="F497" s="218" t="str">
        <v/>
      </c>
      <c r="G497" s="402" t="str">
        <v/>
      </c>
      <c r="H497" s="1605"/>
      <c r="I497" s="1605"/>
      <c r="J497" s="1605"/>
      <c r="K497" s="1605"/>
      <c r="L497" s="1605"/>
      <c r="M497" s="1605"/>
      <c r="N497" s="1605"/>
      <c r="O497" s="1605"/>
      <c r="P497" s="1605"/>
      <c r="Q497" s="1605"/>
      <c r="R497" s="1605"/>
      <c r="S497" s="1605"/>
      <c r="T497" s="1605"/>
      <c r="U497" s="1605"/>
      <c r="V497" s="1605"/>
      <c r="W497" s="1605"/>
      <c r="X497" s="1605"/>
      <c r="Y497" s="1605"/>
      <c r="Z497" s="1605"/>
      <c r="AA497" s="1605"/>
      <c r="AB497" s="1605"/>
      <c r="AC497" s="1605"/>
      <c r="AD497" s="1605"/>
      <c r="AE497" s="1605"/>
      <c r="AF497" s="1605"/>
      <c r="AG497" s="1605"/>
      <c r="AH497" s="1605"/>
      <c r="AI497" s="1605"/>
      <c r="AJ497" s="1605"/>
      <c r="AK497" s="1605"/>
      <c r="AL497" s="1605"/>
      <c r="AM497" s="1605"/>
      <c r="AN497" s="1605"/>
      <c r="AO497" s="1605"/>
      <c r="AP497" s="1605"/>
      <c r="AQ497" s="1605"/>
      <c r="AR497" s="1605"/>
      <c r="AS497" s="1605"/>
      <c r="AT497" s="1605"/>
      <c r="AU497" s="1605"/>
      <c r="AV497" s="1605"/>
      <c r="AW497" s="1605"/>
      <c r="AX497" s="1605"/>
      <c r="AY497" s="1605"/>
      <c r="AZ497" s="1605"/>
      <c r="BA497" s="1605"/>
      <c r="BB497" s="1605"/>
      <c r="BC497" s="1605"/>
      <c r="BD497" s="1605"/>
      <c r="BE497" s="1605"/>
      <c r="BF497" s="1605"/>
      <c r="BG497" s="1605"/>
      <c r="BH497" s="1605"/>
      <c r="BI497" s="1605"/>
      <c r="BJ497" s="1605"/>
      <c r="BK497" s="1605"/>
      <c r="BL497" s="1605"/>
      <c r="BM497" s="1605"/>
      <c r="BN497" s="1605"/>
      <c r="BO497" s="1605"/>
      <c r="BP497" s="1605"/>
      <c r="BQ497" s="1605"/>
      <c r="BR497" s="1605"/>
      <c r="BS497" s="1605"/>
      <c r="BT497" s="1605"/>
      <c r="BU497" s="1605"/>
      <c r="BV497" s="1605"/>
      <c r="BW497" s="1605"/>
      <c r="BX497" s="1605"/>
      <c r="BY497" s="1605"/>
      <c r="BZ497" s="1605"/>
      <c r="CA497" s="1605"/>
      <c r="CB497" s="1605"/>
      <c r="CC497" s="1605"/>
      <c r="CD497" s="1605"/>
      <c r="CE497" s="1605"/>
      <c r="CF497" s="1605"/>
      <c r="CG497" s="1605"/>
      <c r="CH497" s="1605"/>
      <c r="CI497" s="1605"/>
      <c r="CJ497" s="1605"/>
      <c r="CK497" s="1605"/>
      <c r="CL497" s="1605"/>
      <c r="CM497" s="1605"/>
      <c r="CN497" s="1605"/>
      <c r="CO497" s="1605"/>
      <c r="CP497" s="1605"/>
      <c r="CQ497" s="1605"/>
      <c r="CR497" s="1605"/>
      <c r="CS497" s="1605"/>
      <c r="CT497" s="1605"/>
      <c r="CU497" s="1605"/>
      <c r="CV497" s="1605"/>
      <c r="CW497" s="1605"/>
      <c r="CX497" s="1605"/>
      <c r="CY497" s="1605"/>
      <c r="CZ497" s="1605"/>
      <c r="DA497" s="1605"/>
      <c r="DB497" s="1605"/>
      <c r="DC497" s="1605"/>
      <c r="DD497" s="1605"/>
      <c r="DE497" s="1605"/>
      <c r="DF497" s="1605"/>
      <c r="DG497" s="1605"/>
      <c r="DH497" s="1605"/>
      <c r="DI497" s="1605"/>
      <c r="DJ497" s="1605"/>
      <c r="DK497" s="1605"/>
      <c r="DL497" s="1605"/>
      <c r="DM497" s="1605"/>
      <c r="DN497" s="1605"/>
      <c r="DO497" s="1605"/>
      <c r="DP497" s="1605"/>
      <c r="DQ497" s="1605"/>
      <c r="DR497" s="1605"/>
      <c r="DS497" s="1605"/>
      <c r="DT497" s="1605"/>
      <c r="DU497" s="1605"/>
      <c r="DV497" s="1605"/>
      <c r="DW497" s="1605"/>
      <c r="DX497" s="1605"/>
      <c r="DY497" s="1605"/>
      <c r="DZ497" s="1605"/>
      <c r="EA497" s="1605"/>
      <c r="EB497" s="1605"/>
      <c r="EC497" s="1605"/>
      <c r="ED497" s="1605"/>
      <c r="EE497" s="1605"/>
      <c r="EF497" s="1605"/>
      <c r="EG497" s="1605"/>
      <c r="EH497" s="1605"/>
      <c r="EI497" s="1605"/>
      <c r="EJ497" s="1605"/>
      <c r="EK497" s="1605"/>
      <c r="EL497" s="1605"/>
      <c r="EM497" s="1605"/>
      <c r="EN497" s="1605"/>
      <c r="EO497" s="1605"/>
      <c r="EP497" s="1605"/>
      <c r="EQ497" s="1605"/>
      <c r="ER497" s="1605"/>
      <c r="ES497" s="1605"/>
      <c r="ET497" s="1605"/>
      <c r="EU497" s="1605"/>
      <c r="EV497" s="1605"/>
      <c r="EW497" s="1605"/>
      <c r="EX497" s="1605"/>
      <c r="EY497" s="1605"/>
      <c r="EZ497" s="1605"/>
      <c r="FA497" s="1605"/>
      <c r="FB497" s="1605"/>
      <c r="FC497" s="1605"/>
      <c r="FD497" s="1605"/>
      <c r="FE497" s="1605"/>
      <c r="FF497" s="1605"/>
      <c r="FG497" s="1605"/>
      <c r="FH497" s="1605"/>
      <c r="FI497" s="1605"/>
      <c r="FJ497" s="1605"/>
      <c r="FK497" s="1605"/>
      <c r="FL497" s="1605"/>
      <c r="FM497" s="1605"/>
      <c r="FN497" s="1605"/>
      <c r="FO497" s="1605"/>
      <c r="FP497" s="1605"/>
      <c r="FQ497" s="1605"/>
      <c r="FR497" s="1605"/>
      <c r="FS497" s="1605"/>
      <c r="FT497" s="1605"/>
      <c r="FU497" s="1605"/>
      <c r="FV497" s="1605"/>
      <c r="FW497" s="1605"/>
      <c r="FX497" s="1605"/>
      <c r="FY497" s="1605"/>
      <c r="FZ497" s="1605"/>
      <c r="GA497" s="1605"/>
      <c r="GB497" s="1605"/>
      <c r="GC497" s="1605"/>
      <c r="GD497" s="1605"/>
      <c r="GE497" s="1605"/>
      <c r="GF497" s="1605"/>
      <c r="GG497" s="1605"/>
      <c r="GH497" s="1605"/>
      <c r="GI497" s="1605"/>
      <c r="GJ497" s="1605"/>
      <c r="GK497" s="1605"/>
      <c r="GL497" s="1605"/>
      <c r="GM497" s="1605"/>
      <c r="GN497" s="1605"/>
      <c r="GO497" s="1605"/>
      <c r="GP497" s="1605"/>
      <c r="GQ497" s="1605"/>
      <c r="GR497" s="1605"/>
      <c r="GS497" s="1605"/>
      <c r="GT497" s="1605"/>
      <c r="GU497" s="1605"/>
      <c r="GV497" s="1605"/>
      <c r="GW497" s="1605"/>
      <c r="GX497" s="1605"/>
      <c r="GY497" s="1605"/>
      <c r="GZ497" s="1605"/>
      <c r="HA497" s="1605"/>
      <c r="HB497" s="1605"/>
      <c r="HC497" s="1605"/>
      <c r="HD497" s="1605"/>
      <c r="HE497" s="1605"/>
      <c r="HF497" s="1605"/>
      <c r="HG497" s="1605"/>
      <c r="HH497" s="1605"/>
      <c r="HI497" s="1605"/>
      <c r="HJ497" s="1605"/>
      <c r="HK497" s="1605"/>
      <c r="HL497" s="1605"/>
      <c r="HM497" s="1605"/>
      <c r="HN497" s="1605"/>
      <c r="HO497" s="1605"/>
      <c r="HP497" s="1605"/>
      <c r="HQ497" s="1605"/>
      <c r="HR497" s="1605"/>
      <c r="HS497" s="1605"/>
      <c r="HT497" s="1605"/>
      <c r="HU497" s="1605"/>
      <c r="HV497" s="1605"/>
      <c r="HW497" s="1605"/>
      <c r="HX497" s="1605"/>
      <c r="HY497" s="1605"/>
      <c r="HZ497" s="1605"/>
      <c r="IA497" s="1605"/>
      <c r="IB497" s="1605"/>
      <c r="IC497" s="1605"/>
      <c r="ID497" s="1605"/>
      <c r="IE497" s="1605"/>
      <c r="IF497" s="1605"/>
      <c r="IG497" s="1605"/>
      <c r="IH497" s="1605"/>
      <c r="II497" s="1605"/>
      <c r="IJ497" s="1605"/>
      <c r="IK497" s="1605"/>
      <c r="IL497" s="1605"/>
      <c r="IM497" s="1605"/>
      <c r="IN497" s="1605"/>
      <c r="IO497" s="1605"/>
      <c r="IP497" s="1605"/>
      <c r="IQ497" s="1605"/>
      <c r="IR497" s="1605"/>
      <c r="IS497" s="1605"/>
      <c r="IT497" s="1605"/>
      <c r="IU497" s="1605"/>
      <c r="IV497" s="1605"/>
      <c r="IW497" s="1605"/>
      <c r="IX497" s="1605"/>
      <c r="IY497" s="1605"/>
      <c r="IZ497" s="1605"/>
      <c r="JA497" s="1605"/>
      <c r="JB497" s="1605"/>
      <c r="JC497" s="1605"/>
      <c r="JD497" s="1605"/>
      <c r="JE497" s="1605"/>
      <c r="JF497" s="1605"/>
      <c r="JG497" s="1605"/>
      <c r="JH497" s="1605"/>
      <c r="JI497" s="1605"/>
      <c r="JJ497" s="1605"/>
      <c r="JK497" s="1605"/>
      <c r="JL497" s="1605"/>
      <c r="JM497" s="1605"/>
      <c r="JN497" s="1605"/>
      <c r="JO497" s="1605"/>
      <c r="JP497" s="1605"/>
      <c r="JQ497" s="1605"/>
      <c r="JR497" s="1605"/>
      <c r="JS497" s="1605"/>
      <c r="JT497" s="1605"/>
      <c r="JU497" s="1605"/>
      <c r="JV497" s="1605"/>
      <c r="JW497" s="1605"/>
      <c r="JX497" s="1605"/>
      <c r="JY497" s="1605"/>
      <c r="JZ497" s="1605"/>
      <c r="KA497" s="1605"/>
      <c r="KB497" s="1606"/>
    </row>
    <row r="498" spans="2:288" ht="15" customHeight="1" x14ac:dyDescent="0.25">
      <c r="B498" s="216" t="str">
        <f t="shared" si="38"/>
        <v>Desk 74</v>
      </c>
      <c r="C498" s="218" t="str">
        <v/>
      </c>
      <c r="D498" s="218" t="str">
        <v/>
      </c>
      <c r="E498" s="218" t="str">
        <v/>
      </c>
      <c r="F498" s="218" t="str">
        <v/>
      </c>
      <c r="G498" s="402" t="str">
        <v/>
      </c>
      <c r="H498" s="1605"/>
      <c r="I498" s="1605"/>
      <c r="J498" s="1605"/>
      <c r="K498" s="1605"/>
      <c r="L498" s="1605"/>
      <c r="M498" s="1605"/>
      <c r="N498" s="1605"/>
      <c r="O498" s="1605"/>
      <c r="P498" s="1605"/>
      <c r="Q498" s="1605"/>
      <c r="R498" s="1605"/>
      <c r="S498" s="1605"/>
      <c r="T498" s="1605"/>
      <c r="U498" s="1605"/>
      <c r="V498" s="1605"/>
      <c r="W498" s="1605"/>
      <c r="X498" s="1605"/>
      <c r="Y498" s="1605"/>
      <c r="Z498" s="1605"/>
      <c r="AA498" s="1605"/>
      <c r="AB498" s="1605"/>
      <c r="AC498" s="1605"/>
      <c r="AD498" s="1605"/>
      <c r="AE498" s="1605"/>
      <c r="AF498" s="1605"/>
      <c r="AG498" s="1605"/>
      <c r="AH498" s="1605"/>
      <c r="AI498" s="1605"/>
      <c r="AJ498" s="1605"/>
      <c r="AK498" s="1605"/>
      <c r="AL498" s="1605"/>
      <c r="AM498" s="1605"/>
      <c r="AN498" s="1605"/>
      <c r="AO498" s="1605"/>
      <c r="AP498" s="1605"/>
      <c r="AQ498" s="1605"/>
      <c r="AR498" s="1605"/>
      <c r="AS498" s="1605"/>
      <c r="AT498" s="1605"/>
      <c r="AU498" s="1605"/>
      <c r="AV498" s="1605"/>
      <c r="AW498" s="1605"/>
      <c r="AX498" s="1605"/>
      <c r="AY498" s="1605"/>
      <c r="AZ498" s="1605"/>
      <c r="BA498" s="1605"/>
      <c r="BB498" s="1605"/>
      <c r="BC498" s="1605"/>
      <c r="BD498" s="1605"/>
      <c r="BE498" s="1605"/>
      <c r="BF498" s="1605"/>
      <c r="BG498" s="1605"/>
      <c r="BH498" s="1605"/>
      <c r="BI498" s="1605"/>
      <c r="BJ498" s="1605"/>
      <c r="BK498" s="1605"/>
      <c r="BL498" s="1605"/>
      <c r="BM498" s="1605"/>
      <c r="BN498" s="1605"/>
      <c r="BO498" s="1605"/>
      <c r="BP498" s="1605"/>
      <c r="BQ498" s="1605"/>
      <c r="BR498" s="1605"/>
      <c r="BS498" s="1605"/>
      <c r="BT498" s="1605"/>
      <c r="BU498" s="1605"/>
      <c r="BV498" s="1605"/>
      <c r="BW498" s="1605"/>
      <c r="BX498" s="1605"/>
      <c r="BY498" s="1605"/>
      <c r="BZ498" s="1605"/>
      <c r="CA498" s="1605"/>
      <c r="CB498" s="1605"/>
      <c r="CC498" s="1605"/>
      <c r="CD498" s="1605"/>
      <c r="CE498" s="1605"/>
      <c r="CF498" s="1605"/>
      <c r="CG498" s="1605"/>
      <c r="CH498" s="1605"/>
      <c r="CI498" s="1605"/>
      <c r="CJ498" s="1605"/>
      <c r="CK498" s="1605"/>
      <c r="CL498" s="1605"/>
      <c r="CM498" s="1605"/>
      <c r="CN498" s="1605"/>
      <c r="CO498" s="1605"/>
      <c r="CP498" s="1605"/>
      <c r="CQ498" s="1605"/>
      <c r="CR498" s="1605"/>
      <c r="CS498" s="1605"/>
      <c r="CT498" s="1605"/>
      <c r="CU498" s="1605"/>
      <c r="CV498" s="1605"/>
      <c r="CW498" s="1605"/>
      <c r="CX498" s="1605"/>
      <c r="CY498" s="1605"/>
      <c r="CZ498" s="1605"/>
      <c r="DA498" s="1605"/>
      <c r="DB498" s="1605"/>
      <c r="DC498" s="1605"/>
      <c r="DD498" s="1605"/>
      <c r="DE498" s="1605"/>
      <c r="DF498" s="1605"/>
      <c r="DG498" s="1605"/>
      <c r="DH498" s="1605"/>
      <c r="DI498" s="1605"/>
      <c r="DJ498" s="1605"/>
      <c r="DK498" s="1605"/>
      <c r="DL498" s="1605"/>
      <c r="DM498" s="1605"/>
      <c r="DN498" s="1605"/>
      <c r="DO498" s="1605"/>
      <c r="DP498" s="1605"/>
      <c r="DQ498" s="1605"/>
      <c r="DR498" s="1605"/>
      <c r="DS498" s="1605"/>
      <c r="DT498" s="1605"/>
      <c r="DU498" s="1605"/>
      <c r="DV498" s="1605"/>
      <c r="DW498" s="1605"/>
      <c r="DX498" s="1605"/>
      <c r="DY498" s="1605"/>
      <c r="DZ498" s="1605"/>
      <c r="EA498" s="1605"/>
      <c r="EB498" s="1605"/>
      <c r="EC498" s="1605"/>
      <c r="ED498" s="1605"/>
      <c r="EE498" s="1605"/>
      <c r="EF498" s="1605"/>
      <c r="EG498" s="1605"/>
      <c r="EH498" s="1605"/>
      <c r="EI498" s="1605"/>
      <c r="EJ498" s="1605"/>
      <c r="EK498" s="1605"/>
      <c r="EL498" s="1605"/>
      <c r="EM498" s="1605"/>
      <c r="EN498" s="1605"/>
      <c r="EO498" s="1605"/>
      <c r="EP498" s="1605"/>
      <c r="EQ498" s="1605"/>
      <c r="ER498" s="1605"/>
      <c r="ES498" s="1605"/>
      <c r="ET498" s="1605"/>
      <c r="EU498" s="1605"/>
      <c r="EV498" s="1605"/>
      <c r="EW498" s="1605"/>
      <c r="EX498" s="1605"/>
      <c r="EY498" s="1605"/>
      <c r="EZ498" s="1605"/>
      <c r="FA498" s="1605"/>
      <c r="FB498" s="1605"/>
      <c r="FC498" s="1605"/>
      <c r="FD498" s="1605"/>
      <c r="FE498" s="1605"/>
      <c r="FF498" s="1605"/>
      <c r="FG498" s="1605"/>
      <c r="FH498" s="1605"/>
      <c r="FI498" s="1605"/>
      <c r="FJ498" s="1605"/>
      <c r="FK498" s="1605"/>
      <c r="FL498" s="1605"/>
      <c r="FM498" s="1605"/>
      <c r="FN498" s="1605"/>
      <c r="FO498" s="1605"/>
      <c r="FP498" s="1605"/>
      <c r="FQ498" s="1605"/>
      <c r="FR498" s="1605"/>
      <c r="FS498" s="1605"/>
      <c r="FT498" s="1605"/>
      <c r="FU498" s="1605"/>
      <c r="FV498" s="1605"/>
      <c r="FW498" s="1605"/>
      <c r="FX498" s="1605"/>
      <c r="FY498" s="1605"/>
      <c r="FZ498" s="1605"/>
      <c r="GA498" s="1605"/>
      <c r="GB498" s="1605"/>
      <c r="GC498" s="1605"/>
      <c r="GD498" s="1605"/>
      <c r="GE498" s="1605"/>
      <c r="GF498" s="1605"/>
      <c r="GG498" s="1605"/>
      <c r="GH498" s="1605"/>
      <c r="GI498" s="1605"/>
      <c r="GJ498" s="1605"/>
      <c r="GK498" s="1605"/>
      <c r="GL498" s="1605"/>
      <c r="GM498" s="1605"/>
      <c r="GN498" s="1605"/>
      <c r="GO498" s="1605"/>
      <c r="GP498" s="1605"/>
      <c r="GQ498" s="1605"/>
      <c r="GR498" s="1605"/>
      <c r="GS498" s="1605"/>
      <c r="GT498" s="1605"/>
      <c r="GU498" s="1605"/>
      <c r="GV498" s="1605"/>
      <c r="GW498" s="1605"/>
      <c r="GX498" s="1605"/>
      <c r="GY498" s="1605"/>
      <c r="GZ498" s="1605"/>
      <c r="HA498" s="1605"/>
      <c r="HB498" s="1605"/>
      <c r="HC498" s="1605"/>
      <c r="HD498" s="1605"/>
      <c r="HE498" s="1605"/>
      <c r="HF498" s="1605"/>
      <c r="HG498" s="1605"/>
      <c r="HH498" s="1605"/>
      <c r="HI498" s="1605"/>
      <c r="HJ498" s="1605"/>
      <c r="HK498" s="1605"/>
      <c r="HL498" s="1605"/>
      <c r="HM498" s="1605"/>
      <c r="HN498" s="1605"/>
      <c r="HO498" s="1605"/>
      <c r="HP498" s="1605"/>
      <c r="HQ498" s="1605"/>
      <c r="HR498" s="1605"/>
      <c r="HS498" s="1605"/>
      <c r="HT498" s="1605"/>
      <c r="HU498" s="1605"/>
      <c r="HV498" s="1605"/>
      <c r="HW498" s="1605"/>
      <c r="HX498" s="1605"/>
      <c r="HY498" s="1605"/>
      <c r="HZ498" s="1605"/>
      <c r="IA498" s="1605"/>
      <c r="IB498" s="1605"/>
      <c r="IC498" s="1605"/>
      <c r="ID498" s="1605"/>
      <c r="IE498" s="1605"/>
      <c r="IF498" s="1605"/>
      <c r="IG498" s="1605"/>
      <c r="IH498" s="1605"/>
      <c r="II498" s="1605"/>
      <c r="IJ498" s="1605"/>
      <c r="IK498" s="1605"/>
      <c r="IL498" s="1605"/>
      <c r="IM498" s="1605"/>
      <c r="IN498" s="1605"/>
      <c r="IO498" s="1605"/>
      <c r="IP498" s="1605"/>
      <c r="IQ498" s="1605"/>
      <c r="IR498" s="1605"/>
      <c r="IS498" s="1605"/>
      <c r="IT498" s="1605"/>
      <c r="IU498" s="1605"/>
      <c r="IV498" s="1605"/>
      <c r="IW498" s="1605"/>
      <c r="IX498" s="1605"/>
      <c r="IY498" s="1605"/>
      <c r="IZ498" s="1605"/>
      <c r="JA498" s="1605"/>
      <c r="JB498" s="1605"/>
      <c r="JC498" s="1605"/>
      <c r="JD498" s="1605"/>
      <c r="JE498" s="1605"/>
      <c r="JF498" s="1605"/>
      <c r="JG498" s="1605"/>
      <c r="JH498" s="1605"/>
      <c r="JI498" s="1605"/>
      <c r="JJ498" s="1605"/>
      <c r="JK498" s="1605"/>
      <c r="JL498" s="1605"/>
      <c r="JM498" s="1605"/>
      <c r="JN498" s="1605"/>
      <c r="JO498" s="1605"/>
      <c r="JP498" s="1605"/>
      <c r="JQ498" s="1605"/>
      <c r="JR498" s="1605"/>
      <c r="JS498" s="1605"/>
      <c r="JT498" s="1605"/>
      <c r="JU498" s="1605"/>
      <c r="JV498" s="1605"/>
      <c r="JW498" s="1605"/>
      <c r="JX498" s="1605"/>
      <c r="JY498" s="1605"/>
      <c r="JZ498" s="1605"/>
      <c r="KA498" s="1605"/>
      <c r="KB498" s="1606"/>
    </row>
    <row r="499" spans="2:288" ht="15" customHeight="1" x14ac:dyDescent="0.25">
      <c r="B499" s="216" t="str">
        <f t="shared" si="38"/>
        <v>Desk 75</v>
      </c>
      <c r="C499" s="218" t="str">
        <v/>
      </c>
      <c r="D499" s="218" t="str">
        <v/>
      </c>
      <c r="E499" s="218" t="str">
        <v/>
      </c>
      <c r="F499" s="218" t="str">
        <v/>
      </c>
      <c r="G499" s="402" t="str">
        <v/>
      </c>
      <c r="H499" s="1605"/>
      <c r="I499" s="1605"/>
      <c r="J499" s="1605"/>
      <c r="K499" s="1605"/>
      <c r="L499" s="1605"/>
      <c r="M499" s="1605"/>
      <c r="N499" s="1605"/>
      <c r="O499" s="1605"/>
      <c r="P499" s="1605"/>
      <c r="Q499" s="1605"/>
      <c r="R499" s="1605"/>
      <c r="S499" s="1605"/>
      <c r="T499" s="1605"/>
      <c r="U499" s="1605"/>
      <c r="V499" s="1605"/>
      <c r="W499" s="1605"/>
      <c r="X499" s="1605"/>
      <c r="Y499" s="1605"/>
      <c r="Z499" s="1605"/>
      <c r="AA499" s="1605"/>
      <c r="AB499" s="1605"/>
      <c r="AC499" s="1605"/>
      <c r="AD499" s="1605"/>
      <c r="AE499" s="1605"/>
      <c r="AF499" s="1605"/>
      <c r="AG499" s="1605"/>
      <c r="AH499" s="1605"/>
      <c r="AI499" s="1605"/>
      <c r="AJ499" s="1605"/>
      <c r="AK499" s="1605"/>
      <c r="AL499" s="1605"/>
      <c r="AM499" s="1605"/>
      <c r="AN499" s="1605"/>
      <c r="AO499" s="1605"/>
      <c r="AP499" s="1605"/>
      <c r="AQ499" s="1605"/>
      <c r="AR499" s="1605"/>
      <c r="AS499" s="1605"/>
      <c r="AT499" s="1605"/>
      <c r="AU499" s="1605"/>
      <c r="AV499" s="1605"/>
      <c r="AW499" s="1605"/>
      <c r="AX499" s="1605"/>
      <c r="AY499" s="1605"/>
      <c r="AZ499" s="1605"/>
      <c r="BA499" s="1605"/>
      <c r="BB499" s="1605"/>
      <c r="BC499" s="1605"/>
      <c r="BD499" s="1605"/>
      <c r="BE499" s="1605"/>
      <c r="BF499" s="1605"/>
      <c r="BG499" s="1605"/>
      <c r="BH499" s="1605"/>
      <c r="BI499" s="1605"/>
      <c r="BJ499" s="1605"/>
      <c r="BK499" s="1605"/>
      <c r="BL499" s="1605"/>
      <c r="BM499" s="1605"/>
      <c r="BN499" s="1605"/>
      <c r="BO499" s="1605"/>
      <c r="BP499" s="1605"/>
      <c r="BQ499" s="1605"/>
      <c r="BR499" s="1605"/>
      <c r="BS499" s="1605"/>
      <c r="BT499" s="1605"/>
      <c r="BU499" s="1605"/>
      <c r="BV499" s="1605"/>
      <c r="BW499" s="1605"/>
      <c r="BX499" s="1605"/>
      <c r="BY499" s="1605"/>
      <c r="BZ499" s="1605"/>
      <c r="CA499" s="1605"/>
      <c r="CB499" s="1605"/>
      <c r="CC499" s="1605"/>
      <c r="CD499" s="1605"/>
      <c r="CE499" s="1605"/>
      <c r="CF499" s="1605"/>
      <c r="CG499" s="1605"/>
      <c r="CH499" s="1605"/>
      <c r="CI499" s="1605"/>
      <c r="CJ499" s="1605"/>
      <c r="CK499" s="1605"/>
      <c r="CL499" s="1605"/>
      <c r="CM499" s="1605"/>
      <c r="CN499" s="1605"/>
      <c r="CO499" s="1605"/>
      <c r="CP499" s="1605"/>
      <c r="CQ499" s="1605"/>
      <c r="CR499" s="1605"/>
      <c r="CS499" s="1605"/>
      <c r="CT499" s="1605"/>
      <c r="CU499" s="1605"/>
      <c r="CV499" s="1605"/>
      <c r="CW499" s="1605"/>
      <c r="CX499" s="1605"/>
      <c r="CY499" s="1605"/>
      <c r="CZ499" s="1605"/>
      <c r="DA499" s="1605"/>
      <c r="DB499" s="1605"/>
      <c r="DC499" s="1605"/>
      <c r="DD499" s="1605"/>
      <c r="DE499" s="1605"/>
      <c r="DF499" s="1605"/>
      <c r="DG499" s="1605"/>
      <c r="DH499" s="1605"/>
      <c r="DI499" s="1605"/>
      <c r="DJ499" s="1605"/>
      <c r="DK499" s="1605"/>
      <c r="DL499" s="1605"/>
      <c r="DM499" s="1605"/>
      <c r="DN499" s="1605"/>
      <c r="DO499" s="1605"/>
      <c r="DP499" s="1605"/>
      <c r="DQ499" s="1605"/>
      <c r="DR499" s="1605"/>
      <c r="DS499" s="1605"/>
      <c r="DT499" s="1605"/>
      <c r="DU499" s="1605"/>
      <c r="DV499" s="1605"/>
      <c r="DW499" s="1605"/>
      <c r="DX499" s="1605"/>
      <c r="DY499" s="1605"/>
      <c r="DZ499" s="1605"/>
      <c r="EA499" s="1605"/>
      <c r="EB499" s="1605"/>
      <c r="EC499" s="1605"/>
      <c r="ED499" s="1605"/>
      <c r="EE499" s="1605"/>
      <c r="EF499" s="1605"/>
      <c r="EG499" s="1605"/>
      <c r="EH499" s="1605"/>
      <c r="EI499" s="1605"/>
      <c r="EJ499" s="1605"/>
      <c r="EK499" s="1605"/>
      <c r="EL499" s="1605"/>
      <c r="EM499" s="1605"/>
      <c r="EN499" s="1605"/>
      <c r="EO499" s="1605"/>
      <c r="EP499" s="1605"/>
      <c r="EQ499" s="1605"/>
      <c r="ER499" s="1605"/>
      <c r="ES499" s="1605"/>
      <c r="ET499" s="1605"/>
      <c r="EU499" s="1605"/>
      <c r="EV499" s="1605"/>
      <c r="EW499" s="1605"/>
      <c r="EX499" s="1605"/>
      <c r="EY499" s="1605"/>
      <c r="EZ499" s="1605"/>
      <c r="FA499" s="1605"/>
      <c r="FB499" s="1605"/>
      <c r="FC499" s="1605"/>
      <c r="FD499" s="1605"/>
      <c r="FE499" s="1605"/>
      <c r="FF499" s="1605"/>
      <c r="FG499" s="1605"/>
      <c r="FH499" s="1605"/>
      <c r="FI499" s="1605"/>
      <c r="FJ499" s="1605"/>
      <c r="FK499" s="1605"/>
      <c r="FL499" s="1605"/>
      <c r="FM499" s="1605"/>
      <c r="FN499" s="1605"/>
      <c r="FO499" s="1605"/>
      <c r="FP499" s="1605"/>
      <c r="FQ499" s="1605"/>
      <c r="FR499" s="1605"/>
      <c r="FS499" s="1605"/>
      <c r="FT499" s="1605"/>
      <c r="FU499" s="1605"/>
      <c r="FV499" s="1605"/>
      <c r="FW499" s="1605"/>
      <c r="FX499" s="1605"/>
      <c r="FY499" s="1605"/>
      <c r="FZ499" s="1605"/>
      <c r="GA499" s="1605"/>
      <c r="GB499" s="1605"/>
      <c r="GC499" s="1605"/>
      <c r="GD499" s="1605"/>
      <c r="GE499" s="1605"/>
      <c r="GF499" s="1605"/>
      <c r="GG499" s="1605"/>
      <c r="GH499" s="1605"/>
      <c r="GI499" s="1605"/>
      <c r="GJ499" s="1605"/>
      <c r="GK499" s="1605"/>
      <c r="GL499" s="1605"/>
      <c r="GM499" s="1605"/>
      <c r="GN499" s="1605"/>
      <c r="GO499" s="1605"/>
      <c r="GP499" s="1605"/>
      <c r="GQ499" s="1605"/>
      <c r="GR499" s="1605"/>
      <c r="GS499" s="1605"/>
      <c r="GT499" s="1605"/>
      <c r="GU499" s="1605"/>
      <c r="GV499" s="1605"/>
      <c r="GW499" s="1605"/>
      <c r="GX499" s="1605"/>
      <c r="GY499" s="1605"/>
      <c r="GZ499" s="1605"/>
      <c r="HA499" s="1605"/>
      <c r="HB499" s="1605"/>
      <c r="HC499" s="1605"/>
      <c r="HD499" s="1605"/>
      <c r="HE499" s="1605"/>
      <c r="HF499" s="1605"/>
      <c r="HG499" s="1605"/>
      <c r="HH499" s="1605"/>
      <c r="HI499" s="1605"/>
      <c r="HJ499" s="1605"/>
      <c r="HK499" s="1605"/>
      <c r="HL499" s="1605"/>
      <c r="HM499" s="1605"/>
      <c r="HN499" s="1605"/>
      <c r="HO499" s="1605"/>
      <c r="HP499" s="1605"/>
      <c r="HQ499" s="1605"/>
      <c r="HR499" s="1605"/>
      <c r="HS499" s="1605"/>
      <c r="HT499" s="1605"/>
      <c r="HU499" s="1605"/>
      <c r="HV499" s="1605"/>
      <c r="HW499" s="1605"/>
      <c r="HX499" s="1605"/>
      <c r="HY499" s="1605"/>
      <c r="HZ499" s="1605"/>
      <c r="IA499" s="1605"/>
      <c r="IB499" s="1605"/>
      <c r="IC499" s="1605"/>
      <c r="ID499" s="1605"/>
      <c r="IE499" s="1605"/>
      <c r="IF499" s="1605"/>
      <c r="IG499" s="1605"/>
      <c r="IH499" s="1605"/>
      <c r="II499" s="1605"/>
      <c r="IJ499" s="1605"/>
      <c r="IK499" s="1605"/>
      <c r="IL499" s="1605"/>
      <c r="IM499" s="1605"/>
      <c r="IN499" s="1605"/>
      <c r="IO499" s="1605"/>
      <c r="IP499" s="1605"/>
      <c r="IQ499" s="1605"/>
      <c r="IR499" s="1605"/>
      <c r="IS499" s="1605"/>
      <c r="IT499" s="1605"/>
      <c r="IU499" s="1605"/>
      <c r="IV499" s="1605"/>
      <c r="IW499" s="1605"/>
      <c r="IX499" s="1605"/>
      <c r="IY499" s="1605"/>
      <c r="IZ499" s="1605"/>
      <c r="JA499" s="1605"/>
      <c r="JB499" s="1605"/>
      <c r="JC499" s="1605"/>
      <c r="JD499" s="1605"/>
      <c r="JE499" s="1605"/>
      <c r="JF499" s="1605"/>
      <c r="JG499" s="1605"/>
      <c r="JH499" s="1605"/>
      <c r="JI499" s="1605"/>
      <c r="JJ499" s="1605"/>
      <c r="JK499" s="1605"/>
      <c r="JL499" s="1605"/>
      <c r="JM499" s="1605"/>
      <c r="JN499" s="1605"/>
      <c r="JO499" s="1605"/>
      <c r="JP499" s="1605"/>
      <c r="JQ499" s="1605"/>
      <c r="JR499" s="1605"/>
      <c r="JS499" s="1605"/>
      <c r="JT499" s="1605"/>
      <c r="JU499" s="1605"/>
      <c r="JV499" s="1605"/>
      <c r="JW499" s="1605"/>
      <c r="JX499" s="1605"/>
      <c r="JY499" s="1605"/>
      <c r="JZ499" s="1605"/>
      <c r="KA499" s="1605"/>
      <c r="KB499" s="1606"/>
    </row>
    <row r="500" spans="2:288" ht="15" customHeight="1" x14ac:dyDescent="0.25">
      <c r="B500" s="216" t="str">
        <f t="shared" si="38"/>
        <v>Desk 76</v>
      </c>
      <c r="C500" s="218" t="str">
        <v/>
      </c>
      <c r="D500" s="218" t="str">
        <v/>
      </c>
      <c r="E500" s="218" t="str">
        <v/>
      </c>
      <c r="F500" s="218" t="str">
        <v/>
      </c>
      <c r="G500" s="402" t="str">
        <v/>
      </c>
      <c r="H500" s="1605"/>
      <c r="I500" s="1605"/>
      <c r="J500" s="1605"/>
      <c r="K500" s="1605"/>
      <c r="L500" s="1605"/>
      <c r="M500" s="1605"/>
      <c r="N500" s="1605"/>
      <c r="O500" s="1605"/>
      <c r="P500" s="1605"/>
      <c r="Q500" s="1605"/>
      <c r="R500" s="1605"/>
      <c r="S500" s="1605"/>
      <c r="T500" s="1605"/>
      <c r="U500" s="1605"/>
      <c r="V500" s="1605"/>
      <c r="W500" s="1605"/>
      <c r="X500" s="1605"/>
      <c r="Y500" s="1605"/>
      <c r="Z500" s="1605"/>
      <c r="AA500" s="1605"/>
      <c r="AB500" s="1605"/>
      <c r="AC500" s="1605"/>
      <c r="AD500" s="1605"/>
      <c r="AE500" s="1605"/>
      <c r="AF500" s="1605"/>
      <c r="AG500" s="1605"/>
      <c r="AH500" s="1605"/>
      <c r="AI500" s="1605"/>
      <c r="AJ500" s="1605"/>
      <c r="AK500" s="1605"/>
      <c r="AL500" s="1605"/>
      <c r="AM500" s="1605"/>
      <c r="AN500" s="1605"/>
      <c r="AO500" s="1605"/>
      <c r="AP500" s="1605"/>
      <c r="AQ500" s="1605"/>
      <c r="AR500" s="1605"/>
      <c r="AS500" s="1605"/>
      <c r="AT500" s="1605"/>
      <c r="AU500" s="1605"/>
      <c r="AV500" s="1605"/>
      <c r="AW500" s="1605"/>
      <c r="AX500" s="1605"/>
      <c r="AY500" s="1605"/>
      <c r="AZ500" s="1605"/>
      <c r="BA500" s="1605"/>
      <c r="BB500" s="1605"/>
      <c r="BC500" s="1605"/>
      <c r="BD500" s="1605"/>
      <c r="BE500" s="1605"/>
      <c r="BF500" s="1605"/>
      <c r="BG500" s="1605"/>
      <c r="BH500" s="1605"/>
      <c r="BI500" s="1605"/>
      <c r="BJ500" s="1605"/>
      <c r="BK500" s="1605"/>
      <c r="BL500" s="1605"/>
      <c r="BM500" s="1605"/>
      <c r="BN500" s="1605"/>
      <c r="BO500" s="1605"/>
      <c r="BP500" s="1605"/>
      <c r="BQ500" s="1605"/>
      <c r="BR500" s="1605"/>
      <c r="BS500" s="1605"/>
      <c r="BT500" s="1605"/>
      <c r="BU500" s="1605"/>
      <c r="BV500" s="1605"/>
      <c r="BW500" s="1605"/>
      <c r="BX500" s="1605"/>
      <c r="BY500" s="1605"/>
      <c r="BZ500" s="1605"/>
      <c r="CA500" s="1605"/>
      <c r="CB500" s="1605"/>
      <c r="CC500" s="1605"/>
      <c r="CD500" s="1605"/>
      <c r="CE500" s="1605"/>
      <c r="CF500" s="1605"/>
      <c r="CG500" s="1605"/>
      <c r="CH500" s="1605"/>
      <c r="CI500" s="1605"/>
      <c r="CJ500" s="1605"/>
      <c r="CK500" s="1605"/>
      <c r="CL500" s="1605"/>
      <c r="CM500" s="1605"/>
      <c r="CN500" s="1605"/>
      <c r="CO500" s="1605"/>
      <c r="CP500" s="1605"/>
      <c r="CQ500" s="1605"/>
      <c r="CR500" s="1605"/>
      <c r="CS500" s="1605"/>
      <c r="CT500" s="1605"/>
      <c r="CU500" s="1605"/>
      <c r="CV500" s="1605"/>
      <c r="CW500" s="1605"/>
      <c r="CX500" s="1605"/>
      <c r="CY500" s="1605"/>
      <c r="CZ500" s="1605"/>
      <c r="DA500" s="1605"/>
      <c r="DB500" s="1605"/>
      <c r="DC500" s="1605"/>
      <c r="DD500" s="1605"/>
      <c r="DE500" s="1605"/>
      <c r="DF500" s="1605"/>
      <c r="DG500" s="1605"/>
      <c r="DH500" s="1605"/>
      <c r="DI500" s="1605"/>
      <c r="DJ500" s="1605"/>
      <c r="DK500" s="1605"/>
      <c r="DL500" s="1605"/>
      <c r="DM500" s="1605"/>
      <c r="DN500" s="1605"/>
      <c r="DO500" s="1605"/>
      <c r="DP500" s="1605"/>
      <c r="DQ500" s="1605"/>
      <c r="DR500" s="1605"/>
      <c r="DS500" s="1605"/>
      <c r="DT500" s="1605"/>
      <c r="DU500" s="1605"/>
      <c r="DV500" s="1605"/>
      <c r="DW500" s="1605"/>
      <c r="DX500" s="1605"/>
      <c r="DY500" s="1605"/>
      <c r="DZ500" s="1605"/>
      <c r="EA500" s="1605"/>
      <c r="EB500" s="1605"/>
      <c r="EC500" s="1605"/>
      <c r="ED500" s="1605"/>
      <c r="EE500" s="1605"/>
      <c r="EF500" s="1605"/>
      <c r="EG500" s="1605"/>
      <c r="EH500" s="1605"/>
      <c r="EI500" s="1605"/>
      <c r="EJ500" s="1605"/>
      <c r="EK500" s="1605"/>
      <c r="EL500" s="1605"/>
      <c r="EM500" s="1605"/>
      <c r="EN500" s="1605"/>
      <c r="EO500" s="1605"/>
      <c r="EP500" s="1605"/>
      <c r="EQ500" s="1605"/>
      <c r="ER500" s="1605"/>
      <c r="ES500" s="1605"/>
      <c r="ET500" s="1605"/>
      <c r="EU500" s="1605"/>
      <c r="EV500" s="1605"/>
      <c r="EW500" s="1605"/>
      <c r="EX500" s="1605"/>
      <c r="EY500" s="1605"/>
      <c r="EZ500" s="1605"/>
      <c r="FA500" s="1605"/>
      <c r="FB500" s="1605"/>
      <c r="FC500" s="1605"/>
      <c r="FD500" s="1605"/>
      <c r="FE500" s="1605"/>
      <c r="FF500" s="1605"/>
      <c r="FG500" s="1605"/>
      <c r="FH500" s="1605"/>
      <c r="FI500" s="1605"/>
      <c r="FJ500" s="1605"/>
      <c r="FK500" s="1605"/>
      <c r="FL500" s="1605"/>
      <c r="FM500" s="1605"/>
      <c r="FN500" s="1605"/>
      <c r="FO500" s="1605"/>
      <c r="FP500" s="1605"/>
      <c r="FQ500" s="1605"/>
      <c r="FR500" s="1605"/>
      <c r="FS500" s="1605"/>
      <c r="FT500" s="1605"/>
      <c r="FU500" s="1605"/>
      <c r="FV500" s="1605"/>
      <c r="FW500" s="1605"/>
      <c r="FX500" s="1605"/>
      <c r="FY500" s="1605"/>
      <c r="FZ500" s="1605"/>
      <c r="GA500" s="1605"/>
      <c r="GB500" s="1605"/>
      <c r="GC500" s="1605"/>
      <c r="GD500" s="1605"/>
      <c r="GE500" s="1605"/>
      <c r="GF500" s="1605"/>
      <c r="GG500" s="1605"/>
      <c r="GH500" s="1605"/>
      <c r="GI500" s="1605"/>
      <c r="GJ500" s="1605"/>
      <c r="GK500" s="1605"/>
      <c r="GL500" s="1605"/>
      <c r="GM500" s="1605"/>
      <c r="GN500" s="1605"/>
      <c r="GO500" s="1605"/>
      <c r="GP500" s="1605"/>
      <c r="GQ500" s="1605"/>
      <c r="GR500" s="1605"/>
      <c r="GS500" s="1605"/>
      <c r="GT500" s="1605"/>
      <c r="GU500" s="1605"/>
      <c r="GV500" s="1605"/>
      <c r="GW500" s="1605"/>
      <c r="GX500" s="1605"/>
      <c r="GY500" s="1605"/>
      <c r="GZ500" s="1605"/>
      <c r="HA500" s="1605"/>
      <c r="HB500" s="1605"/>
      <c r="HC500" s="1605"/>
      <c r="HD500" s="1605"/>
      <c r="HE500" s="1605"/>
      <c r="HF500" s="1605"/>
      <c r="HG500" s="1605"/>
      <c r="HH500" s="1605"/>
      <c r="HI500" s="1605"/>
      <c r="HJ500" s="1605"/>
      <c r="HK500" s="1605"/>
      <c r="HL500" s="1605"/>
      <c r="HM500" s="1605"/>
      <c r="HN500" s="1605"/>
      <c r="HO500" s="1605"/>
      <c r="HP500" s="1605"/>
      <c r="HQ500" s="1605"/>
      <c r="HR500" s="1605"/>
      <c r="HS500" s="1605"/>
      <c r="HT500" s="1605"/>
      <c r="HU500" s="1605"/>
      <c r="HV500" s="1605"/>
      <c r="HW500" s="1605"/>
      <c r="HX500" s="1605"/>
      <c r="HY500" s="1605"/>
      <c r="HZ500" s="1605"/>
      <c r="IA500" s="1605"/>
      <c r="IB500" s="1605"/>
      <c r="IC500" s="1605"/>
      <c r="ID500" s="1605"/>
      <c r="IE500" s="1605"/>
      <c r="IF500" s="1605"/>
      <c r="IG500" s="1605"/>
      <c r="IH500" s="1605"/>
      <c r="II500" s="1605"/>
      <c r="IJ500" s="1605"/>
      <c r="IK500" s="1605"/>
      <c r="IL500" s="1605"/>
      <c r="IM500" s="1605"/>
      <c r="IN500" s="1605"/>
      <c r="IO500" s="1605"/>
      <c r="IP500" s="1605"/>
      <c r="IQ500" s="1605"/>
      <c r="IR500" s="1605"/>
      <c r="IS500" s="1605"/>
      <c r="IT500" s="1605"/>
      <c r="IU500" s="1605"/>
      <c r="IV500" s="1605"/>
      <c r="IW500" s="1605"/>
      <c r="IX500" s="1605"/>
      <c r="IY500" s="1605"/>
      <c r="IZ500" s="1605"/>
      <c r="JA500" s="1605"/>
      <c r="JB500" s="1605"/>
      <c r="JC500" s="1605"/>
      <c r="JD500" s="1605"/>
      <c r="JE500" s="1605"/>
      <c r="JF500" s="1605"/>
      <c r="JG500" s="1605"/>
      <c r="JH500" s="1605"/>
      <c r="JI500" s="1605"/>
      <c r="JJ500" s="1605"/>
      <c r="JK500" s="1605"/>
      <c r="JL500" s="1605"/>
      <c r="JM500" s="1605"/>
      <c r="JN500" s="1605"/>
      <c r="JO500" s="1605"/>
      <c r="JP500" s="1605"/>
      <c r="JQ500" s="1605"/>
      <c r="JR500" s="1605"/>
      <c r="JS500" s="1605"/>
      <c r="JT500" s="1605"/>
      <c r="JU500" s="1605"/>
      <c r="JV500" s="1605"/>
      <c r="JW500" s="1605"/>
      <c r="JX500" s="1605"/>
      <c r="JY500" s="1605"/>
      <c r="JZ500" s="1605"/>
      <c r="KA500" s="1605"/>
      <c r="KB500" s="1606"/>
    </row>
    <row r="501" spans="2:288" ht="15" customHeight="1" x14ac:dyDescent="0.25">
      <c r="B501" s="216" t="str">
        <f t="shared" si="38"/>
        <v>Desk 77</v>
      </c>
      <c r="C501" s="218" t="str">
        <v/>
      </c>
      <c r="D501" s="218" t="str">
        <v/>
      </c>
      <c r="E501" s="218" t="str">
        <v/>
      </c>
      <c r="F501" s="218" t="str">
        <v/>
      </c>
      <c r="G501" s="402" t="str">
        <v/>
      </c>
      <c r="H501" s="1605"/>
      <c r="I501" s="1605"/>
      <c r="J501" s="1605"/>
      <c r="K501" s="1605"/>
      <c r="L501" s="1605"/>
      <c r="M501" s="1605"/>
      <c r="N501" s="1605"/>
      <c r="O501" s="1605"/>
      <c r="P501" s="1605"/>
      <c r="Q501" s="1605"/>
      <c r="R501" s="1605"/>
      <c r="S501" s="1605"/>
      <c r="T501" s="1605"/>
      <c r="U501" s="1605"/>
      <c r="V501" s="1605"/>
      <c r="W501" s="1605"/>
      <c r="X501" s="1605"/>
      <c r="Y501" s="1605"/>
      <c r="Z501" s="1605"/>
      <c r="AA501" s="1605"/>
      <c r="AB501" s="1605"/>
      <c r="AC501" s="1605"/>
      <c r="AD501" s="1605"/>
      <c r="AE501" s="1605"/>
      <c r="AF501" s="1605"/>
      <c r="AG501" s="1605"/>
      <c r="AH501" s="1605"/>
      <c r="AI501" s="1605"/>
      <c r="AJ501" s="1605"/>
      <c r="AK501" s="1605"/>
      <c r="AL501" s="1605"/>
      <c r="AM501" s="1605"/>
      <c r="AN501" s="1605"/>
      <c r="AO501" s="1605"/>
      <c r="AP501" s="1605"/>
      <c r="AQ501" s="1605"/>
      <c r="AR501" s="1605"/>
      <c r="AS501" s="1605"/>
      <c r="AT501" s="1605"/>
      <c r="AU501" s="1605"/>
      <c r="AV501" s="1605"/>
      <c r="AW501" s="1605"/>
      <c r="AX501" s="1605"/>
      <c r="AY501" s="1605"/>
      <c r="AZ501" s="1605"/>
      <c r="BA501" s="1605"/>
      <c r="BB501" s="1605"/>
      <c r="BC501" s="1605"/>
      <c r="BD501" s="1605"/>
      <c r="BE501" s="1605"/>
      <c r="BF501" s="1605"/>
      <c r="BG501" s="1605"/>
      <c r="BH501" s="1605"/>
      <c r="BI501" s="1605"/>
      <c r="BJ501" s="1605"/>
      <c r="BK501" s="1605"/>
      <c r="BL501" s="1605"/>
      <c r="BM501" s="1605"/>
      <c r="BN501" s="1605"/>
      <c r="BO501" s="1605"/>
      <c r="BP501" s="1605"/>
      <c r="BQ501" s="1605"/>
      <c r="BR501" s="1605"/>
      <c r="BS501" s="1605"/>
      <c r="BT501" s="1605"/>
      <c r="BU501" s="1605"/>
      <c r="BV501" s="1605"/>
      <c r="BW501" s="1605"/>
      <c r="BX501" s="1605"/>
      <c r="BY501" s="1605"/>
      <c r="BZ501" s="1605"/>
      <c r="CA501" s="1605"/>
      <c r="CB501" s="1605"/>
      <c r="CC501" s="1605"/>
      <c r="CD501" s="1605"/>
      <c r="CE501" s="1605"/>
      <c r="CF501" s="1605"/>
      <c r="CG501" s="1605"/>
      <c r="CH501" s="1605"/>
      <c r="CI501" s="1605"/>
      <c r="CJ501" s="1605"/>
      <c r="CK501" s="1605"/>
      <c r="CL501" s="1605"/>
      <c r="CM501" s="1605"/>
      <c r="CN501" s="1605"/>
      <c r="CO501" s="1605"/>
      <c r="CP501" s="1605"/>
      <c r="CQ501" s="1605"/>
      <c r="CR501" s="1605"/>
      <c r="CS501" s="1605"/>
      <c r="CT501" s="1605"/>
      <c r="CU501" s="1605"/>
      <c r="CV501" s="1605"/>
      <c r="CW501" s="1605"/>
      <c r="CX501" s="1605"/>
      <c r="CY501" s="1605"/>
      <c r="CZ501" s="1605"/>
      <c r="DA501" s="1605"/>
      <c r="DB501" s="1605"/>
      <c r="DC501" s="1605"/>
      <c r="DD501" s="1605"/>
      <c r="DE501" s="1605"/>
      <c r="DF501" s="1605"/>
      <c r="DG501" s="1605"/>
      <c r="DH501" s="1605"/>
      <c r="DI501" s="1605"/>
      <c r="DJ501" s="1605"/>
      <c r="DK501" s="1605"/>
      <c r="DL501" s="1605"/>
      <c r="DM501" s="1605"/>
      <c r="DN501" s="1605"/>
      <c r="DO501" s="1605"/>
      <c r="DP501" s="1605"/>
      <c r="DQ501" s="1605"/>
      <c r="DR501" s="1605"/>
      <c r="DS501" s="1605"/>
      <c r="DT501" s="1605"/>
      <c r="DU501" s="1605"/>
      <c r="DV501" s="1605"/>
      <c r="DW501" s="1605"/>
      <c r="DX501" s="1605"/>
      <c r="DY501" s="1605"/>
      <c r="DZ501" s="1605"/>
      <c r="EA501" s="1605"/>
      <c r="EB501" s="1605"/>
      <c r="EC501" s="1605"/>
      <c r="ED501" s="1605"/>
      <c r="EE501" s="1605"/>
      <c r="EF501" s="1605"/>
      <c r="EG501" s="1605"/>
      <c r="EH501" s="1605"/>
      <c r="EI501" s="1605"/>
      <c r="EJ501" s="1605"/>
      <c r="EK501" s="1605"/>
      <c r="EL501" s="1605"/>
      <c r="EM501" s="1605"/>
      <c r="EN501" s="1605"/>
      <c r="EO501" s="1605"/>
      <c r="EP501" s="1605"/>
      <c r="EQ501" s="1605"/>
      <c r="ER501" s="1605"/>
      <c r="ES501" s="1605"/>
      <c r="ET501" s="1605"/>
      <c r="EU501" s="1605"/>
      <c r="EV501" s="1605"/>
      <c r="EW501" s="1605"/>
      <c r="EX501" s="1605"/>
      <c r="EY501" s="1605"/>
      <c r="EZ501" s="1605"/>
      <c r="FA501" s="1605"/>
      <c r="FB501" s="1605"/>
      <c r="FC501" s="1605"/>
      <c r="FD501" s="1605"/>
      <c r="FE501" s="1605"/>
      <c r="FF501" s="1605"/>
      <c r="FG501" s="1605"/>
      <c r="FH501" s="1605"/>
      <c r="FI501" s="1605"/>
      <c r="FJ501" s="1605"/>
      <c r="FK501" s="1605"/>
      <c r="FL501" s="1605"/>
      <c r="FM501" s="1605"/>
      <c r="FN501" s="1605"/>
      <c r="FO501" s="1605"/>
      <c r="FP501" s="1605"/>
      <c r="FQ501" s="1605"/>
      <c r="FR501" s="1605"/>
      <c r="FS501" s="1605"/>
      <c r="FT501" s="1605"/>
      <c r="FU501" s="1605"/>
      <c r="FV501" s="1605"/>
      <c r="FW501" s="1605"/>
      <c r="FX501" s="1605"/>
      <c r="FY501" s="1605"/>
      <c r="FZ501" s="1605"/>
      <c r="GA501" s="1605"/>
      <c r="GB501" s="1605"/>
      <c r="GC501" s="1605"/>
      <c r="GD501" s="1605"/>
      <c r="GE501" s="1605"/>
      <c r="GF501" s="1605"/>
      <c r="GG501" s="1605"/>
      <c r="GH501" s="1605"/>
      <c r="GI501" s="1605"/>
      <c r="GJ501" s="1605"/>
      <c r="GK501" s="1605"/>
      <c r="GL501" s="1605"/>
      <c r="GM501" s="1605"/>
      <c r="GN501" s="1605"/>
      <c r="GO501" s="1605"/>
      <c r="GP501" s="1605"/>
      <c r="GQ501" s="1605"/>
      <c r="GR501" s="1605"/>
      <c r="GS501" s="1605"/>
      <c r="GT501" s="1605"/>
      <c r="GU501" s="1605"/>
      <c r="GV501" s="1605"/>
      <c r="GW501" s="1605"/>
      <c r="GX501" s="1605"/>
      <c r="GY501" s="1605"/>
      <c r="GZ501" s="1605"/>
      <c r="HA501" s="1605"/>
      <c r="HB501" s="1605"/>
      <c r="HC501" s="1605"/>
      <c r="HD501" s="1605"/>
      <c r="HE501" s="1605"/>
      <c r="HF501" s="1605"/>
      <c r="HG501" s="1605"/>
      <c r="HH501" s="1605"/>
      <c r="HI501" s="1605"/>
      <c r="HJ501" s="1605"/>
      <c r="HK501" s="1605"/>
      <c r="HL501" s="1605"/>
      <c r="HM501" s="1605"/>
      <c r="HN501" s="1605"/>
      <c r="HO501" s="1605"/>
      <c r="HP501" s="1605"/>
      <c r="HQ501" s="1605"/>
      <c r="HR501" s="1605"/>
      <c r="HS501" s="1605"/>
      <c r="HT501" s="1605"/>
      <c r="HU501" s="1605"/>
      <c r="HV501" s="1605"/>
      <c r="HW501" s="1605"/>
      <c r="HX501" s="1605"/>
      <c r="HY501" s="1605"/>
      <c r="HZ501" s="1605"/>
      <c r="IA501" s="1605"/>
      <c r="IB501" s="1605"/>
      <c r="IC501" s="1605"/>
      <c r="ID501" s="1605"/>
      <c r="IE501" s="1605"/>
      <c r="IF501" s="1605"/>
      <c r="IG501" s="1605"/>
      <c r="IH501" s="1605"/>
      <c r="II501" s="1605"/>
      <c r="IJ501" s="1605"/>
      <c r="IK501" s="1605"/>
      <c r="IL501" s="1605"/>
      <c r="IM501" s="1605"/>
      <c r="IN501" s="1605"/>
      <c r="IO501" s="1605"/>
      <c r="IP501" s="1605"/>
      <c r="IQ501" s="1605"/>
      <c r="IR501" s="1605"/>
      <c r="IS501" s="1605"/>
      <c r="IT501" s="1605"/>
      <c r="IU501" s="1605"/>
      <c r="IV501" s="1605"/>
      <c r="IW501" s="1605"/>
      <c r="IX501" s="1605"/>
      <c r="IY501" s="1605"/>
      <c r="IZ501" s="1605"/>
      <c r="JA501" s="1605"/>
      <c r="JB501" s="1605"/>
      <c r="JC501" s="1605"/>
      <c r="JD501" s="1605"/>
      <c r="JE501" s="1605"/>
      <c r="JF501" s="1605"/>
      <c r="JG501" s="1605"/>
      <c r="JH501" s="1605"/>
      <c r="JI501" s="1605"/>
      <c r="JJ501" s="1605"/>
      <c r="JK501" s="1605"/>
      <c r="JL501" s="1605"/>
      <c r="JM501" s="1605"/>
      <c r="JN501" s="1605"/>
      <c r="JO501" s="1605"/>
      <c r="JP501" s="1605"/>
      <c r="JQ501" s="1605"/>
      <c r="JR501" s="1605"/>
      <c r="JS501" s="1605"/>
      <c r="JT501" s="1605"/>
      <c r="JU501" s="1605"/>
      <c r="JV501" s="1605"/>
      <c r="JW501" s="1605"/>
      <c r="JX501" s="1605"/>
      <c r="JY501" s="1605"/>
      <c r="JZ501" s="1605"/>
      <c r="KA501" s="1605"/>
      <c r="KB501" s="1606"/>
    </row>
    <row r="502" spans="2:288" ht="15" customHeight="1" x14ac:dyDescent="0.25">
      <c r="B502" s="216" t="str">
        <f t="shared" si="38"/>
        <v>Desk 78</v>
      </c>
      <c r="C502" s="218" t="str">
        <v/>
      </c>
      <c r="D502" s="218" t="str">
        <v/>
      </c>
      <c r="E502" s="218" t="str">
        <v/>
      </c>
      <c r="F502" s="218" t="str">
        <v/>
      </c>
      <c r="G502" s="402" t="str">
        <v/>
      </c>
      <c r="H502" s="1605"/>
      <c r="I502" s="1605"/>
      <c r="J502" s="1605"/>
      <c r="K502" s="1605"/>
      <c r="L502" s="1605"/>
      <c r="M502" s="1605"/>
      <c r="N502" s="1605"/>
      <c r="O502" s="1605"/>
      <c r="P502" s="1605"/>
      <c r="Q502" s="1605"/>
      <c r="R502" s="1605"/>
      <c r="S502" s="1605"/>
      <c r="T502" s="1605"/>
      <c r="U502" s="1605"/>
      <c r="V502" s="1605"/>
      <c r="W502" s="1605"/>
      <c r="X502" s="1605"/>
      <c r="Y502" s="1605"/>
      <c r="Z502" s="1605"/>
      <c r="AA502" s="1605"/>
      <c r="AB502" s="1605"/>
      <c r="AC502" s="1605"/>
      <c r="AD502" s="1605"/>
      <c r="AE502" s="1605"/>
      <c r="AF502" s="1605"/>
      <c r="AG502" s="1605"/>
      <c r="AH502" s="1605"/>
      <c r="AI502" s="1605"/>
      <c r="AJ502" s="1605"/>
      <c r="AK502" s="1605"/>
      <c r="AL502" s="1605"/>
      <c r="AM502" s="1605"/>
      <c r="AN502" s="1605"/>
      <c r="AO502" s="1605"/>
      <c r="AP502" s="1605"/>
      <c r="AQ502" s="1605"/>
      <c r="AR502" s="1605"/>
      <c r="AS502" s="1605"/>
      <c r="AT502" s="1605"/>
      <c r="AU502" s="1605"/>
      <c r="AV502" s="1605"/>
      <c r="AW502" s="1605"/>
      <c r="AX502" s="1605"/>
      <c r="AY502" s="1605"/>
      <c r="AZ502" s="1605"/>
      <c r="BA502" s="1605"/>
      <c r="BB502" s="1605"/>
      <c r="BC502" s="1605"/>
      <c r="BD502" s="1605"/>
      <c r="BE502" s="1605"/>
      <c r="BF502" s="1605"/>
      <c r="BG502" s="1605"/>
      <c r="BH502" s="1605"/>
      <c r="BI502" s="1605"/>
      <c r="BJ502" s="1605"/>
      <c r="BK502" s="1605"/>
      <c r="BL502" s="1605"/>
      <c r="BM502" s="1605"/>
      <c r="BN502" s="1605"/>
      <c r="BO502" s="1605"/>
      <c r="BP502" s="1605"/>
      <c r="BQ502" s="1605"/>
      <c r="BR502" s="1605"/>
      <c r="BS502" s="1605"/>
      <c r="BT502" s="1605"/>
      <c r="BU502" s="1605"/>
      <c r="BV502" s="1605"/>
      <c r="BW502" s="1605"/>
      <c r="BX502" s="1605"/>
      <c r="BY502" s="1605"/>
      <c r="BZ502" s="1605"/>
      <c r="CA502" s="1605"/>
      <c r="CB502" s="1605"/>
      <c r="CC502" s="1605"/>
      <c r="CD502" s="1605"/>
      <c r="CE502" s="1605"/>
      <c r="CF502" s="1605"/>
      <c r="CG502" s="1605"/>
      <c r="CH502" s="1605"/>
      <c r="CI502" s="1605"/>
      <c r="CJ502" s="1605"/>
      <c r="CK502" s="1605"/>
      <c r="CL502" s="1605"/>
      <c r="CM502" s="1605"/>
      <c r="CN502" s="1605"/>
      <c r="CO502" s="1605"/>
      <c r="CP502" s="1605"/>
      <c r="CQ502" s="1605"/>
      <c r="CR502" s="1605"/>
      <c r="CS502" s="1605"/>
      <c r="CT502" s="1605"/>
      <c r="CU502" s="1605"/>
      <c r="CV502" s="1605"/>
      <c r="CW502" s="1605"/>
      <c r="CX502" s="1605"/>
      <c r="CY502" s="1605"/>
      <c r="CZ502" s="1605"/>
      <c r="DA502" s="1605"/>
      <c r="DB502" s="1605"/>
      <c r="DC502" s="1605"/>
      <c r="DD502" s="1605"/>
      <c r="DE502" s="1605"/>
      <c r="DF502" s="1605"/>
      <c r="DG502" s="1605"/>
      <c r="DH502" s="1605"/>
      <c r="DI502" s="1605"/>
      <c r="DJ502" s="1605"/>
      <c r="DK502" s="1605"/>
      <c r="DL502" s="1605"/>
      <c r="DM502" s="1605"/>
      <c r="DN502" s="1605"/>
      <c r="DO502" s="1605"/>
      <c r="DP502" s="1605"/>
      <c r="DQ502" s="1605"/>
      <c r="DR502" s="1605"/>
      <c r="DS502" s="1605"/>
      <c r="DT502" s="1605"/>
      <c r="DU502" s="1605"/>
      <c r="DV502" s="1605"/>
      <c r="DW502" s="1605"/>
      <c r="DX502" s="1605"/>
      <c r="DY502" s="1605"/>
      <c r="DZ502" s="1605"/>
      <c r="EA502" s="1605"/>
      <c r="EB502" s="1605"/>
      <c r="EC502" s="1605"/>
      <c r="ED502" s="1605"/>
      <c r="EE502" s="1605"/>
      <c r="EF502" s="1605"/>
      <c r="EG502" s="1605"/>
      <c r="EH502" s="1605"/>
      <c r="EI502" s="1605"/>
      <c r="EJ502" s="1605"/>
      <c r="EK502" s="1605"/>
      <c r="EL502" s="1605"/>
      <c r="EM502" s="1605"/>
      <c r="EN502" s="1605"/>
      <c r="EO502" s="1605"/>
      <c r="EP502" s="1605"/>
      <c r="EQ502" s="1605"/>
      <c r="ER502" s="1605"/>
      <c r="ES502" s="1605"/>
      <c r="ET502" s="1605"/>
      <c r="EU502" s="1605"/>
      <c r="EV502" s="1605"/>
      <c r="EW502" s="1605"/>
      <c r="EX502" s="1605"/>
      <c r="EY502" s="1605"/>
      <c r="EZ502" s="1605"/>
      <c r="FA502" s="1605"/>
      <c r="FB502" s="1605"/>
      <c r="FC502" s="1605"/>
      <c r="FD502" s="1605"/>
      <c r="FE502" s="1605"/>
      <c r="FF502" s="1605"/>
      <c r="FG502" s="1605"/>
      <c r="FH502" s="1605"/>
      <c r="FI502" s="1605"/>
      <c r="FJ502" s="1605"/>
      <c r="FK502" s="1605"/>
      <c r="FL502" s="1605"/>
      <c r="FM502" s="1605"/>
      <c r="FN502" s="1605"/>
      <c r="FO502" s="1605"/>
      <c r="FP502" s="1605"/>
      <c r="FQ502" s="1605"/>
      <c r="FR502" s="1605"/>
      <c r="FS502" s="1605"/>
      <c r="FT502" s="1605"/>
      <c r="FU502" s="1605"/>
      <c r="FV502" s="1605"/>
      <c r="FW502" s="1605"/>
      <c r="FX502" s="1605"/>
      <c r="FY502" s="1605"/>
      <c r="FZ502" s="1605"/>
      <c r="GA502" s="1605"/>
      <c r="GB502" s="1605"/>
      <c r="GC502" s="1605"/>
      <c r="GD502" s="1605"/>
      <c r="GE502" s="1605"/>
      <c r="GF502" s="1605"/>
      <c r="GG502" s="1605"/>
      <c r="GH502" s="1605"/>
      <c r="GI502" s="1605"/>
      <c r="GJ502" s="1605"/>
      <c r="GK502" s="1605"/>
      <c r="GL502" s="1605"/>
      <c r="GM502" s="1605"/>
      <c r="GN502" s="1605"/>
      <c r="GO502" s="1605"/>
      <c r="GP502" s="1605"/>
      <c r="GQ502" s="1605"/>
      <c r="GR502" s="1605"/>
      <c r="GS502" s="1605"/>
      <c r="GT502" s="1605"/>
      <c r="GU502" s="1605"/>
      <c r="GV502" s="1605"/>
      <c r="GW502" s="1605"/>
      <c r="GX502" s="1605"/>
      <c r="GY502" s="1605"/>
      <c r="GZ502" s="1605"/>
      <c r="HA502" s="1605"/>
      <c r="HB502" s="1605"/>
      <c r="HC502" s="1605"/>
      <c r="HD502" s="1605"/>
      <c r="HE502" s="1605"/>
      <c r="HF502" s="1605"/>
      <c r="HG502" s="1605"/>
      <c r="HH502" s="1605"/>
      <c r="HI502" s="1605"/>
      <c r="HJ502" s="1605"/>
      <c r="HK502" s="1605"/>
      <c r="HL502" s="1605"/>
      <c r="HM502" s="1605"/>
      <c r="HN502" s="1605"/>
      <c r="HO502" s="1605"/>
      <c r="HP502" s="1605"/>
      <c r="HQ502" s="1605"/>
      <c r="HR502" s="1605"/>
      <c r="HS502" s="1605"/>
      <c r="HT502" s="1605"/>
      <c r="HU502" s="1605"/>
      <c r="HV502" s="1605"/>
      <c r="HW502" s="1605"/>
      <c r="HX502" s="1605"/>
      <c r="HY502" s="1605"/>
      <c r="HZ502" s="1605"/>
      <c r="IA502" s="1605"/>
      <c r="IB502" s="1605"/>
      <c r="IC502" s="1605"/>
      <c r="ID502" s="1605"/>
      <c r="IE502" s="1605"/>
      <c r="IF502" s="1605"/>
      <c r="IG502" s="1605"/>
      <c r="IH502" s="1605"/>
      <c r="II502" s="1605"/>
      <c r="IJ502" s="1605"/>
      <c r="IK502" s="1605"/>
      <c r="IL502" s="1605"/>
      <c r="IM502" s="1605"/>
      <c r="IN502" s="1605"/>
      <c r="IO502" s="1605"/>
      <c r="IP502" s="1605"/>
      <c r="IQ502" s="1605"/>
      <c r="IR502" s="1605"/>
      <c r="IS502" s="1605"/>
      <c r="IT502" s="1605"/>
      <c r="IU502" s="1605"/>
      <c r="IV502" s="1605"/>
      <c r="IW502" s="1605"/>
      <c r="IX502" s="1605"/>
      <c r="IY502" s="1605"/>
      <c r="IZ502" s="1605"/>
      <c r="JA502" s="1605"/>
      <c r="JB502" s="1605"/>
      <c r="JC502" s="1605"/>
      <c r="JD502" s="1605"/>
      <c r="JE502" s="1605"/>
      <c r="JF502" s="1605"/>
      <c r="JG502" s="1605"/>
      <c r="JH502" s="1605"/>
      <c r="JI502" s="1605"/>
      <c r="JJ502" s="1605"/>
      <c r="JK502" s="1605"/>
      <c r="JL502" s="1605"/>
      <c r="JM502" s="1605"/>
      <c r="JN502" s="1605"/>
      <c r="JO502" s="1605"/>
      <c r="JP502" s="1605"/>
      <c r="JQ502" s="1605"/>
      <c r="JR502" s="1605"/>
      <c r="JS502" s="1605"/>
      <c r="JT502" s="1605"/>
      <c r="JU502" s="1605"/>
      <c r="JV502" s="1605"/>
      <c r="JW502" s="1605"/>
      <c r="JX502" s="1605"/>
      <c r="JY502" s="1605"/>
      <c r="JZ502" s="1605"/>
      <c r="KA502" s="1605"/>
      <c r="KB502" s="1606"/>
    </row>
    <row r="503" spans="2:288" ht="15" customHeight="1" x14ac:dyDescent="0.25">
      <c r="B503" s="216" t="str">
        <f t="shared" si="38"/>
        <v>Desk 79</v>
      </c>
      <c r="C503" s="218" t="str">
        <v/>
      </c>
      <c r="D503" s="218" t="str">
        <v/>
      </c>
      <c r="E503" s="218" t="str">
        <v/>
      </c>
      <c r="F503" s="218" t="str">
        <v/>
      </c>
      <c r="G503" s="402" t="str">
        <v/>
      </c>
      <c r="H503" s="1605"/>
      <c r="I503" s="1605"/>
      <c r="J503" s="1605"/>
      <c r="K503" s="1605"/>
      <c r="L503" s="1605"/>
      <c r="M503" s="1605"/>
      <c r="N503" s="1605"/>
      <c r="O503" s="1605"/>
      <c r="P503" s="1605"/>
      <c r="Q503" s="1605"/>
      <c r="R503" s="1605"/>
      <c r="S503" s="1605"/>
      <c r="T503" s="1605"/>
      <c r="U503" s="1605"/>
      <c r="V503" s="1605"/>
      <c r="W503" s="1605"/>
      <c r="X503" s="1605"/>
      <c r="Y503" s="1605"/>
      <c r="Z503" s="1605"/>
      <c r="AA503" s="1605"/>
      <c r="AB503" s="1605"/>
      <c r="AC503" s="1605"/>
      <c r="AD503" s="1605"/>
      <c r="AE503" s="1605"/>
      <c r="AF503" s="1605"/>
      <c r="AG503" s="1605"/>
      <c r="AH503" s="1605"/>
      <c r="AI503" s="1605"/>
      <c r="AJ503" s="1605"/>
      <c r="AK503" s="1605"/>
      <c r="AL503" s="1605"/>
      <c r="AM503" s="1605"/>
      <c r="AN503" s="1605"/>
      <c r="AO503" s="1605"/>
      <c r="AP503" s="1605"/>
      <c r="AQ503" s="1605"/>
      <c r="AR503" s="1605"/>
      <c r="AS503" s="1605"/>
      <c r="AT503" s="1605"/>
      <c r="AU503" s="1605"/>
      <c r="AV503" s="1605"/>
      <c r="AW503" s="1605"/>
      <c r="AX503" s="1605"/>
      <c r="AY503" s="1605"/>
      <c r="AZ503" s="1605"/>
      <c r="BA503" s="1605"/>
      <c r="BB503" s="1605"/>
      <c r="BC503" s="1605"/>
      <c r="BD503" s="1605"/>
      <c r="BE503" s="1605"/>
      <c r="BF503" s="1605"/>
      <c r="BG503" s="1605"/>
      <c r="BH503" s="1605"/>
      <c r="BI503" s="1605"/>
      <c r="BJ503" s="1605"/>
      <c r="BK503" s="1605"/>
      <c r="BL503" s="1605"/>
      <c r="BM503" s="1605"/>
      <c r="BN503" s="1605"/>
      <c r="BO503" s="1605"/>
      <c r="BP503" s="1605"/>
      <c r="BQ503" s="1605"/>
      <c r="BR503" s="1605"/>
      <c r="BS503" s="1605"/>
      <c r="BT503" s="1605"/>
      <c r="BU503" s="1605"/>
      <c r="BV503" s="1605"/>
      <c r="BW503" s="1605"/>
      <c r="BX503" s="1605"/>
      <c r="BY503" s="1605"/>
      <c r="BZ503" s="1605"/>
      <c r="CA503" s="1605"/>
      <c r="CB503" s="1605"/>
      <c r="CC503" s="1605"/>
      <c r="CD503" s="1605"/>
      <c r="CE503" s="1605"/>
      <c r="CF503" s="1605"/>
      <c r="CG503" s="1605"/>
      <c r="CH503" s="1605"/>
      <c r="CI503" s="1605"/>
      <c r="CJ503" s="1605"/>
      <c r="CK503" s="1605"/>
      <c r="CL503" s="1605"/>
      <c r="CM503" s="1605"/>
      <c r="CN503" s="1605"/>
      <c r="CO503" s="1605"/>
      <c r="CP503" s="1605"/>
      <c r="CQ503" s="1605"/>
      <c r="CR503" s="1605"/>
      <c r="CS503" s="1605"/>
      <c r="CT503" s="1605"/>
      <c r="CU503" s="1605"/>
      <c r="CV503" s="1605"/>
      <c r="CW503" s="1605"/>
      <c r="CX503" s="1605"/>
      <c r="CY503" s="1605"/>
      <c r="CZ503" s="1605"/>
      <c r="DA503" s="1605"/>
      <c r="DB503" s="1605"/>
      <c r="DC503" s="1605"/>
      <c r="DD503" s="1605"/>
      <c r="DE503" s="1605"/>
      <c r="DF503" s="1605"/>
      <c r="DG503" s="1605"/>
      <c r="DH503" s="1605"/>
      <c r="DI503" s="1605"/>
      <c r="DJ503" s="1605"/>
      <c r="DK503" s="1605"/>
      <c r="DL503" s="1605"/>
      <c r="DM503" s="1605"/>
      <c r="DN503" s="1605"/>
      <c r="DO503" s="1605"/>
      <c r="DP503" s="1605"/>
      <c r="DQ503" s="1605"/>
      <c r="DR503" s="1605"/>
      <c r="DS503" s="1605"/>
      <c r="DT503" s="1605"/>
      <c r="DU503" s="1605"/>
      <c r="DV503" s="1605"/>
      <c r="DW503" s="1605"/>
      <c r="DX503" s="1605"/>
      <c r="DY503" s="1605"/>
      <c r="DZ503" s="1605"/>
      <c r="EA503" s="1605"/>
      <c r="EB503" s="1605"/>
      <c r="EC503" s="1605"/>
      <c r="ED503" s="1605"/>
      <c r="EE503" s="1605"/>
      <c r="EF503" s="1605"/>
      <c r="EG503" s="1605"/>
      <c r="EH503" s="1605"/>
      <c r="EI503" s="1605"/>
      <c r="EJ503" s="1605"/>
      <c r="EK503" s="1605"/>
      <c r="EL503" s="1605"/>
      <c r="EM503" s="1605"/>
      <c r="EN503" s="1605"/>
      <c r="EO503" s="1605"/>
      <c r="EP503" s="1605"/>
      <c r="EQ503" s="1605"/>
      <c r="ER503" s="1605"/>
      <c r="ES503" s="1605"/>
      <c r="ET503" s="1605"/>
      <c r="EU503" s="1605"/>
      <c r="EV503" s="1605"/>
      <c r="EW503" s="1605"/>
      <c r="EX503" s="1605"/>
      <c r="EY503" s="1605"/>
      <c r="EZ503" s="1605"/>
      <c r="FA503" s="1605"/>
      <c r="FB503" s="1605"/>
      <c r="FC503" s="1605"/>
      <c r="FD503" s="1605"/>
      <c r="FE503" s="1605"/>
      <c r="FF503" s="1605"/>
      <c r="FG503" s="1605"/>
      <c r="FH503" s="1605"/>
      <c r="FI503" s="1605"/>
      <c r="FJ503" s="1605"/>
      <c r="FK503" s="1605"/>
      <c r="FL503" s="1605"/>
      <c r="FM503" s="1605"/>
      <c r="FN503" s="1605"/>
      <c r="FO503" s="1605"/>
      <c r="FP503" s="1605"/>
      <c r="FQ503" s="1605"/>
      <c r="FR503" s="1605"/>
      <c r="FS503" s="1605"/>
      <c r="FT503" s="1605"/>
      <c r="FU503" s="1605"/>
      <c r="FV503" s="1605"/>
      <c r="FW503" s="1605"/>
      <c r="FX503" s="1605"/>
      <c r="FY503" s="1605"/>
      <c r="FZ503" s="1605"/>
      <c r="GA503" s="1605"/>
      <c r="GB503" s="1605"/>
      <c r="GC503" s="1605"/>
      <c r="GD503" s="1605"/>
      <c r="GE503" s="1605"/>
      <c r="GF503" s="1605"/>
      <c r="GG503" s="1605"/>
      <c r="GH503" s="1605"/>
      <c r="GI503" s="1605"/>
      <c r="GJ503" s="1605"/>
      <c r="GK503" s="1605"/>
      <c r="GL503" s="1605"/>
      <c r="GM503" s="1605"/>
      <c r="GN503" s="1605"/>
      <c r="GO503" s="1605"/>
      <c r="GP503" s="1605"/>
      <c r="GQ503" s="1605"/>
      <c r="GR503" s="1605"/>
      <c r="GS503" s="1605"/>
      <c r="GT503" s="1605"/>
      <c r="GU503" s="1605"/>
      <c r="GV503" s="1605"/>
      <c r="GW503" s="1605"/>
      <c r="GX503" s="1605"/>
      <c r="GY503" s="1605"/>
      <c r="GZ503" s="1605"/>
      <c r="HA503" s="1605"/>
      <c r="HB503" s="1605"/>
      <c r="HC503" s="1605"/>
      <c r="HD503" s="1605"/>
      <c r="HE503" s="1605"/>
      <c r="HF503" s="1605"/>
      <c r="HG503" s="1605"/>
      <c r="HH503" s="1605"/>
      <c r="HI503" s="1605"/>
      <c r="HJ503" s="1605"/>
      <c r="HK503" s="1605"/>
      <c r="HL503" s="1605"/>
      <c r="HM503" s="1605"/>
      <c r="HN503" s="1605"/>
      <c r="HO503" s="1605"/>
      <c r="HP503" s="1605"/>
      <c r="HQ503" s="1605"/>
      <c r="HR503" s="1605"/>
      <c r="HS503" s="1605"/>
      <c r="HT503" s="1605"/>
      <c r="HU503" s="1605"/>
      <c r="HV503" s="1605"/>
      <c r="HW503" s="1605"/>
      <c r="HX503" s="1605"/>
      <c r="HY503" s="1605"/>
      <c r="HZ503" s="1605"/>
      <c r="IA503" s="1605"/>
      <c r="IB503" s="1605"/>
      <c r="IC503" s="1605"/>
      <c r="ID503" s="1605"/>
      <c r="IE503" s="1605"/>
      <c r="IF503" s="1605"/>
      <c r="IG503" s="1605"/>
      <c r="IH503" s="1605"/>
      <c r="II503" s="1605"/>
      <c r="IJ503" s="1605"/>
      <c r="IK503" s="1605"/>
      <c r="IL503" s="1605"/>
      <c r="IM503" s="1605"/>
      <c r="IN503" s="1605"/>
      <c r="IO503" s="1605"/>
      <c r="IP503" s="1605"/>
      <c r="IQ503" s="1605"/>
      <c r="IR503" s="1605"/>
      <c r="IS503" s="1605"/>
      <c r="IT503" s="1605"/>
      <c r="IU503" s="1605"/>
      <c r="IV503" s="1605"/>
      <c r="IW503" s="1605"/>
      <c r="IX503" s="1605"/>
      <c r="IY503" s="1605"/>
      <c r="IZ503" s="1605"/>
      <c r="JA503" s="1605"/>
      <c r="JB503" s="1605"/>
      <c r="JC503" s="1605"/>
      <c r="JD503" s="1605"/>
      <c r="JE503" s="1605"/>
      <c r="JF503" s="1605"/>
      <c r="JG503" s="1605"/>
      <c r="JH503" s="1605"/>
      <c r="JI503" s="1605"/>
      <c r="JJ503" s="1605"/>
      <c r="JK503" s="1605"/>
      <c r="JL503" s="1605"/>
      <c r="JM503" s="1605"/>
      <c r="JN503" s="1605"/>
      <c r="JO503" s="1605"/>
      <c r="JP503" s="1605"/>
      <c r="JQ503" s="1605"/>
      <c r="JR503" s="1605"/>
      <c r="JS503" s="1605"/>
      <c r="JT503" s="1605"/>
      <c r="JU503" s="1605"/>
      <c r="JV503" s="1605"/>
      <c r="JW503" s="1605"/>
      <c r="JX503" s="1605"/>
      <c r="JY503" s="1605"/>
      <c r="JZ503" s="1605"/>
      <c r="KA503" s="1605"/>
      <c r="KB503" s="1606"/>
    </row>
    <row r="504" spans="2:288" ht="15" customHeight="1" x14ac:dyDescent="0.25">
      <c r="B504" s="216" t="str">
        <f t="shared" si="38"/>
        <v>Desk 80</v>
      </c>
      <c r="C504" s="218" t="str">
        <v/>
      </c>
      <c r="D504" s="218" t="str">
        <v/>
      </c>
      <c r="E504" s="218" t="str">
        <v/>
      </c>
      <c r="F504" s="218" t="str">
        <v/>
      </c>
      <c r="G504" s="402" t="str">
        <v/>
      </c>
      <c r="H504" s="1605"/>
      <c r="I504" s="1605"/>
      <c r="J504" s="1605"/>
      <c r="K504" s="1605"/>
      <c r="L504" s="1605"/>
      <c r="M504" s="1605"/>
      <c r="N504" s="1605"/>
      <c r="O504" s="1605"/>
      <c r="P504" s="1605"/>
      <c r="Q504" s="1605"/>
      <c r="R504" s="1605"/>
      <c r="S504" s="1605"/>
      <c r="T504" s="1605"/>
      <c r="U504" s="1605"/>
      <c r="V504" s="1605"/>
      <c r="W504" s="1605"/>
      <c r="X504" s="1605"/>
      <c r="Y504" s="1605"/>
      <c r="Z504" s="1605"/>
      <c r="AA504" s="1605"/>
      <c r="AB504" s="1605"/>
      <c r="AC504" s="1605"/>
      <c r="AD504" s="1605"/>
      <c r="AE504" s="1605"/>
      <c r="AF504" s="1605"/>
      <c r="AG504" s="1605"/>
      <c r="AH504" s="1605"/>
      <c r="AI504" s="1605"/>
      <c r="AJ504" s="1605"/>
      <c r="AK504" s="1605"/>
      <c r="AL504" s="1605"/>
      <c r="AM504" s="1605"/>
      <c r="AN504" s="1605"/>
      <c r="AO504" s="1605"/>
      <c r="AP504" s="1605"/>
      <c r="AQ504" s="1605"/>
      <c r="AR504" s="1605"/>
      <c r="AS504" s="1605"/>
      <c r="AT504" s="1605"/>
      <c r="AU504" s="1605"/>
      <c r="AV504" s="1605"/>
      <c r="AW504" s="1605"/>
      <c r="AX504" s="1605"/>
      <c r="AY504" s="1605"/>
      <c r="AZ504" s="1605"/>
      <c r="BA504" s="1605"/>
      <c r="BB504" s="1605"/>
      <c r="BC504" s="1605"/>
      <c r="BD504" s="1605"/>
      <c r="BE504" s="1605"/>
      <c r="BF504" s="1605"/>
      <c r="BG504" s="1605"/>
      <c r="BH504" s="1605"/>
      <c r="BI504" s="1605"/>
      <c r="BJ504" s="1605"/>
      <c r="BK504" s="1605"/>
      <c r="BL504" s="1605"/>
      <c r="BM504" s="1605"/>
      <c r="BN504" s="1605"/>
      <c r="BO504" s="1605"/>
      <c r="BP504" s="1605"/>
      <c r="BQ504" s="1605"/>
      <c r="BR504" s="1605"/>
      <c r="BS504" s="1605"/>
      <c r="BT504" s="1605"/>
      <c r="BU504" s="1605"/>
      <c r="BV504" s="1605"/>
      <c r="BW504" s="1605"/>
      <c r="BX504" s="1605"/>
      <c r="BY504" s="1605"/>
      <c r="BZ504" s="1605"/>
      <c r="CA504" s="1605"/>
      <c r="CB504" s="1605"/>
      <c r="CC504" s="1605"/>
      <c r="CD504" s="1605"/>
      <c r="CE504" s="1605"/>
      <c r="CF504" s="1605"/>
      <c r="CG504" s="1605"/>
      <c r="CH504" s="1605"/>
      <c r="CI504" s="1605"/>
      <c r="CJ504" s="1605"/>
      <c r="CK504" s="1605"/>
      <c r="CL504" s="1605"/>
      <c r="CM504" s="1605"/>
      <c r="CN504" s="1605"/>
      <c r="CO504" s="1605"/>
      <c r="CP504" s="1605"/>
      <c r="CQ504" s="1605"/>
      <c r="CR504" s="1605"/>
      <c r="CS504" s="1605"/>
      <c r="CT504" s="1605"/>
      <c r="CU504" s="1605"/>
      <c r="CV504" s="1605"/>
      <c r="CW504" s="1605"/>
      <c r="CX504" s="1605"/>
      <c r="CY504" s="1605"/>
      <c r="CZ504" s="1605"/>
      <c r="DA504" s="1605"/>
      <c r="DB504" s="1605"/>
      <c r="DC504" s="1605"/>
      <c r="DD504" s="1605"/>
      <c r="DE504" s="1605"/>
      <c r="DF504" s="1605"/>
      <c r="DG504" s="1605"/>
      <c r="DH504" s="1605"/>
      <c r="DI504" s="1605"/>
      <c r="DJ504" s="1605"/>
      <c r="DK504" s="1605"/>
      <c r="DL504" s="1605"/>
      <c r="DM504" s="1605"/>
      <c r="DN504" s="1605"/>
      <c r="DO504" s="1605"/>
      <c r="DP504" s="1605"/>
      <c r="DQ504" s="1605"/>
      <c r="DR504" s="1605"/>
      <c r="DS504" s="1605"/>
      <c r="DT504" s="1605"/>
      <c r="DU504" s="1605"/>
      <c r="DV504" s="1605"/>
      <c r="DW504" s="1605"/>
      <c r="DX504" s="1605"/>
      <c r="DY504" s="1605"/>
      <c r="DZ504" s="1605"/>
      <c r="EA504" s="1605"/>
      <c r="EB504" s="1605"/>
      <c r="EC504" s="1605"/>
      <c r="ED504" s="1605"/>
      <c r="EE504" s="1605"/>
      <c r="EF504" s="1605"/>
      <c r="EG504" s="1605"/>
      <c r="EH504" s="1605"/>
      <c r="EI504" s="1605"/>
      <c r="EJ504" s="1605"/>
      <c r="EK504" s="1605"/>
      <c r="EL504" s="1605"/>
      <c r="EM504" s="1605"/>
      <c r="EN504" s="1605"/>
      <c r="EO504" s="1605"/>
      <c r="EP504" s="1605"/>
      <c r="EQ504" s="1605"/>
      <c r="ER504" s="1605"/>
      <c r="ES504" s="1605"/>
      <c r="ET504" s="1605"/>
      <c r="EU504" s="1605"/>
      <c r="EV504" s="1605"/>
      <c r="EW504" s="1605"/>
      <c r="EX504" s="1605"/>
      <c r="EY504" s="1605"/>
      <c r="EZ504" s="1605"/>
      <c r="FA504" s="1605"/>
      <c r="FB504" s="1605"/>
      <c r="FC504" s="1605"/>
      <c r="FD504" s="1605"/>
      <c r="FE504" s="1605"/>
      <c r="FF504" s="1605"/>
      <c r="FG504" s="1605"/>
      <c r="FH504" s="1605"/>
      <c r="FI504" s="1605"/>
      <c r="FJ504" s="1605"/>
      <c r="FK504" s="1605"/>
      <c r="FL504" s="1605"/>
      <c r="FM504" s="1605"/>
      <c r="FN504" s="1605"/>
      <c r="FO504" s="1605"/>
      <c r="FP504" s="1605"/>
      <c r="FQ504" s="1605"/>
      <c r="FR504" s="1605"/>
      <c r="FS504" s="1605"/>
      <c r="FT504" s="1605"/>
      <c r="FU504" s="1605"/>
      <c r="FV504" s="1605"/>
      <c r="FW504" s="1605"/>
      <c r="FX504" s="1605"/>
      <c r="FY504" s="1605"/>
      <c r="FZ504" s="1605"/>
      <c r="GA504" s="1605"/>
      <c r="GB504" s="1605"/>
      <c r="GC504" s="1605"/>
      <c r="GD504" s="1605"/>
      <c r="GE504" s="1605"/>
      <c r="GF504" s="1605"/>
      <c r="GG504" s="1605"/>
      <c r="GH504" s="1605"/>
      <c r="GI504" s="1605"/>
      <c r="GJ504" s="1605"/>
      <c r="GK504" s="1605"/>
      <c r="GL504" s="1605"/>
      <c r="GM504" s="1605"/>
      <c r="GN504" s="1605"/>
      <c r="GO504" s="1605"/>
      <c r="GP504" s="1605"/>
      <c r="GQ504" s="1605"/>
      <c r="GR504" s="1605"/>
      <c r="GS504" s="1605"/>
      <c r="GT504" s="1605"/>
      <c r="GU504" s="1605"/>
      <c r="GV504" s="1605"/>
      <c r="GW504" s="1605"/>
      <c r="GX504" s="1605"/>
      <c r="GY504" s="1605"/>
      <c r="GZ504" s="1605"/>
      <c r="HA504" s="1605"/>
      <c r="HB504" s="1605"/>
      <c r="HC504" s="1605"/>
      <c r="HD504" s="1605"/>
      <c r="HE504" s="1605"/>
      <c r="HF504" s="1605"/>
      <c r="HG504" s="1605"/>
      <c r="HH504" s="1605"/>
      <c r="HI504" s="1605"/>
      <c r="HJ504" s="1605"/>
      <c r="HK504" s="1605"/>
      <c r="HL504" s="1605"/>
      <c r="HM504" s="1605"/>
      <c r="HN504" s="1605"/>
      <c r="HO504" s="1605"/>
      <c r="HP504" s="1605"/>
      <c r="HQ504" s="1605"/>
      <c r="HR504" s="1605"/>
      <c r="HS504" s="1605"/>
      <c r="HT504" s="1605"/>
      <c r="HU504" s="1605"/>
      <c r="HV504" s="1605"/>
      <c r="HW504" s="1605"/>
      <c r="HX504" s="1605"/>
      <c r="HY504" s="1605"/>
      <c r="HZ504" s="1605"/>
      <c r="IA504" s="1605"/>
      <c r="IB504" s="1605"/>
      <c r="IC504" s="1605"/>
      <c r="ID504" s="1605"/>
      <c r="IE504" s="1605"/>
      <c r="IF504" s="1605"/>
      <c r="IG504" s="1605"/>
      <c r="IH504" s="1605"/>
      <c r="II504" s="1605"/>
      <c r="IJ504" s="1605"/>
      <c r="IK504" s="1605"/>
      <c r="IL504" s="1605"/>
      <c r="IM504" s="1605"/>
      <c r="IN504" s="1605"/>
      <c r="IO504" s="1605"/>
      <c r="IP504" s="1605"/>
      <c r="IQ504" s="1605"/>
      <c r="IR504" s="1605"/>
      <c r="IS504" s="1605"/>
      <c r="IT504" s="1605"/>
      <c r="IU504" s="1605"/>
      <c r="IV504" s="1605"/>
      <c r="IW504" s="1605"/>
      <c r="IX504" s="1605"/>
      <c r="IY504" s="1605"/>
      <c r="IZ504" s="1605"/>
      <c r="JA504" s="1605"/>
      <c r="JB504" s="1605"/>
      <c r="JC504" s="1605"/>
      <c r="JD504" s="1605"/>
      <c r="JE504" s="1605"/>
      <c r="JF504" s="1605"/>
      <c r="JG504" s="1605"/>
      <c r="JH504" s="1605"/>
      <c r="JI504" s="1605"/>
      <c r="JJ504" s="1605"/>
      <c r="JK504" s="1605"/>
      <c r="JL504" s="1605"/>
      <c r="JM504" s="1605"/>
      <c r="JN504" s="1605"/>
      <c r="JO504" s="1605"/>
      <c r="JP504" s="1605"/>
      <c r="JQ504" s="1605"/>
      <c r="JR504" s="1605"/>
      <c r="JS504" s="1605"/>
      <c r="JT504" s="1605"/>
      <c r="JU504" s="1605"/>
      <c r="JV504" s="1605"/>
      <c r="JW504" s="1605"/>
      <c r="JX504" s="1605"/>
      <c r="JY504" s="1605"/>
      <c r="JZ504" s="1605"/>
      <c r="KA504" s="1605"/>
      <c r="KB504" s="1606"/>
    </row>
    <row r="505" spans="2:288" ht="15" customHeight="1" x14ac:dyDescent="0.25">
      <c r="B505" s="216" t="str">
        <f t="shared" si="38"/>
        <v>Desk 81</v>
      </c>
      <c r="C505" s="218" t="str">
        <v/>
      </c>
      <c r="D505" s="218" t="str">
        <v/>
      </c>
      <c r="E505" s="218" t="str">
        <v/>
      </c>
      <c r="F505" s="218" t="str">
        <v/>
      </c>
      <c r="G505" s="402" t="str">
        <v/>
      </c>
      <c r="H505" s="1605"/>
      <c r="I505" s="1605"/>
      <c r="J505" s="1605"/>
      <c r="K505" s="1605"/>
      <c r="L505" s="1605"/>
      <c r="M505" s="1605"/>
      <c r="N505" s="1605"/>
      <c r="O505" s="1605"/>
      <c r="P505" s="1605"/>
      <c r="Q505" s="1605"/>
      <c r="R505" s="1605"/>
      <c r="S505" s="1605"/>
      <c r="T505" s="1605"/>
      <c r="U505" s="1605"/>
      <c r="V505" s="1605"/>
      <c r="W505" s="1605"/>
      <c r="X505" s="1605"/>
      <c r="Y505" s="1605"/>
      <c r="Z505" s="1605"/>
      <c r="AA505" s="1605"/>
      <c r="AB505" s="1605"/>
      <c r="AC505" s="1605"/>
      <c r="AD505" s="1605"/>
      <c r="AE505" s="1605"/>
      <c r="AF505" s="1605"/>
      <c r="AG505" s="1605"/>
      <c r="AH505" s="1605"/>
      <c r="AI505" s="1605"/>
      <c r="AJ505" s="1605"/>
      <c r="AK505" s="1605"/>
      <c r="AL505" s="1605"/>
      <c r="AM505" s="1605"/>
      <c r="AN505" s="1605"/>
      <c r="AO505" s="1605"/>
      <c r="AP505" s="1605"/>
      <c r="AQ505" s="1605"/>
      <c r="AR505" s="1605"/>
      <c r="AS505" s="1605"/>
      <c r="AT505" s="1605"/>
      <c r="AU505" s="1605"/>
      <c r="AV505" s="1605"/>
      <c r="AW505" s="1605"/>
      <c r="AX505" s="1605"/>
      <c r="AY505" s="1605"/>
      <c r="AZ505" s="1605"/>
      <c r="BA505" s="1605"/>
      <c r="BB505" s="1605"/>
      <c r="BC505" s="1605"/>
      <c r="BD505" s="1605"/>
      <c r="BE505" s="1605"/>
      <c r="BF505" s="1605"/>
      <c r="BG505" s="1605"/>
      <c r="BH505" s="1605"/>
      <c r="BI505" s="1605"/>
      <c r="BJ505" s="1605"/>
      <c r="BK505" s="1605"/>
      <c r="BL505" s="1605"/>
      <c r="BM505" s="1605"/>
      <c r="BN505" s="1605"/>
      <c r="BO505" s="1605"/>
      <c r="BP505" s="1605"/>
      <c r="BQ505" s="1605"/>
      <c r="BR505" s="1605"/>
      <c r="BS505" s="1605"/>
      <c r="BT505" s="1605"/>
      <c r="BU505" s="1605"/>
      <c r="BV505" s="1605"/>
      <c r="BW505" s="1605"/>
      <c r="BX505" s="1605"/>
      <c r="BY505" s="1605"/>
      <c r="BZ505" s="1605"/>
      <c r="CA505" s="1605"/>
      <c r="CB505" s="1605"/>
      <c r="CC505" s="1605"/>
      <c r="CD505" s="1605"/>
      <c r="CE505" s="1605"/>
      <c r="CF505" s="1605"/>
      <c r="CG505" s="1605"/>
      <c r="CH505" s="1605"/>
      <c r="CI505" s="1605"/>
      <c r="CJ505" s="1605"/>
      <c r="CK505" s="1605"/>
      <c r="CL505" s="1605"/>
      <c r="CM505" s="1605"/>
      <c r="CN505" s="1605"/>
      <c r="CO505" s="1605"/>
      <c r="CP505" s="1605"/>
      <c r="CQ505" s="1605"/>
      <c r="CR505" s="1605"/>
      <c r="CS505" s="1605"/>
      <c r="CT505" s="1605"/>
      <c r="CU505" s="1605"/>
      <c r="CV505" s="1605"/>
      <c r="CW505" s="1605"/>
      <c r="CX505" s="1605"/>
      <c r="CY505" s="1605"/>
      <c r="CZ505" s="1605"/>
      <c r="DA505" s="1605"/>
      <c r="DB505" s="1605"/>
      <c r="DC505" s="1605"/>
      <c r="DD505" s="1605"/>
      <c r="DE505" s="1605"/>
      <c r="DF505" s="1605"/>
      <c r="DG505" s="1605"/>
      <c r="DH505" s="1605"/>
      <c r="DI505" s="1605"/>
      <c r="DJ505" s="1605"/>
      <c r="DK505" s="1605"/>
      <c r="DL505" s="1605"/>
      <c r="DM505" s="1605"/>
      <c r="DN505" s="1605"/>
      <c r="DO505" s="1605"/>
      <c r="DP505" s="1605"/>
      <c r="DQ505" s="1605"/>
      <c r="DR505" s="1605"/>
      <c r="DS505" s="1605"/>
      <c r="DT505" s="1605"/>
      <c r="DU505" s="1605"/>
      <c r="DV505" s="1605"/>
      <c r="DW505" s="1605"/>
      <c r="DX505" s="1605"/>
      <c r="DY505" s="1605"/>
      <c r="DZ505" s="1605"/>
      <c r="EA505" s="1605"/>
      <c r="EB505" s="1605"/>
      <c r="EC505" s="1605"/>
      <c r="ED505" s="1605"/>
      <c r="EE505" s="1605"/>
      <c r="EF505" s="1605"/>
      <c r="EG505" s="1605"/>
      <c r="EH505" s="1605"/>
      <c r="EI505" s="1605"/>
      <c r="EJ505" s="1605"/>
      <c r="EK505" s="1605"/>
      <c r="EL505" s="1605"/>
      <c r="EM505" s="1605"/>
      <c r="EN505" s="1605"/>
      <c r="EO505" s="1605"/>
      <c r="EP505" s="1605"/>
      <c r="EQ505" s="1605"/>
      <c r="ER505" s="1605"/>
      <c r="ES505" s="1605"/>
      <c r="ET505" s="1605"/>
      <c r="EU505" s="1605"/>
      <c r="EV505" s="1605"/>
      <c r="EW505" s="1605"/>
      <c r="EX505" s="1605"/>
      <c r="EY505" s="1605"/>
      <c r="EZ505" s="1605"/>
      <c r="FA505" s="1605"/>
      <c r="FB505" s="1605"/>
      <c r="FC505" s="1605"/>
      <c r="FD505" s="1605"/>
      <c r="FE505" s="1605"/>
      <c r="FF505" s="1605"/>
      <c r="FG505" s="1605"/>
      <c r="FH505" s="1605"/>
      <c r="FI505" s="1605"/>
      <c r="FJ505" s="1605"/>
      <c r="FK505" s="1605"/>
      <c r="FL505" s="1605"/>
      <c r="FM505" s="1605"/>
      <c r="FN505" s="1605"/>
      <c r="FO505" s="1605"/>
      <c r="FP505" s="1605"/>
      <c r="FQ505" s="1605"/>
      <c r="FR505" s="1605"/>
      <c r="FS505" s="1605"/>
      <c r="FT505" s="1605"/>
      <c r="FU505" s="1605"/>
      <c r="FV505" s="1605"/>
      <c r="FW505" s="1605"/>
      <c r="FX505" s="1605"/>
      <c r="FY505" s="1605"/>
      <c r="FZ505" s="1605"/>
      <c r="GA505" s="1605"/>
      <c r="GB505" s="1605"/>
      <c r="GC505" s="1605"/>
      <c r="GD505" s="1605"/>
      <c r="GE505" s="1605"/>
      <c r="GF505" s="1605"/>
      <c r="GG505" s="1605"/>
      <c r="GH505" s="1605"/>
      <c r="GI505" s="1605"/>
      <c r="GJ505" s="1605"/>
      <c r="GK505" s="1605"/>
      <c r="GL505" s="1605"/>
      <c r="GM505" s="1605"/>
      <c r="GN505" s="1605"/>
      <c r="GO505" s="1605"/>
      <c r="GP505" s="1605"/>
      <c r="GQ505" s="1605"/>
      <c r="GR505" s="1605"/>
      <c r="GS505" s="1605"/>
      <c r="GT505" s="1605"/>
      <c r="GU505" s="1605"/>
      <c r="GV505" s="1605"/>
      <c r="GW505" s="1605"/>
      <c r="GX505" s="1605"/>
      <c r="GY505" s="1605"/>
      <c r="GZ505" s="1605"/>
      <c r="HA505" s="1605"/>
      <c r="HB505" s="1605"/>
      <c r="HC505" s="1605"/>
      <c r="HD505" s="1605"/>
      <c r="HE505" s="1605"/>
      <c r="HF505" s="1605"/>
      <c r="HG505" s="1605"/>
      <c r="HH505" s="1605"/>
      <c r="HI505" s="1605"/>
      <c r="HJ505" s="1605"/>
      <c r="HK505" s="1605"/>
      <c r="HL505" s="1605"/>
      <c r="HM505" s="1605"/>
      <c r="HN505" s="1605"/>
      <c r="HO505" s="1605"/>
      <c r="HP505" s="1605"/>
      <c r="HQ505" s="1605"/>
      <c r="HR505" s="1605"/>
      <c r="HS505" s="1605"/>
      <c r="HT505" s="1605"/>
      <c r="HU505" s="1605"/>
      <c r="HV505" s="1605"/>
      <c r="HW505" s="1605"/>
      <c r="HX505" s="1605"/>
      <c r="HY505" s="1605"/>
      <c r="HZ505" s="1605"/>
      <c r="IA505" s="1605"/>
      <c r="IB505" s="1605"/>
      <c r="IC505" s="1605"/>
      <c r="ID505" s="1605"/>
      <c r="IE505" s="1605"/>
      <c r="IF505" s="1605"/>
      <c r="IG505" s="1605"/>
      <c r="IH505" s="1605"/>
      <c r="II505" s="1605"/>
      <c r="IJ505" s="1605"/>
      <c r="IK505" s="1605"/>
      <c r="IL505" s="1605"/>
      <c r="IM505" s="1605"/>
      <c r="IN505" s="1605"/>
      <c r="IO505" s="1605"/>
      <c r="IP505" s="1605"/>
      <c r="IQ505" s="1605"/>
      <c r="IR505" s="1605"/>
      <c r="IS505" s="1605"/>
      <c r="IT505" s="1605"/>
      <c r="IU505" s="1605"/>
      <c r="IV505" s="1605"/>
      <c r="IW505" s="1605"/>
      <c r="IX505" s="1605"/>
      <c r="IY505" s="1605"/>
      <c r="IZ505" s="1605"/>
      <c r="JA505" s="1605"/>
      <c r="JB505" s="1605"/>
      <c r="JC505" s="1605"/>
      <c r="JD505" s="1605"/>
      <c r="JE505" s="1605"/>
      <c r="JF505" s="1605"/>
      <c r="JG505" s="1605"/>
      <c r="JH505" s="1605"/>
      <c r="JI505" s="1605"/>
      <c r="JJ505" s="1605"/>
      <c r="JK505" s="1605"/>
      <c r="JL505" s="1605"/>
      <c r="JM505" s="1605"/>
      <c r="JN505" s="1605"/>
      <c r="JO505" s="1605"/>
      <c r="JP505" s="1605"/>
      <c r="JQ505" s="1605"/>
      <c r="JR505" s="1605"/>
      <c r="JS505" s="1605"/>
      <c r="JT505" s="1605"/>
      <c r="JU505" s="1605"/>
      <c r="JV505" s="1605"/>
      <c r="JW505" s="1605"/>
      <c r="JX505" s="1605"/>
      <c r="JY505" s="1605"/>
      <c r="JZ505" s="1605"/>
      <c r="KA505" s="1605"/>
      <c r="KB505" s="1606"/>
    </row>
    <row r="506" spans="2:288" ht="15" customHeight="1" x14ac:dyDescent="0.25">
      <c r="B506" s="216" t="str">
        <f t="shared" si="38"/>
        <v>Desk 82</v>
      </c>
      <c r="C506" s="218" t="str">
        <v/>
      </c>
      <c r="D506" s="218" t="str">
        <v/>
      </c>
      <c r="E506" s="218" t="str">
        <v/>
      </c>
      <c r="F506" s="218" t="str">
        <v/>
      </c>
      <c r="G506" s="402" t="str">
        <v/>
      </c>
      <c r="H506" s="1605"/>
      <c r="I506" s="1605"/>
      <c r="J506" s="1605"/>
      <c r="K506" s="1605"/>
      <c r="L506" s="1605"/>
      <c r="M506" s="1605"/>
      <c r="N506" s="1605"/>
      <c r="O506" s="1605"/>
      <c r="P506" s="1605"/>
      <c r="Q506" s="1605"/>
      <c r="R506" s="1605"/>
      <c r="S506" s="1605"/>
      <c r="T506" s="1605"/>
      <c r="U506" s="1605"/>
      <c r="V506" s="1605"/>
      <c r="W506" s="1605"/>
      <c r="X506" s="1605"/>
      <c r="Y506" s="1605"/>
      <c r="Z506" s="1605"/>
      <c r="AA506" s="1605"/>
      <c r="AB506" s="1605"/>
      <c r="AC506" s="1605"/>
      <c r="AD506" s="1605"/>
      <c r="AE506" s="1605"/>
      <c r="AF506" s="1605"/>
      <c r="AG506" s="1605"/>
      <c r="AH506" s="1605"/>
      <c r="AI506" s="1605"/>
      <c r="AJ506" s="1605"/>
      <c r="AK506" s="1605"/>
      <c r="AL506" s="1605"/>
      <c r="AM506" s="1605"/>
      <c r="AN506" s="1605"/>
      <c r="AO506" s="1605"/>
      <c r="AP506" s="1605"/>
      <c r="AQ506" s="1605"/>
      <c r="AR506" s="1605"/>
      <c r="AS506" s="1605"/>
      <c r="AT506" s="1605"/>
      <c r="AU506" s="1605"/>
      <c r="AV506" s="1605"/>
      <c r="AW506" s="1605"/>
      <c r="AX506" s="1605"/>
      <c r="AY506" s="1605"/>
      <c r="AZ506" s="1605"/>
      <c r="BA506" s="1605"/>
      <c r="BB506" s="1605"/>
      <c r="BC506" s="1605"/>
      <c r="BD506" s="1605"/>
      <c r="BE506" s="1605"/>
      <c r="BF506" s="1605"/>
      <c r="BG506" s="1605"/>
      <c r="BH506" s="1605"/>
      <c r="BI506" s="1605"/>
      <c r="BJ506" s="1605"/>
      <c r="BK506" s="1605"/>
      <c r="BL506" s="1605"/>
      <c r="BM506" s="1605"/>
      <c r="BN506" s="1605"/>
      <c r="BO506" s="1605"/>
      <c r="BP506" s="1605"/>
      <c r="BQ506" s="1605"/>
      <c r="BR506" s="1605"/>
      <c r="BS506" s="1605"/>
      <c r="BT506" s="1605"/>
      <c r="BU506" s="1605"/>
      <c r="BV506" s="1605"/>
      <c r="BW506" s="1605"/>
      <c r="BX506" s="1605"/>
      <c r="BY506" s="1605"/>
      <c r="BZ506" s="1605"/>
      <c r="CA506" s="1605"/>
      <c r="CB506" s="1605"/>
      <c r="CC506" s="1605"/>
      <c r="CD506" s="1605"/>
      <c r="CE506" s="1605"/>
      <c r="CF506" s="1605"/>
      <c r="CG506" s="1605"/>
      <c r="CH506" s="1605"/>
      <c r="CI506" s="1605"/>
      <c r="CJ506" s="1605"/>
      <c r="CK506" s="1605"/>
      <c r="CL506" s="1605"/>
      <c r="CM506" s="1605"/>
      <c r="CN506" s="1605"/>
      <c r="CO506" s="1605"/>
      <c r="CP506" s="1605"/>
      <c r="CQ506" s="1605"/>
      <c r="CR506" s="1605"/>
      <c r="CS506" s="1605"/>
      <c r="CT506" s="1605"/>
      <c r="CU506" s="1605"/>
      <c r="CV506" s="1605"/>
      <c r="CW506" s="1605"/>
      <c r="CX506" s="1605"/>
      <c r="CY506" s="1605"/>
      <c r="CZ506" s="1605"/>
      <c r="DA506" s="1605"/>
      <c r="DB506" s="1605"/>
      <c r="DC506" s="1605"/>
      <c r="DD506" s="1605"/>
      <c r="DE506" s="1605"/>
      <c r="DF506" s="1605"/>
      <c r="DG506" s="1605"/>
      <c r="DH506" s="1605"/>
      <c r="DI506" s="1605"/>
      <c r="DJ506" s="1605"/>
      <c r="DK506" s="1605"/>
      <c r="DL506" s="1605"/>
      <c r="DM506" s="1605"/>
      <c r="DN506" s="1605"/>
      <c r="DO506" s="1605"/>
      <c r="DP506" s="1605"/>
      <c r="DQ506" s="1605"/>
      <c r="DR506" s="1605"/>
      <c r="DS506" s="1605"/>
      <c r="DT506" s="1605"/>
      <c r="DU506" s="1605"/>
      <c r="DV506" s="1605"/>
      <c r="DW506" s="1605"/>
      <c r="DX506" s="1605"/>
      <c r="DY506" s="1605"/>
      <c r="DZ506" s="1605"/>
      <c r="EA506" s="1605"/>
      <c r="EB506" s="1605"/>
      <c r="EC506" s="1605"/>
      <c r="ED506" s="1605"/>
      <c r="EE506" s="1605"/>
      <c r="EF506" s="1605"/>
      <c r="EG506" s="1605"/>
      <c r="EH506" s="1605"/>
      <c r="EI506" s="1605"/>
      <c r="EJ506" s="1605"/>
      <c r="EK506" s="1605"/>
      <c r="EL506" s="1605"/>
      <c r="EM506" s="1605"/>
      <c r="EN506" s="1605"/>
      <c r="EO506" s="1605"/>
      <c r="EP506" s="1605"/>
      <c r="EQ506" s="1605"/>
      <c r="ER506" s="1605"/>
      <c r="ES506" s="1605"/>
      <c r="ET506" s="1605"/>
      <c r="EU506" s="1605"/>
      <c r="EV506" s="1605"/>
      <c r="EW506" s="1605"/>
      <c r="EX506" s="1605"/>
      <c r="EY506" s="1605"/>
      <c r="EZ506" s="1605"/>
      <c r="FA506" s="1605"/>
      <c r="FB506" s="1605"/>
      <c r="FC506" s="1605"/>
      <c r="FD506" s="1605"/>
      <c r="FE506" s="1605"/>
      <c r="FF506" s="1605"/>
      <c r="FG506" s="1605"/>
      <c r="FH506" s="1605"/>
      <c r="FI506" s="1605"/>
      <c r="FJ506" s="1605"/>
      <c r="FK506" s="1605"/>
      <c r="FL506" s="1605"/>
      <c r="FM506" s="1605"/>
      <c r="FN506" s="1605"/>
      <c r="FO506" s="1605"/>
      <c r="FP506" s="1605"/>
      <c r="FQ506" s="1605"/>
      <c r="FR506" s="1605"/>
      <c r="FS506" s="1605"/>
      <c r="FT506" s="1605"/>
      <c r="FU506" s="1605"/>
      <c r="FV506" s="1605"/>
      <c r="FW506" s="1605"/>
      <c r="FX506" s="1605"/>
      <c r="FY506" s="1605"/>
      <c r="FZ506" s="1605"/>
      <c r="GA506" s="1605"/>
      <c r="GB506" s="1605"/>
      <c r="GC506" s="1605"/>
      <c r="GD506" s="1605"/>
      <c r="GE506" s="1605"/>
      <c r="GF506" s="1605"/>
      <c r="GG506" s="1605"/>
      <c r="GH506" s="1605"/>
      <c r="GI506" s="1605"/>
      <c r="GJ506" s="1605"/>
      <c r="GK506" s="1605"/>
      <c r="GL506" s="1605"/>
      <c r="GM506" s="1605"/>
      <c r="GN506" s="1605"/>
      <c r="GO506" s="1605"/>
      <c r="GP506" s="1605"/>
      <c r="GQ506" s="1605"/>
      <c r="GR506" s="1605"/>
      <c r="GS506" s="1605"/>
      <c r="GT506" s="1605"/>
      <c r="GU506" s="1605"/>
      <c r="GV506" s="1605"/>
      <c r="GW506" s="1605"/>
      <c r="GX506" s="1605"/>
      <c r="GY506" s="1605"/>
      <c r="GZ506" s="1605"/>
      <c r="HA506" s="1605"/>
      <c r="HB506" s="1605"/>
      <c r="HC506" s="1605"/>
      <c r="HD506" s="1605"/>
      <c r="HE506" s="1605"/>
      <c r="HF506" s="1605"/>
      <c r="HG506" s="1605"/>
      <c r="HH506" s="1605"/>
      <c r="HI506" s="1605"/>
      <c r="HJ506" s="1605"/>
      <c r="HK506" s="1605"/>
      <c r="HL506" s="1605"/>
      <c r="HM506" s="1605"/>
      <c r="HN506" s="1605"/>
      <c r="HO506" s="1605"/>
      <c r="HP506" s="1605"/>
      <c r="HQ506" s="1605"/>
      <c r="HR506" s="1605"/>
      <c r="HS506" s="1605"/>
      <c r="HT506" s="1605"/>
      <c r="HU506" s="1605"/>
      <c r="HV506" s="1605"/>
      <c r="HW506" s="1605"/>
      <c r="HX506" s="1605"/>
      <c r="HY506" s="1605"/>
      <c r="HZ506" s="1605"/>
      <c r="IA506" s="1605"/>
      <c r="IB506" s="1605"/>
      <c r="IC506" s="1605"/>
      <c r="ID506" s="1605"/>
      <c r="IE506" s="1605"/>
      <c r="IF506" s="1605"/>
      <c r="IG506" s="1605"/>
      <c r="IH506" s="1605"/>
      <c r="II506" s="1605"/>
      <c r="IJ506" s="1605"/>
      <c r="IK506" s="1605"/>
      <c r="IL506" s="1605"/>
      <c r="IM506" s="1605"/>
      <c r="IN506" s="1605"/>
      <c r="IO506" s="1605"/>
      <c r="IP506" s="1605"/>
      <c r="IQ506" s="1605"/>
      <c r="IR506" s="1605"/>
      <c r="IS506" s="1605"/>
      <c r="IT506" s="1605"/>
      <c r="IU506" s="1605"/>
      <c r="IV506" s="1605"/>
      <c r="IW506" s="1605"/>
      <c r="IX506" s="1605"/>
      <c r="IY506" s="1605"/>
      <c r="IZ506" s="1605"/>
      <c r="JA506" s="1605"/>
      <c r="JB506" s="1605"/>
      <c r="JC506" s="1605"/>
      <c r="JD506" s="1605"/>
      <c r="JE506" s="1605"/>
      <c r="JF506" s="1605"/>
      <c r="JG506" s="1605"/>
      <c r="JH506" s="1605"/>
      <c r="JI506" s="1605"/>
      <c r="JJ506" s="1605"/>
      <c r="JK506" s="1605"/>
      <c r="JL506" s="1605"/>
      <c r="JM506" s="1605"/>
      <c r="JN506" s="1605"/>
      <c r="JO506" s="1605"/>
      <c r="JP506" s="1605"/>
      <c r="JQ506" s="1605"/>
      <c r="JR506" s="1605"/>
      <c r="JS506" s="1605"/>
      <c r="JT506" s="1605"/>
      <c r="JU506" s="1605"/>
      <c r="JV506" s="1605"/>
      <c r="JW506" s="1605"/>
      <c r="JX506" s="1605"/>
      <c r="JY506" s="1605"/>
      <c r="JZ506" s="1605"/>
      <c r="KA506" s="1605"/>
      <c r="KB506" s="1606"/>
    </row>
    <row r="507" spans="2:288" ht="15" customHeight="1" x14ac:dyDescent="0.25">
      <c r="B507" s="216" t="str">
        <f t="shared" si="38"/>
        <v>Desk 83</v>
      </c>
      <c r="C507" s="218" t="str">
        <v/>
      </c>
      <c r="D507" s="218" t="str">
        <v/>
      </c>
      <c r="E507" s="218" t="str">
        <v/>
      </c>
      <c r="F507" s="218" t="str">
        <v/>
      </c>
      <c r="G507" s="402" t="str">
        <v/>
      </c>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1605"/>
      <c r="AG507" s="1605"/>
      <c r="AH507" s="1605"/>
      <c r="AI507" s="1605"/>
      <c r="AJ507" s="1605"/>
      <c r="AK507" s="1605"/>
      <c r="AL507" s="1605"/>
      <c r="AM507" s="1605"/>
      <c r="AN507" s="1605"/>
      <c r="AO507" s="1605"/>
      <c r="AP507" s="1605"/>
      <c r="AQ507" s="1605"/>
      <c r="AR507" s="1605"/>
      <c r="AS507" s="1605"/>
      <c r="AT507" s="1605"/>
      <c r="AU507" s="1605"/>
      <c r="AV507" s="1605"/>
      <c r="AW507" s="1605"/>
      <c r="AX507" s="1605"/>
      <c r="AY507" s="1605"/>
      <c r="AZ507" s="1605"/>
      <c r="BA507" s="1605"/>
      <c r="BB507" s="1605"/>
      <c r="BC507" s="1605"/>
      <c r="BD507" s="1605"/>
      <c r="BE507" s="1605"/>
      <c r="BF507" s="1605"/>
      <c r="BG507" s="1605"/>
      <c r="BH507" s="1605"/>
      <c r="BI507" s="1605"/>
      <c r="BJ507" s="1605"/>
      <c r="BK507" s="1605"/>
      <c r="BL507" s="1605"/>
      <c r="BM507" s="1605"/>
      <c r="BN507" s="1605"/>
      <c r="BO507" s="1605"/>
      <c r="BP507" s="1605"/>
      <c r="BQ507" s="1605"/>
      <c r="BR507" s="1605"/>
      <c r="BS507" s="1605"/>
      <c r="BT507" s="1605"/>
      <c r="BU507" s="1605"/>
      <c r="BV507" s="1605"/>
      <c r="BW507" s="1605"/>
      <c r="BX507" s="1605"/>
      <c r="BY507" s="1605"/>
      <c r="BZ507" s="1605"/>
      <c r="CA507" s="1605"/>
      <c r="CB507" s="1605"/>
      <c r="CC507" s="1605"/>
      <c r="CD507" s="1605"/>
      <c r="CE507" s="1605"/>
      <c r="CF507" s="1605"/>
      <c r="CG507" s="1605"/>
      <c r="CH507" s="1605"/>
      <c r="CI507" s="1605"/>
      <c r="CJ507" s="1605"/>
      <c r="CK507" s="1605"/>
      <c r="CL507" s="1605"/>
      <c r="CM507" s="1605"/>
      <c r="CN507" s="1605"/>
      <c r="CO507" s="1605"/>
      <c r="CP507" s="1605"/>
      <c r="CQ507" s="1605"/>
      <c r="CR507" s="1605"/>
      <c r="CS507" s="1605"/>
      <c r="CT507" s="1605"/>
      <c r="CU507" s="1605"/>
      <c r="CV507" s="1605"/>
      <c r="CW507" s="1605"/>
      <c r="CX507" s="1605"/>
      <c r="CY507" s="1605"/>
      <c r="CZ507" s="1605"/>
      <c r="DA507" s="1605"/>
      <c r="DB507" s="1605"/>
      <c r="DC507" s="1605"/>
      <c r="DD507" s="1605"/>
      <c r="DE507" s="1605"/>
      <c r="DF507" s="1605"/>
      <c r="DG507" s="1605"/>
      <c r="DH507" s="1605"/>
      <c r="DI507" s="1605"/>
      <c r="DJ507" s="1605"/>
      <c r="DK507" s="1605"/>
      <c r="DL507" s="1605"/>
      <c r="DM507" s="1605"/>
      <c r="DN507" s="1605"/>
      <c r="DO507" s="1605"/>
      <c r="DP507" s="1605"/>
      <c r="DQ507" s="1605"/>
      <c r="DR507" s="1605"/>
      <c r="DS507" s="1605"/>
      <c r="DT507" s="1605"/>
      <c r="DU507" s="1605"/>
      <c r="DV507" s="1605"/>
      <c r="DW507" s="1605"/>
      <c r="DX507" s="1605"/>
      <c r="DY507" s="1605"/>
      <c r="DZ507" s="1605"/>
      <c r="EA507" s="1605"/>
      <c r="EB507" s="1605"/>
      <c r="EC507" s="1605"/>
      <c r="ED507" s="1605"/>
      <c r="EE507" s="1605"/>
      <c r="EF507" s="1605"/>
      <c r="EG507" s="1605"/>
      <c r="EH507" s="1605"/>
      <c r="EI507" s="1605"/>
      <c r="EJ507" s="1605"/>
      <c r="EK507" s="1605"/>
      <c r="EL507" s="1605"/>
      <c r="EM507" s="1605"/>
      <c r="EN507" s="1605"/>
      <c r="EO507" s="1605"/>
      <c r="EP507" s="1605"/>
      <c r="EQ507" s="1605"/>
      <c r="ER507" s="1605"/>
      <c r="ES507" s="1605"/>
      <c r="ET507" s="1605"/>
      <c r="EU507" s="1605"/>
      <c r="EV507" s="1605"/>
      <c r="EW507" s="1605"/>
      <c r="EX507" s="1605"/>
      <c r="EY507" s="1605"/>
      <c r="EZ507" s="1605"/>
      <c r="FA507" s="1605"/>
      <c r="FB507" s="1605"/>
      <c r="FC507" s="1605"/>
      <c r="FD507" s="1605"/>
      <c r="FE507" s="1605"/>
      <c r="FF507" s="1605"/>
      <c r="FG507" s="1605"/>
      <c r="FH507" s="1605"/>
      <c r="FI507" s="1605"/>
      <c r="FJ507" s="1605"/>
      <c r="FK507" s="1605"/>
      <c r="FL507" s="1605"/>
      <c r="FM507" s="1605"/>
      <c r="FN507" s="1605"/>
      <c r="FO507" s="1605"/>
      <c r="FP507" s="1605"/>
      <c r="FQ507" s="1605"/>
      <c r="FR507" s="1605"/>
      <c r="FS507" s="1605"/>
      <c r="FT507" s="1605"/>
      <c r="FU507" s="1605"/>
      <c r="FV507" s="1605"/>
      <c r="FW507" s="1605"/>
      <c r="FX507" s="1605"/>
      <c r="FY507" s="1605"/>
      <c r="FZ507" s="1605"/>
      <c r="GA507" s="1605"/>
      <c r="GB507" s="1605"/>
      <c r="GC507" s="1605"/>
      <c r="GD507" s="1605"/>
      <c r="GE507" s="1605"/>
      <c r="GF507" s="1605"/>
      <c r="GG507" s="1605"/>
      <c r="GH507" s="1605"/>
      <c r="GI507" s="1605"/>
      <c r="GJ507" s="1605"/>
      <c r="GK507" s="1605"/>
      <c r="GL507" s="1605"/>
      <c r="GM507" s="1605"/>
      <c r="GN507" s="1605"/>
      <c r="GO507" s="1605"/>
      <c r="GP507" s="1605"/>
      <c r="GQ507" s="1605"/>
      <c r="GR507" s="1605"/>
      <c r="GS507" s="1605"/>
      <c r="GT507" s="1605"/>
      <c r="GU507" s="1605"/>
      <c r="GV507" s="1605"/>
      <c r="GW507" s="1605"/>
      <c r="GX507" s="1605"/>
      <c r="GY507" s="1605"/>
      <c r="GZ507" s="1605"/>
      <c r="HA507" s="1605"/>
      <c r="HB507" s="1605"/>
      <c r="HC507" s="1605"/>
      <c r="HD507" s="1605"/>
      <c r="HE507" s="1605"/>
      <c r="HF507" s="1605"/>
      <c r="HG507" s="1605"/>
      <c r="HH507" s="1605"/>
      <c r="HI507" s="1605"/>
      <c r="HJ507" s="1605"/>
      <c r="HK507" s="1605"/>
      <c r="HL507" s="1605"/>
      <c r="HM507" s="1605"/>
      <c r="HN507" s="1605"/>
      <c r="HO507" s="1605"/>
      <c r="HP507" s="1605"/>
      <c r="HQ507" s="1605"/>
      <c r="HR507" s="1605"/>
      <c r="HS507" s="1605"/>
      <c r="HT507" s="1605"/>
      <c r="HU507" s="1605"/>
      <c r="HV507" s="1605"/>
      <c r="HW507" s="1605"/>
      <c r="HX507" s="1605"/>
      <c r="HY507" s="1605"/>
      <c r="HZ507" s="1605"/>
      <c r="IA507" s="1605"/>
      <c r="IB507" s="1605"/>
      <c r="IC507" s="1605"/>
      <c r="ID507" s="1605"/>
      <c r="IE507" s="1605"/>
      <c r="IF507" s="1605"/>
      <c r="IG507" s="1605"/>
      <c r="IH507" s="1605"/>
      <c r="II507" s="1605"/>
      <c r="IJ507" s="1605"/>
      <c r="IK507" s="1605"/>
      <c r="IL507" s="1605"/>
      <c r="IM507" s="1605"/>
      <c r="IN507" s="1605"/>
      <c r="IO507" s="1605"/>
      <c r="IP507" s="1605"/>
      <c r="IQ507" s="1605"/>
      <c r="IR507" s="1605"/>
      <c r="IS507" s="1605"/>
      <c r="IT507" s="1605"/>
      <c r="IU507" s="1605"/>
      <c r="IV507" s="1605"/>
      <c r="IW507" s="1605"/>
      <c r="IX507" s="1605"/>
      <c r="IY507" s="1605"/>
      <c r="IZ507" s="1605"/>
      <c r="JA507" s="1605"/>
      <c r="JB507" s="1605"/>
      <c r="JC507" s="1605"/>
      <c r="JD507" s="1605"/>
      <c r="JE507" s="1605"/>
      <c r="JF507" s="1605"/>
      <c r="JG507" s="1605"/>
      <c r="JH507" s="1605"/>
      <c r="JI507" s="1605"/>
      <c r="JJ507" s="1605"/>
      <c r="JK507" s="1605"/>
      <c r="JL507" s="1605"/>
      <c r="JM507" s="1605"/>
      <c r="JN507" s="1605"/>
      <c r="JO507" s="1605"/>
      <c r="JP507" s="1605"/>
      <c r="JQ507" s="1605"/>
      <c r="JR507" s="1605"/>
      <c r="JS507" s="1605"/>
      <c r="JT507" s="1605"/>
      <c r="JU507" s="1605"/>
      <c r="JV507" s="1605"/>
      <c r="JW507" s="1605"/>
      <c r="JX507" s="1605"/>
      <c r="JY507" s="1605"/>
      <c r="JZ507" s="1605"/>
      <c r="KA507" s="1605"/>
      <c r="KB507" s="1606"/>
    </row>
    <row r="508" spans="2:288" ht="15" customHeight="1" x14ac:dyDescent="0.25">
      <c r="B508" s="216" t="str">
        <f t="shared" si="38"/>
        <v>Desk 84</v>
      </c>
      <c r="C508" s="218" t="str">
        <v/>
      </c>
      <c r="D508" s="218" t="str">
        <v/>
      </c>
      <c r="E508" s="218" t="str">
        <v/>
      </c>
      <c r="F508" s="218" t="str">
        <v/>
      </c>
      <c r="G508" s="402" t="str">
        <v/>
      </c>
      <c r="H508" s="1605"/>
      <c r="I508" s="1605"/>
      <c r="J508" s="1605"/>
      <c r="K508" s="1605"/>
      <c r="L508" s="1605"/>
      <c r="M508" s="1605"/>
      <c r="N508" s="1605"/>
      <c r="O508" s="1605"/>
      <c r="P508" s="1605"/>
      <c r="Q508" s="1605"/>
      <c r="R508" s="1605"/>
      <c r="S508" s="1605"/>
      <c r="T508" s="1605"/>
      <c r="U508" s="1605"/>
      <c r="V508" s="1605"/>
      <c r="W508" s="1605"/>
      <c r="X508" s="1605"/>
      <c r="Y508" s="1605"/>
      <c r="Z508" s="1605"/>
      <c r="AA508" s="1605"/>
      <c r="AB508" s="1605"/>
      <c r="AC508" s="1605"/>
      <c r="AD508" s="1605"/>
      <c r="AE508" s="1605"/>
      <c r="AF508" s="1605"/>
      <c r="AG508" s="1605"/>
      <c r="AH508" s="1605"/>
      <c r="AI508" s="1605"/>
      <c r="AJ508" s="1605"/>
      <c r="AK508" s="1605"/>
      <c r="AL508" s="1605"/>
      <c r="AM508" s="1605"/>
      <c r="AN508" s="1605"/>
      <c r="AO508" s="1605"/>
      <c r="AP508" s="1605"/>
      <c r="AQ508" s="1605"/>
      <c r="AR508" s="1605"/>
      <c r="AS508" s="1605"/>
      <c r="AT508" s="1605"/>
      <c r="AU508" s="1605"/>
      <c r="AV508" s="1605"/>
      <c r="AW508" s="1605"/>
      <c r="AX508" s="1605"/>
      <c r="AY508" s="1605"/>
      <c r="AZ508" s="1605"/>
      <c r="BA508" s="1605"/>
      <c r="BB508" s="1605"/>
      <c r="BC508" s="1605"/>
      <c r="BD508" s="1605"/>
      <c r="BE508" s="1605"/>
      <c r="BF508" s="1605"/>
      <c r="BG508" s="1605"/>
      <c r="BH508" s="1605"/>
      <c r="BI508" s="1605"/>
      <c r="BJ508" s="1605"/>
      <c r="BK508" s="1605"/>
      <c r="BL508" s="1605"/>
      <c r="BM508" s="1605"/>
      <c r="BN508" s="1605"/>
      <c r="BO508" s="1605"/>
      <c r="BP508" s="1605"/>
      <c r="BQ508" s="1605"/>
      <c r="BR508" s="1605"/>
      <c r="BS508" s="1605"/>
      <c r="BT508" s="1605"/>
      <c r="BU508" s="1605"/>
      <c r="BV508" s="1605"/>
      <c r="BW508" s="1605"/>
      <c r="BX508" s="1605"/>
      <c r="BY508" s="1605"/>
      <c r="BZ508" s="1605"/>
      <c r="CA508" s="1605"/>
      <c r="CB508" s="1605"/>
      <c r="CC508" s="1605"/>
      <c r="CD508" s="1605"/>
      <c r="CE508" s="1605"/>
      <c r="CF508" s="1605"/>
      <c r="CG508" s="1605"/>
      <c r="CH508" s="1605"/>
      <c r="CI508" s="1605"/>
      <c r="CJ508" s="1605"/>
      <c r="CK508" s="1605"/>
      <c r="CL508" s="1605"/>
      <c r="CM508" s="1605"/>
      <c r="CN508" s="1605"/>
      <c r="CO508" s="1605"/>
      <c r="CP508" s="1605"/>
      <c r="CQ508" s="1605"/>
      <c r="CR508" s="1605"/>
      <c r="CS508" s="1605"/>
      <c r="CT508" s="1605"/>
      <c r="CU508" s="1605"/>
      <c r="CV508" s="1605"/>
      <c r="CW508" s="1605"/>
      <c r="CX508" s="1605"/>
      <c r="CY508" s="1605"/>
      <c r="CZ508" s="1605"/>
      <c r="DA508" s="1605"/>
      <c r="DB508" s="1605"/>
      <c r="DC508" s="1605"/>
      <c r="DD508" s="1605"/>
      <c r="DE508" s="1605"/>
      <c r="DF508" s="1605"/>
      <c r="DG508" s="1605"/>
      <c r="DH508" s="1605"/>
      <c r="DI508" s="1605"/>
      <c r="DJ508" s="1605"/>
      <c r="DK508" s="1605"/>
      <c r="DL508" s="1605"/>
      <c r="DM508" s="1605"/>
      <c r="DN508" s="1605"/>
      <c r="DO508" s="1605"/>
      <c r="DP508" s="1605"/>
      <c r="DQ508" s="1605"/>
      <c r="DR508" s="1605"/>
      <c r="DS508" s="1605"/>
      <c r="DT508" s="1605"/>
      <c r="DU508" s="1605"/>
      <c r="DV508" s="1605"/>
      <c r="DW508" s="1605"/>
      <c r="DX508" s="1605"/>
      <c r="DY508" s="1605"/>
      <c r="DZ508" s="1605"/>
      <c r="EA508" s="1605"/>
      <c r="EB508" s="1605"/>
      <c r="EC508" s="1605"/>
      <c r="ED508" s="1605"/>
      <c r="EE508" s="1605"/>
      <c r="EF508" s="1605"/>
      <c r="EG508" s="1605"/>
      <c r="EH508" s="1605"/>
      <c r="EI508" s="1605"/>
      <c r="EJ508" s="1605"/>
      <c r="EK508" s="1605"/>
      <c r="EL508" s="1605"/>
      <c r="EM508" s="1605"/>
      <c r="EN508" s="1605"/>
      <c r="EO508" s="1605"/>
      <c r="EP508" s="1605"/>
      <c r="EQ508" s="1605"/>
      <c r="ER508" s="1605"/>
      <c r="ES508" s="1605"/>
      <c r="ET508" s="1605"/>
      <c r="EU508" s="1605"/>
      <c r="EV508" s="1605"/>
      <c r="EW508" s="1605"/>
      <c r="EX508" s="1605"/>
      <c r="EY508" s="1605"/>
      <c r="EZ508" s="1605"/>
      <c r="FA508" s="1605"/>
      <c r="FB508" s="1605"/>
      <c r="FC508" s="1605"/>
      <c r="FD508" s="1605"/>
      <c r="FE508" s="1605"/>
      <c r="FF508" s="1605"/>
      <c r="FG508" s="1605"/>
      <c r="FH508" s="1605"/>
      <c r="FI508" s="1605"/>
      <c r="FJ508" s="1605"/>
      <c r="FK508" s="1605"/>
      <c r="FL508" s="1605"/>
      <c r="FM508" s="1605"/>
      <c r="FN508" s="1605"/>
      <c r="FO508" s="1605"/>
      <c r="FP508" s="1605"/>
      <c r="FQ508" s="1605"/>
      <c r="FR508" s="1605"/>
      <c r="FS508" s="1605"/>
      <c r="FT508" s="1605"/>
      <c r="FU508" s="1605"/>
      <c r="FV508" s="1605"/>
      <c r="FW508" s="1605"/>
      <c r="FX508" s="1605"/>
      <c r="FY508" s="1605"/>
      <c r="FZ508" s="1605"/>
      <c r="GA508" s="1605"/>
      <c r="GB508" s="1605"/>
      <c r="GC508" s="1605"/>
      <c r="GD508" s="1605"/>
      <c r="GE508" s="1605"/>
      <c r="GF508" s="1605"/>
      <c r="GG508" s="1605"/>
      <c r="GH508" s="1605"/>
      <c r="GI508" s="1605"/>
      <c r="GJ508" s="1605"/>
      <c r="GK508" s="1605"/>
      <c r="GL508" s="1605"/>
      <c r="GM508" s="1605"/>
      <c r="GN508" s="1605"/>
      <c r="GO508" s="1605"/>
      <c r="GP508" s="1605"/>
      <c r="GQ508" s="1605"/>
      <c r="GR508" s="1605"/>
      <c r="GS508" s="1605"/>
      <c r="GT508" s="1605"/>
      <c r="GU508" s="1605"/>
      <c r="GV508" s="1605"/>
      <c r="GW508" s="1605"/>
      <c r="GX508" s="1605"/>
      <c r="GY508" s="1605"/>
      <c r="GZ508" s="1605"/>
      <c r="HA508" s="1605"/>
      <c r="HB508" s="1605"/>
      <c r="HC508" s="1605"/>
      <c r="HD508" s="1605"/>
      <c r="HE508" s="1605"/>
      <c r="HF508" s="1605"/>
      <c r="HG508" s="1605"/>
      <c r="HH508" s="1605"/>
      <c r="HI508" s="1605"/>
      <c r="HJ508" s="1605"/>
      <c r="HK508" s="1605"/>
      <c r="HL508" s="1605"/>
      <c r="HM508" s="1605"/>
      <c r="HN508" s="1605"/>
      <c r="HO508" s="1605"/>
      <c r="HP508" s="1605"/>
      <c r="HQ508" s="1605"/>
      <c r="HR508" s="1605"/>
      <c r="HS508" s="1605"/>
      <c r="HT508" s="1605"/>
      <c r="HU508" s="1605"/>
      <c r="HV508" s="1605"/>
      <c r="HW508" s="1605"/>
      <c r="HX508" s="1605"/>
      <c r="HY508" s="1605"/>
      <c r="HZ508" s="1605"/>
      <c r="IA508" s="1605"/>
      <c r="IB508" s="1605"/>
      <c r="IC508" s="1605"/>
      <c r="ID508" s="1605"/>
      <c r="IE508" s="1605"/>
      <c r="IF508" s="1605"/>
      <c r="IG508" s="1605"/>
      <c r="IH508" s="1605"/>
      <c r="II508" s="1605"/>
      <c r="IJ508" s="1605"/>
      <c r="IK508" s="1605"/>
      <c r="IL508" s="1605"/>
      <c r="IM508" s="1605"/>
      <c r="IN508" s="1605"/>
      <c r="IO508" s="1605"/>
      <c r="IP508" s="1605"/>
      <c r="IQ508" s="1605"/>
      <c r="IR508" s="1605"/>
      <c r="IS508" s="1605"/>
      <c r="IT508" s="1605"/>
      <c r="IU508" s="1605"/>
      <c r="IV508" s="1605"/>
      <c r="IW508" s="1605"/>
      <c r="IX508" s="1605"/>
      <c r="IY508" s="1605"/>
      <c r="IZ508" s="1605"/>
      <c r="JA508" s="1605"/>
      <c r="JB508" s="1605"/>
      <c r="JC508" s="1605"/>
      <c r="JD508" s="1605"/>
      <c r="JE508" s="1605"/>
      <c r="JF508" s="1605"/>
      <c r="JG508" s="1605"/>
      <c r="JH508" s="1605"/>
      <c r="JI508" s="1605"/>
      <c r="JJ508" s="1605"/>
      <c r="JK508" s="1605"/>
      <c r="JL508" s="1605"/>
      <c r="JM508" s="1605"/>
      <c r="JN508" s="1605"/>
      <c r="JO508" s="1605"/>
      <c r="JP508" s="1605"/>
      <c r="JQ508" s="1605"/>
      <c r="JR508" s="1605"/>
      <c r="JS508" s="1605"/>
      <c r="JT508" s="1605"/>
      <c r="JU508" s="1605"/>
      <c r="JV508" s="1605"/>
      <c r="JW508" s="1605"/>
      <c r="JX508" s="1605"/>
      <c r="JY508" s="1605"/>
      <c r="JZ508" s="1605"/>
      <c r="KA508" s="1605"/>
      <c r="KB508" s="1606"/>
    </row>
    <row r="509" spans="2:288" ht="15" customHeight="1" x14ac:dyDescent="0.25">
      <c r="B509" s="216" t="str">
        <f t="shared" si="38"/>
        <v>Desk 85</v>
      </c>
      <c r="C509" s="218" t="str">
        <v/>
      </c>
      <c r="D509" s="218" t="str">
        <v/>
      </c>
      <c r="E509" s="218" t="str">
        <v/>
      </c>
      <c r="F509" s="218" t="str">
        <v/>
      </c>
      <c r="G509" s="402" t="str">
        <v/>
      </c>
      <c r="H509" s="1605"/>
      <c r="I509" s="1605"/>
      <c r="J509" s="1605"/>
      <c r="K509" s="1605"/>
      <c r="L509" s="1605"/>
      <c r="M509" s="1605"/>
      <c r="N509" s="1605"/>
      <c r="O509" s="1605"/>
      <c r="P509" s="1605"/>
      <c r="Q509" s="1605"/>
      <c r="R509" s="1605"/>
      <c r="S509" s="1605"/>
      <c r="T509" s="1605"/>
      <c r="U509" s="1605"/>
      <c r="V509" s="1605"/>
      <c r="W509" s="1605"/>
      <c r="X509" s="1605"/>
      <c r="Y509" s="1605"/>
      <c r="Z509" s="1605"/>
      <c r="AA509" s="1605"/>
      <c r="AB509" s="1605"/>
      <c r="AC509" s="1605"/>
      <c r="AD509" s="1605"/>
      <c r="AE509" s="1605"/>
      <c r="AF509" s="1605"/>
      <c r="AG509" s="1605"/>
      <c r="AH509" s="1605"/>
      <c r="AI509" s="1605"/>
      <c r="AJ509" s="1605"/>
      <c r="AK509" s="1605"/>
      <c r="AL509" s="1605"/>
      <c r="AM509" s="1605"/>
      <c r="AN509" s="1605"/>
      <c r="AO509" s="1605"/>
      <c r="AP509" s="1605"/>
      <c r="AQ509" s="1605"/>
      <c r="AR509" s="1605"/>
      <c r="AS509" s="1605"/>
      <c r="AT509" s="1605"/>
      <c r="AU509" s="1605"/>
      <c r="AV509" s="1605"/>
      <c r="AW509" s="1605"/>
      <c r="AX509" s="1605"/>
      <c r="AY509" s="1605"/>
      <c r="AZ509" s="1605"/>
      <c r="BA509" s="1605"/>
      <c r="BB509" s="1605"/>
      <c r="BC509" s="1605"/>
      <c r="BD509" s="1605"/>
      <c r="BE509" s="1605"/>
      <c r="BF509" s="1605"/>
      <c r="BG509" s="1605"/>
      <c r="BH509" s="1605"/>
      <c r="BI509" s="1605"/>
      <c r="BJ509" s="1605"/>
      <c r="BK509" s="1605"/>
      <c r="BL509" s="1605"/>
      <c r="BM509" s="1605"/>
      <c r="BN509" s="1605"/>
      <c r="BO509" s="1605"/>
      <c r="BP509" s="1605"/>
      <c r="BQ509" s="1605"/>
      <c r="BR509" s="1605"/>
      <c r="BS509" s="1605"/>
      <c r="BT509" s="1605"/>
      <c r="BU509" s="1605"/>
      <c r="BV509" s="1605"/>
      <c r="BW509" s="1605"/>
      <c r="BX509" s="1605"/>
      <c r="BY509" s="1605"/>
      <c r="BZ509" s="1605"/>
      <c r="CA509" s="1605"/>
      <c r="CB509" s="1605"/>
      <c r="CC509" s="1605"/>
      <c r="CD509" s="1605"/>
      <c r="CE509" s="1605"/>
      <c r="CF509" s="1605"/>
      <c r="CG509" s="1605"/>
      <c r="CH509" s="1605"/>
      <c r="CI509" s="1605"/>
      <c r="CJ509" s="1605"/>
      <c r="CK509" s="1605"/>
      <c r="CL509" s="1605"/>
      <c r="CM509" s="1605"/>
      <c r="CN509" s="1605"/>
      <c r="CO509" s="1605"/>
      <c r="CP509" s="1605"/>
      <c r="CQ509" s="1605"/>
      <c r="CR509" s="1605"/>
      <c r="CS509" s="1605"/>
      <c r="CT509" s="1605"/>
      <c r="CU509" s="1605"/>
      <c r="CV509" s="1605"/>
      <c r="CW509" s="1605"/>
      <c r="CX509" s="1605"/>
      <c r="CY509" s="1605"/>
      <c r="CZ509" s="1605"/>
      <c r="DA509" s="1605"/>
      <c r="DB509" s="1605"/>
      <c r="DC509" s="1605"/>
      <c r="DD509" s="1605"/>
      <c r="DE509" s="1605"/>
      <c r="DF509" s="1605"/>
      <c r="DG509" s="1605"/>
      <c r="DH509" s="1605"/>
      <c r="DI509" s="1605"/>
      <c r="DJ509" s="1605"/>
      <c r="DK509" s="1605"/>
      <c r="DL509" s="1605"/>
      <c r="DM509" s="1605"/>
      <c r="DN509" s="1605"/>
      <c r="DO509" s="1605"/>
      <c r="DP509" s="1605"/>
      <c r="DQ509" s="1605"/>
      <c r="DR509" s="1605"/>
      <c r="DS509" s="1605"/>
      <c r="DT509" s="1605"/>
      <c r="DU509" s="1605"/>
      <c r="DV509" s="1605"/>
      <c r="DW509" s="1605"/>
      <c r="DX509" s="1605"/>
      <c r="DY509" s="1605"/>
      <c r="DZ509" s="1605"/>
      <c r="EA509" s="1605"/>
      <c r="EB509" s="1605"/>
      <c r="EC509" s="1605"/>
      <c r="ED509" s="1605"/>
      <c r="EE509" s="1605"/>
      <c r="EF509" s="1605"/>
      <c r="EG509" s="1605"/>
      <c r="EH509" s="1605"/>
      <c r="EI509" s="1605"/>
      <c r="EJ509" s="1605"/>
      <c r="EK509" s="1605"/>
      <c r="EL509" s="1605"/>
      <c r="EM509" s="1605"/>
      <c r="EN509" s="1605"/>
      <c r="EO509" s="1605"/>
      <c r="EP509" s="1605"/>
      <c r="EQ509" s="1605"/>
      <c r="ER509" s="1605"/>
      <c r="ES509" s="1605"/>
      <c r="ET509" s="1605"/>
      <c r="EU509" s="1605"/>
      <c r="EV509" s="1605"/>
      <c r="EW509" s="1605"/>
      <c r="EX509" s="1605"/>
      <c r="EY509" s="1605"/>
      <c r="EZ509" s="1605"/>
      <c r="FA509" s="1605"/>
      <c r="FB509" s="1605"/>
      <c r="FC509" s="1605"/>
      <c r="FD509" s="1605"/>
      <c r="FE509" s="1605"/>
      <c r="FF509" s="1605"/>
      <c r="FG509" s="1605"/>
      <c r="FH509" s="1605"/>
      <c r="FI509" s="1605"/>
      <c r="FJ509" s="1605"/>
      <c r="FK509" s="1605"/>
      <c r="FL509" s="1605"/>
      <c r="FM509" s="1605"/>
      <c r="FN509" s="1605"/>
      <c r="FO509" s="1605"/>
      <c r="FP509" s="1605"/>
      <c r="FQ509" s="1605"/>
      <c r="FR509" s="1605"/>
      <c r="FS509" s="1605"/>
      <c r="FT509" s="1605"/>
      <c r="FU509" s="1605"/>
      <c r="FV509" s="1605"/>
      <c r="FW509" s="1605"/>
      <c r="FX509" s="1605"/>
      <c r="FY509" s="1605"/>
      <c r="FZ509" s="1605"/>
      <c r="GA509" s="1605"/>
      <c r="GB509" s="1605"/>
      <c r="GC509" s="1605"/>
      <c r="GD509" s="1605"/>
      <c r="GE509" s="1605"/>
      <c r="GF509" s="1605"/>
      <c r="GG509" s="1605"/>
      <c r="GH509" s="1605"/>
      <c r="GI509" s="1605"/>
      <c r="GJ509" s="1605"/>
      <c r="GK509" s="1605"/>
      <c r="GL509" s="1605"/>
      <c r="GM509" s="1605"/>
      <c r="GN509" s="1605"/>
      <c r="GO509" s="1605"/>
      <c r="GP509" s="1605"/>
      <c r="GQ509" s="1605"/>
      <c r="GR509" s="1605"/>
      <c r="GS509" s="1605"/>
      <c r="GT509" s="1605"/>
      <c r="GU509" s="1605"/>
      <c r="GV509" s="1605"/>
      <c r="GW509" s="1605"/>
      <c r="GX509" s="1605"/>
      <c r="GY509" s="1605"/>
      <c r="GZ509" s="1605"/>
      <c r="HA509" s="1605"/>
      <c r="HB509" s="1605"/>
      <c r="HC509" s="1605"/>
      <c r="HD509" s="1605"/>
      <c r="HE509" s="1605"/>
      <c r="HF509" s="1605"/>
      <c r="HG509" s="1605"/>
      <c r="HH509" s="1605"/>
      <c r="HI509" s="1605"/>
      <c r="HJ509" s="1605"/>
      <c r="HK509" s="1605"/>
      <c r="HL509" s="1605"/>
      <c r="HM509" s="1605"/>
      <c r="HN509" s="1605"/>
      <c r="HO509" s="1605"/>
      <c r="HP509" s="1605"/>
      <c r="HQ509" s="1605"/>
      <c r="HR509" s="1605"/>
      <c r="HS509" s="1605"/>
      <c r="HT509" s="1605"/>
      <c r="HU509" s="1605"/>
      <c r="HV509" s="1605"/>
      <c r="HW509" s="1605"/>
      <c r="HX509" s="1605"/>
      <c r="HY509" s="1605"/>
      <c r="HZ509" s="1605"/>
      <c r="IA509" s="1605"/>
      <c r="IB509" s="1605"/>
      <c r="IC509" s="1605"/>
      <c r="ID509" s="1605"/>
      <c r="IE509" s="1605"/>
      <c r="IF509" s="1605"/>
      <c r="IG509" s="1605"/>
      <c r="IH509" s="1605"/>
      <c r="II509" s="1605"/>
      <c r="IJ509" s="1605"/>
      <c r="IK509" s="1605"/>
      <c r="IL509" s="1605"/>
      <c r="IM509" s="1605"/>
      <c r="IN509" s="1605"/>
      <c r="IO509" s="1605"/>
      <c r="IP509" s="1605"/>
      <c r="IQ509" s="1605"/>
      <c r="IR509" s="1605"/>
      <c r="IS509" s="1605"/>
      <c r="IT509" s="1605"/>
      <c r="IU509" s="1605"/>
      <c r="IV509" s="1605"/>
      <c r="IW509" s="1605"/>
      <c r="IX509" s="1605"/>
      <c r="IY509" s="1605"/>
      <c r="IZ509" s="1605"/>
      <c r="JA509" s="1605"/>
      <c r="JB509" s="1605"/>
      <c r="JC509" s="1605"/>
      <c r="JD509" s="1605"/>
      <c r="JE509" s="1605"/>
      <c r="JF509" s="1605"/>
      <c r="JG509" s="1605"/>
      <c r="JH509" s="1605"/>
      <c r="JI509" s="1605"/>
      <c r="JJ509" s="1605"/>
      <c r="JK509" s="1605"/>
      <c r="JL509" s="1605"/>
      <c r="JM509" s="1605"/>
      <c r="JN509" s="1605"/>
      <c r="JO509" s="1605"/>
      <c r="JP509" s="1605"/>
      <c r="JQ509" s="1605"/>
      <c r="JR509" s="1605"/>
      <c r="JS509" s="1605"/>
      <c r="JT509" s="1605"/>
      <c r="JU509" s="1605"/>
      <c r="JV509" s="1605"/>
      <c r="JW509" s="1605"/>
      <c r="JX509" s="1605"/>
      <c r="JY509" s="1605"/>
      <c r="JZ509" s="1605"/>
      <c r="KA509" s="1605"/>
      <c r="KB509" s="1606"/>
    </row>
    <row r="510" spans="2:288" ht="15" customHeight="1" x14ac:dyDescent="0.25">
      <c r="B510" s="216" t="str">
        <f t="shared" si="38"/>
        <v>Desk 86</v>
      </c>
      <c r="C510" s="218" t="str">
        <v/>
      </c>
      <c r="D510" s="218" t="str">
        <v/>
      </c>
      <c r="E510" s="218" t="str">
        <v/>
      </c>
      <c r="F510" s="218" t="str">
        <v/>
      </c>
      <c r="G510" s="402" t="str">
        <v/>
      </c>
      <c r="H510" s="1605"/>
      <c r="I510" s="1605"/>
      <c r="J510" s="1605"/>
      <c r="K510" s="1605"/>
      <c r="L510" s="1605"/>
      <c r="M510" s="1605"/>
      <c r="N510" s="1605"/>
      <c r="O510" s="1605"/>
      <c r="P510" s="1605"/>
      <c r="Q510" s="1605"/>
      <c r="R510" s="1605"/>
      <c r="S510" s="1605"/>
      <c r="T510" s="1605"/>
      <c r="U510" s="1605"/>
      <c r="V510" s="1605"/>
      <c r="W510" s="1605"/>
      <c r="X510" s="1605"/>
      <c r="Y510" s="1605"/>
      <c r="Z510" s="1605"/>
      <c r="AA510" s="1605"/>
      <c r="AB510" s="1605"/>
      <c r="AC510" s="1605"/>
      <c r="AD510" s="1605"/>
      <c r="AE510" s="1605"/>
      <c r="AF510" s="1605"/>
      <c r="AG510" s="1605"/>
      <c r="AH510" s="1605"/>
      <c r="AI510" s="1605"/>
      <c r="AJ510" s="1605"/>
      <c r="AK510" s="1605"/>
      <c r="AL510" s="1605"/>
      <c r="AM510" s="1605"/>
      <c r="AN510" s="1605"/>
      <c r="AO510" s="1605"/>
      <c r="AP510" s="1605"/>
      <c r="AQ510" s="1605"/>
      <c r="AR510" s="1605"/>
      <c r="AS510" s="1605"/>
      <c r="AT510" s="1605"/>
      <c r="AU510" s="1605"/>
      <c r="AV510" s="1605"/>
      <c r="AW510" s="1605"/>
      <c r="AX510" s="1605"/>
      <c r="AY510" s="1605"/>
      <c r="AZ510" s="1605"/>
      <c r="BA510" s="1605"/>
      <c r="BB510" s="1605"/>
      <c r="BC510" s="1605"/>
      <c r="BD510" s="1605"/>
      <c r="BE510" s="1605"/>
      <c r="BF510" s="1605"/>
      <c r="BG510" s="1605"/>
      <c r="BH510" s="1605"/>
      <c r="BI510" s="1605"/>
      <c r="BJ510" s="1605"/>
      <c r="BK510" s="1605"/>
      <c r="BL510" s="1605"/>
      <c r="BM510" s="1605"/>
      <c r="BN510" s="1605"/>
      <c r="BO510" s="1605"/>
      <c r="BP510" s="1605"/>
      <c r="BQ510" s="1605"/>
      <c r="BR510" s="1605"/>
      <c r="BS510" s="1605"/>
      <c r="BT510" s="1605"/>
      <c r="BU510" s="1605"/>
      <c r="BV510" s="1605"/>
      <c r="BW510" s="1605"/>
      <c r="BX510" s="1605"/>
      <c r="BY510" s="1605"/>
      <c r="BZ510" s="1605"/>
      <c r="CA510" s="1605"/>
      <c r="CB510" s="1605"/>
      <c r="CC510" s="1605"/>
      <c r="CD510" s="1605"/>
      <c r="CE510" s="1605"/>
      <c r="CF510" s="1605"/>
      <c r="CG510" s="1605"/>
      <c r="CH510" s="1605"/>
      <c r="CI510" s="1605"/>
      <c r="CJ510" s="1605"/>
      <c r="CK510" s="1605"/>
      <c r="CL510" s="1605"/>
      <c r="CM510" s="1605"/>
      <c r="CN510" s="1605"/>
      <c r="CO510" s="1605"/>
      <c r="CP510" s="1605"/>
      <c r="CQ510" s="1605"/>
      <c r="CR510" s="1605"/>
      <c r="CS510" s="1605"/>
      <c r="CT510" s="1605"/>
      <c r="CU510" s="1605"/>
      <c r="CV510" s="1605"/>
      <c r="CW510" s="1605"/>
      <c r="CX510" s="1605"/>
      <c r="CY510" s="1605"/>
      <c r="CZ510" s="1605"/>
      <c r="DA510" s="1605"/>
      <c r="DB510" s="1605"/>
      <c r="DC510" s="1605"/>
      <c r="DD510" s="1605"/>
      <c r="DE510" s="1605"/>
      <c r="DF510" s="1605"/>
      <c r="DG510" s="1605"/>
      <c r="DH510" s="1605"/>
      <c r="DI510" s="1605"/>
      <c r="DJ510" s="1605"/>
      <c r="DK510" s="1605"/>
      <c r="DL510" s="1605"/>
      <c r="DM510" s="1605"/>
      <c r="DN510" s="1605"/>
      <c r="DO510" s="1605"/>
      <c r="DP510" s="1605"/>
      <c r="DQ510" s="1605"/>
      <c r="DR510" s="1605"/>
      <c r="DS510" s="1605"/>
      <c r="DT510" s="1605"/>
      <c r="DU510" s="1605"/>
      <c r="DV510" s="1605"/>
      <c r="DW510" s="1605"/>
      <c r="DX510" s="1605"/>
      <c r="DY510" s="1605"/>
      <c r="DZ510" s="1605"/>
      <c r="EA510" s="1605"/>
      <c r="EB510" s="1605"/>
      <c r="EC510" s="1605"/>
      <c r="ED510" s="1605"/>
      <c r="EE510" s="1605"/>
      <c r="EF510" s="1605"/>
      <c r="EG510" s="1605"/>
      <c r="EH510" s="1605"/>
      <c r="EI510" s="1605"/>
      <c r="EJ510" s="1605"/>
      <c r="EK510" s="1605"/>
      <c r="EL510" s="1605"/>
      <c r="EM510" s="1605"/>
      <c r="EN510" s="1605"/>
      <c r="EO510" s="1605"/>
      <c r="EP510" s="1605"/>
      <c r="EQ510" s="1605"/>
      <c r="ER510" s="1605"/>
      <c r="ES510" s="1605"/>
      <c r="ET510" s="1605"/>
      <c r="EU510" s="1605"/>
      <c r="EV510" s="1605"/>
      <c r="EW510" s="1605"/>
      <c r="EX510" s="1605"/>
      <c r="EY510" s="1605"/>
      <c r="EZ510" s="1605"/>
      <c r="FA510" s="1605"/>
      <c r="FB510" s="1605"/>
      <c r="FC510" s="1605"/>
      <c r="FD510" s="1605"/>
      <c r="FE510" s="1605"/>
      <c r="FF510" s="1605"/>
      <c r="FG510" s="1605"/>
      <c r="FH510" s="1605"/>
      <c r="FI510" s="1605"/>
      <c r="FJ510" s="1605"/>
      <c r="FK510" s="1605"/>
      <c r="FL510" s="1605"/>
      <c r="FM510" s="1605"/>
      <c r="FN510" s="1605"/>
      <c r="FO510" s="1605"/>
      <c r="FP510" s="1605"/>
      <c r="FQ510" s="1605"/>
      <c r="FR510" s="1605"/>
      <c r="FS510" s="1605"/>
      <c r="FT510" s="1605"/>
      <c r="FU510" s="1605"/>
      <c r="FV510" s="1605"/>
      <c r="FW510" s="1605"/>
      <c r="FX510" s="1605"/>
      <c r="FY510" s="1605"/>
      <c r="FZ510" s="1605"/>
      <c r="GA510" s="1605"/>
      <c r="GB510" s="1605"/>
      <c r="GC510" s="1605"/>
      <c r="GD510" s="1605"/>
      <c r="GE510" s="1605"/>
      <c r="GF510" s="1605"/>
      <c r="GG510" s="1605"/>
      <c r="GH510" s="1605"/>
      <c r="GI510" s="1605"/>
      <c r="GJ510" s="1605"/>
      <c r="GK510" s="1605"/>
      <c r="GL510" s="1605"/>
      <c r="GM510" s="1605"/>
      <c r="GN510" s="1605"/>
      <c r="GO510" s="1605"/>
      <c r="GP510" s="1605"/>
      <c r="GQ510" s="1605"/>
      <c r="GR510" s="1605"/>
      <c r="GS510" s="1605"/>
      <c r="GT510" s="1605"/>
      <c r="GU510" s="1605"/>
      <c r="GV510" s="1605"/>
      <c r="GW510" s="1605"/>
      <c r="GX510" s="1605"/>
      <c r="GY510" s="1605"/>
      <c r="GZ510" s="1605"/>
      <c r="HA510" s="1605"/>
      <c r="HB510" s="1605"/>
      <c r="HC510" s="1605"/>
      <c r="HD510" s="1605"/>
      <c r="HE510" s="1605"/>
      <c r="HF510" s="1605"/>
      <c r="HG510" s="1605"/>
      <c r="HH510" s="1605"/>
      <c r="HI510" s="1605"/>
      <c r="HJ510" s="1605"/>
      <c r="HK510" s="1605"/>
      <c r="HL510" s="1605"/>
      <c r="HM510" s="1605"/>
      <c r="HN510" s="1605"/>
      <c r="HO510" s="1605"/>
      <c r="HP510" s="1605"/>
      <c r="HQ510" s="1605"/>
      <c r="HR510" s="1605"/>
      <c r="HS510" s="1605"/>
      <c r="HT510" s="1605"/>
      <c r="HU510" s="1605"/>
      <c r="HV510" s="1605"/>
      <c r="HW510" s="1605"/>
      <c r="HX510" s="1605"/>
      <c r="HY510" s="1605"/>
      <c r="HZ510" s="1605"/>
      <c r="IA510" s="1605"/>
      <c r="IB510" s="1605"/>
      <c r="IC510" s="1605"/>
      <c r="ID510" s="1605"/>
      <c r="IE510" s="1605"/>
      <c r="IF510" s="1605"/>
      <c r="IG510" s="1605"/>
      <c r="IH510" s="1605"/>
      <c r="II510" s="1605"/>
      <c r="IJ510" s="1605"/>
      <c r="IK510" s="1605"/>
      <c r="IL510" s="1605"/>
      <c r="IM510" s="1605"/>
      <c r="IN510" s="1605"/>
      <c r="IO510" s="1605"/>
      <c r="IP510" s="1605"/>
      <c r="IQ510" s="1605"/>
      <c r="IR510" s="1605"/>
      <c r="IS510" s="1605"/>
      <c r="IT510" s="1605"/>
      <c r="IU510" s="1605"/>
      <c r="IV510" s="1605"/>
      <c r="IW510" s="1605"/>
      <c r="IX510" s="1605"/>
      <c r="IY510" s="1605"/>
      <c r="IZ510" s="1605"/>
      <c r="JA510" s="1605"/>
      <c r="JB510" s="1605"/>
      <c r="JC510" s="1605"/>
      <c r="JD510" s="1605"/>
      <c r="JE510" s="1605"/>
      <c r="JF510" s="1605"/>
      <c r="JG510" s="1605"/>
      <c r="JH510" s="1605"/>
      <c r="JI510" s="1605"/>
      <c r="JJ510" s="1605"/>
      <c r="JK510" s="1605"/>
      <c r="JL510" s="1605"/>
      <c r="JM510" s="1605"/>
      <c r="JN510" s="1605"/>
      <c r="JO510" s="1605"/>
      <c r="JP510" s="1605"/>
      <c r="JQ510" s="1605"/>
      <c r="JR510" s="1605"/>
      <c r="JS510" s="1605"/>
      <c r="JT510" s="1605"/>
      <c r="JU510" s="1605"/>
      <c r="JV510" s="1605"/>
      <c r="JW510" s="1605"/>
      <c r="JX510" s="1605"/>
      <c r="JY510" s="1605"/>
      <c r="JZ510" s="1605"/>
      <c r="KA510" s="1605"/>
      <c r="KB510" s="1606"/>
    </row>
    <row r="511" spans="2:288" ht="15" customHeight="1" x14ac:dyDescent="0.25">
      <c r="B511" s="216" t="str">
        <f t="shared" si="38"/>
        <v>Desk 87</v>
      </c>
      <c r="C511" s="218" t="str">
        <v/>
      </c>
      <c r="D511" s="218" t="str">
        <v/>
      </c>
      <c r="E511" s="218" t="str">
        <v/>
      </c>
      <c r="F511" s="218" t="str">
        <v/>
      </c>
      <c r="G511" s="402" t="str">
        <v/>
      </c>
      <c r="H511" s="1605"/>
      <c r="I511" s="1605"/>
      <c r="J511" s="1605"/>
      <c r="K511" s="1605"/>
      <c r="L511" s="1605"/>
      <c r="M511" s="1605"/>
      <c r="N511" s="1605"/>
      <c r="O511" s="1605"/>
      <c r="P511" s="1605"/>
      <c r="Q511" s="1605"/>
      <c r="R511" s="1605"/>
      <c r="S511" s="1605"/>
      <c r="T511" s="1605"/>
      <c r="U511" s="1605"/>
      <c r="V511" s="1605"/>
      <c r="W511" s="1605"/>
      <c r="X511" s="1605"/>
      <c r="Y511" s="1605"/>
      <c r="Z511" s="1605"/>
      <c r="AA511" s="1605"/>
      <c r="AB511" s="1605"/>
      <c r="AC511" s="1605"/>
      <c r="AD511" s="1605"/>
      <c r="AE511" s="1605"/>
      <c r="AF511" s="1605"/>
      <c r="AG511" s="1605"/>
      <c r="AH511" s="1605"/>
      <c r="AI511" s="1605"/>
      <c r="AJ511" s="1605"/>
      <c r="AK511" s="1605"/>
      <c r="AL511" s="1605"/>
      <c r="AM511" s="1605"/>
      <c r="AN511" s="1605"/>
      <c r="AO511" s="1605"/>
      <c r="AP511" s="1605"/>
      <c r="AQ511" s="1605"/>
      <c r="AR511" s="1605"/>
      <c r="AS511" s="1605"/>
      <c r="AT511" s="1605"/>
      <c r="AU511" s="1605"/>
      <c r="AV511" s="1605"/>
      <c r="AW511" s="1605"/>
      <c r="AX511" s="1605"/>
      <c r="AY511" s="1605"/>
      <c r="AZ511" s="1605"/>
      <c r="BA511" s="1605"/>
      <c r="BB511" s="1605"/>
      <c r="BC511" s="1605"/>
      <c r="BD511" s="1605"/>
      <c r="BE511" s="1605"/>
      <c r="BF511" s="1605"/>
      <c r="BG511" s="1605"/>
      <c r="BH511" s="1605"/>
      <c r="BI511" s="1605"/>
      <c r="BJ511" s="1605"/>
      <c r="BK511" s="1605"/>
      <c r="BL511" s="1605"/>
      <c r="BM511" s="1605"/>
      <c r="BN511" s="1605"/>
      <c r="BO511" s="1605"/>
      <c r="BP511" s="1605"/>
      <c r="BQ511" s="1605"/>
      <c r="BR511" s="1605"/>
      <c r="BS511" s="1605"/>
      <c r="BT511" s="1605"/>
      <c r="BU511" s="1605"/>
      <c r="BV511" s="1605"/>
      <c r="BW511" s="1605"/>
      <c r="BX511" s="1605"/>
      <c r="BY511" s="1605"/>
      <c r="BZ511" s="1605"/>
      <c r="CA511" s="1605"/>
      <c r="CB511" s="1605"/>
      <c r="CC511" s="1605"/>
      <c r="CD511" s="1605"/>
      <c r="CE511" s="1605"/>
      <c r="CF511" s="1605"/>
      <c r="CG511" s="1605"/>
      <c r="CH511" s="1605"/>
      <c r="CI511" s="1605"/>
      <c r="CJ511" s="1605"/>
      <c r="CK511" s="1605"/>
      <c r="CL511" s="1605"/>
      <c r="CM511" s="1605"/>
      <c r="CN511" s="1605"/>
      <c r="CO511" s="1605"/>
      <c r="CP511" s="1605"/>
      <c r="CQ511" s="1605"/>
      <c r="CR511" s="1605"/>
      <c r="CS511" s="1605"/>
      <c r="CT511" s="1605"/>
      <c r="CU511" s="1605"/>
      <c r="CV511" s="1605"/>
      <c r="CW511" s="1605"/>
      <c r="CX511" s="1605"/>
      <c r="CY511" s="1605"/>
      <c r="CZ511" s="1605"/>
      <c r="DA511" s="1605"/>
      <c r="DB511" s="1605"/>
      <c r="DC511" s="1605"/>
      <c r="DD511" s="1605"/>
      <c r="DE511" s="1605"/>
      <c r="DF511" s="1605"/>
      <c r="DG511" s="1605"/>
      <c r="DH511" s="1605"/>
      <c r="DI511" s="1605"/>
      <c r="DJ511" s="1605"/>
      <c r="DK511" s="1605"/>
      <c r="DL511" s="1605"/>
      <c r="DM511" s="1605"/>
      <c r="DN511" s="1605"/>
      <c r="DO511" s="1605"/>
      <c r="DP511" s="1605"/>
      <c r="DQ511" s="1605"/>
      <c r="DR511" s="1605"/>
      <c r="DS511" s="1605"/>
      <c r="DT511" s="1605"/>
      <c r="DU511" s="1605"/>
      <c r="DV511" s="1605"/>
      <c r="DW511" s="1605"/>
      <c r="DX511" s="1605"/>
      <c r="DY511" s="1605"/>
      <c r="DZ511" s="1605"/>
      <c r="EA511" s="1605"/>
      <c r="EB511" s="1605"/>
      <c r="EC511" s="1605"/>
      <c r="ED511" s="1605"/>
      <c r="EE511" s="1605"/>
      <c r="EF511" s="1605"/>
      <c r="EG511" s="1605"/>
      <c r="EH511" s="1605"/>
      <c r="EI511" s="1605"/>
      <c r="EJ511" s="1605"/>
      <c r="EK511" s="1605"/>
      <c r="EL511" s="1605"/>
      <c r="EM511" s="1605"/>
      <c r="EN511" s="1605"/>
      <c r="EO511" s="1605"/>
      <c r="EP511" s="1605"/>
      <c r="EQ511" s="1605"/>
      <c r="ER511" s="1605"/>
      <c r="ES511" s="1605"/>
      <c r="ET511" s="1605"/>
      <c r="EU511" s="1605"/>
      <c r="EV511" s="1605"/>
      <c r="EW511" s="1605"/>
      <c r="EX511" s="1605"/>
      <c r="EY511" s="1605"/>
      <c r="EZ511" s="1605"/>
      <c r="FA511" s="1605"/>
      <c r="FB511" s="1605"/>
      <c r="FC511" s="1605"/>
      <c r="FD511" s="1605"/>
      <c r="FE511" s="1605"/>
      <c r="FF511" s="1605"/>
      <c r="FG511" s="1605"/>
      <c r="FH511" s="1605"/>
      <c r="FI511" s="1605"/>
      <c r="FJ511" s="1605"/>
      <c r="FK511" s="1605"/>
      <c r="FL511" s="1605"/>
      <c r="FM511" s="1605"/>
      <c r="FN511" s="1605"/>
      <c r="FO511" s="1605"/>
      <c r="FP511" s="1605"/>
      <c r="FQ511" s="1605"/>
      <c r="FR511" s="1605"/>
      <c r="FS511" s="1605"/>
      <c r="FT511" s="1605"/>
      <c r="FU511" s="1605"/>
      <c r="FV511" s="1605"/>
      <c r="FW511" s="1605"/>
      <c r="FX511" s="1605"/>
      <c r="FY511" s="1605"/>
      <c r="FZ511" s="1605"/>
      <c r="GA511" s="1605"/>
      <c r="GB511" s="1605"/>
      <c r="GC511" s="1605"/>
      <c r="GD511" s="1605"/>
      <c r="GE511" s="1605"/>
      <c r="GF511" s="1605"/>
      <c r="GG511" s="1605"/>
      <c r="GH511" s="1605"/>
      <c r="GI511" s="1605"/>
      <c r="GJ511" s="1605"/>
      <c r="GK511" s="1605"/>
      <c r="GL511" s="1605"/>
      <c r="GM511" s="1605"/>
      <c r="GN511" s="1605"/>
      <c r="GO511" s="1605"/>
      <c r="GP511" s="1605"/>
      <c r="GQ511" s="1605"/>
      <c r="GR511" s="1605"/>
      <c r="GS511" s="1605"/>
      <c r="GT511" s="1605"/>
      <c r="GU511" s="1605"/>
      <c r="GV511" s="1605"/>
      <c r="GW511" s="1605"/>
      <c r="GX511" s="1605"/>
      <c r="GY511" s="1605"/>
      <c r="GZ511" s="1605"/>
      <c r="HA511" s="1605"/>
      <c r="HB511" s="1605"/>
      <c r="HC511" s="1605"/>
      <c r="HD511" s="1605"/>
      <c r="HE511" s="1605"/>
      <c r="HF511" s="1605"/>
      <c r="HG511" s="1605"/>
      <c r="HH511" s="1605"/>
      <c r="HI511" s="1605"/>
      <c r="HJ511" s="1605"/>
      <c r="HK511" s="1605"/>
      <c r="HL511" s="1605"/>
      <c r="HM511" s="1605"/>
      <c r="HN511" s="1605"/>
      <c r="HO511" s="1605"/>
      <c r="HP511" s="1605"/>
      <c r="HQ511" s="1605"/>
      <c r="HR511" s="1605"/>
      <c r="HS511" s="1605"/>
      <c r="HT511" s="1605"/>
      <c r="HU511" s="1605"/>
      <c r="HV511" s="1605"/>
      <c r="HW511" s="1605"/>
      <c r="HX511" s="1605"/>
      <c r="HY511" s="1605"/>
      <c r="HZ511" s="1605"/>
      <c r="IA511" s="1605"/>
      <c r="IB511" s="1605"/>
      <c r="IC511" s="1605"/>
      <c r="ID511" s="1605"/>
      <c r="IE511" s="1605"/>
      <c r="IF511" s="1605"/>
      <c r="IG511" s="1605"/>
      <c r="IH511" s="1605"/>
      <c r="II511" s="1605"/>
      <c r="IJ511" s="1605"/>
      <c r="IK511" s="1605"/>
      <c r="IL511" s="1605"/>
      <c r="IM511" s="1605"/>
      <c r="IN511" s="1605"/>
      <c r="IO511" s="1605"/>
      <c r="IP511" s="1605"/>
      <c r="IQ511" s="1605"/>
      <c r="IR511" s="1605"/>
      <c r="IS511" s="1605"/>
      <c r="IT511" s="1605"/>
      <c r="IU511" s="1605"/>
      <c r="IV511" s="1605"/>
      <c r="IW511" s="1605"/>
      <c r="IX511" s="1605"/>
      <c r="IY511" s="1605"/>
      <c r="IZ511" s="1605"/>
      <c r="JA511" s="1605"/>
      <c r="JB511" s="1605"/>
      <c r="JC511" s="1605"/>
      <c r="JD511" s="1605"/>
      <c r="JE511" s="1605"/>
      <c r="JF511" s="1605"/>
      <c r="JG511" s="1605"/>
      <c r="JH511" s="1605"/>
      <c r="JI511" s="1605"/>
      <c r="JJ511" s="1605"/>
      <c r="JK511" s="1605"/>
      <c r="JL511" s="1605"/>
      <c r="JM511" s="1605"/>
      <c r="JN511" s="1605"/>
      <c r="JO511" s="1605"/>
      <c r="JP511" s="1605"/>
      <c r="JQ511" s="1605"/>
      <c r="JR511" s="1605"/>
      <c r="JS511" s="1605"/>
      <c r="JT511" s="1605"/>
      <c r="JU511" s="1605"/>
      <c r="JV511" s="1605"/>
      <c r="JW511" s="1605"/>
      <c r="JX511" s="1605"/>
      <c r="JY511" s="1605"/>
      <c r="JZ511" s="1605"/>
      <c r="KA511" s="1605"/>
      <c r="KB511" s="1606"/>
    </row>
    <row r="512" spans="2:288" ht="15" customHeight="1" x14ac:dyDescent="0.25">
      <c r="B512" s="216" t="str">
        <f t="shared" si="38"/>
        <v>Desk 88</v>
      </c>
      <c r="C512" s="218" t="str">
        <v/>
      </c>
      <c r="D512" s="218" t="str">
        <v/>
      </c>
      <c r="E512" s="218" t="str">
        <v/>
      </c>
      <c r="F512" s="218" t="str">
        <v/>
      </c>
      <c r="G512" s="402" t="str">
        <v/>
      </c>
      <c r="H512" s="1605"/>
      <c r="I512" s="1605"/>
      <c r="J512" s="1605"/>
      <c r="K512" s="1605"/>
      <c r="L512" s="1605"/>
      <c r="M512" s="1605"/>
      <c r="N512" s="1605"/>
      <c r="O512" s="1605"/>
      <c r="P512" s="1605"/>
      <c r="Q512" s="1605"/>
      <c r="R512" s="1605"/>
      <c r="S512" s="1605"/>
      <c r="T512" s="1605"/>
      <c r="U512" s="1605"/>
      <c r="V512" s="1605"/>
      <c r="W512" s="1605"/>
      <c r="X512" s="1605"/>
      <c r="Y512" s="1605"/>
      <c r="Z512" s="1605"/>
      <c r="AA512" s="1605"/>
      <c r="AB512" s="1605"/>
      <c r="AC512" s="1605"/>
      <c r="AD512" s="1605"/>
      <c r="AE512" s="1605"/>
      <c r="AF512" s="1605"/>
      <c r="AG512" s="1605"/>
      <c r="AH512" s="1605"/>
      <c r="AI512" s="1605"/>
      <c r="AJ512" s="1605"/>
      <c r="AK512" s="1605"/>
      <c r="AL512" s="1605"/>
      <c r="AM512" s="1605"/>
      <c r="AN512" s="1605"/>
      <c r="AO512" s="1605"/>
      <c r="AP512" s="1605"/>
      <c r="AQ512" s="1605"/>
      <c r="AR512" s="1605"/>
      <c r="AS512" s="1605"/>
      <c r="AT512" s="1605"/>
      <c r="AU512" s="1605"/>
      <c r="AV512" s="1605"/>
      <c r="AW512" s="1605"/>
      <c r="AX512" s="1605"/>
      <c r="AY512" s="1605"/>
      <c r="AZ512" s="1605"/>
      <c r="BA512" s="1605"/>
      <c r="BB512" s="1605"/>
      <c r="BC512" s="1605"/>
      <c r="BD512" s="1605"/>
      <c r="BE512" s="1605"/>
      <c r="BF512" s="1605"/>
      <c r="BG512" s="1605"/>
      <c r="BH512" s="1605"/>
      <c r="BI512" s="1605"/>
      <c r="BJ512" s="1605"/>
      <c r="BK512" s="1605"/>
      <c r="BL512" s="1605"/>
      <c r="BM512" s="1605"/>
      <c r="BN512" s="1605"/>
      <c r="BO512" s="1605"/>
      <c r="BP512" s="1605"/>
      <c r="BQ512" s="1605"/>
      <c r="BR512" s="1605"/>
      <c r="BS512" s="1605"/>
      <c r="BT512" s="1605"/>
      <c r="BU512" s="1605"/>
      <c r="BV512" s="1605"/>
      <c r="BW512" s="1605"/>
      <c r="BX512" s="1605"/>
      <c r="BY512" s="1605"/>
      <c r="BZ512" s="1605"/>
      <c r="CA512" s="1605"/>
      <c r="CB512" s="1605"/>
      <c r="CC512" s="1605"/>
      <c r="CD512" s="1605"/>
      <c r="CE512" s="1605"/>
      <c r="CF512" s="1605"/>
      <c r="CG512" s="1605"/>
      <c r="CH512" s="1605"/>
      <c r="CI512" s="1605"/>
      <c r="CJ512" s="1605"/>
      <c r="CK512" s="1605"/>
      <c r="CL512" s="1605"/>
      <c r="CM512" s="1605"/>
      <c r="CN512" s="1605"/>
      <c r="CO512" s="1605"/>
      <c r="CP512" s="1605"/>
      <c r="CQ512" s="1605"/>
      <c r="CR512" s="1605"/>
      <c r="CS512" s="1605"/>
      <c r="CT512" s="1605"/>
      <c r="CU512" s="1605"/>
      <c r="CV512" s="1605"/>
      <c r="CW512" s="1605"/>
      <c r="CX512" s="1605"/>
      <c r="CY512" s="1605"/>
      <c r="CZ512" s="1605"/>
      <c r="DA512" s="1605"/>
      <c r="DB512" s="1605"/>
      <c r="DC512" s="1605"/>
      <c r="DD512" s="1605"/>
      <c r="DE512" s="1605"/>
      <c r="DF512" s="1605"/>
      <c r="DG512" s="1605"/>
      <c r="DH512" s="1605"/>
      <c r="DI512" s="1605"/>
      <c r="DJ512" s="1605"/>
      <c r="DK512" s="1605"/>
      <c r="DL512" s="1605"/>
      <c r="DM512" s="1605"/>
      <c r="DN512" s="1605"/>
      <c r="DO512" s="1605"/>
      <c r="DP512" s="1605"/>
      <c r="DQ512" s="1605"/>
      <c r="DR512" s="1605"/>
      <c r="DS512" s="1605"/>
      <c r="DT512" s="1605"/>
      <c r="DU512" s="1605"/>
      <c r="DV512" s="1605"/>
      <c r="DW512" s="1605"/>
      <c r="DX512" s="1605"/>
      <c r="DY512" s="1605"/>
      <c r="DZ512" s="1605"/>
      <c r="EA512" s="1605"/>
      <c r="EB512" s="1605"/>
      <c r="EC512" s="1605"/>
      <c r="ED512" s="1605"/>
      <c r="EE512" s="1605"/>
      <c r="EF512" s="1605"/>
      <c r="EG512" s="1605"/>
      <c r="EH512" s="1605"/>
      <c r="EI512" s="1605"/>
      <c r="EJ512" s="1605"/>
      <c r="EK512" s="1605"/>
      <c r="EL512" s="1605"/>
      <c r="EM512" s="1605"/>
      <c r="EN512" s="1605"/>
      <c r="EO512" s="1605"/>
      <c r="EP512" s="1605"/>
      <c r="EQ512" s="1605"/>
      <c r="ER512" s="1605"/>
      <c r="ES512" s="1605"/>
      <c r="ET512" s="1605"/>
      <c r="EU512" s="1605"/>
      <c r="EV512" s="1605"/>
      <c r="EW512" s="1605"/>
      <c r="EX512" s="1605"/>
      <c r="EY512" s="1605"/>
      <c r="EZ512" s="1605"/>
      <c r="FA512" s="1605"/>
      <c r="FB512" s="1605"/>
      <c r="FC512" s="1605"/>
      <c r="FD512" s="1605"/>
      <c r="FE512" s="1605"/>
      <c r="FF512" s="1605"/>
      <c r="FG512" s="1605"/>
      <c r="FH512" s="1605"/>
      <c r="FI512" s="1605"/>
      <c r="FJ512" s="1605"/>
      <c r="FK512" s="1605"/>
      <c r="FL512" s="1605"/>
      <c r="FM512" s="1605"/>
      <c r="FN512" s="1605"/>
      <c r="FO512" s="1605"/>
      <c r="FP512" s="1605"/>
      <c r="FQ512" s="1605"/>
      <c r="FR512" s="1605"/>
      <c r="FS512" s="1605"/>
      <c r="FT512" s="1605"/>
      <c r="FU512" s="1605"/>
      <c r="FV512" s="1605"/>
      <c r="FW512" s="1605"/>
      <c r="FX512" s="1605"/>
      <c r="FY512" s="1605"/>
      <c r="FZ512" s="1605"/>
      <c r="GA512" s="1605"/>
      <c r="GB512" s="1605"/>
      <c r="GC512" s="1605"/>
      <c r="GD512" s="1605"/>
      <c r="GE512" s="1605"/>
      <c r="GF512" s="1605"/>
      <c r="GG512" s="1605"/>
      <c r="GH512" s="1605"/>
      <c r="GI512" s="1605"/>
      <c r="GJ512" s="1605"/>
      <c r="GK512" s="1605"/>
      <c r="GL512" s="1605"/>
      <c r="GM512" s="1605"/>
      <c r="GN512" s="1605"/>
      <c r="GO512" s="1605"/>
      <c r="GP512" s="1605"/>
      <c r="GQ512" s="1605"/>
      <c r="GR512" s="1605"/>
      <c r="GS512" s="1605"/>
      <c r="GT512" s="1605"/>
      <c r="GU512" s="1605"/>
      <c r="GV512" s="1605"/>
      <c r="GW512" s="1605"/>
      <c r="GX512" s="1605"/>
      <c r="GY512" s="1605"/>
      <c r="GZ512" s="1605"/>
      <c r="HA512" s="1605"/>
      <c r="HB512" s="1605"/>
      <c r="HC512" s="1605"/>
      <c r="HD512" s="1605"/>
      <c r="HE512" s="1605"/>
      <c r="HF512" s="1605"/>
      <c r="HG512" s="1605"/>
      <c r="HH512" s="1605"/>
      <c r="HI512" s="1605"/>
      <c r="HJ512" s="1605"/>
      <c r="HK512" s="1605"/>
      <c r="HL512" s="1605"/>
      <c r="HM512" s="1605"/>
      <c r="HN512" s="1605"/>
      <c r="HO512" s="1605"/>
      <c r="HP512" s="1605"/>
      <c r="HQ512" s="1605"/>
      <c r="HR512" s="1605"/>
      <c r="HS512" s="1605"/>
      <c r="HT512" s="1605"/>
      <c r="HU512" s="1605"/>
      <c r="HV512" s="1605"/>
      <c r="HW512" s="1605"/>
      <c r="HX512" s="1605"/>
      <c r="HY512" s="1605"/>
      <c r="HZ512" s="1605"/>
      <c r="IA512" s="1605"/>
      <c r="IB512" s="1605"/>
      <c r="IC512" s="1605"/>
      <c r="ID512" s="1605"/>
      <c r="IE512" s="1605"/>
      <c r="IF512" s="1605"/>
      <c r="IG512" s="1605"/>
      <c r="IH512" s="1605"/>
      <c r="II512" s="1605"/>
      <c r="IJ512" s="1605"/>
      <c r="IK512" s="1605"/>
      <c r="IL512" s="1605"/>
      <c r="IM512" s="1605"/>
      <c r="IN512" s="1605"/>
      <c r="IO512" s="1605"/>
      <c r="IP512" s="1605"/>
      <c r="IQ512" s="1605"/>
      <c r="IR512" s="1605"/>
      <c r="IS512" s="1605"/>
      <c r="IT512" s="1605"/>
      <c r="IU512" s="1605"/>
      <c r="IV512" s="1605"/>
      <c r="IW512" s="1605"/>
      <c r="IX512" s="1605"/>
      <c r="IY512" s="1605"/>
      <c r="IZ512" s="1605"/>
      <c r="JA512" s="1605"/>
      <c r="JB512" s="1605"/>
      <c r="JC512" s="1605"/>
      <c r="JD512" s="1605"/>
      <c r="JE512" s="1605"/>
      <c r="JF512" s="1605"/>
      <c r="JG512" s="1605"/>
      <c r="JH512" s="1605"/>
      <c r="JI512" s="1605"/>
      <c r="JJ512" s="1605"/>
      <c r="JK512" s="1605"/>
      <c r="JL512" s="1605"/>
      <c r="JM512" s="1605"/>
      <c r="JN512" s="1605"/>
      <c r="JO512" s="1605"/>
      <c r="JP512" s="1605"/>
      <c r="JQ512" s="1605"/>
      <c r="JR512" s="1605"/>
      <c r="JS512" s="1605"/>
      <c r="JT512" s="1605"/>
      <c r="JU512" s="1605"/>
      <c r="JV512" s="1605"/>
      <c r="JW512" s="1605"/>
      <c r="JX512" s="1605"/>
      <c r="JY512" s="1605"/>
      <c r="JZ512" s="1605"/>
      <c r="KA512" s="1605"/>
      <c r="KB512" s="1606"/>
    </row>
    <row r="513" spans="1:289" ht="15" customHeight="1" x14ac:dyDescent="0.25">
      <c r="B513" s="216" t="str">
        <f t="shared" si="38"/>
        <v>Desk 89</v>
      </c>
      <c r="C513" s="218" t="str">
        <v/>
      </c>
      <c r="D513" s="218" t="str">
        <v/>
      </c>
      <c r="E513" s="218" t="str">
        <v/>
      </c>
      <c r="F513" s="218" t="str">
        <v/>
      </c>
      <c r="G513" s="402" t="str">
        <v/>
      </c>
      <c r="H513" s="1605"/>
      <c r="I513" s="1605"/>
      <c r="J513" s="1605"/>
      <c r="K513" s="1605"/>
      <c r="L513" s="1605"/>
      <c r="M513" s="1605"/>
      <c r="N513" s="1605"/>
      <c r="O513" s="1605"/>
      <c r="P513" s="1605"/>
      <c r="Q513" s="1605"/>
      <c r="R513" s="1605"/>
      <c r="S513" s="1605"/>
      <c r="T513" s="1605"/>
      <c r="U513" s="1605"/>
      <c r="V513" s="1605"/>
      <c r="W513" s="1605"/>
      <c r="X513" s="1605"/>
      <c r="Y513" s="1605"/>
      <c r="Z513" s="1605"/>
      <c r="AA513" s="1605"/>
      <c r="AB513" s="1605"/>
      <c r="AC513" s="1605"/>
      <c r="AD513" s="1605"/>
      <c r="AE513" s="1605"/>
      <c r="AF513" s="1605"/>
      <c r="AG513" s="1605"/>
      <c r="AH513" s="1605"/>
      <c r="AI513" s="1605"/>
      <c r="AJ513" s="1605"/>
      <c r="AK513" s="1605"/>
      <c r="AL513" s="1605"/>
      <c r="AM513" s="1605"/>
      <c r="AN513" s="1605"/>
      <c r="AO513" s="1605"/>
      <c r="AP513" s="1605"/>
      <c r="AQ513" s="1605"/>
      <c r="AR513" s="1605"/>
      <c r="AS513" s="1605"/>
      <c r="AT513" s="1605"/>
      <c r="AU513" s="1605"/>
      <c r="AV513" s="1605"/>
      <c r="AW513" s="1605"/>
      <c r="AX513" s="1605"/>
      <c r="AY513" s="1605"/>
      <c r="AZ513" s="1605"/>
      <c r="BA513" s="1605"/>
      <c r="BB513" s="1605"/>
      <c r="BC513" s="1605"/>
      <c r="BD513" s="1605"/>
      <c r="BE513" s="1605"/>
      <c r="BF513" s="1605"/>
      <c r="BG513" s="1605"/>
      <c r="BH513" s="1605"/>
      <c r="BI513" s="1605"/>
      <c r="BJ513" s="1605"/>
      <c r="BK513" s="1605"/>
      <c r="BL513" s="1605"/>
      <c r="BM513" s="1605"/>
      <c r="BN513" s="1605"/>
      <c r="BO513" s="1605"/>
      <c r="BP513" s="1605"/>
      <c r="BQ513" s="1605"/>
      <c r="BR513" s="1605"/>
      <c r="BS513" s="1605"/>
      <c r="BT513" s="1605"/>
      <c r="BU513" s="1605"/>
      <c r="BV513" s="1605"/>
      <c r="BW513" s="1605"/>
      <c r="BX513" s="1605"/>
      <c r="BY513" s="1605"/>
      <c r="BZ513" s="1605"/>
      <c r="CA513" s="1605"/>
      <c r="CB513" s="1605"/>
      <c r="CC513" s="1605"/>
      <c r="CD513" s="1605"/>
      <c r="CE513" s="1605"/>
      <c r="CF513" s="1605"/>
      <c r="CG513" s="1605"/>
      <c r="CH513" s="1605"/>
      <c r="CI513" s="1605"/>
      <c r="CJ513" s="1605"/>
      <c r="CK513" s="1605"/>
      <c r="CL513" s="1605"/>
      <c r="CM513" s="1605"/>
      <c r="CN513" s="1605"/>
      <c r="CO513" s="1605"/>
      <c r="CP513" s="1605"/>
      <c r="CQ513" s="1605"/>
      <c r="CR513" s="1605"/>
      <c r="CS513" s="1605"/>
      <c r="CT513" s="1605"/>
      <c r="CU513" s="1605"/>
      <c r="CV513" s="1605"/>
      <c r="CW513" s="1605"/>
      <c r="CX513" s="1605"/>
      <c r="CY513" s="1605"/>
      <c r="CZ513" s="1605"/>
      <c r="DA513" s="1605"/>
      <c r="DB513" s="1605"/>
      <c r="DC513" s="1605"/>
      <c r="DD513" s="1605"/>
      <c r="DE513" s="1605"/>
      <c r="DF513" s="1605"/>
      <c r="DG513" s="1605"/>
      <c r="DH513" s="1605"/>
      <c r="DI513" s="1605"/>
      <c r="DJ513" s="1605"/>
      <c r="DK513" s="1605"/>
      <c r="DL513" s="1605"/>
      <c r="DM513" s="1605"/>
      <c r="DN513" s="1605"/>
      <c r="DO513" s="1605"/>
      <c r="DP513" s="1605"/>
      <c r="DQ513" s="1605"/>
      <c r="DR513" s="1605"/>
      <c r="DS513" s="1605"/>
      <c r="DT513" s="1605"/>
      <c r="DU513" s="1605"/>
      <c r="DV513" s="1605"/>
      <c r="DW513" s="1605"/>
      <c r="DX513" s="1605"/>
      <c r="DY513" s="1605"/>
      <c r="DZ513" s="1605"/>
      <c r="EA513" s="1605"/>
      <c r="EB513" s="1605"/>
      <c r="EC513" s="1605"/>
      <c r="ED513" s="1605"/>
      <c r="EE513" s="1605"/>
      <c r="EF513" s="1605"/>
      <c r="EG513" s="1605"/>
      <c r="EH513" s="1605"/>
      <c r="EI513" s="1605"/>
      <c r="EJ513" s="1605"/>
      <c r="EK513" s="1605"/>
      <c r="EL513" s="1605"/>
      <c r="EM513" s="1605"/>
      <c r="EN513" s="1605"/>
      <c r="EO513" s="1605"/>
      <c r="EP513" s="1605"/>
      <c r="EQ513" s="1605"/>
      <c r="ER513" s="1605"/>
      <c r="ES513" s="1605"/>
      <c r="ET513" s="1605"/>
      <c r="EU513" s="1605"/>
      <c r="EV513" s="1605"/>
      <c r="EW513" s="1605"/>
      <c r="EX513" s="1605"/>
      <c r="EY513" s="1605"/>
      <c r="EZ513" s="1605"/>
      <c r="FA513" s="1605"/>
      <c r="FB513" s="1605"/>
      <c r="FC513" s="1605"/>
      <c r="FD513" s="1605"/>
      <c r="FE513" s="1605"/>
      <c r="FF513" s="1605"/>
      <c r="FG513" s="1605"/>
      <c r="FH513" s="1605"/>
      <c r="FI513" s="1605"/>
      <c r="FJ513" s="1605"/>
      <c r="FK513" s="1605"/>
      <c r="FL513" s="1605"/>
      <c r="FM513" s="1605"/>
      <c r="FN513" s="1605"/>
      <c r="FO513" s="1605"/>
      <c r="FP513" s="1605"/>
      <c r="FQ513" s="1605"/>
      <c r="FR513" s="1605"/>
      <c r="FS513" s="1605"/>
      <c r="FT513" s="1605"/>
      <c r="FU513" s="1605"/>
      <c r="FV513" s="1605"/>
      <c r="FW513" s="1605"/>
      <c r="FX513" s="1605"/>
      <c r="FY513" s="1605"/>
      <c r="FZ513" s="1605"/>
      <c r="GA513" s="1605"/>
      <c r="GB513" s="1605"/>
      <c r="GC513" s="1605"/>
      <c r="GD513" s="1605"/>
      <c r="GE513" s="1605"/>
      <c r="GF513" s="1605"/>
      <c r="GG513" s="1605"/>
      <c r="GH513" s="1605"/>
      <c r="GI513" s="1605"/>
      <c r="GJ513" s="1605"/>
      <c r="GK513" s="1605"/>
      <c r="GL513" s="1605"/>
      <c r="GM513" s="1605"/>
      <c r="GN513" s="1605"/>
      <c r="GO513" s="1605"/>
      <c r="GP513" s="1605"/>
      <c r="GQ513" s="1605"/>
      <c r="GR513" s="1605"/>
      <c r="GS513" s="1605"/>
      <c r="GT513" s="1605"/>
      <c r="GU513" s="1605"/>
      <c r="GV513" s="1605"/>
      <c r="GW513" s="1605"/>
      <c r="GX513" s="1605"/>
      <c r="GY513" s="1605"/>
      <c r="GZ513" s="1605"/>
      <c r="HA513" s="1605"/>
      <c r="HB513" s="1605"/>
      <c r="HC513" s="1605"/>
      <c r="HD513" s="1605"/>
      <c r="HE513" s="1605"/>
      <c r="HF513" s="1605"/>
      <c r="HG513" s="1605"/>
      <c r="HH513" s="1605"/>
      <c r="HI513" s="1605"/>
      <c r="HJ513" s="1605"/>
      <c r="HK513" s="1605"/>
      <c r="HL513" s="1605"/>
      <c r="HM513" s="1605"/>
      <c r="HN513" s="1605"/>
      <c r="HO513" s="1605"/>
      <c r="HP513" s="1605"/>
      <c r="HQ513" s="1605"/>
      <c r="HR513" s="1605"/>
      <c r="HS513" s="1605"/>
      <c r="HT513" s="1605"/>
      <c r="HU513" s="1605"/>
      <c r="HV513" s="1605"/>
      <c r="HW513" s="1605"/>
      <c r="HX513" s="1605"/>
      <c r="HY513" s="1605"/>
      <c r="HZ513" s="1605"/>
      <c r="IA513" s="1605"/>
      <c r="IB513" s="1605"/>
      <c r="IC513" s="1605"/>
      <c r="ID513" s="1605"/>
      <c r="IE513" s="1605"/>
      <c r="IF513" s="1605"/>
      <c r="IG513" s="1605"/>
      <c r="IH513" s="1605"/>
      <c r="II513" s="1605"/>
      <c r="IJ513" s="1605"/>
      <c r="IK513" s="1605"/>
      <c r="IL513" s="1605"/>
      <c r="IM513" s="1605"/>
      <c r="IN513" s="1605"/>
      <c r="IO513" s="1605"/>
      <c r="IP513" s="1605"/>
      <c r="IQ513" s="1605"/>
      <c r="IR513" s="1605"/>
      <c r="IS513" s="1605"/>
      <c r="IT513" s="1605"/>
      <c r="IU513" s="1605"/>
      <c r="IV513" s="1605"/>
      <c r="IW513" s="1605"/>
      <c r="IX513" s="1605"/>
      <c r="IY513" s="1605"/>
      <c r="IZ513" s="1605"/>
      <c r="JA513" s="1605"/>
      <c r="JB513" s="1605"/>
      <c r="JC513" s="1605"/>
      <c r="JD513" s="1605"/>
      <c r="JE513" s="1605"/>
      <c r="JF513" s="1605"/>
      <c r="JG513" s="1605"/>
      <c r="JH513" s="1605"/>
      <c r="JI513" s="1605"/>
      <c r="JJ513" s="1605"/>
      <c r="JK513" s="1605"/>
      <c r="JL513" s="1605"/>
      <c r="JM513" s="1605"/>
      <c r="JN513" s="1605"/>
      <c r="JO513" s="1605"/>
      <c r="JP513" s="1605"/>
      <c r="JQ513" s="1605"/>
      <c r="JR513" s="1605"/>
      <c r="JS513" s="1605"/>
      <c r="JT513" s="1605"/>
      <c r="JU513" s="1605"/>
      <c r="JV513" s="1605"/>
      <c r="JW513" s="1605"/>
      <c r="JX513" s="1605"/>
      <c r="JY513" s="1605"/>
      <c r="JZ513" s="1605"/>
      <c r="KA513" s="1605"/>
      <c r="KB513" s="1606"/>
    </row>
    <row r="514" spans="1:289" ht="15" customHeight="1" x14ac:dyDescent="0.25">
      <c r="B514" s="216" t="str">
        <f t="shared" si="38"/>
        <v>Desk 90</v>
      </c>
      <c r="C514" s="218" t="str">
        <v/>
      </c>
      <c r="D514" s="218" t="str">
        <v/>
      </c>
      <c r="E514" s="218" t="str">
        <v/>
      </c>
      <c r="F514" s="218" t="str">
        <v/>
      </c>
      <c r="G514" s="402" t="str">
        <v/>
      </c>
      <c r="H514" s="1605"/>
      <c r="I514" s="1605"/>
      <c r="J514" s="1605"/>
      <c r="K514" s="1605"/>
      <c r="L514" s="1605"/>
      <c r="M514" s="1605"/>
      <c r="N514" s="1605"/>
      <c r="O514" s="1605"/>
      <c r="P514" s="1605"/>
      <c r="Q514" s="1605"/>
      <c r="R514" s="1605"/>
      <c r="S514" s="1605"/>
      <c r="T514" s="1605"/>
      <c r="U514" s="1605"/>
      <c r="V514" s="1605"/>
      <c r="W514" s="1605"/>
      <c r="X514" s="1605"/>
      <c r="Y514" s="1605"/>
      <c r="Z514" s="1605"/>
      <c r="AA514" s="1605"/>
      <c r="AB514" s="1605"/>
      <c r="AC514" s="1605"/>
      <c r="AD514" s="1605"/>
      <c r="AE514" s="1605"/>
      <c r="AF514" s="1605"/>
      <c r="AG514" s="1605"/>
      <c r="AH514" s="1605"/>
      <c r="AI514" s="1605"/>
      <c r="AJ514" s="1605"/>
      <c r="AK514" s="1605"/>
      <c r="AL514" s="1605"/>
      <c r="AM514" s="1605"/>
      <c r="AN514" s="1605"/>
      <c r="AO514" s="1605"/>
      <c r="AP514" s="1605"/>
      <c r="AQ514" s="1605"/>
      <c r="AR514" s="1605"/>
      <c r="AS514" s="1605"/>
      <c r="AT514" s="1605"/>
      <c r="AU514" s="1605"/>
      <c r="AV514" s="1605"/>
      <c r="AW514" s="1605"/>
      <c r="AX514" s="1605"/>
      <c r="AY514" s="1605"/>
      <c r="AZ514" s="1605"/>
      <c r="BA514" s="1605"/>
      <c r="BB514" s="1605"/>
      <c r="BC514" s="1605"/>
      <c r="BD514" s="1605"/>
      <c r="BE514" s="1605"/>
      <c r="BF514" s="1605"/>
      <c r="BG514" s="1605"/>
      <c r="BH514" s="1605"/>
      <c r="BI514" s="1605"/>
      <c r="BJ514" s="1605"/>
      <c r="BK514" s="1605"/>
      <c r="BL514" s="1605"/>
      <c r="BM514" s="1605"/>
      <c r="BN514" s="1605"/>
      <c r="BO514" s="1605"/>
      <c r="BP514" s="1605"/>
      <c r="BQ514" s="1605"/>
      <c r="BR514" s="1605"/>
      <c r="BS514" s="1605"/>
      <c r="BT514" s="1605"/>
      <c r="BU514" s="1605"/>
      <c r="BV514" s="1605"/>
      <c r="BW514" s="1605"/>
      <c r="BX514" s="1605"/>
      <c r="BY514" s="1605"/>
      <c r="BZ514" s="1605"/>
      <c r="CA514" s="1605"/>
      <c r="CB514" s="1605"/>
      <c r="CC514" s="1605"/>
      <c r="CD514" s="1605"/>
      <c r="CE514" s="1605"/>
      <c r="CF514" s="1605"/>
      <c r="CG514" s="1605"/>
      <c r="CH514" s="1605"/>
      <c r="CI514" s="1605"/>
      <c r="CJ514" s="1605"/>
      <c r="CK514" s="1605"/>
      <c r="CL514" s="1605"/>
      <c r="CM514" s="1605"/>
      <c r="CN514" s="1605"/>
      <c r="CO514" s="1605"/>
      <c r="CP514" s="1605"/>
      <c r="CQ514" s="1605"/>
      <c r="CR514" s="1605"/>
      <c r="CS514" s="1605"/>
      <c r="CT514" s="1605"/>
      <c r="CU514" s="1605"/>
      <c r="CV514" s="1605"/>
      <c r="CW514" s="1605"/>
      <c r="CX514" s="1605"/>
      <c r="CY514" s="1605"/>
      <c r="CZ514" s="1605"/>
      <c r="DA514" s="1605"/>
      <c r="DB514" s="1605"/>
      <c r="DC514" s="1605"/>
      <c r="DD514" s="1605"/>
      <c r="DE514" s="1605"/>
      <c r="DF514" s="1605"/>
      <c r="DG514" s="1605"/>
      <c r="DH514" s="1605"/>
      <c r="DI514" s="1605"/>
      <c r="DJ514" s="1605"/>
      <c r="DK514" s="1605"/>
      <c r="DL514" s="1605"/>
      <c r="DM514" s="1605"/>
      <c r="DN514" s="1605"/>
      <c r="DO514" s="1605"/>
      <c r="DP514" s="1605"/>
      <c r="DQ514" s="1605"/>
      <c r="DR514" s="1605"/>
      <c r="DS514" s="1605"/>
      <c r="DT514" s="1605"/>
      <c r="DU514" s="1605"/>
      <c r="DV514" s="1605"/>
      <c r="DW514" s="1605"/>
      <c r="DX514" s="1605"/>
      <c r="DY514" s="1605"/>
      <c r="DZ514" s="1605"/>
      <c r="EA514" s="1605"/>
      <c r="EB514" s="1605"/>
      <c r="EC514" s="1605"/>
      <c r="ED514" s="1605"/>
      <c r="EE514" s="1605"/>
      <c r="EF514" s="1605"/>
      <c r="EG514" s="1605"/>
      <c r="EH514" s="1605"/>
      <c r="EI514" s="1605"/>
      <c r="EJ514" s="1605"/>
      <c r="EK514" s="1605"/>
      <c r="EL514" s="1605"/>
      <c r="EM514" s="1605"/>
      <c r="EN514" s="1605"/>
      <c r="EO514" s="1605"/>
      <c r="EP514" s="1605"/>
      <c r="EQ514" s="1605"/>
      <c r="ER514" s="1605"/>
      <c r="ES514" s="1605"/>
      <c r="ET514" s="1605"/>
      <c r="EU514" s="1605"/>
      <c r="EV514" s="1605"/>
      <c r="EW514" s="1605"/>
      <c r="EX514" s="1605"/>
      <c r="EY514" s="1605"/>
      <c r="EZ514" s="1605"/>
      <c r="FA514" s="1605"/>
      <c r="FB514" s="1605"/>
      <c r="FC514" s="1605"/>
      <c r="FD514" s="1605"/>
      <c r="FE514" s="1605"/>
      <c r="FF514" s="1605"/>
      <c r="FG514" s="1605"/>
      <c r="FH514" s="1605"/>
      <c r="FI514" s="1605"/>
      <c r="FJ514" s="1605"/>
      <c r="FK514" s="1605"/>
      <c r="FL514" s="1605"/>
      <c r="FM514" s="1605"/>
      <c r="FN514" s="1605"/>
      <c r="FO514" s="1605"/>
      <c r="FP514" s="1605"/>
      <c r="FQ514" s="1605"/>
      <c r="FR514" s="1605"/>
      <c r="FS514" s="1605"/>
      <c r="FT514" s="1605"/>
      <c r="FU514" s="1605"/>
      <c r="FV514" s="1605"/>
      <c r="FW514" s="1605"/>
      <c r="FX514" s="1605"/>
      <c r="FY514" s="1605"/>
      <c r="FZ514" s="1605"/>
      <c r="GA514" s="1605"/>
      <c r="GB514" s="1605"/>
      <c r="GC514" s="1605"/>
      <c r="GD514" s="1605"/>
      <c r="GE514" s="1605"/>
      <c r="GF514" s="1605"/>
      <c r="GG514" s="1605"/>
      <c r="GH514" s="1605"/>
      <c r="GI514" s="1605"/>
      <c r="GJ514" s="1605"/>
      <c r="GK514" s="1605"/>
      <c r="GL514" s="1605"/>
      <c r="GM514" s="1605"/>
      <c r="GN514" s="1605"/>
      <c r="GO514" s="1605"/>
      <c r="GP514" s="1605"/>
      <c r="GQ514" s="1605"/>
      <c r="GR514" s="1605"/>
      <c r="GS514" s="1605"/>
      <c r="GT514" s="1605"/>
      <c r="GU514" s="1605"/>
      <c r="GV514" s="1605"/>
      <c r="GW514" s="1605"/>
      <c r="GX514" s="1605"/>
      <c r="GY514" s="1605"/>
      <c r="GZ514" s="1605"/>
      <c r="HA514" s="1605"/>
      <c r="HB514" s="1605"/>
      <c r="HC514" s="1605"/>
      <c r="HD514" s="1605"/>
      <c r="HE514" s="1605"/>
      <c r="HF514" s="1605"/>
      <c r="HG514" s="1605"/>
      <c r="HH514" s="1605"/>
      <c r="HI514" s="1605"/>
      <c r="HJ514" s="1605"/>
      <c r="HK514" s="1605"/>
      <c r="HL514" s="1605"/>
      <c r="HM514" s="1605"/>
      <c r="HN514" s="1605"/>
      <c r="HO514" s="1605"/>
      <c r="HP514" s="1605"/>
      <c r="HQ514" s="1605"/>
      <c r="HR514" s="1605"/>
      <c r="HS514" s="1605"/>
      <c r="HT514" s="1605"/>
      <c r="HU514" s="1605"/>
      <c r="HV514" s="1605"/>
      <c r="HW514" s="1605"/>
      <c r="HX514" s="1605"/>
      <c r="HY514" s="1605"/>
      <c r="HZ514" s="1605"/>
      <c r="IA514" s="1605"/>
      <c r="IB514" s="1605"/>
      <c r="IC514" s="1605"/>
      <c r="ID514" s="1605"/>
      <c r="IE514" s="1605"/>
      <c r="IF514" s="1605"/>
      <c r="IG514" s="1605"/>
      <c r="IH514" s="1605"/>
      <c r="II514" s="1605"/>
      <c r="IJ514" s="1605"/>
      <c r="IK514" s="1605"/>
      <c r="IL514" s="1605"/>
      <c r="IM514" s="1605"/>
      <c r="IN514" s="1605"/>
      <c r="IO514" s="1605"/>
      <c r="IP514" s="1605"/>
      <c r="IQ514" s="1605"/>
      <c r="IR514" s="1605"/>
      <c r="IS514" s="1605"/>
      <c r="IT514" s="1605"/>
      <c r="IU514" s="1605"/>
      <c r="IV514" s="1605"/>
      <c r="IW514" s="1605"/>
      <c r="IX514" s="1605"/>
      <c r="IY514" s="1605"/>
      <c r="IZ514" s="1605"/>
      <c r="JA514" s="1605"/>
      <c r="JB514" s="1605"/>
      <c r="JC514" s="1605"/>
      <c r="JD514" s="1605"/>
      <c r="JE514" s="1605"/>
      <c r="JF514" s="1605"/>
      <c r="JG514" s="1605"/>
      <c r="JH514" s="1605"/>
      <c r="JI514" s="1605"/>
      <c r="JJ514" s="1605"/>
      <c r="JK514" s="1605"/>
      <c r="JL514" s="1605"/>
      <c r="JM514" s="1605"/>
      <c r="JN514" s="1605"/>
      <c r="JO514" s="1605"/>
      <c r="JP514" s="1605"/>
      <c r="JQ514" s="1605"/>
      <c r="JR514" s="1605"/>
      <c r="JS514" s="1605"/>
      <c r="JT514" s="1605"/>
      <c r="JU514" s="1605"/>
      <c r="JV514" s="1605"/>
      <c r="JW514" s="1605"/>
      <c r="JX514" s="1605"/>
      <c r="JY514" s="1605"/>
      <c r="JZ514" s="1605"/>
      <c r="KA514" s="1605"/>
      <c r="KB514" s="1606"/>
    </row>
    <row r="515" spans="1:289" ht="15" customHeight="1" x14ac:dyDescent="0.25">
      <c r="B515" s="216" t="str">
        <f t="shared" si="38"/>
        <v>Desk 91</v>
      </c>
      <c r="C515" s="218" t="str">
        <v/>
      </c>
      <c r="D515" s="218" t="str">
        <v/>
      </c>
      <c r="E515" s="218" t="str">
        <v/>
      </c>
      <c r="F515" s="218" t="str">
        <v/>
      </c>
      <c r="G515" s="402" t="str">
        <v/>
      </c>
      <c r="H515" s="1605"/>
      <c r="I515" s="1605"/>
      <c r="J515" s="1605"/>
      <c r="K515" s="1605"/>
      <c r="L515" s="1605"/>
      <c r="M515" s="1605"/>
      <c r="N515" s="1605"/>
      <c r="O515" s="1605"/>
      <c r="P515" s="1605"/>
      <c r="Q515" s="1605"/>
      <c r="R515" s="1605"/>
      <c r="S515" s="1605"/>
      <c r="T515" s="1605"/>
      <c r="U515" s="1605"/>
      <c r="V515" s="1605"/>
      <c r="W515" s="1605"/>
      <c r="X515" s="1605"/>
      <c r="Y515" s="1605"/>
      <c r="Z515" s="1605"/>
      <c r="AA515" s="1605"/>
      <c r="AB515" s="1605"/>
      <c r="AC515" s="1605"/>
      <c r="AD515" s="1605"/>
      <c r="AE515" s="1605"/>
      <c r="AF515" s="1605"/>
      <c r="AG515" s="1605"/>
      <c r="AH515" s="1605"/>
      <c r="AI515" s="1605"/>
      <c r="AJ515" s="1605"/>
      <c r="AK515" s="1605"/>
      <c r="AL515" s="1605"/>
      <c r="AM515" s="1605"/>
      <c r="AN515" s="1605"/>
      <c r="AO515" s="1605"/>
      <c r="AP515" s="1605"/>
      <c r="AQ515" s="1605"/>
      <c r="AR515" s="1605"/>
      <c r="AS515" s="1605"/>
      <c r="AT515" s="1605"/>
      <c r="AU515" s="1605"/>
      <c r="AV515" s="1605"/>
      <c r="AW515" s="1605"/>
      <c r="AX515" s="1605"/>
      <c r="AY515" s="1605"/>
      <c r="AZ515" s="1605"/>
      <c r="BA515" s="1605"/>
      <c r="BB515" s="1605"/>
      <c r="BC515" s="1605"/>
      <c r="BD515" s="1605"/>
      <c r="BE515" s="1605"/>
      <c r="BF515" s="1605"/>
      <c r="BG515" s="1605"/>
      <c r="BH515" s="1605"/>
      <c r="BI515" s="1605"/>
      <c r="BJ515" s="1605"/>
      <c r="BK515" s="1605"/>
      <c r="BL515" s="1605"/>
      <c r="BM515" s="1605"/>
      <c r="BN515" s="1605"/>
      <c r="BO515" s="1605"/>
      <c r="BP515" s="1605"/>
      <c r="BQ515" s="1605"/>
      <c r="BR515" s="1605"/>
      <c r="BS515" s="1605"/>
      <c r="BT515" s="1605"/>
      <c r="BU515" s="1605"/>
      <c r="BV515" s="1605"/>
      <c r="BW515" s="1605"/>
      <c r="BX515" s="1605"/>
      <c r="BY515" s="1605"/>
      <c r="BZ515" s="1605"/>
      <c r="CA515" s="1605"/>
      <c r="CB515" s="1605"/>
      <c r="CC515" s="1605"/>
      <c r="CD515" s="1605"/>
      <c r="CE515" s="1605"/>
      <c r="CF515" s="1605"/>
      <c r="CG515" s="1605"/>
      <c r="CH515" s="1605"/>
      <c r="CI515" s="1605"/>
      <c r="CJ515" s="1605"/>
      <c r="CK515" s="1605"/>
      <c r="CL515" s="1605"/>
      <c r="CM515" s="1605"/>
      <c r="CN515" s="1605"/>
      <c r="CO515" s="1605"/>
      <c r="CP515" s="1605"/>
      <c r="CQ515" s="1605"/>
      <c r="CR515" s="1605"/>
      <c r="CS515" s="1605"/>
      <c r="CT515" s="1605"/>
      <c r="CU515" s="1605"/>
      <c r="CV515" s="1605"/>
      <c r="CW515" s="1605"/>
      <c r="CX515" s="1605"/>
      <c r="CY515" s="1605"/>
      <c r="CZ515" s="1605"/>
      <c r="DA515" s="1605"/>
      <c r="DB515" s="1605"/>
      <c r="DC515" s="1605"/>
      <c r="DD515" s="1605"/>
      <c r="DE515" s="1605"/>
      <c r="DF515" s="1605"/>
      <c r="DG515" s="1605"/>
      <c r="DH515" s="1605"/>
      <c r="DI515" s="1605"/>
      <c r="DJ515" s="1605"/>
      <c r="DK515" s="1605"/>
      <c r="DL515" s="1605"/>
      <c r="DM515" s="1605"/>
      <c r="DN515" s="1605"/>
      <c r="DO515" s="1605"/>
      <c r="DP515" s="1605"/>
      <c r="DQ515" s="1605"/>
      <c r="DR515" s="1605"/>
      <c r="DS515" s="1605"/>
      <c r="DT515" s="1605"/>
      <c r="DU515" s="1605"/>
      <c r="DV515" s="1605"/>
      <c r="DW515" s="1605"/>
      <c r="DX515" s="1605"/>
      <c r="DY515" s="1605"/>
      <c r="DZ515" s="1605"/>
      <c r="EA515" s="1605"/>
      <c r="EB515" s="1605"/>
      <c r="EC515" s="1605"/>
      <c r="ED515" s="1605"/>
      <c r="EE515" s="1605"/>
      <c r="EF515" s="1605"/>
      <c r="EG515" s="1605"/>
      <c r="EH515" s="1605"/>
      <c r="EI515" s="1605"/>
      <c r="EJ515" s="1605"/>
      <c r="EK515" s="1605"/>
      <c r="EL515" s="1605"/>
      <c r="EM515" s="1605"/>
      <c r="EN515" s="1605"/>
      <c r="EO515" s="1605"/>
      <c r="EP515" s="1605"/>
      <c r="EQ515" s="1605"/>
      <c r="ER515" s="1605"/>
      <c r="ES515" s="1605"/>
      <c r="ET515" s="1605"/>
      <c r="EU515" s="1605"/>
      <c r="EV515" s="1605"/>
      <c r="EW515" s="1605"/>
      <c r="EX515" s="1605"/>
      <c r="EY515" s="1605"/>
      <c r="EZ515" s="1605"/>
      <c r="FA515" s="1605"/>
      <c r="FB515" s="1605"/>
      <c r="FC515" s="1605"/>
      <c r="FD515" s="1605"/>
      <c r="FE515" s="1605"/>
      <c r="FF515" s="1605"/>
      <c r="FG515" s="1605"/>
      <c r="FH515" s="1605"/>
      <c r="FI515" s="1605"/>
      <c r="FJ515" s="1605"/>
      <c r="FK515" s="1605"/>
      <c r="FL515" s="1605"/>
      <c r="FM515" s="1605"/>
      <c r="FN515" s="1605"/>
      <c r="FO515" s="1605"/>
      <c r="FP515" s="1605"/>
      <c r="FQ515" s="1605"/>
      <c r="FR515" s="1605"/>
      <c r="FS515" s="1605"/>
      <c r="FT515" s="1605"/>
      <c r="FU515" s="1605"/>
      <c r="FV515" s="1605"/>
      <c r="FW515" s="1605"/>
      <c r="FX515" s="1605"/>
      <c r="FY515" s="1605"/>
      <c r="FZ515" s="1605"/>
      <c r="GA515" s="1605"/>
      <c r="GB515" s="1605"/>
      <c r="GC515" s="1605"/>
      <c r="GD515" s="1605"/>
      <c r="GE515" s="1605"/>
      <c r="GF515" s="1605"/>
      <c r="GG515" s="1605"/>
      <c r="GH515" s="1605"/>
      <c r="GI515" s="1605"/>
      <c r="GJ515" s="1605"/>
      <c r="GK515" s="1605"/>
      <c r="GL515" s="1605"/>
      <c r="GM515" s="1605"/>
      <c r="GN515" s="1605"/>
      <c r="GO515" s="1605"/>
      <c r="GP515" s="1605"/>
      <c r="GQ515" s="1605"/>
      <c r="GR515" s="1605"/>
      <c r="GS515" s="1605"/>
      <c r="GT515" s="1605"/>
      <c r="GU515" s="1605"/>
      <c r="GV515" s="1605"/>
      <c r="GW515" s="1605"/>
      <c r="GX515" s="1605"/>
      <c r="GY515" s="1605"/>
      <c r="GZ515" s="1605"/>
      <c r="HA515" s="1605"/>
      <c r="HB515" s="1605"/>
      <c r="HC515" s="1605"/>
      <c r="HD515" s="1605"/>
      <c r="HE515" s="1605"/>
      <c r="HF515" s="1605"/>
      <c r="HG515" s="1605"/>
      <c r="HH515" s="1605"/>
      <c r="HI515" s="1605"/>
      <c r="HJ515" s="1605"/>
      <c r="HK515" s="1605"/>
      <c r="HL515" s="1605"/>
      <c r="HM515" s="1605"/>
      <c r="HN515" s="1605"/>
      <c r="HO515" s="1605"/>
      <c r="HP515" s="1605"/>
      <c r="HQ515" s="1605"/>
      <c r="HR515" s="1605"/>
      <c r="HS515" s="1605"/>
      <c r="HT515" s="1605"/>
      <c r="HU515" s="1605"/>
      <c r="HV515" s="1605"/>
      <c r="HW515" s="1605"/>
      <c r="HX515" s="1605"/>
      <c r="HY515" s="1605"/>
      <c r="HZ515" s="1605"/>
      <c r="IA515" s="1605"/>
      <c r="IB515" s="1605"/>
      <c r="IC515" s="1605"/>
      <c r="ID515" s="1605"/>
      <c r="IE515" s="1605"/>
      <c r="IF515" s="1605"/>
      <c r="IG515" s="1605"/>
      <c r="IH515" s="1605"/>
      <c r="II515" s="1605"/>
      <c r="IJ515" s="1605"/>
      <c r="IK515" s="1605"/>
      <c r="IL515" s="1605"/>
      <c r="IM515" s="1605"/>
      <c r="IN515" s="1605"/>
      <c r="IO515" s="1605"/>
      <c r="IP515" s="1605"/>
      <c r="IQ515" s="1605"/>
      <c r="IR515" s="1605"/>
      <c r="IS515" s="1605"/>
      <c r="IT515" s="1605"/>
      <c r="IU515" s="1605"/>
      <c r="IV515" s="1605"/>
      <c r="IW515" s="1605"/>
      <c r="IX515" s="1605"/>
      <c r="IY515" s="1605"/>
      <c r="IZ515" s="1605"/>
      <c r="JA515" s="1605"/>
      <c r="JB515" s="1605"/>
      <c r="JC515" s="1605"/>
      <c r="JD515" s="1605"/>
      <c r="JE515" s="1605"/>
      <c r="JF515" s="1605"/>
      <c r="JG515" s="1605"/>
      <c r="JH515" s="1605"/>
      <c r="JI515" s="1605"/>
      <c r="JJ515" s="1605"/>
      <c r="JK515" s="1605"/>
      <c r="JL515" s="1605"/>
      <c r="JM515" s="1605"/>
      <c r="JN515" s="1605"/>
      <c r="JO515" s="1605"/>
      <c r="JP515" s="1605"/>
      <c r="JQ515" s="1605"/>
      <c r="JR515" s="1605"/>
      <c r="JS515" s="1605"/>
      <c r="JT515" s="1605"/>
      <c r="JU515" s="1605"/>
      <c r="JV515" s="1605"/>
      <c r="JW515" s="1605"/>
      <c r="JX515" s="1605"/>
      <c r="JY515" s="1605"/>
      <c r="JZ515" s="1605"/>
      <c r="KA515" s="1605"/>
      <c r="KB515" s="1606"/>
    </row>
    <row r="516" spans="1:289" ht="15" customHeight="1" x14ac:dyDescent="0.25">
      <c r="B516" s="216" t="str">
        <f t="shared" si="38"/>
        <v>Desk 92</v>
      </c>
      <c r="C516" s="218" t="str">
        <v/>
      </c>
      <c r="D516" s="218" t="str">
        <v/>
      </c>
      <c r="E516" s="218" t="str">
        <v/>
      </c>
      <c r="F516" s="218" t="str">
        <v/>
      </c>
      <c r="G516" s="402" t="str">
        <v/>
      </c>
      <c r="H516" s="1605"/>
      <c r="I516" s="1605"/>
      <c r="J516" s="1605"/>
      <c r="K516" s="1605"/>
      <c r="L516" s="1605"/>
      <c r="M516" s="1605"/>
      <c r="N516" s="1605"/>
      <c r="O516" s="1605"/>
      <c r="P516" s="1605"/>
      <c r="Q516" s="1605"/>
      <c r="R516" s="1605"/>
      <c r="S516" s="1605"/>
      <c r="T516" s="1605"/>
      <c r="U516" s="1605"/>
      <c r="V516" s="1605"/>
      <c r="W516" s="1605"/>
      <c r="X516" s="1605"/>
      <c r="Y516" s="1605"/>
      <c r="Z516" s="1605"/>
      <c r="AA516" s="1605"/>
      <c r="AB516" s="1605"/>
      <c r="AC516" s="1605"/>
      <c r="AD516" s="1605"/>
      <c r="AE516" s="1605"/>
      <c r="AF516" s="1605"/>
      <c r="AG516" s="1605"/>
      <c r="AH516" s="1605"/>
      <c r="AI516" s="1605"/>
      <c r="AJ516" s="1605"/>
      <c r="AK516" s="1605"/>
      <c r="AL516" s="1605"/>
      <c r="AM516" s="1605"/>
      <c r="AN516" s="1605"/>
      <c r="AO516" s="1605"/>
      <c r="AP516" s="1605"/>
      <c r="AQ516" s="1605"/>
      <c r="AR516" s="1605"/>
      <c r="AS516" s="1605"/>
      <c r="AT516" s="1605"/>
      <c r="AU516" s="1605"/>
      <c r="AV516" s="1605"/>
      <c r="AW516" s="1605"/>
      <c r="AX516" s="1605"/>
      <c r="AY516" s="1605"/>
      <c r="AZ516" s="1605"/>
      <c r="BA516" s="1605"/>
      <c r="BB516" s="1605"/>
      <c r="BC516" s="1605"/>
      <c r="BD516" s="1605"/>
      <c r="BE516" s="1605"/>
      <c r="BF516" s="1605"/>
      <c r="BG516" s="1605"/>
      <c r="BH516" s="1605"/>
      <c r="BI516" s="1605"/>
      <c r="BJ516" s="1605"/>
      <c r="BK516" s="1605"/>
      <c r="BL516" s="1605"/>
      <c r="BM516" s="1605"/>
      <c r="BN516" s="1605"/>
      <c r="BO516" s="1605"/>
      <c r="BP516" s="1605"/>
      <c r="BQ516" s="1605"/>
      <c r="BR516" s="1605"/>
      <c r="BS516" s="1605"/>
      <c r="BT516" s="1605"/>
      <c r="BU516" s="1605"/>
      <c r="BV516" s="1605"/>
      <c r="BW516" s="1605"/>
      <c r="BX516" s="1605"/>
      <c r="BY516" s="1605"/>
      <c r="BZ516" s="1605"/>
      <c r="CA516" s="1605"/>
      <c r="CB516" s="1605"/>
      <c r="CC516" s="1605"/>
      <c r="CD516" s="1605"/>
      <c r="CE516" s="1605"/>
      <c r="CF516" s="1605"/>
      <c r="CG516" s="1605"/>
      <c r="CH516" s="1605"/>
      <c r="CI516" s="1605"/>
      <c r="CJ516" s="1605"/>
      <c r="CK516" s="1605"/>
      <c r="CL516" s="1605"/>
      <c r="CM516" s="1605"/>
      <c r="CN516" s="1605"/>
      <c r="CO516" s="1605"/>
      <c r="CP516" s="1605"/>
      <c r="CQ516" s="1605"/>
      <c r="CR516" s="1605"/>
      <c r="CS516" s="1605"/>
      <c r="CT516" s="1605"/>
      <c r="CU516" s="1605"/>
      <c r="CV516" s="1605"/>
      <c r="CW516" s="1605"/>
      <c r="CX516" s="1605"/>
      <c r="CY516" s="1605"/>
      <c r="CZ516" s="1605"/>
      <c r="DA516" s="1605"/>
      <c r="DB516" s="1605"/>
      <c r="DC516" s="1605"/>
      <c r="DD516" s="1605"/>
      <c r="DE516" s="1605"/>
      <c r="DF516" s="1605"/>
      <c r="DG516" s="1605"/>
      <c r="DH516" s="1605"/>
      <c r="DI516" s="1605"/>
      <c r="DJ516" s="1605"/>
      <c r="DK516" s="1605"/>
      <c r="DL516" s="1605"/>
      <c r="DM516" s="1605"/>
      <c r="DN516" s="1605"/>
      <c r="DO516" s="1605"/>
      <c r="DP516" s="1605"/>
      <c r="DQ516" s="1605"/>
      <c r="DR516" s="1605"/>
      <c r="DS516" s="1605"/>
      <c r="DT516" s="1605"/>
      <c r="DU516" s="1605"/>
      <c r="DV516" s="1605"/>
      <c r="DW516" s="1605"/>
      <c r="DX516" s="1605"/>
      <c r="DY516" s="1605"/>
      <c r="DZ516" s="1605"/>
      <c r="EA516" s="1605"/>
      <c r="EB516" s="1605"/>
      <c r="EC516" s="1605"/>
      <c r="ED516" s="1605"/>
      <c r="EE516" s="1605"/>
      <c r="EF516" s="1605"/>
      <c r="EG516" s="1605"/>
      <c r="EH516" s="1605"/>
      <c r="EI516" s="1605"/>
      <c r="EJ516" s="1605"/>
      <c r="EK516" s="1605"/>
      <c r="EL516" s="1605"/>
      <c r="EM516" s="1605"/>
      <c r="EN516" s="1605"/>
      <c r="EO516" s="1605"/>
      <c r="EP516" s="1605"/>
      <c r="EQ516" s="1605"/>
      <c r="ER516" s="1605"/>
      <c r="ES516" s="1605"/>
      <c r="ET516" s="1605"/>
      <c r="EU516" s="1605"/>
      <c r="EV516" s="1605"/>
      <c r="EW516" s="1605"/>
      <c r="EX516" s="1605"/>
      <c r="EY516" s="1605"/>
      <c r="EZ516" s="1605"/>
      <c r="FA516" s="1605"/>
      <c r="FB516" s="1605"/>
      <c r="FC516" s="1605"/>
      <c r="FD516" s="1605"/>
      <c r="FE516" s="1605"/>
      <c r="FF516" s="1605"/>
      <c r="FG516" s="1605"/>
      <c r="FH516" s="1605"/>
      <c r="FI516" s="1605"/>
      <c r="FJ516" s="1605"/>
      <c r="FK516" s="1605"/>
      <c r="FL516" s="1605"/>
      <c r="FM516" s="1605"/>
      <c r="FN516" s="1605"/>
      <c r="FO516" s="1605"/>
      <c r="FP516" s="1605"/>
      <c r="FQ516" s="1605"/>
      <c r="FR516" s="1605"/>
      <c r="FS516" s="1605"/>
      <c r="FT516" s="1605"/>
      <c r="FU516" s="1605"/>
      <c r="FV516" s="1605"/>
      <c r="FW516" s="1605"/>
      <c r="FX516" s="1605"/>
      <c r="FY516" s="1605"/>
      <c r="FZ516" s="1605"/>
      <c r="GA516" s="1605"/>
      <c r="GB516" s="1605"/>
      <c r="GC516" s="1605"/>
      <c r="GD516" s="1605"/>
      <c r="GE516" s="1605"/>
      <c r="GF516" s="1605"/>
      <c r="GG516" s="1605"/>
      <c r="GH516" s="1605"/>
      <c r="GI516" s="1605"/>
      <c r="GJ516" s="1605"/>
      <c r="GK516" s="1605"/>
      <c r="GL516" s="1605"/>
      <c r="GM516" s="1605"/>
      <c r="GN516" s="1605"/>
      <c r="GO516" s="1605"/>
      <c r="GP516" s="1605"/>
      <c r="GQ516" s="1605"/>
      <c r="GR516" s="1605"/>
      <c r="GS516" s="1605"/>
      <c r="GT516" s="1605"/>
      <c r="GU516" s="1605"/>
      <c r="GV516" s="1605"/>
      <c r="GW516" s="1605"/>
      <c r="GX516" s="1605"/>
      <c r="GY516" s="1605"/>
      <c r="GZ516" s="1605"/>
      <c r="HA516" s="1605"/>
      <c r="HB516" s="1605"/>
      <c r="HC516" s="1605"/>
      <c r="HD516" s="1605"/>
      <c r="HE516" s="1605"/>
      <c r="HF516" s="1605"/>
      <c r="HG516" s="1605"/>
      <c r="HH516" s="1605"/>
      <c r="HI516" s="1605"/>
      <c r="HJ516" s="1605"/>
      <c r="HK516" s="1605"/>
      <c r="HL516" s="1605"/>
      <c r="HM516" s="1605"/>
      <c r="HN516" s="1605"/>
      <c r="HO516" s="1605"/>
      <c r="HP516" s="1605"/>
      <c r="HQ516" s="1605"/>
      <c r="HR516" s="1605"/>
      <c r="HS516" s="1605"/>
      <c r="HT516" s="1605"/>
      <c r="HU516" s="1605"/>
      <c r="HV516" s="1605"/>
      <c r="HW516" s="1605"/>
      <c r="HX516" s="1605"/>
      <c r="HY516" s="1605"/>
      <c r="HZ516" s="1605"/>
      <c r="IA516" s="1605"/>
      <c r="IB516" s="1605"/>
      <c r="IC516" s="1605"/>
      <c r="ID516" s="1605"/>
      <c r="IE516" s="1605"/>
      <c r="IF516" s="1605"/>
      <c r="IG516" s="1605"/>
      <c r="IH516" s="1605"/>
      <c r="II516" s="1605"/>
      <c r="IJ516" s="1605"/>
      <c r="IK516" s="1605"/>
      <c r="IL516" s="1605"/>
      <c r="IM516" s="1605"/>
      <c r="IN516" s="1605"/>
      <c r="IO516" s="1605"/>
      <c r="IP516" s="1605"/>
      <c r="IQ516" s="1605"/>
      <c r="IR516" s="1605"/>
      <c r="IS516" s="1605"/>
      <c r="IT516" s="1605"/>
      <c r="IU516" s="1605"/>
      <c r="IV516" s="1605"/>
      <c r="IW516" s="1605"/>
      <c r="IX516" s="1605"/>
      <c r="IY516" s="1605"/>
      <c r="IZ516" s="1605"/>
      <c r="JA516" s="1605"/>
      <c r="JB516" s="1605"/>
      <c r="JC516" s="1605"/>
      <c r="JD516" s="1605"/>
      <c r="JE516" s="1605"/>
      <c r="JF516" s="1605"/>
      <c r="JG516" s="1605"/>
      <c r="JH516" s="1605"/>
      <c r="JI516" s="1605"/>
      <c r="JJ516" s="1605"/>
      <c r="JK516" s="1605"/>
      <c r="JL516" s="1605"/>
      <c r="JM516" s="1605"/>
      <c r="JN516" s="1605"/>
      <c r="JO516" s="1605"/>
      <c r="JP516" s="1605"/>
      <c r="JQ516" s="1605"/>
      <c r="JR516" s="1605"/>
      <c r="JS516" s="1605"/>
      <c r="JT516" s="1605"/>
      <c r="JU516" s="1605"/>
      <c r="JV516" s="1605"/>
      <c r="JW516" s="1605"/>
      <c r="JX516" s="1605"/>
      <c r="JY516" s="1605"/>
      <c r="JZ516" s="1605"/>
      <c r="KA516" s="1605"/>
      <c r="KB516" s="1606"/>
    </row>
    <row r="517" spans="1:289" ht="15" customHeight="1" x14ac:dyDescent="0.25">
      <c r="B517" s="216" t="str">
        <f t="shared" si="38"/>
        <v>Desk 93</v>
      </c>
      <c r="C517" s="218" t="str">
        <v/>
      </c>
      <c r="D517" s="218" t="str">
        <v/>
      </c>
      <c r="E517" s="218" t="str">
        <v/>
      </c>
      <c r="F517" s="218" t="str">
        <v/>
      </c>
      <c r="G517" s="402" t="str">
        <v/>
      </c>
      <c r="H517" s="1605"/>
      <c r="I517" s="1605"/>
      <c r="J517" s="1605"/>
      <c r="K517" s="1605"/>
      <c r="L517" s="1605"/>
      <c r="M517" s="1605"/>
      <c r="N517" s="1605"/>
      <c r="O517" s="1605"/>
      <c r="P517" s="1605"/>
      <c r="Q517" s="1605"/>
      <c r="R517" s="1605"/>
      <c r="S517" s="1605"/>
      <c r="T517" s="1605"/>
      <c r="U517" s="1605"/>
      <c r="V517" s="1605"/>
      <c r="W517" s="1605"/>
      <c r="X517" s="1605"/>
      <c r="Y517" s="1605"/>
      <c r="Z517" s="1605"/>
      <c r="AA517" s="1605"/>
      <c r="AB517" s="1605"/>
      <c r="AC517" s="1605"/>
      <c r="AD517" s="1605"/>
      <c r="AE517" s="1605"/>
      <c r="AF517" s="1605"/>
      <c r="AG517" s="1605"/>
      <c r="AH517" s="1605"/>
      <c r="AI517" s="1605"/>
      <c r="AJ517" s="1605"/>
      <c r="AK517" s="1605"/>
      <c r="AL517" s="1605"/>
      <c r="AM517" s="1605"/>
      <c r="AN517" s="1605"/>
      <c r="AO517" s="1605"/>
      <c r="AP517" s="1605"/>
      <c r="AQ517" s="1605"/>
      <c r="AR517" s="1605"/>
      <c r="AS517" s="1605"/>
      <c r="AT517" s="1605"/>
      <c r="AU517" s="1605"/>
      <c r="AV517" s="1605"/>
      <c r="AW517" s="1605"/>
      <c r="AX517" s="1605"/>
      <c r="AY517" s="1605"/>
      <c r="AZ517" s="1605"/>
      <c r="BA517" s="1605"/>
      <c r="BB517" s="1605"/>
      <c r="BC517" s="1605"/>
      <c r="BD517" s="1605"/>
      <c r="BE517" s="1605"/>
      <c r="BF517" s="1605"/>
      <c r="BG517" s="1605"/>
      <c r="BH517" s="1605"/>
      <c r="BI517" s="1605"/>
      <c r="BJ517" s="1605"/>
      <c r="BK517" s="1605"/>
      <c r="BL517" s="1605"/>
      <c r="BM517" s="1605"/>
      <c r="BN517" s="1605"/>
      <c r="BO517" s="1605"/>
      <c r="BP517" s="1605"/>
      <c r="BQ517" s="1605"/>
      <c r="BR517" s="1605"/>
      <c r="BS517" s="1605"/>
      <c r="BT517" s="1605"/>
      <c r="BU517" s="1605"/>
      <c r="BV517" s="1605"/>
      <c r="BW517" s="1605"/>
      <c r="BX517" s="1605"/>
      <c r="BY517" s="1605"/>
      <c r="BZ517" s="1605"/>
      <c r="CA517" s="1605"/>
      <c r="CB517" s="1605"/>
      <c r="CC517" s="1605"/>
      <c r="CD517" s="1605"/>
      <c r="CE517" s="1605"/>
      <c r="CF517" s="1605"/>
      <c r="CG517" s="1605"/>
      <c r="CH517" s="1605"/>
      <c r="CI517" s="1605"/>
      <c r="CJ517" s="1605"/>
      <c r="CK517" s="1605"/>
      <c r="CL517" s="1605"/>
      <c r="CM517" s="1605"/>
      <c r="CN517" s="1605"/>
      <c r="CO517" s="1605"/>
      <c r="CP517" s="1605"/>
      <c r="CQ517" s="1605"/>
      <c r="CR517" s="1605"/>
      <c r="CS517" s="1605"/>
      <c r="CT517" s="1605"/>
      <c r="CU517" s="1605"/>
      <c r="CV517" s="1605"/>
      <c r="CW517" s="1605"/>
      <c r="CX517" s="1605"/>
      <c r="CY517" s="1605"/>
      <c r="CZ517" s="1605"/>
      <c r="DA517" s="1605"/>
      <c r="DB517" s="1605"/>
      <c r="DC517" s="1605"/>
      <c r="DD517" s="1605"/>
      <c r="DE517" s="1605"/>
      <c r="DF517" s="1605"/>
      <c r="DG517" s="1605"/>
      <c r="DH517" s="1605"/>
      <c r="DI517" s="1605"/>
      <c r="DJ517" s="1605"/>
      <c r="DK517" s="1605"/>
      <c r="DL517" s="1605"/>
      <c r="DM517" s="1605"/>
      <c r="DN517" s="1605"/>
      <c r="DO517" s="1605"/>
      <c r="DP517" s="1605"/>
      <c r="DQ517" s="1605"/>
      <c r="DR517" s="1605"/>
      <c r="DS517" s="1605"/>
      <c r="DT517" s="1605"/>
      <c r="DU517" s="1605"/>
      <c r="DV517" s="1605"/>
      <c r="DW517" s="1605"/>
      <c r="DX517" s="1605"/>
      <c r="DY517" s="1605"/>
      <c r="DZ517" s="1605"/>
      <c r="EA517" s="1605"/>
      <c r="EB517" s="1605"/>
      <c r="EC517" s="1605"/>
      <c r="ED517" s="1605"/>
      <c r="EE517" s="1605"/>
      <c r="EF517" s="1605"/>
      <c r="EG517" s="1605"/>
      <c r="EH517" s="1605"/>
      <c r="EI517" s="1605"/>
      <c r="EJ517" s="1605"/>
      <c r="EK517" s="1605"/>
      <c r="EL517" s="1605"/>
      <c r="EM517" s="1605"/>
      <c r="EN517" s="1605"/>
      <c r="EO517" s="1605"/>
      <c r="EP517" s="1605"/>
      <c r="EQ517" s="1605"/>
      <c r="ER517" s="1605"/>
      <c r="ES517" s="1605"/>
      <c r="ET517" s="1605"/>
      <c r="EU517" s="1605"/>
      <c r="EV517" s="1605"/>
      <c r="EW517" s="1605"/>
      <c r="EX517" s="1605"/>
      <c r="EY517" s="1605"/>
      <c r="EZ517" s="1605"/>
      <c r="FA517" s="1605"/>
      <c r="FB517" s="1605"/>
      <c r="FC517" s="1605"/>
      <c r="FD517" s="1605"/>
      <c r="FE517" s="1605"/>
      <c r="FF517" s="1605"/>
      <c r="FG517" s="1605"/>
      <c r="FH517" s="1605"/>
      <c r="FI517" s="1605"/>
      <c r="FJ517" s="1605"/>
      <c r="FK517" s="1605"/>
      <c r="FL517" s="1605"/>
      <c r="FM517" s="1605"/>
      <c r="FN517" s="1605"/>
      <c r="FO517" s="1605"/>
      <c r="FP517" s="1605"/>
      <c r="FQ517" s="1605"/>
      <c r="FR517" s="1605"/>
      <c r="FS517" s="1605"/>
      <c r="FT517" s="1605"/>
      <c r="FU517" s="1605"/>
      <c r="FV517" s="1605"/>
      <c r="FW517" s="1605"/>
      <c r="FX517" s="1605"/>
      <c r="FY517" s="1605"/>
      <c r="FZ517" s="1605"/>
      <c r="GA517" s="1605"/>
      <c r="GB517" s="1605"/>
      <c r="GC517" s="1605"/>
      <c r="GD517" s="1605"/>
      <c r="GE517" s="1605"/>
      <c r="GF517" s="1605"/>
      <c r="GG517" s="1605"/>
      <c r="GH517" s="1605"/>
      <c r="GI517" s="1605"/>
      <c r="GJ517" s="1605"/>
      <c r="GK517" s="1605"/>
      <c r="GL517" s="1605"/>
      <c r="GM517" s="1605"/>
      <c r="GN517" s="1605"/>
      <c r="GO517" s="1605"/>
      <c r="GP517" s="1605"/>
      <c r="GQ517" s="1605"/>
      <c r="GR517" s="1605"/>
      <c r="GS517" s="1605"/>
      <c r="GT517" s="1605"/>
      <c r="GU517" s="1605"/>
      <c r="GV517" s="1605"/>
      <c r="GW517" s="1605"/>
      <c r="GX517" s="1605"/>
      <c r="GY517" s="1605"/>
      <c r="GZ517" s="1605"/>
      <c r="HA517" s="1605"/>
      <c r="HB517" s="1605"/>
      <c r="HC517" s="1605"/>
      <c r="HD517" s="1605"/>
      <c r="HE517" s="1605"/>
      <c r="HF517" s="1605"/>
      <c r="HG517" s="1605"/>
      <c r="HH517" s="1605"/>
      <c r="HI517" s="1605"/>
      <c r="HJ517" s="1605"/>
      <c r="HK517" s="1605"/>
      <c r="HL517" s="1605"/>
      <c r="HM517" s="1605"/>
      <c r="HN517" s="1605"/>
      <c r="HO517" s="1605"/>
      <c r="HP517" s="1605"/>
      <c r="HQ517" s="1605"/>
      <c r="HR517" s="1605"/>
      <c r="HS517" s="1605"/>
      <c r="HT517" s="1605"/>
      <c r="HU517" s="1605"/>
      <c r="HV517" s="1605"/>
      <c r="HW517" s="1605"/>
      <c r="HX517" s="1605"/>
      <c r="HY517" s="1605"/>
      <c r="HZ517" s="1605"/>
      <c r="IA517" s="1605"/>
      <c r="IB517" s="1605"/>
      <c r="IC517" s="1605"/>
      <c r="ID517" s="1605"/>
      <c r="IE517" s="1605"/>
      <c r="IF517" s="1605"/>
      <c r="IG517" s="1605"/>
      <c r="IH517" s="1605"/>
      <c r="II517" s="1605"/>
      <c r="IJ517" s="1605"/>
      <c r="IK517" s="1605"/>
      <c r="IL517" s="1605"/>
      <c r="IM517" s="1605"/>
      <c r="IN517" s="1605"/>
      <c r="IO517" s="1605"/>
      <c r="IP517" s="1605"/>
      <c r="IQ517" s="1605"/>
      <c r="IR517" s="1605"/>
      <c r="IS517" s="1605"/>
      <c r="IT517" s="1605"/>
      <c r="IU517" s="1605"/>
      <c r="IV517" s="1605"/>
      <c r="IW517" s="1605"/>
      <c r="IX517" s="1605"/>
      <c r="IY517" s="1605"/>
      <c r="IZ517" s="1605"/>
      <c r="JA517" s="1605"/>
      <c r="JB517" s="1605"/>
      <c r="JC517" s="1605"/>
      <c r="JD517" s="1605"/>
      <c r="JE517" s="1605"/>
      <c r="JF517" s="1605"/>
      <c r="JG517" s="1605"/>
      <c r="JH517" s="1605"/>
      <c r="JI517" s="1605"/>
      <c r="JJ517" s="1605"/>
      <c r="JK517" s="1605"/>
      <c r="JL517" s="1605"/>
      <c r="JM517" s="1605"/>
      <c r="JN517" s="1605"/>
      <c r="JO517" s="1605"/>
      <c r="JP517" s="1605"/>
      <c r="JQ517" s="1605"/>
      <c r="JR517" s="1605"/>
      <c r="JS517" s="1605"/>
      <c r="JT517" s="1605"/>
      <c r="JU517" s="1605"/>
      <c r="JV517" s="1605"/>
      <c r="JW517" s="1605"/>
      <c r="JX517" s="1605"/>
      <c r="JY517" s="1605"/>
      <c r="JZ517" s="1605"/>
      <c r="KA517" s="1605"/>
      <c r="KB517" s="1606"/>
    </row>
    <row r="518" spans="1:289" ht="15" customHeight="1" x14ac:dyDescent="0.25">
      <c r="B518" s="216" t="str">
        <f t="shared" si="38"/>
        <v>Desk 94</v>
      </c>
      <c r="C518" s="218" t="str">
        <v/>
      </c>
      <c r="D518" s="218" t="str">
        <v/>
      </c>
      <c r="E518" s="218" t="str">
        <v/>
      </c>
      <c r="F518" s="218" t="str">
        <v/>
      </c>
      <c r="G518" s="402" t="str">
        <v/>
      </c>
      <c r="H518" s="1605"/>
      <c r="I518" s="1605"/>
      <c r="J518" s="1605"/>
      <c r="K518" s="1605"/>
      <c r="L518" s="1605"/>
      <c r="M518" s="1605"/>
      <c r="N518" s="1605"/>
      <c r="O518" s="1605"/>
      <c r="P518" s="1605"/>
      <c r="Q518" s="1605"/>
      <c r="R518" s="1605"/>
      <c r="S518" s="1605"/>
      <c r="T518" s="1605"/>
      <c r="U518" s="1605"/>
      <c r="V518" s="1605"/>
      <c r="W518" s="1605"/>
      <c r="X518" s="1605"/>
      <c r="Y518" s="1605"/>
      <c r="Z518" s="1605"/>
      <c r="AA518" s="1605"/>
      <c r="AB518" s="1605"/>
      <c r="AC518" s="1605"/>
      <c r="AD518" s="1605"/>
      <c r="AE518" s="1605"/>
      <c r="AF518" s="1605"/>
      <c r="AG518" s="1605"/>
      <c r="AH518" s="1605"/>
      <c r="AI518" s="1605"/>
      <c r="AJ518" s="1605"/>
      <c r="AK518" s="1605"/>
      <c r="AL518" s="1605"/>
      <c r="AM518" s="1605"/>
      <c r="AN518" s="1605"/>
      <c r="AO518" s="1605"/>
      <c r="AP518" s="1605"/>
      <c r="AQ518" s="1605"/>
      <c r="AR518" s="1605"/>
      <c r="AS518" s="1605"/>
      <c r="AT518" s="1605"/>
      <c r="AU518" s="1605"/>
      <c r="AV518" s="1605"/>
      <c r="AW518" s="1605"/>
      <c r="AX518" s="1605"/>
      <c r="AY518" s="1605"/>
      <c r="AZ518" s="1605"/>
      <c r="BA518" s="1605"/>
      <c r="BB518" s="1605"/>
      <c r="BC518" s="1605"/>
      <c r="BD518" s="1605"/>
      <c r="BE518" s="1605"/>
      <c r="BF518" s="1605"/>
      <c r="BG518" s="1605"/>
      <c r="BH518" s="1605"/>
      <c r="BI518" s="1605"/>
      <c r="BJ518" s="1605"/>
      <c r="BK518" s="1605"/>
      <c r="BL518" s="1605"/>
      <c r="BM518" s="1605"/>
      <c r="BN518" s="1605"/>
      <c r="BO518" s="1605"/>
      <c r="BP518" s="1605"/>
      <c r="BQ518" s="1605"/>
      <c r="BR518" s="1605"/>
      <c r="BS518" s="1605"/>
      <c r="BT518" s="1605"/>
      <c r="BU518" s="1605"/>
      <c r="BV518" s="1605"/>
      <c r="BW518" s="1605"/>
      <c r="BX518" s="1605"/>
      <c r="BY518" s="1605"/>
      <c r="BZ518" s="1605"/>
      <c r="CA518" s="1605"/>
      <c r="CB518" s="1605"/>
      <c r="CC518" s="1605"/>
      <c r="CD518" s="1605"/>
      <c r="CE518" s="1605"/>
      <c r="CF518" s="1605"/>
      <c r="CG518" s="1605"/>
      <c r="CH518" s="1605"/>
      <c r="CI518" s="1605"/>
      <c r="CJ518" s="1605"/>
      <c r="CK518" s="1605"/>
      <c r="CL518" s="1605"/>
      <c r="CM518" s="1605"/>
      <c r="CN518" s="1605"/>
      <c r="CO518" s="1605"/>
      <c r="CP518" s="1605"/>
      <c r="CQ518" s="1605"/>
      <c r="CR518" s="1605"/>
      <c r="CS518" s="1605"/>
      <c r="CT518" s="1605"/>
      <c r="CU518" s="1605"/>
      <c r="CV518" s="1605"/>
      <c r="CW518" s="1605"/>
      <c r="CX518" s="1605"/>
      <c r="CY518" s="1605"/>
      <c r="CZ518" s="1605"/>
      <c r="DA518" s="1605"/>
      <c r="DB518" s="1605"/>
      <c r="DC518" s="1605"/>
      <c r="DD518" s="1605"/>
      <c r="DE518" s="1605"/>
      <c r="DF518" s="1605"/>
      <c r="DG518" s="1605"/>
      <c r="DH518" s="1605"/>
      <c r="DI518" s="1605"/>
      <c r="DJ518" s="1605"/>
      <c r="DK518" s="1605"/>
      <c r="DL518" s="1605"/>
      <c r="DM518" s="1605"/>
      <c r="DN518" s="1605"/>
      <c r="DO518" s="1605"/>
      <c r="DP518" s="1605"/>
      <c r="DQ518" s="1605"/>
      <c r="DR518" s="1605"/>
      <c r="DS518" s="1605"/>
      <c r="DT518" s="1605"/>
      <c r="DU518" s="1605"/>
      <c r="DV518" s="1605"/>
      <c r="DW518" s="1605"/>
      <c r="DX518" s="1605"/>
      <c r="DY518" s="1605"/>
      <c r="DZ518" s="1605"/>
      <c r="EA518" s="1605"/>
      <c r="EB518" s="1605"/>
      <c r="EC518" s="1605"/>
      <c r="ED518" s="1605"/>
      <c r="EE518" s="1605"/>
      <c r="EF518" s="1605"/>
      <c r="EG518" s="1605"/>
      <c r="EH518" s="1605"/>
      <c r="EI518" s="1605"/>
      <c r="EJ518" s="1605"/>
      <c r="EK518" s="1605"/>
      <c r="EL518" s="1605"/>
      <c r="EM518" s="1605"/>
      <c r="EN518" s="1605"/>
      <c r="EO518" s="1605"/>
      <c r="EP518" s="1605"/>
      <c r="EQ518" s="1605"/>
      <c r="ER518" s="1605"/>
      <c r="ES518" s="1605"/>
      <c r="ET518" s="1605"/>
      <c r="EU518" s="1605"/>
      <c r="EV518" s="1605"/>
      <c r="EW518" s="1605"/>
      <c r="EX518" s="1605"/>
      <c r="EY518" s="1605"/>
      <c r="EZ518" s="1605"/>
      <c r="FA518" s="1605"/>
      <c r="FB518" s="1605"/>
      <c r="FC518" s="1605"/>
      <c r="FD518" s="1605"/>
      <c r="FE518" s="1605"/>
      <c r="FF518" s="1605"/>
      <c r="FG518" s="1605"/>
      <c r="FH518" s="1605"/>
      <c r="FI518" s="1605"/>
      <c r="FJ518" s="1605"/>
      <c r="FK518" s="1605"/>
      <c r="FL518" s="1605"/>
      <c r="FM518" s="1605"/>
      <c r="FN518" s="1605"/>
      <c r="FO518" s="1605"/>
      <c r="FP518" s="1605"/>
      <c r="FQ518" s="1605"/>
      <c r="FR518" s="1605"/>
      <c r="FS518" s="1605"/>
      <c r="FT518" s="1605"/>
      <c r="FU518" s="1605"/>
      <c r="FV518" s="1605"/>
      <c r="FW518" s="1605"/>
      <c r="FX518" s="1605"/>
      <c r="FY518" s="1605"/>
      <c r="FZ518" s="1605"/>
      <c r="GA518" s="1605"/>
      <c r="GB518" s="1605"/>
      <c r="GC518" s="1605"/>
      <c r="GD518" s="1605"/>
      <c r="GE518" s="1605"/>
      <c r="GF518" s="1605"/>
      <c r="GG518" s="1605"/>
      <c r="GH518" s="1605"/>
      <c r="GI518" s="1605"/>
      <c r="GJ518" s="1605"/>
      <c r="GK518" s="1605"/>
      <c r="GL518" s="1605"/>
      <c r="GM518" s="1605"/>
      <c r="GN518" s="1605"/>
      <c r="GO518" s="1605"/>
      <c r="GP518" s="1605"/>
      <c r="GQ518" s="1605"/>
      <c r="GR518" s="1605"/>
      <c r="GS518" s="1605"/>
      <c r="GT518" s="1605"/>
      <c r="GU518" s="1605"/>
      <c r="GV518" s="1605"/>
      <c r="GW518" s="1605"/>
      <c r="GX518" s="1605"/>
      <c r="GY518" s="1605"/>
      <c r="GZ518" s="1605"/>
      <c r="HA518" s="1605"/>
      <c r="HB518" s="1605"/>
      <c r="HC518" s="1605"/>
      <c r="HD518" s="1605"/>
      <c r="HE518" s="1605"/>
      <c r="HF518" s="1605"/>
      <c r="HG518" s="1605"/>
      <c r="HH518" s="1605"/>
      <c r="HI518" s="1605"/>
      <c r="HJ518" s="1605"/>
      <c r="HK518" s="1605"/>
      <c r="HL518" s="1605"/>
      <c r="HM518" s="1605"/>
      <c r="HN518" s="1605"/>
      <c r="HO518" s="1605"/>
      <c r="HP518" s="1605"/>
      <c r="HQ518" s="1605"/>
      <c r="HR518" s="1605"/>
      <c r="HS518" s="1605"/>
      <c r="HT518" s="1605"/>
      <c r="HU518" s="1605"/>
      <c r="HV518" s="1605"/>
      <c r="HW518" s="1605"/>
      <c r="HX518" s="1605"/>
      <c r="HY518" s="1605"/>
      <c r="HZ518" s="1605"/>
      <c r="IA518" s="1605"/>
      <c r="IB518" s="1605"/>
      <c r="IC518" s="1605"/>
      <c r="ID518" s="1605"/>
      <c r="IE518" s="1605"/>
      <c r="IF518" s="1605"/>
      <c r="IG518" s="1605"/>
      <c r="IH518" s="1605"/>
      <c r="II518" s="1605"/>
      <c r="IJ518" s="1605"/>
      <c r="IK518" s="1605"/>
      <c r="IL518" s="1605"/>
      <c r="IM518" s="1605"/>
      <c r="IN518" s="1605"/>
      <c r="IO518" s="1605"/>
      <c r="IP518" s="1605"/>
      <c r="IQ518" s="1605"/>
      <c r="IR518" s="1605"/>
      <c r="IS518" s="1605"/>
      <c r="IT518" s="1605"/>
      <c r="IU518" s="1605"/>
      <c r="IV518" s="1605"/>
      <c r="IW518" s="1605"/>
      <c r="IX518" s="1605"/>
      <c r="IY518" s="1605"/>
      <c r="IZ518" s="1605"/>
      <c r="JA518" s="1605"/>
      <c r="JB518" s="1605"/>
      <c r="JC518" s="1605"/>
      <c r="JD518" s="1605"/>
      <c r="JE518" s="1605"/>
      <c r="JF518" s="1605"/>
      <c r="JG518" s="1605"/>
      <c r="JH518" s="1605"/>
      <c r="JI518" s="1605"/>
      <c r="JJ518" s="1605"/>
      <c r="JK518" s="1605"/>
      <c r="JL518" s="1605"/>
      <c r="JM518" s="1605"/>
      <c r="JN518" s="1605"/>
      <c r="JO518" s="1605"/>
      <c r="JP518" s="1605"/>
      <c r="JQ518" s="1605"/>
      <c r="JR518" s="1605"/>
      <c r="JS518" s="1605"/>
      <c r="JT518" s="1605"/>
      <c r="JU518" s="1605"/>
      <c r="JV518" s="1605"/>
      <c r="JW518" s="1605"/>
      <c r="JX518" s="1605"/>
      <c r="JY518" s="1605"/>
      <c r="JZ518" s="1605"/>
      <c r="KA518" s="1605"/>
      <c r="KB518" s="1606"/>
    </row>
    <row r="519" spans="1:289" ht="15" customHeight="1" x14ac:dyDescent="0.25">
      <c r="B519" s="216" t="str">
        <f t="shared" si="38"/>
        <v>Desk 95</v>
      </c>
      <c r="C519" s="218" t="str">
        <v/>
      </c>
      <c r="D519" s="218" t="str">
        <v/>
      </c>
      <c r="E519" s="218" t="str">
        <v/>
      </c>
      <c r="F519" s="218" t="str">
        <v/>
      </c>
      <c r="G519" s="402" t="str">
        <v/>
      </c>
      <c r="H519" s="1605"/>
      <c r="I519" s="1605"/>
      <c r="J519" s="1605"/>
      <c r="K519" s="1605"/>
      <c r="L519" s="1605"/>
      <c r="M519" s="1605"/>
      <c r="N519" s="1605"/>
      <c r="O519" s="1605"/>
      <c r="P519" s="1605"/>
      <c r="Q519" s="1605"/>
      <c r="R519" s="1605"/>
      <c r="S519" s="1605"/>
      <c r="T519" s="1605"/>
      <c r="U519" s="1605"/>
      <c r="V519" s="1605"/>
      <c r="W519" s="1605"/>
      <c r="X519" s="1605"/>
      <c r="Y519" s="1605"/>
      <c r="Z519" s="1605"/>
      <c r="AA519" s="1605"/>
      <c r="AB519" s="1605"/>
      <c r="AC519" s="1605"/>
      <c r="AD519" s="1605"/>
      <c r="AE519" s="1605"/>
      <c r="AF519" s="1605"/>
      <c r="AG519" s="1605"/>
      <c r="AH519" s="1605"/>
      <c r="AI519" s="1605"/>
      <c r="AJ519" s="1605"/>
      <c r="AK519" s="1605"/>
      <c r="AL519" s="1605"/>
      <c r="AM519" s="1605"/>
      <c r="AN519" s="1605"/>
      <c r="AO519" s="1605"/>
      <c r="AP519" s="1605"/>
      <c r="AQ519" s="1605"/>
      <c r="AR519" s="1605"/>
      <c r="AS519" s="1605"/>
      <c r="AT519" s="1605"/>
      <c r="AU519" s="1605"/>
      <c r="AV519" s="1605"/>
      <c r="AW519" s="1605"/>
      <c r="AX519" s="1605"/>
      <c r="AY519" s="1605"/>
      <c r="AZ519" s="1605"/>
      <c r="BA519" s="1605"/>
      <c r="BB519" s="1605"/>
      <c r="BC519" s="1605"/>
      <c r="BD519" s="1605"/>
      <c r="BE519" s="1605"/>
      <c r="BF519" s="1605"/>
      <c r="BG519" s="1605"/>
      <c r="BH519" s="1605"/>
      <c r="BI519" s="1605"/>
      <c r="BJ519" s="1605"/>
      <c r="BK519" s="1605"/>
      <c r="BL519" s="1605"/>
      <c r="BM519" s="1605"/>
      <c r="BN519" s="1605"/>
      <c r="BO519" s="1605"/>
      <c r="BP519" s="1605"/>
      <c r="BQ519" s="1605"/>
      <c r="BR519" s="1605"/>
      <c r="BS519" s="1605"/>
      <c r="BT519" s="1605"/>
      <c r="BU519" s="1605"/>
      <c r="BV519" s="1605"/>
      <c r="BW519" s="1605"/>
      <c r="BX519" s="1605"/>
      <c r="BY519" s="1605"/>
      <c r="BZ519" s="1605"/>
      <c r="CA519" s="1605"/>
      <c r="CB519" s="1605"/>
      <c r="CC519" s="1605"/>
      <c r="CD519" s="1605"/>
      <c r="CE519" s="1605"/>
      <c r="CF519" s="1605"/>
      <c r="CG519" s="1605"/>
      <c r="CH519" s="1605"/>
      <c r="CI519" s="1605"/>
      <c r="CJ519" s="1605"/>
      <c r="CK519" s="1605"/>
      <c r="CL519" s="1605"/>
      <c r="CM519" s="1605"/>
      <c r="CN519" s="1605"/>
      <c r="CO519" s="1605"/>
      <c r="CP519" s="1605"/>
      <c r="CQ519" s="1605"/>
      <c r="CR519" s="1605"/>
      <c r="CS519" s="1605"/>
      <c r="CT519" s="1605"/>
      <c r="CU519" s="1605"/>
      <c r="CV519" s="1605"/>
      <c r="CW519" s="1605"/>
      <c r="CX519" s="1605"/>
      <c r="CY519" s="1605"/>
      <c r="CZ519" s="1605"/>
      <c r="DA519" s="1605"/>
      <c r="DB519" s="1605"/>
      <c r="DC519" s="1605"/>
      <c r="DD519" s="1605"/>
      <c r="DE519" s="1605"/>
      <c r="DF519" s="1605"/>
      <c r="DG519" s="1605"/>
      <c r="DH519" s="1605"/>
      <c r="DI519" s="1605"/>
      <c r="DJ519" s="1605"/>
      <c r="DK519" s="1605"/>
      <c r="DL519" s="1605"/>
      <c r="DM519" s="1605"/>
      <c r="DN519" s="1605"/>
      <c r="DO519" s="1605"/>
      <c r="DP519" s="1605"/>
      <c r="DQ519" s="1605"/>
      <c r="DR519" s="1605"/>
      <c r="DS519" s="1605"/>
      <c r="DT519" s="1605"/>
      <c r="DU519" s="1605"/>
      <c r="DV519" s="1605"/>
      <c r="DW519" s="1605"/>
      <c r="DX519" s="1605"/>
      <c r="DY519" s="1605"/>
      <c r="DZ519" s="1605"/>
      <c r="EA519" s="1605"/>
      <c r="EB519" s="1605"/>
      <c r="EC519" s="1605"/>
      <c r="ED519" s="1605"/>
      <c r="EE519" s="1605"/>
      <c r="EF519" s="1605"/>
      <c r="EG519" s="1605"/>
      <c r="EH519" s="1605"/>
      <c r="EI519" s="1605"/>
      <c r="EJ519" s="1605"/>
      <c r="EK519" s="1605"/>
      <c r="EL519" s="1605"/>
      <c r="EM519" s="1605"/>
      <c r="EN519" s="1605"/>
      <c r="EO519" s="1605"/>
      <c r="EP519" s="1605"/>
      <c r="EQ519" s="1605"/>
      <c r="ER519" s="1605"/>
      <c r="ES519" s="1605"/>
      <c r="ET519" s="1605"/>
      <c r="EU519" s="1605"/>
      <c r="EV519" s="1605"/>
      <c r="EW519" s="1605"/>
      <c r="EX519" s="1605"/>
      <c r="EY519" s="1605"/>
      <c r="EZ519" s="1605"/>
      <c r="FA519" s="1605"/>
      <c r="FB519" s="1605"/>
      <c r="FC519" s="1605"/>
      <c r="FD519" s="1605"/>
      <c r="FE519" s="1605"/>
      <c r="FF519" s="1605"/>
      <c r="FG519" s="1605"/>
      <c r="FH519" s="1605"/>
      <c r="FI519" s="1605"/>
      <c r="FJ519" s="1605"/>
      <c r="FK519" s="1605"/>
      <c r="FL519" s="1605"/>
      <c r="FM519" s="1605"/>
      <c r="FN519" s="1605"/>
      <c r="FO519" s="1605"/>
      <c r="FP519" s="1605"/>
      <c r="FQ519" s="1605"/>
      <c r="FR519" s="1605"/>
      <c r="FS519" s="1605"/>
      <c r="FT519" s="1605"/>
      <c r="FU519" s="1605"/>
      <c r="FV519" s="1605"/>
      <c r="FW519" s="1605"/>
      <c r="FX519" s="1605"/>
      <c r="FY519" s="1605"/>
      <c r="FZ519" s="1605"/>
      <c r="GA519" s="1605"/>
      <c r="GB519" s="1605"/>
      <c r="GC519" s="1605"/>
      <c r="GD519" s="1605"/>
      <c r="GE519" s="1605"/>
      <c r="GF519" s="1605"/>
      <c r="GG519" s="1605"/>
      <c r="GH519" s="1605"/>
      <c r="GI519" s="1605"/>
      <c r="GJ519" s="1605"/>
      <c r="GK519" s="1605"/>
      <c r="GL519" s="1605"/>
      <c r="GM519" s="1605"/>
      <c r="GN519" s="1605"/>
      <c r="GO519" s="1605"/>
      <c r="GP519" s="1605"/>
      <c r="GQ519" s="1605"/>
      <c r="GR519" s="1605"/>
      <c r="GS519" s="1605"/>
      <c r="GT519" s="1605"/>
      <c r="GU519" s="1605"/>
      <c r="GV519" s="1605"/>
      <c r="GW519" s="1605"/>
      <c r="GX519" s="1605"/>
      <c r="GY519" s="1605"/>
      <c r="GZ519" s="1605"/>
      <c r="HA519" s="1605"/>
      <c r="HB519" s="1605"/>
      <c r="HC519" s="1605"/>
      <c r="HD519" s="1605"/>
      <c r="HE519" s="1605"/>
      <c r="HF519" s="1605"/>
      <c r="HG519" s="1605"/>
      <c r="HH519" s="1605"/>
      <c r="HI519" s="1605"/>
      <c r="HJ519" s="1605"/>
      <c r="HK519" s="1605"/>
      <c r="HL519" s="1605"/>
      <c r="HM519" s="1605"/>
      <c r="HN519" s="1605"/>
      <c r="HO519" s="1605"/>
      <c r="HP519" s="1605"/>
      <c r="HQ519" s="1605"/>
      <c r="HR519" s="1605"/>
      <c r="HS519" s="1605"/>
      <c r="HT519" s="1605"/>
      <c r="HU519" s="1605"/>
      <c r="HV519" s="1605"/>
      <c r="HW519" s="1605"/>
      <c r="HX519" s="1605"/>
      <c r="HY519" s="1605"/>
      <c r="HZ519" s="1605"/>
      <c r="IA519" s="1605"/>
      <c r="IB519" s="1605"/>
      <c r="IC519" s="1605"/>
      <c r="ID519" s="1605"/>
      <c r="IE519" s="1605"/>
      <c r="IF519" s="1605"/>
      <c r="IG519" s="1605"/>
      <c r="IH519" s="1605"/>
      <c r="II519" s="1605"/>
      <c r="IJ519" s="1605"/>
      <c r="IK519" s="1605"/>
      <c r="IL519" s="1605"/>
      <c r="IM519" s="1605"/>
      <c r="IN519" s="1605"/>
      <c r="IO519" s="1605"/>
      <c r="IP519" s="1605"/>
      <c r="IQ519" s="1605"/>
      <c r="IR519" s="1605"/>
      <c r="IS519" s="1605"/>
      <c r="IT519" s="1605"/>
      <c r="IU519" s="1605"/>
      <c r="IV519" s="1605"/>
      <c r="IW519" s="1605"/>
      <c r="IX519" s="1605"/>
      <c r="IY519" s="1605"/>
      <c r="IZ519" s="1605"/>
      <c r="JA519" s="1605"/>
      <c r="JB519" s="1605"/>
      <c r="JC519" s="1605"/>
      <c r="JD519" s="1605"/>
      <c r="JE519" s="1605"/>
      <c r="JF519" s="1605"/>
      <c r="JG519" s="1605"/>
      <c r="JH519" s="1605"/>
      <c r="JI519" s="1605"/>
      <c r="JJ519" s="1605"/>
      <c r="JK519" s="1605"/>
      <c r="JL519" s="1605"/>
      <c r="JM519" s="1605"/>
      <c r="JN519" s="1605"/>
      <c r="JO519" s="1605"/>
      <c r="JP519" s="1605"/>
      <c r="JQ519" s="1605"/>
      <c r="JR519" s="1605"/>
      <c r="JS519" s="1605"/>
      <c r="JT519" s="1605"/>
      <c r="JU519" s="1605"/>
      <c r="JV519" s="1605"/>
      <c r="JW519" s="1605"/>
      <c r="JX519" s="1605"/>
      <c r="JY519" s="1605"/>
      <c r="JZ519" s="1605"/>
      <c r="KA519" s="1605"/>
      <c r="KB519" s="1606"/>
    </row>
    <row r="520" spans="1:289" ht="15" customHeight="1" x14ac:dyDescent="0.25">
      <c r="B520" s="216" t="str">
        <f t="shared" si="38"/>
        <v>Desk 96</v>
      </c>
      <c r="C520" s="218" t="str">
        <v/>
      </c>
      <c r="D520" s="218" t="str">
        <v/>
      </c>
      <c r="E520" s="218" t="str">
        <v/>
      </c>
      <c r="F520" s="218" t="str">
        <v/>
      </c>
      <c r="G520" s="402" t="str">
        <v/>
      </c>
      <c r="H520" s="1605"/>
      <c r="I520" s="1605"/>
      <c r="J520" s="1605"/>
      <c r="K520" s="1605"/>
      <c r="L520" s="1605"/>
      <c r="M520" s="1605"/>
      <c r="N520" s="1605"/>
      <c r="O520" s="1605"/>
      <c r="P520" s="1605"/>
      <c r="Q520" s="1605"/>
      <c r="R520" s="1605"/>
      <c r="S520" s="1605"/>
      <c r="T520" s="1605"/>
      <c r="U520" s="1605"/>
      <c r="V520" s="1605"/>
      <c r="W520" s="1605"/>
      <c r="X520" s="1605"/>
      <c r="Y520" s="1605"/>
      <c r="Z520" s="1605"/>
      <c r="AA520" s="1605"/>
      <c r="AB520" s="1605"/>
      <c r="AC520" s="1605"/>
      <c r="AD520" s="1605"/>
      <c r="AE520" s="1605"/>
      <c r="AF520" s="1605"/>
      <c r="AG520" s="1605"/>
      <c r="AH520" s="1605"/>
      <c r="AI520" s="1605"/>
      <c r="AJ520" s="1605"/>
      <c r="AK520" s="1605"/>
      <c r="AL520" s="1605"/>
      <c r="AM520" s="1605"/>
      <c r="AN520" s="1605"/>
      <c r="AO520" s="1605"/>
      <c r="AP520" s="1605"/>
      <c r="AQ520" s="1605"/>
      <c r="AR520" s="1605"/>
      <c r="AS520" s="1605"/>
      <c r="AT520" s="1605"/>
      <c r="AU520" s="1605"/>
      <c r="AV520" s="1605"/>
      <c r="AW520" s="1605"/>
      <c r="AX520" s="1605"/>
      <c r="AY520" s="1605"/>
      <c r="AZ520" s="1605"/>
      <c r="BA520" s="1605"/>
      <c r="BB520" s="1605"/>
      <c r="BC520" s="1605"/>
      <c r="BD520" s="1605"/>
      <c r="BE520" s="1605"/>
      <c r="BF520" s="1605"/>
      <c r="BG520" s="1605"/>
      <c r="BH520" s="1605"/>
      <c r="BI520" s="1605"/>
      <c r="BJ520" s="1605"/>
      <c r="BK520" s="1605"/>
      <c r="BL520" s="1605"/>
      <c r="BM520" s="1605"/>
      <c r="BN520" s="1605"/>
      <c r="BO520" s="1605"/>
      <c r="BP520" s="1605"/>
      <c r="BQ520" s="1605"/>
      <c r="BR520" s="1605"/>
      <c r="BS520" s="1605"/>
      <c r="BT520" s="1605"/>
      <c r="BU520" s="1605"/>
      <c r="BV520" s="1605"/>
      <c r="BW520" s="1605"/>
      <c r="BX520" s="1605"/>
      <c r="BY520" s="1605"/>
      <c r="BZ520" s="1605"/>
      <c r="CA520" s="1605"/>
      <c r="CB520" s="1605"/>
      <c r="CC520" s="1605"/>
      <c r="CD520" s="1605"/>
      <c r="CE520" s="1605"/>
      <c r="CF520" s="1605"/>
      <c r="CG520" s="1605"/>
      <c r="CH520" s="1605"/>
      <c r="CI520" s="1605"/>
      <c r="CJ520" s="1605"/>
      <c r="CK520" s="1605"/>
      <c r="CL520" s="1605"/>
      <c r="CM520" s="1605"/>
      <c r="CN520" s="1605"/>
      <c r="CO520" s="1605"/>
      <c r="CP520" s="1605"/>
      <c r="CQ520" s="1605"/>
      <c r="CR520" s="1605"/>
      <c r="CS520" s="1605"/>
      <c r="CT520" s="1605"/>
      <c r="CU520" s="1605"/>
      <c r="CV520" s="1605"/>
      <c r="CW520" s="1605"/>
      <c r="CX520" s="1605"/>
      <c r="CY520" s="1605"/>
      <c r="CZ520" s="1605"/>
      <c r="DA520" s="1605"/>
      <c r="DB520" s="1605"/>
      <c r="DC520" s="1605"/>
      <c r="DD520" s="1605"/>
      <c r="DE520" s="1605"/>
      <c r="DF520" s="1605"/>
      <c r="DG520" s="1605"/>
      <c r="DH520" s="1605"/>
      <c r="DI520" s="1605"/>
      <c r="DJ520" s="1605"/>
      <c r="DK520" s="1605"/>
      <c r="DL520" s="1605"/>
      <c r="DM520" s="1605"/>
      <c r="DN520" s="1605"/>
      <c r="DO520" s="1605"/>
      <c r="DP520" s="1605"/>
      <c r="DQ520" s="1605"/>
      <c r="DR520" s="1605"/>
      <c r="DS520" s="1605"/>
      <c r="DT520" s="1605"/>
      <c r="DU520" s="1605"/>
      <c r="DV520" s="1605"/>
      <c r="DW520" s="1605"/>
      <c r="DX520" s="1605"/>
      <c r="DY520" s="1605"/>
      <c r="DZ520" s="1605"/>
      <c r="EA520" s="1605"/>
      <c r="EB520" s="1605"/>
      <c r="EC520" s="1605"/>
      <c r="ED520" s="1605"/>
      <c r="EE520" s="1605"/>
      <c r="EF520" s="1605"/>
      <c r="EG520" s="1605"/>
      <c r="EH520" s="1605"/>
      <c r="EI520" s="1605"/>
      <c r="EJ520" s="1605"/>
      <c r="EK520" s="1605"/>
      <c r="EL520" s="1605"/>
      <c r="EM520" s="1605"/>
      <c r="EN520" s="1605"/>
      <c r="EO520" s="1605"/>
      <c r="EP520" s="1605"/>
      <c r="EQ520" s="1605"/>
      <c r="ER520" s="1605"/>
      <c r="ES520" s="1605"/>
      <c r="ET520" s="1605"/>
      <c r="EU520" s="1605"/>
      <c r="EV520" s="1605"/>
      <c r="EW520" s="1605"/>
      <c r="EX520" s="1605"/>
      <c r="EY520" s="1605"/>
      <c r="EZ520" s="1605"/>
      <c r="FA520" s="1605"/>
      <c r="FB520" s="1605"/>
      <c r="FC520" s="1605"/>
      <c r="FD520" s="1605"/>
      <c r="FE520" s="1605"/>
      <c r="FF520" s="1605"/>
      <c r="FG520" s="1605"/>
      <c r="FH520" s="1605"/>
      <c r="FI520" s="1605"/>
      <c r="FJ520" s="1605"/>
      <c r="FK520" s="1605"/>
      <c r="FL520" s="1605"/>
      <c r="FM520" s="1605"/>
      <c r="FN520" s="1605"/>
      <c r="FO520" s="1605"/>
      <c r="FP520" s="1605"/>
      <c r="FQ520" s="1605"/>
      <c r="FR520" s="1605"/>
      <c r="FS520" s="1605"/>
      <c r="FT520" s="1605"/>
      <c r="FU520" s="1605"/>
      <c r="FV520" s="1605"/>
      <c r="FW520" s="1605"/>
      <c r="FX520" s="1605"/>
      <c r="FY520" s="1605"/>
      <c r="FZ520" s="1605"/>
      <c r="GA520" s="1605"/>
      <c r="GB520" s="1605"/>
      <c r="GC520" s="1605"/>
      <c r="GD520" s="1605"/>
      <c r="GE520" s="1605"/>
      <c r="GF520" s="1605"/>
      <c r="GG520" s="1605"/>
      <c r="GH520" s="1605"/>
      <c r="GI520" s="1605"/>
      <c r="GJ520" s="1605"/>
      <c r="GK520" s="1605"/>
      <c r="GL520" s="1605"/>
      <c r="GM520" s="1605"/>
      <c r="GN520" s="1605"/>
      <c r="GO520" s="1605"/>
      <c r="GP520" s="1605"/>
      <c r="GQ520" s="1605"/>
      <c r="GR520" s="1605"/>
      <c r="GS520" s="1605"/>
      <c r="GT520" s="1605"/>
      <c r="GU520" s="1605"/>
      <c r="GV520" s="1605"/>
      <c r="GW520" s="1605"/>
      <c r="GX520" s="1605"/>
      <c r="GY520" s="1605"/>
      <c r="GZ520" s="1605"/>
      <c r="HA520" s="1605"/>
      <c r="HB520" s="1605"/>
      <c r="HC520" s="1605"/>
      <c r="HD520" s="1605"/>
      <c r="HE520" s="1605"/>
      <c r="HF520" s="1605"/>
      <c r="HG520" s="1605"/>
      <c r="HH520" s="1605"/>
      <c r="HI520" s="1605"/>
      <c r="HJ520" s="1605"/>
      <c r="HK520" s="1605"/>
      <c r="HL520" s="1605"/>
      <c r="HM520" s="1605"/>
      <c r="HN520" s="1605"/>
      <c r="HO520" s="1605"/>
      <c r="HP520" s="1605"/>
      <c r="HQ520" s="1605"/>
      <c r="HR520" s="1605"/>
      <c r="HS520" s="1605"/>
      <c r="HT520" s="1605"/>
      <c r="HU520" s="1605"/>
      <c r="HV520" s="1605"/>
      <c r="HW520" s="1605"/>
      <c r="HX520" s="1605"/>
      <c r="HY520" s="1605"/>
      <c r="HZ520" s="1605"/>
      <c r="IA520" s="1605"/>
      <c r="IB520" s="1605"/>
      <c r="IC520" s="1605"/>
      <c r="ID520" s="1605"/>
      <c r="IE520" s="1605"/>
      <c r="IF520" s="1605"/>
      <c r="IG520" s="1605"/>
      <c r="IH520" s="1605"/>
      <c r="II520" s="1605"/>
      <c r="IJ520" s="1605"/>
      <c r="IK520" s="1605"/>
      <c r="IL520" s="1605"/>
      <c r="IM520" s="1605"/>
      <c r="IN520" s="1605"/>
      <c r="IO520" s="1605"/>
      <c r="IP520" s="1605"/>
      <c r="IQ520" s="1605"/>
      <c r="IR520" s="1605"/>
      <c r="IS520" s="1605"/>
      <c r="IT520" s="1605"/>
      <c r="IU520" s="1605"/>
      <c r="IV520" s="1605"/>
      <c r="IW520" s="1605"/>
      <c r="IX520" s="1605"/>
      <c r="IY520" s="1605"/>
      <c r="IZ520" s="1605"/>
      <c r="JA520" s="1605"/>
      <c r="JB520" s="1605"/>
      <c r="JC520" s="1605"/>
      <c r="JD520" s="1605"/>
      <c r="JE520" s="1605"/>
      <c r="JF520" s="1605"/>
      <c r="JG520" s="1605"/>
      <c r="JH520" s="1605"/>
      <c r="JI520" s="1605"/>
      <c r="JJ520" s="1605"/>
      <c r="JK520" s="1605"/>
      <c r="JL520" s="1605"/>
      <c r="JM520" s="1605"/>
      <c r="JN520" s="1605"/>
      <c r="JO520" s="1605"/>
      <c r="JP520" s="1605"/>
      <c r="JQ520" s="1605"/>
      <c r="JR520" s="1605"/>
      <c r="JS520" s="1605"/>
      <c r="JT520" s="1605"/>
      <c r="JU520" s="1605"/>
      <c r="JV520" s="1605"/>
      <c r="JW520" s="1605"/>
      <c r="JX520" s="1605"/>
      <c r="JY520" s="1605"/>
      <c r="JZ520" s="1605"/>
      <c r="KA520" s="1605"/>
      <c r="KB520" s="1606"/>
    </row>
    <row r="521" spans="1:289" ht="15" customHeight="1" x14ac:dyDescent="0.25">
      <c r="B521" s="216" t="str">
        <f t="shared" ref="B521:B524" si="39">B107</f>
        <v>Desk 97</v>
      </c>
      <c r="C521" s="218" t="str">
        <v/>
      </c>
      <c r="D521" s="218" t="str">
        <v/>
      </c>
      <c r="E521" s="218" t="str">
        <v/>
      </c>
      <c r="F521" s="218" t="str">
        <v/>
      </c>
      <c r="G521" s="402" t="str">
        <v/>
      </c>
      <c r="H521" s="1605"/>
      <c r="I521" s="1605"/>
      <c r="J521" s="1605"/>
      <c r="K521" s="1605"/>
      <c r="L521" s="1605"/>
      <c r="M521" s="1605"/>
      <c r="N521" s="1605"/>
      <c r="O521" s="1605"/>
      <c r="P521" s="1605"/>
      <c r="Q521" s="1605"/>
      <c r="R521" s="1605"/>
      <c r="S521" s="1605"/>
      <c r="T521" s="1605"/>
      <c r="U521" s="1605"/>
      <c r="V521" s="1605"/>
      <c r="W521" s="1605"/>
      <c r="X521" s="1605"/>
      <c r="Y521" s="1605"/>
      <c r="Z521" s="1605"/>
      <c r="AA521" s="1605"/>
      <c r="AB521" s="1605"/>
      <c r="AC521" s="1605"/>
      <c r="AD521" s="1605"/>
      <c r="AE521" s="1605"/>
      <c r="AF521" s="1605"/>
      <c r="AG521" s="1605"/>
      <c r="AH521" s="1605"/>
      <c r="AI521" s="1605"/>
      <c r="AJ521" s="1605"/>
      <c r="AK521" s="1605"/>
      <c r="AL521" s="1605"/>
      <c r="AM521" s="1605"/>
      <c r="AN521" s="1605"/>
      <c r="AO521" s="1605"/>
      <c r="AP521" s="1605"/>
      <c r="AQ521" s="1605"/>
      <c r="AR521" s="1605"/>
      <c r="AS521" s="1605"/>
      <c r="AT521" s="1605"/>
      <c r="AU521" s="1605"/>
      <c r="AV521" s="1605"/>
      <c r="AW521" s="1605"/>
      <c r="AX521" s="1605"/>
      <c r="AY521" s="1605"/>
      <c r="AZ521" s="1605"/>
      <c r="BA521" s="1605"/>
      <c r="BB521" s="1605"/>
      <c r="BC521" s="1605"/>
      <c r="BD521" s="1605"/>
      <c r="BE521" s="1605"/>
      <c r="BF521" s="1605"/>
      <c r="BG521" s="1605"/>
      <c r="BH521" s="1605"/>
      <c r="BI521" s="1605"/>
      <c r="BJ521" s="1605"/>
      <c r="BK521" s="1605"/>
      <c r="BL521" s="1605"/>
      <c r="BM521" s="1605"/>
      <c r="BN521" s="1605"/>
      <c r="BO521" s="1605"/>
      <c r="BP521" s="1605"/>
      <c r="BQ521" s="1605"/>
      <c r="BR521" s="1605"/>
      <c r="BS521" s="1605"/>
      <c r="BT521" s="1605"/>
      <c r="BU521" s="1605"/>
      <c r="BV521" s="1605"/>
      <c r="BW521" s="1605"/>
      <c r="BX521" s="1605"/>
      <c r="BY521" s="1605"/>
      <c r="BZ521" s="1605"/>
      <c r="CA521" s="1605"/>
      <c r="CB521" s="1605"/>
      <c r="CC521" s="1605"/>
      <c r="CD521" s="1605"/>
      <c r="CE521" s="1605"/>
      <c r="CF521" s="1605"/>
      <c r="CG521" s="1605"/>
      <c r="CH521" s="1605"/>
      <c r="CI521" s="1605"/>
      <c r="CJ521" s="1605"/>
      <c r="CK521" s="1605"/>
      <c r="CL521" s="1605"/>
      <c r="CM521" s="1605"/>
      <c r="CN521" s="1605"/>
      <c r="CO521" s="1605"/>
      <c r="CP521" s="1605"/>
      <c r="CQ521" s="1605"/>
      <c r="CR521" s="1605"/>
      <c r="CS521" s="1605"/>
      <c r="CT521" s="1605"/>
      <c r="CU521" s="1605"/>
      <c r="CV521" s="1605"/>
      <c r="CW521" s="1605"/>
      <c r="CX521" s="1605"/>
      <c r="CY521" s="1605"/>
      <c r="CZ521" s="1605"/>
      <c r="DA521" s="1605"/>
      <c r="DB521" s="1605"/>
      <c r="DC521" s="1605"/>
      <c r="DD521" s="1605"/>
      <c r="DE521" s="1605"/>
      <c r="DF521" s="1605"/>
      <c r="DG521" s="1605"/>
      <c r="DH521" s="1605"/>
      <c r="DI521" s="1605"/>
      <c r="DJ521" s="1605"/>
      <c r="DK521" s="1605"/>
      <c r="DL521" s="1605"/>
      <c r="DM521" s="1605"/>
      <c r="DN521" s="1605"/>
      <c r="DO521" s="1605"/>
      <c r="DP521" s="1605"/>
      <c r="DQ521" s="1605"/>
      <c r="DR521" s="1605"/>
      <c r="DS521" s="1605"/>
      <c r="DT521" s="1605"/>
      <c r="DU521" s="1605"/>
      <c r="DV521" s="1605"/>
      <c r="DW521" s="1605"/>
      <c r="DX521" s="1605"/>
      <c r="DY521" s="1605"/>
      <c r="DZ521" s="1605"/>
      <c r="EA521" s="1605"/>
      <c r="EB521" s="1605"/>
      <c r="EC521" s="1605"/>
      <c r="ED521" s="1605"/>
      <c r="EE521" s="1605"/>
      <c r="EF521" s="1605"/>
      <c r="EG521" s="1605"/>
      <c r="EH521" s="1605"/>
      <c r="EI521" s="1605"/>
      <c r="EJ521" s="1605"/>
      <c r="EK521" s="1605"/>
      <c r="EL521" s="1605"/>
      <c r="EM521" s="1605"/>
      <c r="EN521" s="1605"/>
      <c r="EO521" s="1605"/>
      <c r="EP521" s="1605"/>
      <c r="EQ521" s="1605"/>
      <c r="ER521" s="1605"/>
      <c r="ES521" s="1605"/>
      <c r="ET521" s="1605"/>
      <c r="EU521" s="1605"/>
      <c r="EV521" s="1605"/>
      <c r="EW521" s="1605"/>
      <c r="EX521" s="1605"/>
      <c r="EY521" s="1605"/>
      <c r="EZ521" s="1605"/>
      <c r="FA521" s="1605"/>
      <c r="FB521" s="1605"/>
      <c r="FC521" s="1605"/>
      <c r="FD521" s="1605"/>
      <c r="FE521" s="1605"/>
      <c r="FF521" s="1605"/>
      <c r="FG521" s="1605"/>
      <c r="FH521" s="1605"/>
      <c r="FI521" s="1605"/>
      <c r="FJ521" s="1605"/>
      <c r="FK521" s="1605"/>
      <c r="FL521" s="1605"/>
      <c r="FM521" s="1605"/>
      <c r="FN521" s="1605"/>
      <c r="FO521" s="1605"/>
      <c r="FP521" s="1605"/>
      <c r="FQ521" s="1605"/>
      <c r="FR521" s="1605"/>
      <c r="FS521" s="1605"/>
      <c r="FT521" s="1605"/>
      <c r="FU521" s="1605"/>
      <c r="FV521" s="1605"/>
      <c r="FW521" s="1605"/>
      <c r="FX521" s="1605"/>
      <c r="FY521" s="1605"/>
      <c r="FZ521" s="1605"/>
      <c r="GA521" s="1605"/>
      <c r="GB521" s="1605"/>
      <c r="GC521" s="1605"/>
      <c r="GD521" s="1605"/>
      <c r="GE521" s="1605"/>
      <c r="GF521" s="1605"/>
      <c r="GG521" s="1605"/>
      <c r="GH521" s="1605"/>
      <c r="GI521" s="1605"/>
      <c r="GJ521" s="1605"/>
      <c r="GK521" s="1605"/>
      <c r="GL521" s="1605"/>
      <c r="GM521" s="1605"/>
      <c r="GN521" s="1605"/>
      <c r="GO521" s="1605"/>
      <c r="GP521" s="1605"/>
      <c r="GQ521" s="1605"/>
      <c r="GR521" s="1605"/>
      <c r="GS521" s="1605"/>
      <c r="GT521" s="1605"/>
      <c r="GU521" s="1605"/>
      <c r="GV521" s="1605"/>
      <c r="GW521" s="1605"/>
      <c r="GX521" s="1605"/>
      <c r="GY521" s="1605"/>
      <c r="GZ521" s="1605"/>
      <c r="HA521" s="1605"/>
      <c r="HB521" s="1605"/>
      <c r="HC521" s="1605"/>
      <c r="HD521" s="1605"/>
      <c r="HE521" s="1605"/>
      <c r="HF521" s="1605"/>
      <c r="HG521" s="1605"/>
      <c r="HH521" s="1605"/>
      <c r="HI521" s="1605"/>
      <c r="HJ521" s="1605"/>
      <c r="HK521" s="1605"/>
      <c r="HL521" s="1605"/>
      <c r="HM521" s="1605"/>
      <c r="HN521" s="1605"/>
      <c r="HO521" s="1605"/>
      <c r="HP521" s="1605"/>
      <c r="HQ521" s="1605"/>
      <c r="HR521" s="1605"/>
      <c r="HS521" s="1605"/>
      <c r="HT521" s="1605"/>
      <c r="HU521" s="1605"/>
      <c r="HV521" s="1605"/>
      <c r="HW521" s="1605"/>
      <c r="HX521" s="1605"/>
      <c r="HY521" s="1605"/>
      <c r="HZ521" s="1605"/>
      <c r="IA521" s="1605"/>
      <c r="IB521" s="1605"/>
      <c r="IC521" s="1605"/>
      <c r="ID521" s="1605"/>
      <c r="IE521" s="1605"/>
      <c r="IF521" s="1605"/>
      <c r="IG521" s="1605"/>
      <c r="IH521" s="1605"/>
      <c r="II521" s="1605"/>
      <c r="IJ521" s="1605"/>
      <c r="IK521" s="1605"/>
      <c r="IL521" s="1605"/>
      <c r="IM521" s="1605"/>
      <c r="IN521" s="1605"/>
      <c r="IO521" s="1605"/>
      <c r="IP521" s="1605"/>
      <c r="IQ521" s="1605"/>
      <c r="IR521" s="1605"/>
      <c r="IS521" s="1605"/>
      <c r="IT521" s="1605"/>
      <c r="IU521" s="1605"/>
      <c r="IV521" s="1605"/>
      <c r="IW521" s="1605"/>
      <c r="IX521" s="1605"/>
      <c r="IY521" s="1605"/>
      <c r="IZ521" s="1605"/>
      <c r="JA521" s="1605"/>
      <c r="JB521" s="1605"/>
      <c r="JC521" s="1605"/>
      <c r="JD521" s="1605"/>
      <c r="JE521" s="1605"/>
      <c r="JF521" s="1605"/>
      <c r="JG521" s="1605"/>
      <c r="JH521" s="1605"/>
      <c r="JI521" s="1605"/>
      <c r="JJ521" s="1605"/>
      <c r="JK521" s="1605"/>
      <c r="JL521" s="1605"/>
      <c r="JM521" s="1605"/>
      <c r="JN521" s="1605"/>
      <c r="JO521" s="1605"/>
      <c r="JP521" s="1605"/>
      <c r="JQ521" s="1605"/>
      <c r="JR521" s="1605"/>
      <c r="JS521" s="1605"/>
      <c r="JT521" s="1605"/>
      <c r="JU521" s="1605"/>
      <c r="JV521" s="1605"/>
      <c r="JW521" s="1605"/>
      <c r="JX521" s="1605"/>
      <c r="JY521" s="1605"/>
      <c r="JZ521" s="1605"/>
      <c r="KA521" s="1605"/>
      <c r="KB521" s="1606"/>
    </row>
    <row r="522" spans="1:289" ht="15" customHeight="1" x14ac:dyDescent="0.25">
      <c r="B522" s="216" t="str">
        <f t="shared" si="39"/>
        <v>Desk 98</v>
      </c>
      <c r="C522" s="218" t="str">
        <v/>
      </c>
      <c r="D522" s="218" t="str">
        <v/>
      </c>
      <c r="E522" s="218" t="str">
        <v/>
      </c>
      <c r="F522" s="218" t="str">
        <v/>
      </c>
      <c r="G522" s="402" t="str">
        <v/>
      </c>
      <c r="H522" s="1605"/>
      <c r="I522" s="1605"/>
      <c r="J522" s="1605"/>
      <c r="K522" s="1605"/>
      <c r="L522" s="1605"/>
      <c r="M522" s="1605"/>
      <c r="N522" s="1605"/>
      <c r="O522" s="1605"/>
      <c r="P522" s="1605"/>
      <c r="Q522" s="1605"/>
      <c r="R522" s="1605"/>
      <c r="S522" s="1605"/>
      <c r="T522" s="1605"/>
      <c r="U522" s="1605"/>
      <c r="V522" s="1605"/>
      <c r="W522" s="1605"/>
      <c r="X522" s="1605"/>
      <c r="Y522" s="1605"/>
      <c r="Z522" s="1605"/>
      <c r="AA522" s="1605"/>
      <c r="AB522" s="1605"/>
      <c r="AC522" s="1605"/>
      <c r="AD522" s="1605"/>
      <c r="AE522" s="1605"/>
      <c r="AF522" s="1605"/>
      <c r="AG522" s="1605"/>
      <c r="AH522" s="1605"/>
      <c r="AI522" s="1605"/>
      <c r="AJ522" s="1605"/>
      <c r="AK522" s="1605"/>
      <c r="AL522" s="1605"/>
      <c r="AM522" s="1605"/>
      <c r="AN522" s="1605"/>
      <c r="AO522" s="1605"/>
      <c r="AP522" s="1605"/>
      <c r="AQ522" s="1605"/>
      <c r="AR522" s="1605"/>
      <c r="AS522" s="1605"/>
      <c r="AT522" s="1605"/>
      <c r="AU522" s="1605"/>
      <c r="AV522" s="1605"/>
      <c r="AW522" s="1605"/>
      <c r="AX522" s="1605"/>
      <c r="AY522" s="1605"/>
      <c r="AZ522" s="1605"/>
      <c r="BA522" s="1605"/>
      <c r="BB522" s="1605"/>
      <c r="BC522" s="1605"/>
      <c r="BD522" s="1605"/>
      <c r="BE522" s="1605"/>
      <c r="BF522" s="1605"/>
      <c r="BG522" s="1605"/>
      <c r="BH522" s="1605"/>
      <c r="BI522" s="1605"/>
      <c r="BJ522" s="1605"/>
      <c r="BK522" s="1605"/>
      <c r="BL522" s="1605"/>
      <c r="BM522" s="1605"/>
      <c r="BN522" s="1605"/>
      <c r="BO522" s="1605"/>
      <c r="BP522" s="1605"/>
      <c r="BQ522" s="1605"/>
      <c r="BR522" s="1605"/>
      <c r="BS522" s="1605"/>
      <c r="BT522" s="1605"/>
      <c r="BU522" s="1605"/>
      <c r="BV522" s="1605"/>
      <c r="BW522" s="1605"/>
      <c r="BX522" s="1605"/>
      <c r="BY522" s="1605"/>
      <c r="BZ522" s="1605"/>
      <c r="CA522" s="1605"/>
      <c r="CB522" s="1605"/>
      <c r="CC522" s="1605"/>
      <c r="CD522" s="1605"/>
      <c r="CE522" s="1605"/>
      <c r="CF522" s="1605"/>
      <c r="CG522" s="1605"/>
      <c r="CH522" s="1605"/>
      <c r="CI522" s="1605"/>
      <c r="CJ522" s="1605"/>
      <c r="CK522" s="1605"/>
      <c r="CL522" s="1605"/>
      <c r="CM522" s="1605"/>
      <c r="CN522" s="1605"/>
      <c r="CO522" s="1605"/>
      <c r="CP522" s="1605"/>
      <c r="CQ522" s="1605"/>
      <c r="CR522" s="1605"/>
      <c r="CS522" s="1605"/>
      <c r="CT522" s="1605"/>
      <c r="CU522" s="1605"/>
      <c r="CV522" s="1605"/>
      <c r="CW522" s="1605"/>
      <c r="CX522" s="1605"/>
      <c r="CY522" s="1605"/>
      <c r="CZ522" s="1605"/>
      <c r="DA522" s="1605"/>
      <c r="DB522" s="1605"/>
      <c r="DC522" s="1605"/>
      <c r="DD522" s="1605"/>
      <c r="DE522" s="1605"/>
      <c r="DF522" s="1605"/>
      <c r="DG522" s="1605"/>
      <c r="DH522" s="1605"/>
      <c r="DI522" s="1605"/>
      <c r="DJ522" s="1605"/>
      <c r="DK522" s="1605"/>
      <c r="DL522" s="1605"/>
      <c r="DM522" s="1605"/>
      <c r="DN522" s="1605"/>
      <c r="DO522" s="1605"/>
      <c r="DP522" s="1605"/>
      <c r="DQ522" s="1605"/>
      <c r="DR522" s="1605"/>
      <c r="DS522" s="1605"/>
      <c r="DT522" s="1605"/>
      <c r="DU522" s="1605"/>
      <c r="DV522" s="1605"/>
      <c r="DW522" s="1605"/>
      <c r="DX522" s="1605"/>
      <c r="DY522" s="1605"/>
      <c r="DZ522" s="1605"/>
      <c r="EA522" s="1605"/>
      <c r="EB522" s="1605"/>
      <c r="EC522" s="1605"/>
      <c r="ED522" s="1605"/>
      <c r="EE522" s="1605"/>
      <c r="EF522" s="1605"/>
      <c r="EG522" s="1605"/>
      <c r="EH522" s="1605"/>
      <c r="EI522" s="1605"/>
      <c r="EJ522" s="1605"/>
      <c r="EK522" s="1605"/>
      <c r="EL522" s="1605"/>
      <c r="EM522" s="1605"/>
      <c r="EN522" s="1605"/>
      <c r="EO522" s="1605"/>
      <c r="EP522" s="1605"/>
      <c r="EQ522" s="1605"/>
      <c r="ER522" s="1605"/>
      <c r="ES522" s="1605"/>
      <c r="ET522" s="1605"/>
      <c r="EU522" s="1605"/>
      <c r="EV522" s="1605"/>
      <c r="EW522" s="1605"/>
      <c r="EX522" s="1605"/>
      <c r="EY522" s="1605"/>
      <c r="EZ522" s="1605"/>
      <c r="FA522" s="1605"/>
      <c r="FB522" s="1605"/>
      <c r="FC522" s="1605"/>
      <c r="FD522" s="1605"/>
      <c r="FE522" s="1605"/>
      <c r="FF522" s="1605"/>
      <c r="FG522" s="1605"/>
      <c r="FH522" s="1605"/>
      <c r="FI522" s="1605"/>
      <c r="FJ522" s="1605"/>
      <c r="FK522" s="1605"/>
      <c r="FL522" s="1605"/>
      <c r="FM522" s="1605"/>
      <c r="FN522" s="1605"/>
      <c r="FO522" s="1605"/>
      <c r="FP522" s="1605"/>
      <c r="FQ522" s="1605"/>
      <c r="FR522" s="1605"/>
      <c r="FS522" s="1605"/>
      <c r="FT522" s="1605"/>
      <c r="FU522" s="1605"/>
      <c r="FV522" s="1605"/>
      <c r="FW522" s="1605"/>
      <c r="FX522" s="1605"/>
      <c r="FY522" s="1605"/>
      <c r="FZ522" s="1605"/>
      <c r="GA522" s="1605"/>
      <c r="GB522" s="1605"/>
      <c r="GC522" s="1605"/>
      <c r="GD522" s="1605"/>
      <c r="GE522" s="1605"/>
      <c r="GF522" s="1605"/>
      <c r="GG522" s="1605"/>
      <c r="GH522" s="1605"/>
      <c r="GI522" s="1605"/>
      <c r="GJ522" s="1605"/>
      <c r="GK522" s="1605"/>
      <c r="GL522" s="1605"/>
      <c r="GM522" s="1605"/>
      <c r="GN522" s="1605"/>
      <c r="GO522" s="1605"/>
      <c r="GP522" s="1605"/>
      <c r="GQ522" s="1605"/>
      <c r="GR522" s="1605"/>
      <c r="GS522" s="1605"/>
      <c r="GT522" s="1605"/>
      <c r="GU522" s="1605"/>
      <c r="GV522" s="1605"/>
      <c r="GW522" s="1605"/>
      <c r="GX522" s="1605"/>
      <c r="GY522" s="1605"/>
      <c r="GZ522" s="1605"/>
      <c r="HA522" s="1605"/>
      <c r="HB522" s="1605"/>
      <c r="HC522" s="1605"/>
      <c r="HD522" s="1605"/>
      <c r="HE522" s="1605"/>
      <c r="HF522" s="1605"/>
      <c r="HG522" s="1605"/>
      <c r="HH522" s="1605"/>
      <c r="HI522" s="1605"/>
      <c r="HJ522" s="1605"/>
      <c r="HK522" s="1605"/>
      <c r="HL522" s="1605"/>
      <c r="HM522" s="1605"/>
      <c r="HN522" s="1605"/>
      <c r="HO522" s="1605"/>
      <c r="HP522" s="1605"/>
      <c r="HQ522" s="1605"/>
      <c r="HR522" s="1605"/>
      <c r="HS522" s="1605"/>
      <c r="HT522" s="1605"/>
      <c r="HU522" s="1605"/>
      <c r="HV522" s="1605"/>
      <c r="HW522" s="1605"/>
      <c r="HX522" s="1605"/>
      <c r="HY522" s="1605"/>
      <c r="HZ522" s="1605"/>
      <c r="IA522" s="1605"/>
      <c r="IB522" s="1605"/>
      <c r="IC522" s="1605"/>
      <c r="ID522" s="1605"/>
      <c r="IE522" s="1605"/>
      <c r="IF522" s="1605"/>
      <c r="IG522" s="1605"/>
      <c r="IH522" s="1605"/>
      <c r="II522" s="1605"/>
      <c r="IJ522" s="1605"/>
      <c r="IK522" s="1605"/>
      <c r="IL522" s="1605"/>
      <c r="IM522" s="1605"/>
      <c r="IN522" s="1605"/>
      <c r="IO522" s="1605"/>
      <c r="IP522" s="1605"/>
      <c r="IQ522" s="1605"/>
      <c r="IR522" s="1605"/>
      <c r="IS522" s="1605"/>
      <c r="IT522" s="1605"/>
      <c r="IU522" s="1605"/>
      <c r="IV522" s="1605"/>
      <c r="IW522" s="1605"/>
      <c r="IX522" s="1605"/>
      <c r="IY522" s="1605"/>
      <c r="IZ522" s="1605"/>
      <c r="JA522" s="1605"/>
      <c r="JB522" s="1605"/>
      <c r="JC522" s="1605"/>
      <c r="JD522" s="1605"/>
      <c r="JE522" s="1605"/>
      <c r="JF522" s="1605"/>
      <c r="JG522" s="1605"/>
      <c r="JH522" s="1605"/>
      <c r="JI522" s="1605"/>
      <c r="JJ522" s="1605"/>
      <c r="JK522" s="1605"/>
      <c r="JL522" s="1605"/>
      <c r="JM522" s="1605"/>
      <c r="JN522" s="1605"/>
      <c r="JO522" s="1605"/>
      <c r="JP522" s="1605"/>
      <c r="JQ522" s="1605"/>
      <c r="JR522" s="1605"/>
      <c r="JS522" s="1605"/>
      <c r="JT522" s="1605"/>
      <c r="JU522" s="1605"/>
      <c r="JV522" s="1605"/>
      <c r="JW522" s="1605"/>
      <c r="JX522" s="1605"/>
      <c r="JY522" s="1605"/>
      <c r="JZ522" s="1605"/>
      <c r="KA522" s="1605"/>
      <c r="KB522" s="1606"/>
    </row>
    <row r="523" spans="1:289" ht="15" customHeight="1" x14ac:dyDescent="0.25">
      <c r="B523" s="216" t="str">
        <f t="shared" si="39"/>
        <v>Desk 99</v>
      </c>
      <c r="C523" s="218" t="str">
        <v/>
      </c>
      <c r="D523" s="218" t="str">
        <v/>
      </c>
      <c r="E523" s="218" t="str">
        <v/>
      </c>
      <c r="F523" s="218" t="str">
        <v/>
      </c>
      <c r="G523" s="402" t="str">
        <v/>
      </c>
      <c r="H523" s="1605"/>
      <c r="I523" s="1605"/>
      <c r="J523" s="1605"/>
      <c r="K523" s="1605"/>
      <c r="L523" s="1605"/>
      <c r="M523" s="1605"/>
      <c r="N523" s="1605"/>
      <c r="O523" s="1605"/>
      <c r="P523" s="1605"/>
      <c r="Q523" s="1605"/>
      <c r="R523" s="1605"/>
      <c r="S523" s="1605"/>
      <c r="T523" s="1605"/>
      <c r="U523" s="1605"/>
      <c r="V523" s="1605"/>
      <c r="W523" s="1605"/>
      <c r="X523" s="1605"/>
      <c r="Y523" s="1605"/>
      <c r="Z523" s="1605"/>
      <c r="AA523" s="1605"/>
      <c r="AB523" s="1605"/>
      <c r="AC523" s="1605"/>
      <c r="AD523" s="1605"/>
      <c r="AE523" s="1605"/>
      <c r="AF523" s="1605"/>
      <c r="AG523" s="1605"/>
      <c r="AH523" s="1605"/>
      <c r="AI523" s="1605"/>
      <c r="AJ523" s="1605"/>
      <c r="AK523" s="1605"/>
      <c r="AL523" s="1605"/>
      <c r="AM523" s="1605"/>
      <c r="AN523" s="1605"/>
      <c r="AO523" s="1605"/>
      <c r="AP523" s="1605"/>
      <c r="AQ523" s="1605"/>
      <c r="AR523" s="1605"/>
      <c r="AS523" s="1605"/>
      <c r="AT523" s="1605"/>
      <c r="AU523" s="1605"/>
      <c r="AV523" s="1605"/>
      <c r="AW523" s="1605"/>
      <c r="AX523" s="1605"/>
      <c r="AY523" s="1605"/>
      <c r="AZ523" s="1605"/>
      <c r="BA523" s="1605"/>
      <c r="BB523" s="1605"/>
      <c r="BC523" s="1605"/>
      <c r="BD523" s="1605"/>
      <c r="BE523" s="1605"/>
      <c r="BF523" s="1605"/>
      <c r="BG523" s="1605"/>
      <c r="BH523" s="1605"/>
      <c r="BI523" s="1605"/>
      <c r="BJ523" s="1605"/>
      <c r="BK523" s="1605"/>
      <c r="BL523" s="1605"/>
      <c r="BM523" s="1605"/>
      <c r="BN523" s="1605"/>
      <c r="BO523" s="1605"/>
      <c r="BP523" s="1605"/>
      <c r="BQ523" s="1605"/>
      <c r="BR523" s="1605"/>
      <c r="BS523" s="1605"/>
      <c r="BT523" s="1605"/>
      <c r="BU523" s="1605"/>
      <c r="BV523" s="1605"/>
      <c r="BW523" s="1605"/>
      <c r="BX523" s="1605"/>
      <c r="BY523" s="1605"/>
      <c r="BZ523" s="1605"/>
      <c r="CA523" s="1605"/>
      <c r="CB523" s="1605"/>
      <c r="CC523" s="1605"/>
      <c r="CD523" s="1605"/>
      <c r="CE523" s="1605"/>
      <c r="CF523" s="1605"/>
      <c r="CG523" s="1605"/>
      <c r="CH523" s="1605"/>
      <c r="CI523" s="1605"/>
      <c r="CJ523" s="1605"/>
      <c r="CK523" s="1605"/>
      <c r="CL523" s="1605"/>
      <c r="CM523" s="1605"/>
      <c r="CN523" s="1605"/>
      <c r="CO523" s="1605"/>
      <c r="CP523" s="1605"/>
      <c r="CQ523" s="1605"/>
      <c r="CR523" s="1605"/>
      <c r="CS523" s="1605"/>
      <c r="CT523" s="1605"/>
      <c r="CU523" s="1605"/>
      <c r="CV523" s="1605"/>
      <c r="CW523" s="1605"/>
      <c r="CX523" s="1605"/>
      <c r="CY523" s="1605"/>
      <c r="CZ523" s="1605"/>
      <c r="DA523" s="1605"/>
      <c r="DB523" s="1605"/>
      <c r="DC523" s="1605"/>
      <c r="DD523" s="1605"/>
      <c r="DE523" s="1605"/>
      <c r="DF523" s="1605"/>
      <c r="DG523" s="1605"/>
      <c r="DH523" s="1605"/>
      <c r="DI523" s="1605"/>
      <c r="DJ523" s="1605"/>
      <c r="DK523" s="1605"/>
      <c r="DL523" s="1605"/>
      <c r="DM523" s="1605"/>
      <c r="DN523" s="1605"/>
      <c r="DO523" s="1605"/>
      <c r="DP523" s="1605"/>
      <c r="DQ523" s="1605"/>
      <c r="DR523" s="1605"/>
      <c r="DS523" s="1605"/>
      <c r="DT523" s="1605"/>
      <c r="DU523" s="1605"/>
      <c r="DV523" s="1605"/>
      <c r="DW523" s="1605"/>
      <c r="DX523" s="1605"/>
      <c r="DY523" s="1605"/>
      <c r="DZ523" s="1605"/>
      <c r="EA523" s="1605"/>
      <c r="EB523" s="1605"/>
      <c r="EC523" s="1605"/>
      <c r="ED523" s="1605"/>
      <c r="EE523" s="1605"/>
      <c r="EF523" s="1605"/>
      <c r="EG523" s="1605"/>
      <c r="EH523" s="1605"/>
      <c r="EI523" s="1605"/>
      <c r="EJ523" s="1605"/>
      <c r="EK523" s="1605"/>
      <c r="EL523" s="1605"/>
      <c r="EM523" s="1605"/>
      <c r="EN523" s="1605"/>
      <c r="EO523" s="1605"/>
      <c r="EP523" s="1605"/>
      <c r="EQ523" s="1605"/>
      <c r="ER523" s="1605"/>
      <c r="ES523" s="1605"/>
      <c r="ET523" s="1605"/>
      <c r="EU523" s="1605"/>
      <c r="EV523" s="1605"/>
      <c r="EW523" s="1605"/>
      <c r="EX523" s="1605"/>
      <c r="EY523" s="1605"/>
      <c r="EZ523" s="1605"/>
      <c r="FA523" s="1605"/>
      <c r="FB523" s="1605"/>
      <c r="FC523" s="1605"/>
      <c r="FD523" s="1605"/>
      <c r="FE523" s="1605"/>
      <c r="FF523" s="1605"/>
      <c r="FG523" s="1605"/>
      <c r="FH523" s="1605"/>
      <c r="FI523" s="1605"/>
      <c r="FJ523" s="1605"/>
      <c r="FK523" s="1605"/>
      <c r="FL523" s="1605"/>
      <c r="FM523" s="1605"/>
      <c r="FN523" s="1605"/>
      <c r="FO523" s="1605"/>
      <c r="FP523" s="1605"/>
      <c r="FQ523" s="1605"/>
      <c r="FR523" s="1605"/>
      <c r="FS523" s="1605"/>
      <c r="FT523" s="1605"/>
      <c r="FU523" s="1605"/>
      <c r="FV523" s="1605"/>
      <c r="FW523" s="1605"/>
      <c r="FX523" s="1605"/>
      <c r="FY523" s="1605"/>
      <c r="FZ523" s="1605"/>
      <c r="GA523" s="1605"/>
      <c r="GB523" s="1605"/>
      <c r="GC523" s="1605"/>
      <c r="GD523" s="1605"/>
      <c r="GE523" s="1605"/>
      <c r="GF523" s="1605"/>
      <c r="GG523" s="1605"/>
      <c r="GH523" s="1605"/>
      <c r="GI523" s="1605"/>
      <c r="GJ523" s="1605"/>
      <c r="GK523" s="1605"/>
      <c r="GL523" s="1605"/>
      <c r="GM523" s="1605"/>
      <c r="GN523" s="1605"/>
      <c r="GO523" s="1605"/>
      <c r="GP523" s="1605"/>
      <c r="GQ523" s="1605"/>
      <c r="GR523" s="1605"/>
      <c r="GS523" s="1605"/>
      <c r="GT523" s="1605"/>
      <c r="GU523" s="1605"/>
      <c r="GV523" s="1605"/>
      <c r="GW523" s="1605"/>
      <c r="GX523" s="1605"/>
      <c r="GY523" s="1605"/>
      <c r="GZ523" s="1605"/>
      <c r="HA523" s="1605"/>
      <c r="HB523" s="1605"/>
      <c r="HC523" s="1605"/>
      <c r="HD523" s="1605"/>
      <c r="HE523" s="1605"/>
      <c r="HF523" s="1605"/>
      <c r="HG523" s="1605"/>
      <c r="HH523" s="1605"/>
      <c r="HI523" s="1605"/>
      <c r="HJ523" s="1605"/>
      <c r="HK523" s="1605"/>
      <c r="HL523" s="1605"/>
      <c r="HM523" s="1605"/>
      <c r="HN523" s="1605"/>
      <c r="HO523" s="1605"/>
      <c r="HP523" s="1605"/>
      <c r="HQ523" s="1605"/>
      <c r="HR523" s="1605"/>
      <c r="HS523" s="1605"/>
      <c r="HT523" s="1605"/>
      <c r="HU523" s="1605"/>
      <c r="HV523" s="1605"/>
      <c r="HW523" s="1605"/>
      <c r="HX523" s="1605"/>
      <c r="HY523" s="1605"/>
      <c r="HZ523" s="1605"/>
      <c r="IA523" s="1605"/>
      <c r="IB523" s="1605"/>
      <c r="IC523" s="1605"/>
      <c r="ID523" s="1605"/>
      <c r="IE523" s="1605"/>
      <c r="IF523" s="1605"/>
      <c r="IG523" s="1605"/>
      <c r="IH523" s="1605"/>
      <c r="II523" s="1605"/>
      <c r="IJ523" s="1605"/>
      <c r="IK523" s="1605"/>
      <c r="IL523" s="1605"/>
      <c r="IM523" s="1605"/>
      <c r="IN523" s="1605"/>
      <c r="IO523" s="1605"/>
      <c r="IP523" s="1605"/>
      <c r="IQ523" s="1605"/>
      <c r="IR523" s="1605"/>
      <c r="IS523" s="1605"/>
      <c r="IT523" s="1605"/>
      <c r="IU523" s="1605"/>
      <c r="IV523" s="1605"/>
      <c r="IW523" s="1605"/>
      <c r="IX523" s="1605"/>
      <c r="IY523" s="1605"/>
      <c r="IZ523" s="1605"/>
      <c r="JA523" s="1605"/>
      <c r="JB523" s="1605"/>
      <c r="JC523" s="1605"/>
      <c r="JD523" s="1605"/>
      <c r="JE523" s="1605"/>
      <c r="JF523" s="1605"/>
      <c r="JG523" s="1605"/>
      <c r="JH523" s="1605"/>
      <c r="JI523" s="1605"/>
      <c r="JJ523" s="1605"/>
      <c r="JK523" s="1605"/>
      <c r="JL523" s="1605"/>
      <c r="JM523" s="1605"/>
      <c r="JN523" s="1605"/>
      <c r="JO523" s="1605"/>
      <c r="JP523" s="1605"/>
      <c r="JQ523" s="1605"/>
      <c r="JR523" s="1605"/>
      <c r="JS523" s="1605"/>
      <c r="JT523" s="1605"/>
      <c r="JU523" s="1605"/>
      <c r="JV523" s="1605"/>
      <c r="JW523" s="1605"/>
      <c r="JX523" s="1605"/>
      <c r="JY523" s="1605"/>
      <c r="JZ523" s="1605"/>
      <c r="KA523" s="1605"/>
      <c r="KB523" s="1606"/>
    </row>
    <row r="524" spans="1:289" ht="15" customHeight="1" x14ac:dyDescent="0.25">
      <c r="B524" s="217" t="str">
        <f t="shared" si="39"/>
        <v>Desk 100</v>
      </c>
      <c r="C524" s="220" t="str">
        <v/>
      </c>
      <c r="D524" s="220" t="str">
        <v/>
      </c>
      <c r="E524" s="220" t="str">
        <v/>
      </c>
      <c r="F524" s="220" t="str">
        <v/>
      </c>
      <c r="G524" s="402" t="str">
        <v/>
      </c>
      <c r="H524" s="1607"/>
      <c r="I524" s="1607"/>
      <c r="J524" s="1607"/>
      <c r="K524" s="1607"/>
      <c r="L524" s="1607"/>
      <c r="M524" s="1607"/>
      <c r="N524" s="1607"/>
      <c r="O524" s="1607"/>
      <c r="P524" s="1607"/>
      <c r="Q524" s="1607"/>
      <c r="R524" s="1607"/>
      <c r="S524" s="1607"/>
      <c r="T524" s="1607"/>
      <c r="U524" s="1607"/>
      <c r="V524" s="1607"/>
      <c r="W524" s="1607"/>
      <c r="X524" s="1607"/>
      <c r="Y524" s="1607"/>
      <c r="Z524" s="1607"/>
      <c r="AA524" s="1607"/>
      <c r="AB524" s="1607"/>
      <c r="AC524" s="1607"/>
      <c r="AD524" s="1607"/>
      <c r="AE524" s="1607"/>
      <c r="AF524" s="1607"/>
      <c r="AG524" s="1607"/>
      <c r="AH524" s="1607"/>
      <c r="AI524" s="1607"/>
      <c r="AJ524" s="1607"/>
      <c r="AK524" s="1607"/>
      <c r="AL524" s="1607"/>
      <c r="AM524" s="1607"/>
      <c r="AN524" s="1607"/>
      <c r="AO524" s="1607"/>
      <c r="AP524" s="1607"/>
      <c r="AQ524" s="1607"/>
      <c r="AR524" s="1607"/>
      <c r="AS524" s="1607"/>
      <c r="AT524" s="1607"/>
      <c r="AU524" s="1607"/>
      <c r="AV524" s="1607"/>
      <c r="AW524" s="1607"/>
      <c r="AX524" s="1607"/>
      <c r="AY524" s="1607"/>
      <c r="AZ524" s="1607"/>
      <c r="BA524" s="1607"/>
      <c r="BB524" s="1607"/>
      <c r="BC524" s="1607"/>
      <c r="BD524" s="1607"/>
      <c r="BE524" s="1607"/>
      <c r="BF524" s="1607"/>
      <c r="BG524" s="1607"/>
      <c r="BH524" s="1607"/>
      <c r="BI524" s="1607"/>
      <c r="BJ524" s="1607"/>
      <c r="BK524" s="1607"/>
      <c r="BL524" s="1607"/>
      <c r="BM524" s="1607"/>
      <c r="BN524" s="1607"/>
      <c r="BO524" s="1607"/>
      <c r="BP524" s="1607"/>
      <c r="BQ524" s="1607"/>
      <c r="BR524" s="1607"/>
      <c r="BS524" s="1607"/>
      <c r="BT524" s="1607"/>
      <c r="BU524" s="1607"/>
      <c r="BV524" s="1607"/>
      <c r="BW524" s="1607"/>
      <c r="BX524" s="1607"/>
      <c r="BY524" s="1607"/>
      <c r="BZ524" s="1607"/>
      <c r="CA524" s="1607"/>
      <c r="CB524" s="1607"/>
      <c r="CC524" s="1607"/>
      <c r="CD524" s="1607"/>
      <c r="CE524" s="1607"/>
      <c r="CF524" s="1607"/>
      <c r="CG524" s="1607"/>
      <c r="CH524" s="1607"/>
      <c r="CI524" s="1607"/>
      <c r="CJ524" s="1607"/>
      <c r="CK524" s="1607"/>
      <c r="CL524" s="1607"/>
      <c r="CM524" s="1607"/>
      <c r="CN524" s="1607"/>
      <c r="CO524" s="1607"/>
      <c r="CP524" s="1607"/>
      <c r="CQ524" s="1607"/>
      <c r="CR524" s="1607"/>
      <c r="CS524" s="1607"/>
      <c r="CT524" s="1607"/>
      <c r="CU524" s="1607"/>
      <c r="CV524" s="1607"/>
      <c r="CW524" s="1607"/>
      <c r="CX524" s="1607"/>
      <c r="CY524" s="1607"/>
      <c r="CZ524" s="1607"/>
      <c r="DA524" s="1607"/>
      <c r="DB524" s="1607"/>
      <c r="DC524" s="1607"/>
      <c r="DD524" s="1607"/>
      <c r="DE524" s="1607"/>
      <c r="DF524" s="1607"/>
      <c r="DG524" s="1607"/>
      <c r="DH524" s="1607"/>
      <c r="DI524" s="1607"/>
      <c r="DJ524" s="1607"/>
      <c r="DK524" s="1607"/>
      <c r="DL524" s="1607"/>
      <c r="DM524" s="1607"/>
      <c r="DN524" s="1607"/>
      <c r="DO524" s="1607"/>
      <c r="DP524" s="1607"/>
      <c r="DQ524" s="1607"/>
      <c r="DR524" s="1607"/>
      <c r="DS524" s="1607"/>
      <c r="DT524" s="1607"/>
      <c r="DU524" s="1607"/>
      <c r="DV524" s="1607"/>
      <c r="DW524" s="1607"/>
      <c r="DX524" s="1607"/>
      <c r="DY524" s="1607"/>
      <c r="DZ524" s="1607"/>
      <c r="EA524" s="1607"/>
      <c r="EB524" s="1607"/>
      <c r="EC524" s="1607"/>
      <c r="ED524" s="1607"/>
      <c r="EE524" s="1607"/>
      <c r="EF524" s="1607"/>
      <c r="EG524" s="1607"/>
      <c r="EH524" s="1607"/>
      <c r="EI524" s="1607"/>
      <c r="EJ524" s="1607"/>
      <c r="EK524" s="1607"/>
      <c r="EL524" s="1607"/>
      <c r="EM524" s="1607"/>
      <c r="EN524" s="1607"/>
      <c r="EO524" s="1607"/>
      <c r="EP524" s="1607"/>
      <c r="EQ524" s="1607"/>
      <c r="ER524" s="1607"/>
      <c r="ES524" s="1607"/>
      <c r="ET524" s="1607"/>
      <c r="EU524" s="1607"/>
      <c r="EV524" s="1607"/>
      <c r="EW524" s="1607"/>
      <c r="EX524" s="1607"/>
      <c r="EY524" s="1607"/>
      <c r="EZ524" s="1607"/>
      <c r="FA524" s="1607"/>
      <c r="FB524" s="1607"/>
      <c r="FC524" s="1607"/>
      <c r="FD524" s="1607"/>
      <c r="FE524" s="1607"/>
      <c r="FF524" s="1607"/>
      <c r="FG524" s="1607"/>
      <c r="FH524" s="1607"/>
      <c r="FI524" s="1607"/>
      <c r="FJ524" s="1607"/>
      <c r="FK524" s="1607"/>
      <c r="FL524" s="1607"/>
      <c r="FM524" s="1607"/>
      <c r="FN524" s="1607"/>
      <c r="FO524" s="1607"/>
      <c r="FP524" s="1607"/>
      <c r="FQ524" s="1607"/>
      <c r="FR524" s="1607"/>
      <c r="FS524" s="1607"/>
      <c r="FT524" s="1607"/>
      <c r="FU524" s="1607"/>
      <c r="FV524" s="1607"/>
      <c r="FW524" s="1607"/>
      <c r="FX524" s="1607"/>
      <c r="FY524" s="1607"/>
      <c r="FZ524" s="1607"/>
      <c r="GA524" s="1607"/>
      <c r="GB524" s="1607"/>
      <c r="GC524" s="1607"/>
      <c r="GD524" s="1607"/>
      <c r="GE524" s="1607"/>
      <c r="GF524" s="1607"/>
      <c r="GG524" s="1607"/>
      <c r="GH524" s="1607"/>
      <c r="GI524" s="1607"/>
      <c r="GJ524" s="1607"/>
      <c r="GK524" s="1607"/>
      <c r="GL524" s="1607"/>
      <c r="GM524" s="1607"/>
      <c r="GN524" s="1607"/>
      <c r="GO524" s="1607"/>
      <c r="GP524" s="1607"/>
      <c r="GQ524" s="1607"/>
      <c r="GR524" s="1607"/>
      <c r="GS524" s="1607"/>
      <c r="GT524" s="1607"/>
      <c r="GU524" s="1607"/>
      <c r="GV524" s="1607"/>
      <c r="GW524" s="1607"/>
      <c r="GX524" s="1607"/>
      <c r="GY524" s="1607"/>
      <c r="GZ524" s="1607"/>
      <c r="HA524" s="1607"/>
      <c r="HB524" s="1607"/>
      <c r="HC524" s="1607"/>
      <c r="HD524" s="1607"/>
      <c r="HE524" s="1607"/>
      <c r="HF524" s="1607"/>
      <c r="HG524" s="1607"/>
      <c r="HH524" s="1607"/>
      <c r="HI524" s="1607"/>
      <c r="HJ524" s="1607"/>
      <c r="HK524" s="1607"/>
      <c r="HL524" s="1607"/>
      <c r="HM524" s="1607"/>
      <c r="HN524" s="1607"/>
      <c r="HO524" s="1607"/>
      <c r="HP524" s="1607"/>
      <c r="HQ524" s="1607"/>
      <c r="HR524" s="1607"/>
      <c r="HS524" s="1607"/>
      <c r="HT524" s="1607"/>
      <c r="HU524" s="1607"/>
      <c r="HV524" s="1607"/>
      <c r="HW524" s="1607"/>
      <c r="HX524" s="1607"/>
      <c r="HY524" s="1607"/>
      <c r="HZ524" s="1607"/>
      <c r="IA524" s="1607"/>
      <c r="IB524" s="1607"/>
      <c r="IC524" s="1607"/>
      <c r="ID524" s="1607"/>
      <c r="IE524" s="1607"/>
      <c r="IF524" s="1607"/>
      <c r="IG524" s="1607"/>
      <c r="IH524" s="1607"/>
      <c r="II524" s="1607"/>
      <c r="IJ524" s="1607"/>
      <c r="IK524" s="1607"/>
      <c r="IL524" s="1607"/>
      <c r="IM524" s="1607"/>
      <c r="IN524" s="1607"/>
      <c r="IO524" s="1607"/>
      <c r="IP524" s="1607"/>
      <c r="IQ524" s="1607"/>
      <c r="IR524" s="1607"/>
      <c r="IS524" s="1607"/>
      <c r="IT524" s="1607"/>
      <c r="IU524" s="1607"/>
      <c r="IV524" s="1607"/>
      <c r="IW524" s="1607"/>
      <c r="IX524" s="1607"/>
      <c r="IY524" s="1607"/>
      <c r="IZ524" s="1607"/>
      <c r="JA524" s="1607"/>
      <c r="JB524" s="1607"/>
      <c r="JC524" s="1607"/>
      <c r="JD524" s="1607"/>
      <c r="JE524" s="1607"/>
      <c r="JF524" s="1607"/>
      <c r="JG524" s="1607"/>
      <c r="JH524" s="1607"/>
      <c r="JI524" s="1607"/>
      <c r="JJ524" s="1607"/>
      <c r="JK524" s="1607"/>
      <c r="JL524" s="1607"/>
      <c r="JM524" s="1607"/>
      <c r="JN524" s="1607"/>
      <c r="JO524" s="1607"/>
      <c r="JP524" s="1607"/>
      <c r="JQ524" s="1607"/>
      <c r="JR524" s="1607"/>
      <c r="JS524" s="1607"/>
      <c r="JT524" s="1607"/>
      <c r="JU524" s="1607"/>
      <c r="JV524" s="1607"/>
      <c r="JW524" s="1607"/>
      <c r="JX524" s="1607"/>
      <c r="JY524" s="1607"/>
      <c r="JZ524" s="1607"/>
      <c r="KA524" s="1607"/>
      <c r="KB524" s="1608"/>
    </row>
    <row r="525" spans="1:289" ht="15" customHeight="1" x14ac:dyDescent="0.25">
      <c r="B525" s="449" t="s">
        <v>406</v>
      </c>
      <c r="C525" s="1609"/>
      <c r="D525" s="1609"/>
      <c r="E525" s="1609"/>
      <c r="F525" s="1609"/>
      <c r="G525" s="1609"/>
      <c r="H525" s="1610"/>
      <c r="I525" s="1610"/>
      <c r="J525" s="1610"/>
      <c r="K525" s="1610"/>
      <c r="L525" s="1610"/>
      <c r="M525" s="1610"/>
      <c r="N525" s="1610"/>
      <c r="O525" s="1610"/>
      <c r="P525" s="1610"/>
      <c r="Q525" s="1610"/>
      <c r="R525" s="1610"/>
      <c r="S525" s="1610"/>
      <c r="T525" s="1610"/>
      <c r="U525" s="1610"/>
      <c r="V525" s="1610"/>
      <c r="W525" s="1610"/>
      <c r="X525" s="1610"/>
      <c r="Y525" s="1610"/>
      <c r="Z525" s="1610"/>
      <c r="AA525" s="1610"/>
      <c r="AB525" s="1610"/>
      <c r="AC525" s="1610"/>
      <c r="AD525" s="1610"/>
      <c r="AE525" s="1610"/>
      <c r="AF525" s="1610"/>
      <c r="AG525" s="1610"/>
      <c r="AH525" s="1610"/>
      <c r="AI525" s="1610"/>
      <c r="AJ525" s="1610"/>
      <c r="AK525" s="1610"/>
      <c r="AL525" s="1610"/>
      <c r="AM525" s="1610"/>
      <c r="AN525" s="1610"/>
      <c r="AO525" s="1610"/>
      <c r="AP525" s="1610"/>
      <c r="AQ525" s="1610"/>
      <c r="AR525" s="1610"/>
      <c r="AS525" s="1610"/>
      <c r="AT525" s="1610"/>
      <c r="AU525" s="1610"/>
      <c r="AV525" s="1610"/>
      <c r="AW525" s="1610"/>
      <c r="AX525" s="1610"/>
      <c r="AY525" s="1610"/>
      <c r="AZ525" s="1610"/>
      <c r="BA525" s="1610"/>
      <c r="BB525" s="1610"/>
      <c r="BC525" s="1610"/>
      <c r="BD525" s="1610"/>
      <c r="BE525" s="1610"/>
      <c r="BF525" s="1610"/>
      <c r="BG525" s="1610"/>
      <c r="BH525" s="1610"/>
      <c r="BI525" s="1610"/>
      <c r="BJ525" s="1610"/>
      <c r="BK525" s="1610"/>
      <c r="BL525" s="1610"/>
      <c r="BM525" s="1610"/>
      <c r="BN525" s="1610"/>
      <c r="BO525" s="1610"/>
      <c r="BP525" s="1610"/>
      <c r="BQ525" s="1610"/>
      <c r="BR525" s="1610"/>
      <c r="BS525" s="1610"/>
      <c r="BT525" s="1610"/>
      <c r="BU525" s="1610"/>
      <c r="BV525" s="1610"/>
      <c r="BW525" s="1610"/>
      <c r="BX525" s="1610"/>
      <c r="BY525" s="1610"/>
      <c r="BZ525" s="1610"/>
      <c r="CA525" s="1610"/>
      <c r="CB525" s="1610"/>
      <c r="CC525" s="1610"/>
      <c r="CD525" s="1610"/>
      <c r="CE525" s="1610"/>
      <c r="CF525" s="1610"/>
      <c r="CG525" s="1610"/>
      <c r="CH525" s="1610"/>
      <c r="CI525" s="1610"/>
      <c r="CJ525" s="1610"/>
      <c r="CK525" s="1610"/>
      <c r="CL525" s="1610"/>
      <c r="CM525" s="1610"/>
      <c r="CN525" s="1610"/>
      <c r="CO525" s="1610"/>
      <c r="CP525" s="1610"/>
      <c r="CQ525" s="1610"/>
      <c r="CR525" s="1610"/>
      <c r="CS525" s="1610"/>
      <c r="CT525" s="1610"/>
      <c r="CU525" s="1610"/>
      <c r="CV525" s="1610"/>
      <c r="CW525" s="1610"/>
      <c r="CX525" s="1610"/>
      <c r="CY525" s="1610"/>
      <c r="CZ525" s="1610"/>
      <c r="DA525" s="1610"/>
      <c r="DB525" s="1610"/>
      <c r="DC525" s="1610"/>
      <c r="DD525" s="1610"/>
      <c r="DE525" s="1610"/>
      <c r="DF525" s="1610"/>
      <c r="DG525" s="1610"/>
      <c r="DH525" s="1610"/>
      <c r="DI525" s="1610"/>
      <c r="DJ525" s="1610"/>
      <c r="DK525" s="1610"/>
      <c r="DL525" s="1610"/>
      <c r="DM525" s="1610"/>
      <c r="DN525" s="1610"/>
      <c r="DO525" s="1610"/>
      <c r="DP525" s="1610"/>
      <c r="DQ525" s="1610"/>
      <c r="DR525" s="1610"/>
      <c r="DS525" s="1610"/>
      <c r="DT525" s="1610"/>
      <c r="DU525" s="1610"/>
      <c r="DV525" s="1610"/>
      <c r="DW525" s="1610"/>
      <c r="DX525" s="1610"/>
      <c r="DY525" s="1610"/>
      <c r="DZ525" s="1610"/>
      <c r="EA525" s="1610"/>
      <c r="EB525" s="1610"/>
      <c r="EC525" s="1610"/>
      <c r="ED525" s="1610"/>
      <c r="EE525" s="1610"/>
      <c r="EF525" s="1610"/>
      <c r="EG525" s="1610"/>
      <c r="EH525" s="1610"/>
      <c r="EI525" s="1610"/>
      <c r="EJ525" s="1610"/>
      <c r="EK525" s="1610"/>
      <c r="EL525" s="1610"/>
      <c r="EM525" s="1610"/>
      <c r="EN525" s="1610"/>
      <c r="EO525" s="1610"/>
      <c r="EP525" s="1610"/>
      <c r="EQ525" s="1610"/>
      <c r="ER525" s="1610"/>
      <c r="ES525" s="1610"/>
      <c r="ET525" s="1610"/>
      <c r="EU525" s="1610"/>
      <c r="EV525" s="1610"/>
      <c r="EW525" s="1610"/>
      <c r="EX525" s="1610"/>
      <c r="EY525" s="1610"/>
      <c r="EZ525" s="1610"/>
      <c r="FA525" s="1610"/>
      <c r="FB525" s="1610"/>
      <c r="FC525" s="1610"/>
      <c r="FD525" s="1610"/>
      <c r="FE525" s="1610"/>
      <c r="FF525" s="1610"/>
      <c r="FG525" s="1610"/>
      <c r="FH525" s="1610"/>
      <c r="FI525" s="1610"/>
      <c r="FJ525" s="1610"/>
      <c r="FK525" s="1610"/>
      <c r="FL525" s="1610"/>
      <c r="FM525" s="1610"/>
      <c r="FN525" s="1610"/>
      <c r="FO525" s="1610"/>
      <c r="FP525" s="1610"/>
      <c r="FQ525" s="1610"/>
      <c r="FR525" s="1610"/>
      <c r="FS525" s="1610"/>
      <c r="FT525" s="1610"/>
      <c r="FU525" s="1610"/>
      <c r="FV525" s="1610"/>
      <c r="FW525" s="1610"/>
      <c r="FX525" s="1610"/>
      <c r="FY525" s="1610"/>
      <c r="FZ525" s="1610"/>
      <c r="GA525" s="1610"/>
      <c r="GB525" s="1610"/>
      <c r="GC525" s="1610"/>
      <c r="GD525" s="1610"/>
      <c r="GE525" s="1610"/>
      <c r="GF525" s="1610"/>
      <c r="GG525" s="1610"/>
      <c r="GH525" s="1610"/>
      <c r="GI525" s="1610"/>
      <c r="GJ525" s="1610"/>
      <c r="GK525" s="1610"/>
      <c r="GL525" s="1610"/>
      <c r="GM525" s="1610"/>
      <c r="GN525" s="1610"/>
      <c r="GO525" s="1610"/>
      <c r="GP525" s="1610"/>
      <c r="GQ525" s="1610"/>
      <c r="GR525" s="1610"/>
      <c r="GS525" s="1610"/>
      <c r="GT525" s="1610"/>
      <c r="GU525" s="1610"/>
      <c r="GV525" s="1610"/>
      <c r="GW525" s="1610"/>
      <c r="GX525" s="1610"/>
      <c r="GY525" s="1610"/>
      <c r="GZ525" s="1610"/>
      <c r="HA525" s="1610"/>
      <c r="HB525" s="1610"/>
      <c r="HC525" s="1610"/>
      <c r="HD525" s="1610"/>
      <c r="HE525" s="1610"/>
      <c r="HF525" s="1610"/>
      <c r="HG525" s="1610"/>
      <c r="HH525" s="1610"/>
      <c r="HI525" s="1610"/>
      <c r="HJ525" s="1610"/>
      <c r="HK525" s="1610"/>
      <c r="HL525" s="1610"/>
      <c r="HM525" s="1610"/>
      <c r="HN525" s="1610"/>
      <c r="HO525" s="1610"/>
      <c r="HP525" s="1610"/>
      <c r="HQ525" s="1610"/>
      <c r="HR525" s="1610"/>
      <c r="HS525" s="1610"/>
      <c r="HT525" s="1610"/>
      <c r="HU525" s="1610"/>
      <c r="HV525" s="1610"/>
      <c r="HW525" s="1610"/>
      <c r="HX525" s="1610"/>
      <c r="HY525" s="1610"/>
      <c r="HZ525" s="1610"/>
      <c r="IA525" s="1610"/>
      <c r="IB525" s="1610"/>
      <c r="IC525" s="1610"/>
      <c r="ID525" s="1610"/>
      <c r="IE525" s="1610"/>
      <c r="IF525" s="1610"/>
      <c r="IG525" s="1610"/>
      <c r="IH525" s="1610"/>
      <c r="II525" s="1610"/>
      <c r="IJ525" s="1610"/>
      <c r="IK525" s="1610"/>
      <c r="IL525" s="1610"/>
      <c r="IM525" s="1610"/>
      <c r="IN525" s="1610"/>
      <c r="IO525" s="1610"/>
      <c r="IP525" s="1610"/>
      <c r="IQ525" s="1610"/>
      <c r="IR525" s="1610"/>
      <c r="IS525" s="1610"/>
      <c r="IT525" s="1610"/>
      <c r="IU525" s="1610"/>
      <c r="IV525" s="1610"/>
      <c r="IW525" s="1610"/>
      <c r="IX525" s="1610"/>
      <c r="IY525" s="1610"/>
      <c r="IZ525" s="1610"/>
      <c r="JA525" s="1610"/>
      <c r="JB525" s="1610"/>
      <c r="JC525" s="1610"/>
      <c r="JD525" s="1610"/>
      <c r="JE525" s="1610"/>
      <c r="JF525" s="1610"/>
      <c r="JG525" s="1610"/>
      <c r="JH525" s="1610"/>
      <c r="JI525" s="1610"/>
      <c r="JJ525" s="1610"/>
      <c r="JK525" s="1610"/>
      <c r="JL525" s="1610"/>
      <c r="JM525" s="1610"/>
      <c r="JN525" s="1610"/>
      <c r="JO525" s="1610"/>
      <c r="JP525" s="1610"/>
      <c r="JQ525" s="1610"/>
      <c r="JR525" s="1610"/>
      <c r="JS525" s="1610"/>
      <c r="JT525" s="1610"/>
      <c r="JU525" s="1610"/>
      <c r="JV525" s="1610"/>
      <c r="JW525" s="1610"/>
      <c r="JX525" s="1610"/>
      <c r="JY525" s="1610"/>
      <c r="JZ525" s="1610"/>
      <c r="KA525" s="1610"/>
      <c r="KB525" s="1611"/>
    </row>
    <row r="526" spans="1:289" ht="60" customHeight="1" x14ac:dyDescent="0.25">
      <c r="A526" s="440" t="s">
        <v>2224</v>
      </c>
      <c r="B526" s="104"/>
      <c r="C526" s="104"/>
      <c r="D526" s="143"/>
      <c r="E526" s="143"/>
      <c r="F526" s="143"/>
      <c r="G526" s="143"/>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325"/>
      <c r="AE526" s="325"/>
      <c r="AF526" s="325"/>
      <c r="AG526" s="325"/>
      <c r="AH526" s="325"/>
      <c r="AI526" s="325"/>
      <c r="AJ526" s="325"/>
      <c r="AK526" s="325"/>
      <c r="AL526" s="325"/>
      <c r="AM526" s="325"/>
      <c r="AN526" s="325"/>
      <c r="AO526" s="325"/>
      <c r="AP526" s="325"/>
      <c r="AQ526" s="325"/>
      <c r="AR526" s="325"/>
      <c r="AS526" s="325"/>
      <c r="AT526" s="325"/>
      <c r="AU526" s="325"/>
      <c r="AV526" s="325"/>
      <c r="AW526" s="325"/>
      <c r="AX526" s="325"/>
      <c r="AY526" s="325"/>
      <c r="AZ526" s="325"/>
      <c r="BA526" s="325"/>
      <c r="BB526" s="325"/>
      <c r="BC526" s="325"/>
      <c r="BD526" s="325"/>
      <c r="BE526" s="325"/>
      <c r="BF526" s="325"/>
      <c r="BG526" s="325"/>
      <c r="BH526" s="325"/>
      <c r="BI526" s="325"/>
      <c r="BJ526" s="325"/>
      <c r="BK526" s="325"/>
      <c r="BL526" s="325"/>
      <c r="BM526" s="325"/>
      <c r="BN526" s="325"/>
      <c r="BO526" s="325"/>
      <c r="BP526" s="325"/>
      <c r="BQ526" s="325"/>
      <c r="BR526" s="325"/>
      <c r="BS526" s="325"/>
      <c r="BT526" s="325"/>
      <c r="BU526" s="325"/>
      <c r="BV526" s="325"/>
      <c r="BW526" s="325"/>
      <c r="BX526" s="325"/>
      <c r="BY526" s="325"/>
      <c r="BZ526" s="325"/>
      <c r="CA526" s="325"/>
      <c r="CB526" s="325"/>
      <c r="CC526" s="325"/>
      <c r="CD526" s="325"/>
      <c r="CE526" s="325"/>
      <c r="CF526" s="325"/>
      <c r="CG526" s="325"/>
      <c r="CH526" s="325"/>
      <c r="CI526" s="325"/>
      <c r="CJ526" s="325"/>
      <c r="CK526" s="325"/>
      <c r="CL526" s="325"/>
      <c r="CM526" s="325"/>
      <c r="CN526" s="325"/>
      <c r="CO526" s="325"/>
      <c r="CP526" s="325"/>
      <c r="CQ526" s="325"/>
      <c r="CR526" s="325"/>
      <c r="CS526" s="325"/>
      <c r="CT526" s="325"/>
      <c r="CU526" s="325"/>
      <c r="CV526" s="325"/>
      <c r="CW526" s="325"/>
      <c r="CX526" s="325"/>
      <c r="CY526" s="325"/>
      <c r="CZ526" s="325"/>
      <c r="DA526" s="325"/>
      <c r="DB526" s="325"/>
      <c r="DC526" s="325"/>
      <c r="DD526" s="325"/>
      <c r="DE526" s="325"/>
      <c r="DF526" s="325"/>
      <c r="DG526" s="325"/>
      <c r="DH526" s="325"/>
      <c r="DI526" s="325"/>
      <c r="DJ526" s="325"/>
      <c r="DK526" s="325"/>
      <c r="DL526" s="325"/>
      <c r="DM526" s="325"/>
      <c r="DN526" s="325"/>
      <c r="DO526" s="325"/>
      <c r="DP526" s="325"/>
      <c r="DQ526" s="325"/>
      <c r="DR526" s="325"/>
      <c r="DS526" s="325"/>
      <c r="DT526" s="325"/>
      <c r="DU526" s="325"/>
      <c r="DV526" s="325"/>
      <c r="DW526" s="325"/>
      <c r="DX526" s="325"/>
      <c r="DY526" s="325"/>
      <c r="DZ526" s="325"/>
      <c r="EA526" s="325"/>
      <c r="EB526" s="325"/>
      <c r="EC526" s="325"/>
      <c r="ED526" s="325"/>
      <c r="EE526" s="325"/>
      <c r="EF526" s="325"/>
      <c r="EG526" s="325"/>
      <c r="EH526" s="325"/>
      <c r="EI526" s="325"/>
      <c r="EJ526" s="325"/>
      <c r="EK526" s="325"/>
      <c r="EL526" s="325"/>
      <c r="EM526" s="325"/>
      <c r="EN526" s="325"/>
      <c r="EO526" s="325"/>
      <c r="EP526" s="325"/>
      <c r="EQ526" s="325"/>
      <c r="ER526" s="325"/>
      <c r="ES526" s="325"/>
      <c r="ET526" s="325"/>
      <c r="EU526" s="325"/>
      <c r="EV526" s="325"/>
      <c r="EW526" s="325"/>
      <c r="EX526" s="325"/>
      <c r="EY526" s="325"/>
      <c r="EZ526" s="325"/>
      <c r="FA526" s="325"/>
      <c r="FB526" s="325"/>
      <c r="FC526" s="325"/>
      <c r="FD526" s="325"/>
      <c r="FE526" s="325"/>
      <c r="FF526" s="325"/>
      <c r="FG526" s="325"/>
      <c r="FH526" s="325"/>
      <c r="FI526" s="325"/>
      <c r="FJ526" s="325"/>
      <c r="FK526" s="325"/>
      <c r="FL526" s="325"/>
      <c r="FM526" s="325"/>
      <c r="FN526" s="325"/>
      <c r="FO526" s="325"/>
      <c r="FP526" s="325"/>
      <c r="FQ526" s="325"/>
      <c r="FR526" s="325"/>
      <c r="FS526" s="325"/>
      <c r="FT526" s="325"/>
      <c r="FU526" s="325"/>
      <c r="FV526" s="325"/>
      <c r="FW526" s="325"/>
      <c r="FX526" s="325"/>
      <c r="FY526" s="325"/>
      <c r="FZ526" s="325"/>
      <c r="GA526" s="325"/>
      <c r="GB526" s="325"/>
      <c r="GC526" s="325"/>
      <c r="GD526" s="325"/>
      <c r="GE526" s="325"/>
      <c r="GF526" s="325"/>
      <c r="GG526" s="325"/>
      <c r="GH526" s="325"/>
      <c r="GI526" s="325"/>
      <c r="GJ526" s="325"/>
      <c r="GK526" s="325"/>
      <c r="GL526" s="325"/>
      <c r="GM526" s="325"/>
      <c r="GN526" s="325"/>
      <c r="GO526" s="325"/>
      <c r="GP526" s="325"/>
      <c r="GQ526" s="325"/>
      <c r="GR526" s="325"/>
      <c r="GS526" s="325"/>
      <c r="GT526" s="325"/>
      <c r="GU526" s="325"/>
      <c r="GV526" s="325"/>
      <c r="GW526" s="325"/>
      <c r="GX526" s="325"/>
      <c r="GY526" s="325"/>
      <c r="GZ526" s="325"/>
      <c r="HA526" s="325"/>
      <c r="HB526" s="325"/>
      <c r="HC526" s="325"/>
      <c r="HD526" s="325"/>
      <c r="HE526" s="325"/>
      <c r="HF526" s="325"/>
      <c r="HG526" s="325"/>
      <c r="HH526" s="325"/>
      <c r="HI526" s="325"/>
      <c r="HJ526" s="325"/>
      <c r="HK526" s="325"/>
      <c r="HL526" s="325"/>
      <c r="HM526" s="325"/>
      <c r="HN526" s="325"/>
      <c r="HO526" s="325"/>
      <c r="HP526" s="325"/>
      <c r="HQ526" s="325"/>
      <c r="HR526" s="325"/>
      <c r="HS526" s="325"/>
      <c r="HT526" s="325"/>
      <c r="HU526" s="325"/>
      <c r="HV526" s="325"/>
      <c r="HW526" s="325"/>
      <c r="HX526" s="325"/>
      <c r="HY526" s="325"/>
      <c r="HZ526" s="325"/>
      <c r="IA526" s="325"/>
      <c r="IB526" s="325"/>
      <c r="IC526" s="325"/>
      <c r="ID526" s="325"/>
      <c r="IE526" s="325"/>
      <c r="IF526" s="325"/>
      <c r="IG526" s="325"/>
      <c r="IH526" s="325"/>
      <c r="II526" s="325"/>
      <c r="IJ526" s="325"/>
      <c r="IK526" s="325"/>
      <c r="IL526" s="325"/>
      <c r="IM526" s="325"/>
      <c r="IN526" s="325"/>
      <c r="IO526" s="325"/>
      <c r="IP526" s="325"/>
      <c r="IQ526" s="325"/>
      <c r="IR526" s="325"/>
      <c r="IS526" s="325"/>
      <c r="IT526" s="325"/>
      <c r="IU526" s="325"/>
      <c r="IV526" s="325"/>
      <c r="IW526" s="325"/>
      <c r="IX526" s="325"/>
      <c r="IY526" s="325"/>
      <c r="IZ526" s="325"/>
      <c r="JA526" s="325"/>
      <c r="JB526" s="325"/>
      <c r="JC526" s="325"/>
      <c r="JD526" s="325"/>
      <c r="JE526" s="325"/>
      <c r="JF526" s="325"/>
      <c r="JG526" s="325"/>
      <c r="JH526" s="325"/>
      <c r="JI526" s="325"/>
      <c r="JJ526" s="325"/>
      <c r="JK526" s="325"/>
      <c r="JL526" s="325"/>
      <c r="JM526" s="325"/>
      <c r="JN526" s="325"/>
      <c r="JO526" s="325"/>
      <c r="JP526" s="325"/>
      <c r="JQ526" s="325"/>
      <c r="JR526" s="325"/>
      <c r="JS526" s="325"/>
      <c r="JT526" s="325"/>
      <c r="JU526" s="325"/>
      <c r="JV526" s="325"/>
      <c r="JW526" s="325"/>
      <c r="JX526" s="325"/>
      <c r="JY526" s="325"/>
      <c r="JZ526" s="325"/>
      <c r="KA526" s="325"/>
      <c r="KB526" s="325"/>
      <c r="KC526" s="441"/>
    </row>
    <row r="527" spans="1:289" ht="60" customHeight="1" x14ac:dyDescent="0.25">
      <c r="B527" s="442" t="s">
        <v>305</v>
      </c>
      <c r="C527" s="400" t="s">
        <v>454</v>
      </c>
      <c r="D527" s="443" t="s">
        <v>432</v>
      </c>
      <c r="E527" s="400" t="s">
        <v>433</v>
      </c>
      <c r="F527" s="2018" t="s">
        <v>1192</v>
      </c>
      <c r="G527" s="2018" t="s">
        <v>1526</v>
      </c>
      <c r="H527" s="400" t="s">
        <v>303</v>
      </c>
      <c r="I527" s="400" t="str">
        <f t="shared" ref="I527:BT527" si="40">"T+" &amp; (COLUMN(I527)-COLUMN($H527))</f>
        <v>T+1</v>
      </c>
      <c r="J527" s="400" t="str">
        <f t="shared" si="40"/>
        <v>T+2</v>
      </c>
      <c r="K527" s="400" t="str">
        <f t="shared" si="40"/>
        <v>T+3</v>
      </c>
      <c r="L527" s="400" t="str">
        <f t="shared" si="40"/>
        <v>T+4</v>
      </c>
      <c r="M527" s="400" t="str">
        <f t="shared" si="40"/>
        <v>T+5</v>
      </c>
      <c r="N527" s="400" t="str">
        <f t="shared" si="40"/>
        <v>T+6</v>
      </c>
      <c r="O527" s="400" t="str">
        <f t="shared" si="40"/>
        <v>T+7</v>
      </c>
      <c r="P527" s="400" t="str">
        <f t="shared" si="40"/>
        <v>T+8</v>
      </c>
      <c r="Q527" s="400" t="str">
        <f t="shared" si="40"/>
        <v>T+9</v>
      </c>
      <c r="R527" s="400" t="str">
        <f t="shared" si="40"/>
        <v>T+10</v>
      </c>
      <c r="S527" s="400" t="str">
        <f t="shared" si="40"/>
        <v>T+11</v>
      </c>
      <c r="T527" s="400" t="str">
        <f t="shared" si="40"/>
        <v>T+12</v>
      </c>
      <c r="U527" s="400" t="str">
        <f t="shared" si="40"/>
        <v>T+13</v>
      </c>
      <c r="V527" s="400" t="str">
        <f t="shared" si="40"/>
        <v>T+14</v>
      </c>
      <c r="W527" s="400" t="str">
        <f t="shared" si="40"/>
        <v>T+15</v>
      </c>
      <c r="X527" s="400" t="str">
        <f t="shared" si="40"/>
        <v>T+16</v>
      </c>
      <c r="Y527" s="400" t="str">
        <f t="shared" si="40"/>
        <v>T+17</v>
      </c>
      <c r="Z527" s="400" t="str">
        <f t="shared" si="40"/>
        <v>T+18</v>
      </c>
      <c r="AA527" s="400" t="str">
        <f t="shared" si="40"/>
        <v>T+19</v>
      </c>
      <c r="AB527" s="400" t="str">
        <f t="shared" si="40"/>
        <v>T+20</v>
      </c>
      <c r="AC527" s="400" t="str">
        <f t="shared" si="40"/>
        <v>T+21</v>
      </c>
      <c r="AD527" s="400" t="str">
        <f t="shared" si="40"/>
        <v>T+22</v>
      </c>
      <c r="AE527" s="400" t="str">
        <f t="shared" si="40"/>
        <v>T+23</v>
      </c>
      <c r="AF527" s="400" t="str">
        <f t="shared" si="40"/>
        <v>T+24</v>
      </c>
      <c r="AG527" s="400" t="str">
        <f t="shared" si="40"/>
        <v>T+25</v>
      </c>
      <c r="AH527" s="400" t="str">
        <f t="shared" si="40"/>
        <v>T+26</v>
      </c>
      <c r="AI527" s="400" t="str">
        <f t="shared" si="40"/>
        <v>T+27</v>
      </c>
      <c r="AJ527" s="400" t="str">
        <f t="shared" si="40"/>
        <v>T+28</v>
      </c>
      <c r="AK527" s="400" t="str">
        <f t="shared" si="40"/>
        <v>T+29</v>
      </c>
      <c r="AL527" s="400" t="str">
        <f t="shared" si="40"/>
        <v>T+30</v>
      </c>
      <c r="AM527" s="400" t="str">
        <f t="shared" si="40"/>
        <v>T+31</v>
      </c>
      <c r="AN527" s="400" t="str">
        <f t="shared" si="40"/>
        <v>T+32</v>
      </c>
      <c r="AO527" s="400" t="str">
        <f t="shared" si="40"/>
        <v>T+33</v>
      </c>
      <c r="AP527" s="400" t="str">
        <f t="shared" si="40"/>
        <v>T+34</v>
      </c>
      <c r="AQ527" s="400" t="str">
        <f t="shared" si="40"/>
        <v>T+35</v>
      </c>
      <c r="AR527" s="400" t="str">
        <f t="shared" si="40"/>
        <v>T+36</v>
      </c>
      <c r="AS527" s="400" t="str">
        <f t="shared" si="40"/>
        <v>T+37</v>
      </c>
      <c r="AT527" s="400" t="str">
        <f t="shared" si="40"/>
        <v>T+38</v>
      </c>
      <c r="AU527" s="400" t="str">
        <f t="shared" si="40"/>
        <v>T+39</v>
      </c>
      <c r="AV527" s="400" t="str">
        <f t="shared" si="40"/>
        <v>T+40</v>
      </c>
      <c r="AW527" s="400" t="str">
        <f t="shared" si="40"/>
        <v>T+41</v>
      </c>
      <c r="AX527" s="400" t="str">
        <f t="shared" si="40"/>
        <v>T+42</v>
      </c>
      <c r="AY527" s="400" t="str">
        <f t="shared" si="40"/>
        <v>T+43</v>
      </c>
      <c r="AZ527" s="400" t="str">
        <f t="shared" si="40"/>
        <v>T+44</v>
      </c>
      <c r="BA527" s="400" t="str">
        <f t="shared" si="40"/>
        <v>T+45</v>
      </c>
      <c r="BB527" s="400" t="str">
        <f t="shared" si="40"/>
        <v>T+46</v>
      </c>
      <c r="BC527" s="400" t="str">
        <f t="shared" si="40"/>
        <v>T+47</v>
      </c>
      <c r="BD527" s="400" t="str">
        <f t="shared" si="40"/>
        <v>T+48</v>
      </c>
      <c r="BE527" s="400" t="str">
        <f t="shared" si="40"/>
        <v>T+49</v>
      </c>
      <c r="BF527" s="400" t="str">
        <f t="shared" si="40"/>
        <v>T+50</v>
      </c>
      <c r="BG527" s="400" t="str">
        <f t="shared" si="40"/>
        <v>T+51</v>
      </c>
      <c r="BH527" s="400" t="str">
        <f t="shared" si="40"/>
        <v>T+52</v>
      </c>
      <c r="BI527" s="400" t="str">
        <f t="shared" si="40"/>
        <v>T+53</v>
      </c>
      <c r="BJ527" s="400" t="str">
        <f t="shared" si="40"/>
        <v>T+54</v>
      </c>
      <c r="BK527" s="400" t="str">
        <f t="shared" si="40"/>
        <v>T+55</v>
      </c>
      <c r="BL527" s="400" t="str">
        <f t="shared" si="40"/>
        <v>T+56</v>
      </c>
      <c r="BM527" s="400" t="str">
        <f t="shared" si="40"/>
        <v>T+57</v>
      </c>
      <c r="BN527" s="400" t="str">
        <f t="shared" si="40"/>
        <v>T+58</v>
      </c>
      <c r="BO527" s="400" t="str">
        <f t="shared" si="40"/>
        <v>T+59</v>
      </c>
      <c r="BP527" s="400" t="str">
        <f t="shared" si="40"/>
        <v>T+60</v>
      </c>
      <c r="BQ527" s="400" t="str">
        <f t="shared" si="40"/>
        <v>T+61</v>
      </c>
      <c r="BR527" s="400" t="str">
        <f t="shared" si="40"/>
        <v>T+62</v>
      </c>
      <c r="BS527" s="400" t="str">
        <f t="shared" si="40"/>
        <v>T+63</v>
      </c>
      <c r="BT527" s="400" t="str">
        <f t="shared" si="40"/>
        <v>T+64</v>
      </c>
      <c r="BU527" s="400" t="str">
        <f t="shared" ref="BU527:EF527" si="41">"T+" &amp; (COLUMN(BU527)-COLUMN($H527))</f>
        <v>T+65</v>
      </c>
      <c r="BV527" s="400" t="str">
        <f t="shared" si="41"/>
        <v>T+66</v>
      </c>
      <c r="BW527" s="400" t="str">
        <f t="shared" si="41"/>
        <v>T+67</v>
      </c>
      <c r="BX527" s="400" t="str">
        <f t="shared" si="41"/>
        <v>T+68</v>
      </c>
      <c r="BY527" s="400" t="str">
        <f t="shared" si="41"/>
        <v>T+69</v>
      </c>
      <c r="BZ527" s="400" t="str">
        <f t="shared" si="41"/>
        <v>T+70</v>
      </c>
      <c r="CA527" s="400" t="str">
        <f t="shared" si="41"/>
        <v>T+71</v>
      </c>
      <c r="CB527" s="400" t="str">
        <f t="shared" si="41"/>
        <v>T+72</v>
      </c>
      <c r="CC527" s="400" t="str">
        <f t="shared" si="41"/>
        <v>T+73</v>
      </c>
      <c r="CD527" s="400" t="str">
        <f t="shared" si="41"/>
        <v>T+74</v>
      </c>
      <c r="CE527" s="400" t="str">
        <f t="shared" si="41"/>
        <v>T+75</v>
      </c>
      <c r="CF527" s="400" t="str">
        <f t="shared" si="41"/>
        <v>T+76</v>
      </c>
      <c r="CG527" s="400" t="str">
        <f t="shared" si="41"/>
        <v>T+77</v>
      </c>
      <c r="CH527" s="400" t="str">
        <f t="shared" si="41"/>
        <v>T+78</v>
      </c>
      <c r="CI527" s="400" t="str">
        <f t="shared" si="41"/>
        <v>T+79</v>
      </c>
      <c r="CJ527" s="400" t="str">
        <f t="shared" si="41"/>
        <v>T+80</v>
      </c>
      <c r="CK527" s="400" t="str">
        <f t="shared" si="41"/>
        <v>T+81</v>
      </c>
      <c r="CL527" s="400" t="str">
        <f t="shared" si="41"/>
        <v>T+82</v>
      </c>
      <c r="CM527" s="400" t="str">
        <f t="shared" si="41"/>
        <v>T+83</v>
      </c>
      <c r="CN527" s="400" t="str">
        <f t="shared" si="41"/>
        <v>T+84</v>
      </c>
      <c r="CO527" s="400" t="str">
        <f t="shared" si="41"/>
        <v>T+85</v>
      </c>
      <c r="CP527" s="400" t="str">
        <f t="shared" si="41"/>
        <v>T+86</v>
      </c>
      <c r="CQ527" s="400" t="str">
        <f t="shared" si="41"/>
        <v>T+87</v>
      </c>
      <c r="CR527" s="400" t="str">
        <f t="shared" si="41"/>
        <v>T+88</v>
      </c>
      <c r="CS527" s="400" t="str">
        <f t="shared" si="41"/>
        <v>T+89</v>
      </c>
      <c r="CT527" s="400" t="str">
        <f t="shared" si="41"/>
        <v>T+90</v>
      </c>
      <c r="CU527" s="400" t="str">
        <f t="shared" si="41"/>
        <v>T+91</v>
      </c>
      <c r="CV527" s="400" t="str">
        <f t="shared" si="41"/>
        <v>T+92</v>
      </c>
      <c r="CW527" s="400" t="str">
        <f t="shared" si="41"/>
        <v>T+93</v>
      </c>
      <c r="CX527" s="400" t="str">
        <f t="shared" si="41"/>
        <v>T+94</v>
      </c>
      <c r="CY527" s="400" t="str">
        <f t="shared" si="41"/>
        <v>T+95</v>
      </c>
      <c r="CZ527" s="400" t="str">
        <f t="shared" si="41"/>
        <v>T+96</v>
      </c>
      <c r="DA527" s="400" t="str">
        <f t="shared" si="41"/>
        <v>T+97</v>
      </c>
      <c r="DB527" s="400" t="str">
        <f t="shared" si="41"/>
        <v>T+98</v>
      </c>
      <c r="DC527" s="400" t="str">
        <f t="shared" si="41"/>
        <v>T+99</v>
      </c>
      <c r="DD527" s="400" t="str">
        <f t="shared" si="41"/>
        <v>T+100</v>
      </c>
      <c r="DE527" s="400" t="str">
        <f t="shared" si="41"/>
        <v>T+101</v>
      </c>
      <c r="DF527" s="400" t="str">
        <f t="shared" si="41"/>
        <v>T+102</v>
      </c>
      <c r="DG527" s="400" t="str">
        <f t="shared" si="41"/>
        <v>T+103</v>
      </c>
      <c r="DH527" s="400" t="str">
        <f t="shared" si="41"/>
        <v>T+104</v>
      </c>
      <c r="DI527" s="400" t="str">
        <f t="shared" si="41"/>
        <v>T+105</v>
      </c>
      <c r="DJ527" s="400" t="str">
        <f t="shared" si="41"/>
        <v>T+106</v>
      </c>
      <c r="DK527" s="400" t="str">
        <f t="shared" si="41"/>
        <v>T+107</v>
      </c>
      <c r="DL527" s="400" t="str">
        <f t="shared" si="41"/>
        <v>T+108</v>
      </c>
      <c r="DM527" s="400" t="str">
        <f t="shared" si="41"/>
        <v>T+109</v>
      </c>
      <c r="DN527" s="400" t="str">
        <f t="shared" si="41"/>
        <v>T+110</v>
      </c>
      <c r="DO527" s="400" t="str">
        <f t="shared" si="41"/>
        <v>T+111</v>
      </c>
      <c r="DP527" s="400" t="str">
        <f t="shared" si="41"/>
        <v>T+112</v>
      </c>
      <c r="DQ527" s="400" t="str">
        <f t="shared" si="41"/>
        <v>T+113</v>
      </c>
      <c r="DR527" s="400" t="str">
        <f t="shared" si="41"/>
        <v>T+114</v>
      </c>
      <c r="DS527" s="400" t="str">
        <f t="shared" si="41"/>
        <v>T+115</v>
      </c>
      <c r="DT527" s="400" t="str">
        <f t="shared" si="41"/>
        <v>T+116</v>
      </c>
      <c r="DU527" s="400" t="str">
        <f t="shared" si="41"/>
        <v>T+117</v>
      </c>
      <c r="DV527" s="400" t="str">
        <f t="shared" si="41"/>
        <v>T+118</v>
      </c>
      <c r="DW527" s="400" t="str">
        <f t="shared" si="41"/>
        <v>T+119</v>
      </c>
      <c r="DX527" s="400" t="str">
        <f t="shared" si="41"/>
        <v>T+120</v>
      </c>
      <c r="DY527" s="400" t="str">
        <f t="shared" si="41"/>
        <v>T+121</v>
      </c>
      <c r="DZ527" s="400" t="str">
        <f t="shared" si="41"/>
        <v>T+122</v>
      </c>
      <c r="EA527" s="400" t="str">
        <f t="shared" si="41"/>
        <v>T+123</v>
      </c>
      <c r="EB527" s="400" t="str">
        <f t="shared" si="41"/>
        <v>T+124</v>
      </c>
      <c r="EC527" s="400" t="str">
        <f t="shared" si="41"/>
        <v>T+125</v>
      </c>
      <c r="ED527" s="400" t="str">
        <f t="shared" si="41"/>
        <v>T+126</v>
      </c>
      <c r="EE527" s="400" t="str">
        <f t="shared" si="41"/>
        <v>T+127</v>
      </c>
      <c r="EF527" s="400" t="str">
        <f t="shared" si="41"/>
        <v>T+128</v>
      </c>
      <c r="EG527" s="400" t="str">
        <f t="shared" ref="EG527:GR527" si="42">"T+" &amp; (COLUMN(EG527)-COLUMN($H527))</f>
        <v>T+129</v>
      </c>
      <c r="EH527" s="400" t="str">
        <f t="shared" si="42"/>
        <v>T+130</v>
      </c>
      <c r="EI527" s="400" t="str">
        <f t="shared" si="42"/>
        <v>T+131</v>
      </c>
      <c r="EJ527" s="400" t="str">
        <f t="shared" si="42"/>
        <v>T+132</v>
      </c>
      <c r="EK527" s="400" t="str">
        <f t="shared" si="42"/>
        <v>T+133</v>
      </c>
      <c r="EL527" s="400" t="str">
        <f t="shared" si="42"/>
        <v>T+134</v>
      </c>
      <c r="EM527" s="400" t="str">
        <f t="shared" si="42"/>
        <v>T+135</v>
      </c>
      <c r="EN527" s="400" t="str">
        <f t="shared" si="42"/>
        <v>T+136</v>
      </c>
      <c r="EO527" s="400" t="str">
        <f t="shared" si="42"/>
        <v>T+137</v>
      </c>
      <c r="EP527" s="400" t="str">
        <f t="shared" si="42"/>
        <v>T+138</v>
      </c>
      <c r="EQ527" s="400" t="str">
        <f t="shared" si="42"/>
        <v>T+139</v>
      </c>
      <c r="ER527" s="400" t="str">
        <f t="shared" si="42"/>
        <v>T+140</v>
      </c>
      <c r="ES527" s="400" t="str">
        <f t="shared" si="42"/>
        <v>T+141</v>
      </c>
      <c r="ET527" s="400" t="str">
        <f t="shared" si="42"/>
        <v>T+142</v>
      </c>
      <c r="EU527" s="400" t="str">
        <f t="shared" si="42"/>
        <v>T+143</v>
      </c>
      <c r="EV527" s="400" t="str">
        <f t="shared" si="42"/>
        <v>T+144</v>
      </c>
      <c r="EW527" s="400" t="str">
        <f t="shared" si="42"/>
        <v>T+145</v>
      </c>
      <c r="EX527" s="400" t="str">
        <f t="shared" si="42"/>
        <v>T+146</v>
      </c>
      <c r="EY527" s="400" t="str">
        <f t="shared" si="42"/>
        <v>T+147</v>
      </c>
      <c r="EZ527" s="400" t="str">
        <f t="shared" si="42"/>
        <v>T+148</v>
      </c>
      <c r="FA527" s="400" t="str">
        <f t="shared" si="42"/>
        <v>T+149</v>
      </c>
      <c r="FB527" s="400" t="str">
        <f t="shared" si="42"/>
        <v>T+150</v>
      </c>
      <c r="FC527" s="400" t="str">
        <f t="shared" si="42"/>
        <v>T+151</v>
      </c>
      <c r="FD527" s="400" t="str">
        <f t="shared" si="42"/>
        <v>T+152</v>
      </c>
      <c r="FE527" s="400" t="str">
        <f t="shared" si="42"/>
        <v>T+153</v>
      </c>
      <c r="FF527" s="400" t="str">
        <f t="shared" si="42"/>
        <v>T+154</v>
      </c>
      <c r="FG527" s="400" t="str">
        <f t="shared" si="42"/>
        <v>T+155</v>
      </c>
      <c r="FH527" s="400" t="str">
        <f t="shared" si="42"/>
        <v>T+156</v>
      </c>
      <c r="FI527" s="400" t="str">
        <f t="shared" si="42"/>
        <v>T+157</v>
      </c>
      <c r="FJ527" s="400" t="str">
        <f t="shared" si="42"/>
        <v>T+158</v>
      </c>
      <c r="FK527" s="400" t="str">
        <f t="shared" si="42"/>
        <v>T+159</v>
      </c>
      <c r="FL527" s="400" t="str">
        <f t="shared" si="42"/>
        <v>T+160</v>
      </c>
      <c r="FM527" s="400" t="str">
        <f t="shared" si="42"/>
        <v>T+161</v>
      </c>
      <c r="FN527" s="400" t="str">
        <f t="shared" si="42"/>
        <v>T+162</v>
      </c>
      <c r="FO527" s="400" t="str">
        <f t="shared" si="42"/>
        <v>T+163</v>
      </c>
      <c r="FP527" s="400" t="str">
        <f t="shared" si="42"/>
        <v>T+164</v>
      </c>
      <c r="FQ527" s="400" t="str">
        <f t="shared" si="42"/>
        <v>T+165</v>
      </c>
      <c r="FR527" s="400" t="str">
        <f t="shared" si="42"/>
        <v>T+166</v>
      </c>
      <c r="FS527" s="400" t="str">
        <f t="shared" si="42"/>
        <v>T+167</v>
      </c>
      <c r="FT527" s="400" t="str">
        <f t="shared" si="42"/>
        <v>T+168</v>
      </c>
      <c r="FU527" s="400" t="str">
        <f t="shared" si="42"/>
        <v>T+169</v>
      </c>
      <c r="FV527" s="400" t="str">
        <f t="shared" si="42"/>
        <v>T+170</v>
      </c>
      <c r="FW527" s="400" t="str">
        <f t="shared" si="42"/>
        <v>T+171</v>
      </c>
      <c r="FX527" s="400" t="str">
        <f t="shared" si="42"/>
        <v>T+172</v>
      </c>
      <c r="FY527" s="400" t="str">
        <f t="shared" si="42"/>
        <v>T+173</v>
      </c>
      <c r="FZ527" s="400" t="str">
        <f t="shared" si="42"/>
        <v>T+174</v>
      </c>
      <c r="GA527" s="400" t="str">
        <f t="shared" si="42"/>
        <v>T+175</v>
      </c>
      <c r="GB527" s="400" t="str">
        <f t="shared" si="42"/>
        <v>T+176</v>
      </c>
      <c r="GC527" s="400" t="str">
        <f t="shared" si="42"/>
        <v>T+177</v>
      </c>
      <c r="GD527" s="400" t="str">
        <f t="shared" si="42"/>
        <v>T+178</v>
      </c>
      <c r="GE527" s="400" t="str">
        <f t="shared" si="42"/>
        <v>T+179</v>
      </c>
      <c r="GF527" s="400" t="str">
        <f t="shared" si="42"/>
        <v>T+180</v>
      </c>
      <c r="GG527" s="400" t="str">
        <f t="shared" si="42"/>
        <v>T+181</v>
      </c>
      <c r="GH527" s="400" t="str">
        <f t="shared" si="42"/>
        <v>T+182</v>
      </c>
      <c r="GI527" s="400" t="str">
        <f t="shared" si="42"/>
        <v>T+183</v>
      </c>
      <c r="GJ527" s="400" t="str">
        <f t="shared" si="42"/>
        <v>T+184</v>
      </c>
      <c r="GK527" s="400" t="str">
        <f t="shared" si="42"/>
        <v>T+185</v>
      </c>
      <c r="GL527" s="400" t="str">
        <f t="shared" si="42"/>
        <v>T+186</v>
      </c>
      <c r="GM527" s="400" t="str">
        <f t="shared" si="42"/>
        <v>T+187</v>
      </c>
      <c r="GN527" s="400" t="str">
        <f t="shared" si="42"/>
        <v>T+188</v>
      </c>
      <c r="GO527" s="400" t="str">
        <f t="shared" si="42"/>
        <v>T+189</v>
      </c>
      <c r="GP527" s="400" t="str">
        <f t="shared" si="42"/>
        <v>T+190</v>
      </c>
      <c r="GQ527" s="400" t="str">
        <f t="shared" si="42"/>
        <v>T+191</v>
      </c>
      <c r="GR527" s="400" t="str">
        <f t="shared" si="42"/>
        <v>T+192</v>
      </c>
      <c r="GS527" s="400" t="str">
        <f t="shared" ref="GS527:JD527" si="43">"T+" &amp; (COLUMN(GS527)-COLUMN($H527))</f>
        <v>T+193</v>
      </c>
      <c r="GT527" s="400" t="str">
        <f t="shared" si="43"/>
        <v>T+194</v>
      </c>
      <c r="GU527" s="400" t="str">
        <f t="shared" si="43"/>
        <v>T+195</v>
      </c>
      <c r="GV527" s="400" t="str">
        <f t="shared" si="43"/>
        <v>T+196</v>
      </c>
      <c r="GW527" s="400" t="str">
        <f t="shared" si="43"/>
        <v>T+197</v>
      </c>
      <c r="GX527" s="400" t="str">
        <f t="shared" si="43"/>
        <v>T+198</v>
      </c>
      <c r="GY527" s="400" t="str">
        <f t="shared" si="43"/>
        <v>T+199</v>
      </c>
      <c r="GZ527" s="400" t="str">
        <f t="shared" si="43"/>
        <v>T+200</v>
      </c>
      <c r="HA527" s="400" t="str">
        <f t="shared" si="43"/>
        <v>T+201</v>
      </c>
      <c r="HB527" s="400" t="str">
        <f t="shared" si="43"/>
        <v>T+202</v>
      </c>
      <c r="HC527" s="400" t="str">
        <f t="shared" si="43"/>
        <v>T+203</v>
      </c>
      <c r="HD527" s="400" t="str">
        <f t="shared" si="43"/>
        <v>T+204</v>
      </c>
      <c r="HE527" s="400" t="str">
        <f t="shared" si="43"/>
        <v>T+205</v>
      </c>
      <c r="HF527" s="400" t="str">
        <f t="shared" si="43"/>
        <v>T+206</v>
      </c>
      <c r="HG527" s="400" t="str">
        <f t="shared" si="43"/>
        <v>T+207</v>
      </c>
      <c r="HH527" s="400" t="str">
        <f t="shared" si="43"/>
        <v>T+208</v>
      </c>
      <c r="HI527" s="400" t="str">
        <f t="shared" si="43"/>
        <v>T+209</v>
      </c>
      <c r="HJ527" s="400" t="str">
        <f t="shared" si="43"/>
        <v>T+210</v>
      </c>
      <c r="HK527" s="400" t="str">
        <f t="shared" si="43"/>
        <v>T+211</v>
      </c>
      <c r="HL527" s="400" t="str">
        <f t="shared" si="43"/>
        <v>T+212</v>
      </c>
      <c r="HM527" s="400" t="str">
        <f t="shared" si="43"/>
        <v>T+213</v>
      </c>
      <c r="HN527" s="400" t="str">
        <f t="shared" si="43"/>
        <v>T+214</v>
      </c>
      <c r="HO527" s="400" t="str">
        <f t="shared" si="43"/>
        <v>T+215</v>
      </c>
      <c r="HP527" s="400" t="str">
        <f t="shared" si="43"/>
        <v>T+216</v>
      </c>
      <c r="HQ527" s="400" t="str">
        <f t="shared" si="43"/>
        <v>T+217</v>
      </c>
      <c r="HR527" s="400" t="str">
        <f t="shared" si="43"/>
        <v>T+218</v>
      </c>
      <c r="HS527" s="400" t="str">
        <f t="shared" si="43"/>
        <v>T+219</v>
      </c>
      <c r="HT527" s="400" t="str">
        <f t="shared" si="43"/>
        <v>T+220</v>
      </c>
      <c r="HU527" s="400" t="str">
        <f t="shared" si="43"/>
        <v>T+221</v>
      </c>
      <c r="HV527" s="400" t="str">
        <f t="shared" si="43"/>
        <v>T+222</v>
      </c>
      <c r="HW527" s="400" t="str">
        <f t="shared" si="43"/>
        <v>T+223</v>
      </c>
      <c r="HX527" s="400" t="str">
        <f t="shared" si="43"/>
        <v>T+224</v>
      </c>
      <c r="HY527" s="400" t="str">
        <f t="shared" si="43"/>
        <v>T+225</v>
      </c>
      <c r="HZ527" s="400" t="str">
        <f t="shared" si="43"/>
        <v>T+226</v>
      </c>
      <c r="IA527" s="400" t="str">
        <f t="shared" si="43"/>
        <v>T+227</v>
      </c>
      <c r="IB527" s="400" t="str">
        <f t="shared" si="43"/>
        <v>T+228</v>
      </c>
      <c r="IC527" s="400" t="str">
        <f t="shared" si="43"/>
        <v>T+229</v>
      </c>
      <c r="ID527" s="400" t="str">
        <f t="shared" si="43"/>
        <v>T+230</v>
      </c>
      <c r="IE527" s="400" t="str">
        <f t="shared" si="43"/>
        <v>T+231</v>
      </c>
      <c r="IF527" s="400" t="str">
        <f t="shared" si="43"/>
        <v>T+232</v>
      </c>
      <c r="IG527" s="400" t="str">
        <f t="shared" si="43"/>
        <v>T+233</v>
      </c>
      <c r="IH527" s="400" t="str">
        <f t="shared" si="43"/>
        <v>T+234</v>
      </c>
      <c r="II527" s="400" t="str">
        <f t="shared" si="43"/>
        <v>T+235</v>
      </c>
      <c r="IJ527" s="400" t="str">
        <f t="shared" si="43"/>
        <v>T+236</v>
      </c>
      <c r="IK527" s="400" t="str">
        <f t="shared" si="43"/>
        <v>T+237</v>
      </c>
      <c r="IL527" s="400" t="str">
        <f t="shared" si="43"/>
        <v>T+238</v>
      </c>
      <c r="IM527" s="400" t="str">
        <f t="shared" si="43"/>
        <v>T+239</v>
      </c>
      <c r="IN527" s="400" t="str">
        <f t="shared" si="43"/>
        <v>T+240</v>
      </c>
      <c r="IO527" s="400" t="str">
        <f t="shared" si="43"/>
        <v>T+241</v>
      </c>
      <c r="IP527" s="400" t="str">
        <f t="shared" si="43"/>
        <v>T+242</v>
      </c>
      <c r="IQ527" s="400" t="str">
        <f t="shared" si="43"/>
        <v>T+243</v>
      </c>
      <c r="IR527" s="400" t="str">
        <f t="shared" si="43"/>
        <v>T+244</v>
      </c>
      <c r="IS527" s="400" t="str">
        <f t="shared" si="43"/>
        <v>T+245</v>
      </c>
      <c r="IT527" s="400" t="str">
        <f t="shared" si="43"/>
        <v>T+246</v>
      </c>
      <c r="IU527" s="400" t="str">
        <f t="shared" si="43"/>
        <v>T+247</v>
      </c>
      <c r="IV527" s="400" t="str">
        <f t="shared" si="43"/>
        <v>T+248</v>
      </c>
      <c r="IW527" s="400" t="str">
        <f t="shared" si="43"/>
        <v>T+249</v>
      </c>
      <c r="IX527" s="400" t="str">
        <f t="shared" si="43"/>
        <v>T+250</v>
      </c>
      <c r="IY527" s="400" t="str">
        <f t="shared" si="43"/>
        <v>T+251</v>
      </c>
      <c r="IZ527" s="400" t="str">
        <f t="shared" si="43"/>
        <v>T+252</v>
      </c>
      <c r="JA527" s="400" t="str">
        <f t="shared" si="43"/>
        <v>T+253</v>
      </c>
      <c r="JB527" s="400" t="str">
        <f t="shared" si="43"/>
        <v>T+254</v>
      </c>
      <c r="JC527" s="400" t="str">
        <f t="shared" si="43"/>
        <v>T+255</v>
      </c>
      <c r="JD527" s="400" t="str">
        <f t="shared" si="43"/>
        <v>T+256</v>
      </c>
      <c r="JE527" s="400" t="str">
        <f t="shared" ref="JE527:KB527" si="44">"T+" &amp; (COLUMN(JE527)-COLUMN($H527))</f>
        <v>T+257</v>
      </c>
      <c r="JF527" s="400" t="str">
        <f t="shared" si="44"/>
        <v>T+258</v>
      </c>
      <c r="JG527" s="400" t="str">
        <f t="shared" si="44"/>
        <v>T+259</v>
      </c>
      <c r="JH527" s="400" t="str">
        <f t="shared" si="44"/>
        <v>T+260</v>
      </c>
      <c r="JI527" s="400" t="str">
        <f t="shared" si="44"/>
        <v>T+261</v>
      </c>
      <c r="JJ527" s="400" t="str">
        <f t="shared" si="44"/>
        <v>T+262</v>
      </c>
      <c r="JK527" s="400" t="str">
        <f t="shared" si="44"/>
        <v>T+263</v>
      </c>
      <c r="JL527" s="400" t="str">
        <f t="shared" si="44"/>
        <v>T+264</v>
      </c>
      <c r="JM527" s="400" t="str">
        <f t="shared" si="44"/>
        <v>T+265</v>
      </c>
      <c r="JN527" s="400" t="str">
        <f t="shared" si="44"/>
        <v>T+266</v>
      </c>
      <c r="JO527" s="400" t="str">
        <f t="shared" si="44"/>
        <v>T+267</v>
      </c>
      <c r="JP527" s="400" t="str">
        <f t="shared" si="44"/>
        <v>T+268</v>
      </c>
      <c r="JQ527" s="400" t="str">
        <f t="shared" si="44"/>
        <v>T+269</v>
      </c>
      <c r="JR527" s="400" t="str">
        <f t="shared" si="44"/>
        <v>T+270</v>
      </c>
      <c r="JS527" s="400" t="str">
        <f t="shared" si="44"/>
        <v>T+271</v>
      </c>
      <c r="JT527" s="400" t="str">
        <f t="shared" si="44"/>
        <v>T+272</v>
      </c>
      <c r="JU527" s="400" t="str">
        <f t="shared" si="44"/>
        <v>T+273</v>
      </c>
      <c r="JV527" s="400" t="str">
        <f t="shared" si="44"/>
        <v>T+274</v>
      </c>
      <c r="JW527" s="400" t="str">
        <f t="shared" si="44"/>
        <v>T+275</v>
      </c>
      <c r="JX527" s="400" t="str">
        <f t="shared" si="44"/>
        <v>T+276</v>
      </c>
      <c r="JY527" s="400" t="str">
        <f t="shared" si="44"/>
        <v>T+277</v>
      </c>
      <c r="JZ527" s="400" t="str">
        <f t="shared" si="44"/>
        <v>T+278</v>
      </c>
      <c r="KA527" s="400" t="str">
        <f t="shared" si="44"/>
        <v>T+279</v>
      </c>
      <c r="KB527" s="1585" t="str">
        <f t="shared" si="44"/>
        <v>T+280</v>
      </c>
    </row>
    <row r="528" spans="1:289" ht="15" customHeight="1" x14ac:dyDescent="0.25">
      <c r="B528" s="447" t="str">
        <f>B11</f>
        <v>Desk 1</v>
      </c>
      <c r="C528" s="448" t="str">
        <f t="array" ref="C528:D627" xml:space="preserve"> IF(ISBLANK(TB!C$170:'TB'!D$269), "", TB!C$170:'TB'!D$269)</f>
        <v/>
      </c>
      <c r="D528" s="448" t="str">
        <v/>
      </c>
      <c r="E528" s="448" t="str">
        <f t="array" ref="E528:E627" xml:space="preserve"> IF(ISBLANK(TB!G$170:'TB'!G$269), "", TB!G$170:'TB'!G$269)</f>
        <v/>
      </c>
      <c r="F528" s="448" t="str">
        <f t="array" ref="F528:F627" xml:space="preserve"> IF(ISBLANK(TB!I$170:'TB'!I$269), "", TB!I$170:'TB'!I$269)</f>
        <v/>
      </c>
      <c r="G528" s="402" t="str">
        <f t="array" ref="G528:G627" xml:space="preserve"> IF(ISBLANK(TB!J$170:'TB'!J$269), "", TB!J$170:'TB'!J$269)</f>
        <v/>
      </c>
      <c r="H528" s="1603"/>
      <c r="I528" s="1603"/>
      <c r="J528" s="1603"/>
      <c r="K528" s="1603"/>
      <c r="L528" s="1603"/>
      <c r="M528" s="1603"/>
      <c r="N528" s="1603"/>
      <c r="O528" s="1603"/>
      <c r="P528" s="1603"/>
      <c r="Q528" s="1603"/>
      <c r="R528" s="1603"/>
      <c r="S528" s="1603"/>
      <c r="T528" s="1603"/>
      <c r="U528" s="1603"/>
      <c r="V528" s="1603"/>
      <c r="W528" s="1603"/>
      <c r="X528" s="1603"/>
      <c r="Y528" s="1603"/>
      <c r="Z528" s="1603"/>
      <c r="AA528" s="1603"/>
      <c r="AB528" s="1603"/>
      <c r="AC528" s="1603"/>
      <c r="AD528" s="1603"/>
      <c r="AE528" s="1603"/>
      <c r="AF528" s="1603"/>
      <c r="AG528" s="1603"/>
      <c r="AH528" s="1603"/>
      <c r="AI528" s="1603"/>
      <c r="AJ528" s="1603"/>
      <c r="AK528" s="1603"/>
      <c r="AL528" s="1603"/>
      <c r="AM528" s="1603"/>
      <c r="AN528" s="1603"/>
      <c r="AO528" s="1603"/>
      <c r="AP528" s="1603"/>
      <c r="AQ528" s="1603"/>
      <c r="AR528" s="1603"/>
      <c r="AS528" s="1603"/>
      <c r="AT528" s="1603"/>
      <c r="AU528" s="1603"/>
      <c r="AV528" s="1603"/>
      <c r="AW528" s="1603"/>
      <c r="AX528" s="1603"/>
      <c r="AY528" s="1603"/>
      <c r="AZ528" s="1603"/>
      <c r="BA528" s="1603"/>
      <c r="BB528" s="1603"/>
      <c r="BC528" s="1603"/>
      <c r="BD528" s="1603"/>
      <c r="BE528" s="1603"/>
      <c r="BF528" s="1603"/>
      <c r="BG528" s="1603"/>
      <c r="BH528" s="1603"/>
      <c r="BI528" s="1603"/>
      <c r="BJ528" s="1603"/>
      <c r="BK528" s="1603"/>
      <c r="BL528" s="1603"/>
      <c r="BM528" s="1603"/>
      <c r="BN528" s="1603"/>
      <c r="BO528" s="1603"/>
      <c r="BP528" s="1603"/>
      <c r="BQ528" s="1603"/>
      <c r="BR528" s="1603"/>
      <c r="BS528" s="1603"/>
      <c r="BT528" s="1603"/>
      <c r="BU528" s="1603"/>
      <c r="BV528" s="1603"/>
      <c r="BW528" s="1603"/>
      <c r="BX528" s="1603"/>
      <c r="BY528" s="1603"/>
      <c r="BZ528" s="1603"/>
      <c r="CA528" s="1603"/>
      <c r="CB528" s="1603"/>
      <c r="CC528" s="1603"/>
      <c r="CD528" s="1603"/>
      <c r="CE528" s="1603"/>
      <c r="CF528" s="1603"/>
      <c r="CG528" s="1603"/>
      <c r="CH528" s="1603"/>
      <c r="CI528" s="1603"/>
      <c r="CJ528" s="1603"/>
      <c r="CK528" s="1603"/>
      <c r="CL528" s="1603"/>
      <c r="CM528" s="1603"/>
      <c r="CN528" s="1603"/>
      <c r="CO528" s="1603"/>
      <c r="CP528" s="1603"/>
      <c r="CQ528" s="1603"/>
      <c r="CR528" s="1603"/>
      <c r="CS528" s="1603"/>
      <c r="CT528" s="1603"/>
      <c r="CU528" s="1603"/>
      <c r="CV528" s="1603"/>
      <c r="CW528" s="1603"/>
      <c r="CX528" s="1603"/>
      <c r="CY528" s="1603"/>
      <c r="CZ528" s="1603"/>
      <c r="DA528" s="1603"/>
      <c r="DB528" s="1603"/>
      <c r="DC528" s="1603"/>
      <c r="DD528" s="1603"/>
      <c r="DE528" s="1603"/>
      <c r="DF528" s="1603"/>
      <c r="DG528" s="1603"/>
      <c r="DH528" s="1603"/>
      <c r="DI528" s="1603"/>
      <c r="DJ528" s="1603"/>
      <c r="DK528" s="1603"/>
      <c r="DL528" s="1603"/>
      <c r="DM528" s="1603"/>
      <c r="DN528" s="1603"/>
      <c r="DO528" s="1603"/>
      <c r="DP528" s="1603"/>
      <c r="DQ528" s="1603"/>
      <c r="DR528" s="1603"/>
      <c r="DS528" s="1603"/>
      <c r="DT528" s="1603"/>
      <c r="DU528" s="1603"/>
      <c r="DV528" s="1603"/>
      <c r="DW528" s="1603"/>
      <c r="DX528" s="1603"/>
      <c r="DY528" s="1603"/>
      <c r="DZ528" s="1603"/>
      <c r="EA528" s="1603"/>
      <c r="EB528" s="1603"/>
      <c r="EC528" s="1603"/>
      <c r="ED528" s="1603"/>
      <c r="EE528" s="1603"/>
      <c r="EF528" s="1603"/>
      <c r="EG528" s="1603"/>
      <c r="EH528" s="1603"/>
      <c r="EI528" s="1603"/>
      <c r="EJ528" s="1603"/>
      <c r="EK528" s="1603"/>
      <c r="EL528" s="1603"/>
      <c r="EM528" s="1603"/>
      <c r="EN528" s="1603"/>
      <c r="EO528" s="1603"/>
      <c r="EP528" s="1603"/>
      <c r="EQ528" s="1603"/>
      <c r="ER528" s="1603"/>
      <c r="ES528" s="1603"/>
      <c r="ET528" s="1603"/>
      <c r="EU528" s="1603"/>
      <c r="EV528" s="1603"/>
      <c r="EW528" s="1603"/>
      <c r="EX528" s="1603"/>
      <c r="EY528" s="1603"/>
      <c r="EZ528" s="1603"/>
      <c r="FA528" s="1603"/>
      <c r="FB528" s="1603"/>
      <c r="FC528" s="1603"/>
      <c r="FD528" s="1603"/>
      <c r="FE528" s="1603"/>
      <c r="FF528" s="1603"/>
      <c r="FG528" s="1603"/>
      <c r="FH528" s="1603"/>
      <c r="FI528" s="1603"/>
      <c r="FJ528" s="1603"/>
      <c r="FK528" s="1603"/>
      <c r="FL528" s="1603"/>
      <c r="FM528" s="1603"/>
      <c r="FN528" s="1603"/>
      <c r="FO528" s="1603"/>
      <c r="FP528" s="1603"/>
      <c r="FQ528" s="1603"/>
      <c r="FR528" s="1603"/>
      <c r="FS528" s="1603"/>
      <c r="FT528" s="1603"/>
      <c r="FU528" s="1603"/>
      <c r="FV528" s="1603"/>
      <c r="FW528" s="1603"/>
      <c r="FX528" s="1603"/>
      <c r="FY528" s="1603"/>
      <c r="FZ528" s="1603"/>
      <c r="GA528" s="1603"/>
      <c r="GB528" s="1603"/>
      <c r="GC528" s="1603"/>
      <c r="GD528" s="1603"/>
      <c r="GE528" s="1603"/>
      <c r="GF528" s="1603"/>
      <c r="GG528" s="1603"/>
      <c r="GH528" s="1603"/>
      <c r="GI528" s="1603"/>
      <c r="GJ528" s="1603"/>
      <c r="GK528" s="1603"/>
      <c r="GL528" s="1603"/>
      <c r="GM528" s="1603"/>
      <c r="GN528" s="1603"/>
      <c r="GO528" s="1603"/>
      <c r="GP528" s="1603"/>
      <c r="GQ528" s="1603"/>
      <c r="GR528" s="1603"/>
      <c r="GS528" s="1603"/>
      <c r="GT528" s="1603"/>
      <c r="GU528" s="1603"/>
      <c r="GV528" s="1603"/>
      <c r="GW528" s="1603"/>
      <c r="GX528" s="1603"/>
      <c r="GY528" s="1603"/>
      <c r="GZ528" s="1603"/>
      <c r="HA528" s="1603"/>
      <c r="HB528" s="1603"/>
      <c r="HC528" s="1603"/>
      <c r="HD528" s="1603"/>
      <c r="HE528" s="1603"/>
      <c r="HF528" s="1603"/>
      <c r="HG528" s="1603"/>
      <c r="HH528" s="1603"/>
      <c r="HI528" s="1603"/>
      <c r="HJ528" s="1603"/>
      <c r="HK528" s="1603"/>
      <c r="HL528" s="1603"/>
      <c r="HM528" s="1603"/>
      <c r="HN528" s="1603"/>
      <c r="HO528" s="1603"/>
      <c r="HP528" s="1603"/>
      <c r="HQ528" s="1603"/>
      <c r="HR528" s="1603"/>
      <c r="HS528" s="1603"/>
      <c r="HT528" s="1603"/>
      <c r="HU528" s="1603"/>
      <c r="HV528" s="1603"/>
      <c r="HW528" s="1603"/>
      <c r="HX528" s="1603"/>
      <c r="HY528" s="1603"/>
      <c r="HZ528" s="1603"/>
      <c r="IA528" s="1603"/>
      <c r="IB528" s="1603"/>
      <c r="IC528" s="1603"/>
      <c r="ID528" s="1603"/>
      <c r="IE528" s="1603"/>
      <c r="IF528" s="1603"/>
      <c r="IG528" s="1603"/>
      <c r="IH528" s="1603"/>
      <c r="II528" s="1603"/>
      <c r="IJ528" s="1603"/>
      <c r="IK528" s="1603"/>
      <c r="IL528" s="1603"/>
      <c r="IM528" s="1603"/>
      <c r="IN528" s="1603"/>
      <c r="IO528" s="1603"/>
      <c r="IP528" s="1603"/>
      <c r="IQ528" s="1603"/>
      <c r="IR528" s="1603"/>
      <c r="IS528" s="1603"/>
      <c r="IT528" s="1603"/>
      <c r="IU528" s="1603"/>
      <c r="IV528" s="1603"/>
      <c r="IW528" s="1603"/>
      <c r="IX528" s="1603"/>
      <c r="IY528" s="1603"/>
      <c r="IZ528" s="1603"/>
      <c r="JA528" s="1603"/>
      <c r="JB528" s="1603"/>
      <c r="JC528" s="1603"/>
      <c r="JD528" s="1603"/>
      <c r="JE528" s="1603"/>
      <c r="JF528" s="1603"/>
      <c r="JG528" s="1603"/>
      <c r="JH528" s="1603"/>
      <c r="JI528" s="1603"/>
      <c r="JJ528" s="1603"/>
      <c r="JK528" s="1603"/>
      <c r="JL528" s="1603"/>
      <c r="JM528" s="1603"/>
      <c r="JN528" s="1603"/>
      <c r="JO528" s="1603"/>
      <c r="JP528" s="1603"/>
      <c r="JQ528" s="1603"/>
      <c r="JR528" s="1603"/>
      <c r="JS528" s="1603"/>
      <c r="JT528" s="1603"/>
      <c r="JU528" s="1603"/>
      <c r="JV528" s="1603"/>
      <c r="JW528" s="1603"/>
      <c r="JX528" s="1603"/>
      <c r="JY528" s="1603"/>
      <c r="JZ528" s="1603"/>
      <c r="KA528" s="1603"/>
      <c r="KB528" s="1604"/>
    </row>
    <row r="529" spans="2:288" ht="15" customHeight="1" x14ac:dyDescent="0.25">
      <c r="B529" s="216" t="str">
        <f t="shared" ref="B529:B560" si="45">B115</f>
        <v>Desk 2</v>
      </c>
      <c r="C529" s="218" t="str">
        <v/>
      </c>
      <c r="D529" s="218" t="str">
        <v/>
      </c>
      <c r="E529" s="218" t="str">
        <v/>
      </c>
      <c r="F529" s="218" t="str">
        <v/>
      </c>
      <c r="G529" s="402" t="str">
        <v/>
      </c>
      <c r="H529" s="1605"/>
      <c r="I529" s="1605"/>
      <c r="J529" s="1605"/>
      <c r="K529" s="1605"/>
      <c r="L529" s="1605"/>
      <c r="M529" s="1605"/>
      <c r="N529" s="1605"/>
      <c r="O529" s="1605"/>
      <c r="P529" s="1605"/>
      <c r="Q529" s="1605"/>
      <c r="R529" s="1605"/>
      <c r="S529" s="1605"/>
      <c r="T529" s="1605"/>
      <c r="U529" s="1605"/>
      <c r="V529" s="1605"/>
      <c r="W529" s="1605"/>
      <c r="X529" s="1605"/>
      <c r="Y529" s="1605"/>
      <c r="Z529" s="1605"/>
      <c r="AA529" s="1605"/>
      <c r="AB529" s="1605"/>
      <c r="AC529" s="1605"/>
      <c r="AD529" s="1605"/>
      <c r="AE529" s="1605"/>
      <c r="AF529" s="1605"/>
      <c r="AG529" s="1605"/>
      <c r="AH529" s="1605"/>
      <c r="AI529" s="1605"/>
      <c r="AJ529" s="1605"/>
      <c r="AK529" s="1605"/>
      <c r="AL529" s="1605"/>
      <c r="AM529" s="1605"/>
      <c r="AN529" s="1605"/>
      <c r="AO529" s="1605"/>
      <c r="AP529" s="1605"/>
      <c r="AQ529" s="1605"/>
      <c r="AR529" s="1605"/>
      <c r="AS529" s="1605"/>
      <c r="AT529" s="1605"/>
      <c r="AU529" s="1605"/>
      <c r="AV529" s="1605"/>
      <c r="AW529" s="1605"/>
      <c r="AX529" s="1605"/>
      <c r="AY529" s="1605"/>
      <c r="AZ529" s="1605"/>
      <c r="BA529" s="1605"/>
      <c r="BB529" s="1605"/>
      <c r="BC529" s="1605"/>
      <c r="BD529" s="1605"/>
      <c r="BE529" s="1605"/>
      <c r="BF529" s="1605"/>
      <c r="BG529" s="1605"/>
      <c r="BH529" s="1605"/>
      <c r="BI529" s="1605"/>
      <c r="BJ529" s="1605"/>
      <c r="BK529" s="1605"/>
      <c r="BL529" s="1605"/>
      <c r="BM529" s="1605"/>
      <c r="BN529" s="1605"/>
      <c r="BO529" s="1605"/>
      <c r="BP529" s="1605"/>
      <c r="BQ529" s="1605"/>
      <c r="BR529" s="1605"/>
      <c r="BS529" s="1605"/>
      <c r="BT529" s="1605"/>
      <c r="BU529" s="1605"/>
      <c r="BV529" s="1605"/>
      <c r="BW529" s="1605"/>
      <c r="BX529" s="1605"/>
      <c r="BY529" s="1605"/>
      <c r="BZ529" s="1605"/>
      <c r="CA529" s="1605"/>
      <c r="CB529" s="1605"/>
      <c r="CC529" s="1605"/>
      <c r="CD529" s="1605"/>
      <c r="CE529" s="1605"/>
      <c r="CF529" s="1605"/>
      <c r="CG529" s="1605"/>
      <c r="CH529" s="1605"/>
      <c r="CI529" s="1605"/>
      <c r="CJ529" s="1605"/>
      <c r="CK529" s="1605"/>
      <c r="CL529" s="1605"/>
      <c r="CM529" s="1605"/>
      <c r="CN529" s="1605"/>
      <c r="CO529" s="1605"/>
      <c r="CP529" s="1605"/>
      <c r="CQ529" s="1605"/>
      <c r="CR529" s="1605"/>
      <c r="CS529" s="1605"/>
      <c r="CT529" s="1605"/>
      <c r="CU529" s="1605"/>
      <c r="CV529" s="1605"/>
      <c r="CW529" s="1605"/>
      <c r="CX529" s="1605"/>
      <c r="CY529" s="1605"/>
      <c r="CZ529" s="1605"/>
      <c r="DA529" s="1605"/>
      <c r="DB529" s="1605"/>
      <c r="DC529" s="1605"/>
      <c r="DD529" s="1605"/>
      <c r="DE529" s="1605"/>
      <c r="DF529" s="1605"/>
      <c r="DG529" s="1605"/>
      <c r="DH529" s="1605"/>
      <c r="DI529" s="1605"/>
      <c r="DJ529" s="1605"/>
      <c r="DK529" s="1605"/>
      <c r="DL529" s="1605"/>
      <c r="DM529" s="1605"/>
      <c r="DN529" s="1605"/>
      <c r="DO529" s="1605"/>
      <c r="DP529" s="1605"/>
      <c r="DQ529" s="1605"/>
      <c r="DR529" s="1605"/>
      <c r="DS529" s="1605"/>
      <c r="DT529" s="1605"/>
      <c r="DU529" s="1605"/>
      <c r="DV529" s="1605"/>
      <c r="DW529" s="1605"/>
      <c r="DX529" s="1605"/>
      <c r="DY529" s="1605"/>
      <c r="DZ529" s="1605"/>
      <c r="EA529" s="1605"/>
      <c r="EB529" s="1605"/>
      <c r="EC529" s="1605"/>
      <c r="ED529" s="1605"/>
      <c r="EE529" s="1605"/>
      <c r="EF529" s="1605"/>
      <c r="EG529" s="1605"/>
      <c r="EH529" s="1605"/>
      <c r="EI529" s="1605"/>
      <c r="EJ529" s="1605"/>
      <c r="EK529" s="1605"/>
      <c r="EL529" s="1605"/>
      <c r="EM529" s="1605"/>
      <c r="EN529" s="1605"/>
      <c r="EO529" s="1605"/>
      <c r="EP529" s="1605"/>
      <c r="EQ529" s="1605"/>
      <c r="ER529" s="1605"/>
      <c r="ES529" s="1605"/>
      <c r="ET529" s="1605"/>
      <c r="EU529" s="1605"/>
      <c r="EV529" s="1605"/>
      <c r="EW529" s="1605"/>
      <c r="EX529" s="1605"/>
      <c r="EY529" s="1605"/>
      <c r="EZ529" s="1605"/>
      <c r="FA529" s="1605"/>
      <c r="FB529" s="1605"/>
      <c r="FC529" s="1605"/>
      <c r="FD529" s="1605"/>
      <c r="FE529" s="1605"/>
      <c r="FF529" s="1605"/>
      <c r="FG529" s="1605"/>
      <c r="FH529" s="1605"/>
      <c r="FI529" s="1605"/>
      <c r="FJ529" s="1605"/>
      <c r="FK529" s="1605"/>
      <c r="FL529" s="1605"/>
      <c r="FM529" s="1605"/>
      <c r="FN529" s="1605"/>
      <c r="FO529" s="1605"/>
      <c r="FP529" s="1605"/>
      <c r="FQ529" s="1605"/>
      <c r="FR529" s="1605"/>
      <c r="FS529" s="1605"/>
      <c r="FT529" s="1605"/>
      <c r="FU529" s="1605"/>
      <c r="FV529" s="1605"/>
      <c r="FW529" s="1605"/>
      <c r="FX529" s="1605"/>
      <c r="FY529" s="1605"/>
      <c r="FZ529" s="1605"/>
      <c r="GA529" s="1605"/>
      <c r="GB529" s="1605"/>
      <c r="GC529" s="1605"/>
      <c r="GD529" s="1605"/>
      <c r="GE529" s="1605"/>
      <c r="GF529" s="1605"/>
      <c r="GG529" s="1605"/>
      <c r="GH529" s="1605"/>
      <c r="GI529" s="1605"/>
      <c r="GJ529" s="1605"/>
      <c r="GK529" s="1605"/>
      <c r="GL529" s="1605"/>
      <c r="GM529" s="1605"/>
      <c r="GN529" s="1605"/>
      <c r="GO529" s="1605"/>
      <c r="GP529" s="1605"/>
      <c r="GQ529" s="1605"/>
      <c r="GR529" s="1605"/>
      <c r="GS529" s="1605"/>
      <c r="GT529" s="1605"/>
      <c r="GU529" s="1605"/>
      <c r="GV529" s="1605"/>
      <c r="GW529" s="1605"/>
      <c r="GX529" s="1605"/>
      <c r="GY529" s="1605"/>
      <c r="GZ529" s="1605"/>
      <c r="HA529" s="1605"/>
      <c r="HB529" s="1605"/>
      <c r="HC529" s="1605"/>
      <c r="HD529" s="1605"/>
      <c r="HE529" s="1605"/>
      <c r="HF529" s="1605"/>
      <c r="HG529" s="1605"/>
      <c r="HH529" s="1605"/>
      <c r="HI529" s="1605"/>
      <c r="HJ529" s="1605"/>
      <c r="HK529" s="1605"/>
      <c r="HL529" s="1605"/>
      <c r="HM529" s="1605"/>
      <c r="HN529" s="1605"/>
      <c r="HO529" s="1605"/>
      <c r="HP529" s="1605"/>
      <c r="HQ529" s="1605"/>
      <c r="HR529" s="1605"/>
      <c r="HS529" s="1605"/>
      <c r="HT529" s="1605"/>
      <c r="HU529" s="1605"/>
      <c r="HV529" s="1605"/>
      <c r="HW529" s="1605"/>
      <c r="HX529" s="1605"/>
      <c r="HY529" s="1605"/>
      <c r="HZ529" s="1605"/>
      <c r="IA529" s="1605"/>
      <c r="IB529" s="1605"/>
      <c r="IC529" s="1605"/>
      <c r="ID529" s="1605"/>
      <c r="IE529" s="1605"/>
      <c r="IF529" s="1605"/>
      <c r="IG529" s="1605"/>
      <c r="IH529" s="1605"/>
      <c r="II529" s="1605"/>
      <c r="IJ529" s="1605"/>
      <c r="IK529" s="1605"/>
      <c r="IL529" s="1605"/>
      <c r="IM529" s="1605"/>
      <c r="IN529" s="1605"/>
      <c r="IO529" s="1605"/>
      <c r="IP529" s="1605"/>
      <c r="IQ529" s="1605"/>
      <c r="IR529" s="1605"/>
      <c r="IS529" s="1605"/>
      <c r="IT529" s="1605"/>
      <c r="IU529" s="1605"/>
      <c r="IV529" s="1605"/>
      <c r="IW529" s="1605"/>
      <c r="IX529" s="1605"/>
      <c r="IY529" s="1605"/>
      <c r="IZ529" s="1605"/>
      <c r="JA529" s="1605"/>
      <c r="JB529" s="1605"/>
      <c r="JC529" s="1605"/>
      <c r="JD529" s="1605"/>
      <c r="JE529" s="1605"/>
      <c r="JF529" s="1605"/>
      <c r="JG529" s="1605"/>
      <c r="JH529" s="1605"/>
      <c r="JI529" s="1605"/>
      <c r="JJ529" s="1605"/>
      <c r="JK529" s="1605"/>
      <c r="JL529" s="1605"/>
      <c r="JM529" s="1605"/>
      <c r="JN529" s="1605"/>
      <c r="JO529" s="1605"/>
      <c r="JP529" s="1605"/>
      <c r="JQ529" s="1605"/>
      <c r="JR529" s="1605"/>
      <c r="JS529" s="1605"/>
      <c r="JT529" s="1605"/>
      <c r="JU529" s="1605"/>
      <c r="JV529" s="1605"/>
      <c r="JW529" s="1605"/>
      <c r="JX529" s="1605"/>
      <c r="JY529" s="1605"/>
      <c r="JZ529" s="1605"/>
      <c r="KA529" s="1605"/>
      <c r="KB529" s="1606"/>
    </row>
    <row r="530" spans="2:288" ht="15" customHeight="1" x14ac:dyDescent="0.25">
      <c r="B530" s="216" t="str">
        <f t="shared" si="45"/>
        <v>Desk 3</v>
      </c>
      <c r="C530" s="218" t="str">
        <v/>
      </c>
      <c r="D530" s="218" t="str">
        <v/>
      </c>
      <c r="E530" s="218" t="str">
        <v/>
      </c>
      <c r="F530" s="218" t="str">
        <v/>
      </c>
      <c r="G530" s="402" t="str">
        <v/>
      </c>
      <c r="H530" s="1605"/>
      <c r="I530" s="1605"/>
      <c r="J530" s="1605"/>
      <c r="K530" s="1605"/>
      <c r="L530" s="1605"/>
      <c r="M530" s="1605"/>
      <c r="N530" s="1605"/>
      <c r="O530" s="1605"/>
      <c r="P530" s="1605"/>
      <c r="Q530" s="1605"/>
      <c r="R530" s="1605"/>
      <c r="S530" s="1605"/>
      <c r="T530" s="1605"/>
      <c r="U530" s="1605"/>
      <c r="V530" s="1605"/>
      <c r="W530" s="1605"/>
      <c r="X530" s="1605"/>
      <c r="Y530" s="1605"/>
      <c r="Z530" s="1605"/>
      <c r="AA530" s="1605"/>
      <c r="AB530" s="1605"/>
      <c r="AC530" s="1605"/>
      <c r="AD530" s="1605"/>
      <c r="AE530" s="1605"/>
      <c r="AF530" s="1605"/>
      <c r="AG530" s="1605"/>
      <c r="AH530" s="1605"/>
      <c r="AI530" s="1605"/>
      <c r="AJ530" s="1605"/>
      <c r="AK530" s="1605"/>
      <c r="AL530" s="1605"/>
      <c r="AM530" s="1605"/>
      <c r="AN530" s="1605"/>
      <c r="AO530" s="1605"/>
      <c r="AP530" s="1605"/>
      <c r="AQ530" s="1605"/>
      <c r="AR530" s="1605"/>
      <c r="AS530" s="1605"/>
      <c r="AT530" s="1605"/>
      <c r="AU530" s="1605"/>
      <c r="AV530" s="1605"/>
      <c r="AW530" s="1605"/>
      <c r="AX530" s="1605"/>
      <c r="AY530" s="1605"/>
      <c r="AZ530" s="1605"/>
      <c r="BA530" s="1605"/>
      <c r="BB530" s="1605"/>
      <c r="BC530" s="1605"/>
      <c r="BD530" s="1605"/>
      <c r="BE530" s="1605"/>
      <c r="BF530" s="1605"/>
      <c r="BG530" s="1605"/>
      <c r="BH530" s="1605"/>
      <c r="BI530" s="1605"/>
      <c r="BJ530" s="1605"/>
      <c r="BK530" s="1605"/>
      <c r="BL530" s="1605"/>
      <c r="BM530" s="1605"/>
      <c r="BN530" s="1605"/>
      <c r="BO530" s="1605"/>
      <c r="BP530" s="1605"/>
      <c r="BQ530" s="1605"/>
      <c r="BR530" s="1605"/>
      <c r="BS530" s="1605"/>
      <c r="BT530" s="1605"/>
      <c r="BU530" s="1605"/>
      <c r="BV530" s="1605"/>
      <c r="BW530" s="1605"/>
      <c r="BX530" s="1605"/>
      <c r="BY530" s="1605"/>
      <c r="BZ530" s="1605"/>
      <c r="CA530" s="1605"/>
      <c r="CB530" s="1605"/>
      <c r="CC530" s="1605"/>
      <c r="CD530" s="1605"/>
      <c r="CE530" s="1605"/>
      <c r="CF530" s="1605"/>
      <c r="CG530" s="1605"/>
      <c r="CH530" s="1605"/>
      <c r="CI530" s="1605"/>
      <c r="CJ530" s="1605"/>
      <c r="CK530" s="1605"/>
      <c r="CL530" s="1605"/>
      <c r="CM530" s="1605"/>
      <c r="CN530" s="1605"/>
      <c r="CO530" s="1605"/>
      <c r="CP530" s="1605"/>
      <c r="CQ530" s="1605"/>
      <c r="CR530" s="1605"/>
      <c r="CS530" s="1605"/>
      <c r="CT530" s="1605"/>
      <c r="CU530" s="1605"/>
      <c r="CV530" s="1605"/>
      <c r="CW530" s="1605"/>
      <c r="CX530" s="1605"/>
      <c r="CY530" s="1605"/>
      <c r="CZ530" s="1605"/>
      <c r="DA530" s="1605"/>
      <c r="DB530" s="1605"/>
      <c r="DC530" s="1605"/>
      <c r="DD530" s="1605"/>
      <c r="DE530" s="1605"/>
      <c r="DF530" s="1605"/>
      <c r="DG530" s="1605"/>
      <c r="DH530" s="1605"/>
      <c r="DI530" s="1605"/>
      <c r="DJ530" s="1605"/>
      <c r="DK530" s="1605"/>
      <c r="DL530" s="1605"/>
      <c r="DM530" s="1605"/>
      <c r="DN530" s="1605"/>
      <c r="DO530" s="1605"/>
      <c r="DP530" s="1605"/>
      <c r="DQ530" s="1605"/>
      <c r="DR530" s="1605"/>
      <c r="DS530" s="1605"/>
      <c r="DT530" s="1605"/>
      <c r="DU530" s="1605"/>
      <c r="DV530" s="1605"/>
      <c r="DW530" s="1605"/>
      <c r="DX530" s="1605"/>
      <c r="DY530" s="1605"/>
      <c r="DZ530" s="1605"/>
      <c r="EA530" s="1605"/>
      <c r="EB530" s="1605"/>
      <c r="EC530" s="1605"/>
      <c r="ED530" s="1605"/>
      <c r="EE530" s="1605"/>
      <c r="EF530" s="1605"/>
      <c r="EG530" s="1605"/>
      <c r="EH530" s="1605"/>
      <c r="EI530" s="1605"/>
      <c r="EJ530" s="1605"/>
      <c r="EK530" s="1605"/>
      <c r="EL530" s="1605"/>
      <c r="EM530" s="1605"/>
      <c r="EN530" s="1605"/>
      <c r="EO530" s="1605"/>
      <c r="EP530" s="1605"/>
      <c r="EQ530" s="1605"/>
      <c r="ER530" s="1605"/>
      <c r="ES530" s="1605"/>
      <c r="ET530" s="1605"/>
      <c r="EU530" s="1605"/>
      <c r="EV530" s="1605"/>
      <c r="EW530" s="1605"/>
      <c r="EX530" s="1605"/>
      <c r="EY530" s="1605"/>
      <c r="EZ530" s="1605"/>
      <c r="FA530" s="1605"/>
      <c r="FB530" s="1605"/>
      <c r="FC530" s="1605"/>
      <c r="FD530" s="1605"/>
      <c r="FE530" s="1605"/>
      <c r="FF530" s="1605"/>
      <c r="FG530" s="1605"/>
      <c r="FH530" s="1605"/>
      <c r="FI530" s="1605"/>
      <c r="FJ530" s="1605"/>
      <c r="FK530" s="1605"/>
      <c r="FL530" s="1605"/>
      <c r="FM530" s="1605"/>
      <c r="FN530" s="1605"/>
      <c r="FO530" s="1605"/>
      <c r="FP530" s="1605"/>
      <c r="FQ530" s="1605"/>
      <c r="FR530" s="1605"/>
      <c r="FS530" s="1605"/>
      <c r="FT530" s="1605"/>
      <c r="FU530" s="1605"/>
      <c r="FV530" s="1605"/>
      <c r="FW530" s="1605"/>
      <c r="FX530" s="1605"/>
      <c r="FY530" s="1605"/>
      <c r="FZ530" s="1605"/>
      <c r="GA530" s="1605"/>
      <c r="GB530" s="1605"/>
      <c r="GC530" s="1605"/>
      <c r="GD530" s="1605"/>
      <c r="GE530" s="1605"/>
      <c r="GF530" s="1605"/>
      <c r="GG530" s="1605"/>
      <c r="GH530" s="1605"/>
      <c r="GI530" s="1605"/>
      <c r="GJ530" s="1605"/>
      <c r="GK530" s="1605"/>
      <c r="GL530" s="1605"/>
      <c r="GM530" s="1605"/>
      <c r="GN530" s="1605"/>
      <c r="GO530" s="1605"/>
      <c r="GP530" s="1605"/>
      <c r="GQ530" s="1605"/>
      <c r="GR530" s="1605"/>
      <c r="GS530" s="1605"/>
      <c r="GT530" s="1605"/>
      <c r="GU530" s="1605"/>
      <c r="GV530" s="1605"/>
      <c r="GW530" s="1605"/>
      <c r="GX530" s="1605"/>
      <c r="GY530" s="1605"/>
      <c r="GZ530" s="1605"/>
      <c r="HA530" s="1605"/>
      <c r="HB530" s="1605"/>
      <c r="HC530" s="1605"/>
      <c r="HD530" s="1605"/>
      <c r="HE530" s="1605"/>
      <c r="HF530" s="1605"/>
      <c r="HG530" s="1605"/>
      <c r="HH530" s="1605"/>
      <c r="HI530" s="1605"/>
      <c r="HJ530" s="1605"/>
      <c r="HK530" s="1605"/>
      <c r="HL530" s="1605"/>
      <c r="HM530" s="1605"/>
      <c r="HN530" s="1605"/>
      <c r="HO530" s="1605"/>
      <c r="HP530" s="1605"/>
      <c r="HQ530" s="1605"/>
      <c r="HR530" s="1605"/>
      <c r="HS530" s="1605"/>
      <c r="HT530" s="1605"/>
      <c r="HU530" s="1605"/>
      <c r="HV530" s="1605"/>
      <c r="HW530" s="1605"/>
      <c r="HX530" s="1605"/>
      <c r="HY530" s="1605"/>
      <c r="HZ530" s="1605"/>
      <c r="IA530" s="1605"/>
      <c r="IB530" s="1605"/>
      <c r="IC530" s="1605"/>
      <c r="ID530" s="1605"/>
      <c r="IE530" s="1605"/>
      <c r="IF530" s="1605"/>
      <c r="IG530" s="1605"/>
      <c r="IH530" s="1605"/>
      <c r="II530" s="1605"/>
      <c r="IJ530" s="1605"/>
      <c r="IK530" s="1605"/>
      <c r="IL530" s="1605"/>
      <c r="IM530" s="1605"/>
      <c r="IN530" s="1605"/>
      <c r="IO530" s="1605"/>
      <c r="IP530" s="1605"/>
      <c r="IQ530" s="1605"/>
      <c r="IR530" s="1605"/>
      <c r="IS530" s="1605"/>
      <c r="IT530" s="1605"/>
      <c r="IU530" s="1605"/>
      <c r="IV530" s="1605"/>
      <c r="IW530" s="1605"/>
      <c r="IX530" s="1605"/>
      <c r="IY530" s="1605"/>
      <c r="IZ530" s="1605"/>
      <c r="JA530" s="1605"/>
      <c r="JB530" s="1605"/>
      <c r="JC530" s="1605"/>
      <c r="JD530" s="1605"/>
      <c r="JE530" s="1605"/>
      <c r="JF530" s="1605"/>
      <c r="JG530" s="1605"/>
      <c r="JH530" s="1605"/>
      <c r="JI530" s="1605"/>
      <c r="JJ530" s="1605"/>
      <c r="JK530" s="1605"/>
      <c r="JL530" s="1605"/>
      <c r="JM530" s="1605"/>
      <c r="JN530" s="1605"/>
      <c r="JO530" s="1605"/>
      <c r="JP530" s="1605"/>
      <c r="JQ530" s="1605"/>
      <c r="JR530" s="1605"/>
      <c r="JS530" s="1605"/>
      <c r="JT530" s="1605"/>
      <c r="JU530" s="1605"/>
      <c r="JV530" s="1605"/>
      <c r="JW530" s="1605"/>
      <c r="JX530" s="1605"/>
      <c r="JY530" s="1605"/>
      <c r="JZ530" s="1605"/>
      <c r="KA530" s="1605"/>
      <c r="KB530" s="1606"/>
    </row>
    <row r="531" spans="2:288" ht="15" customHeight="1" x14ac:dyDescent="0.25">
      <c r="B531" s="216" t="str">
        <f t="shared" si="45"/>
        <v>Desk 4</v>
      </c>
      <c r="C531" s="218" t="str">
        <v/>
      </c>
      <c r="D531" s="218" t="str">
        <v/>
      </c>
      <c r="E531" s="218" t="str">
        <v/>
      </c>
      <c r="F531" s="218" t="str">
        <v/>
      </c>
      <c r="G531" s="402" t="str">
        <v/>
      </c>
      <c r="H531" s="1605"/>
      <c r="I531" s="1605"/>
      <c r="J531" s="1605"/>
      <c r="K531" s="1605"/>
      <c r="L531" s="1605"/>
      <c r="M531" s="1605"/>
      <c r="N531" s="1605"/>
      <c r="O531" s="1605"/>
      <c r="P531" s="1605"/>
      <c r="Q531" s="1605"/>
      <c r="R531" s="1605"/>
      <c r="S531" s="1605"/>
      <c r="T531" s="1605"/>
      <c r="U531" s="1605"/>
      <c r="V531" s="1605"/>
      <c r="W531" s="1605"/>
      <c r="X531" s="1605"/>
      <c r="Y531" s="1605"/>
      <c r="Z531" s="1605"/>
      <c r="AA531" s="1605"/>
      <c r="AB531" s="1605"/>
      <c r="AC531" s="1605"/>
      <c r="AD531" s="1605"/>
      <c r="AE531" s="1605"/>
      <c r="AF531" s="1605"/>
      <c r="AG531" s="1605"/>
      <c r="AH531" s="1605"/>
      <c r="AI531" s="1605"/>
      <c r="AJ531" s="1605"/>
      <c r="AK531" s="1605"/>
      <c r="AL531" s="1605"/>
      <c r="AM531" s="1605"/>
      <c r="AN531" s="1605"/>
      <c r="AO531" s="1605"/>
      <c r="AP531" s="1605"/>
      <c r="AQ531" s="1605"/>
      <c r="AR531" s="1605"/>
      <c r="AS531" s="1605"/>
      <c r="AT531" s="1605"/>
      <c r="AU531" s="1605"/>
      <c r="AV531" s="1605"/>
      <c r="AW531" s="1605"/>
      <c r="AX531" s="1605"/>
      <c r="AY531" s="1605"/>
      <c r="AZ531" s="1605"/>
      <c r="BA531" s="1605"/>
      <c r="BB531" s="1605"/>
      <c r="BC531" s="1605"/>
      <c r="BD531" s="1605"/>
      <c r="BE531" s="1605"/>
      <c r="BF531" s="1605"/>
      <c r="BG531" s="1605"/>
      <c r="BH531" s="1605"/>
      <c r="BI531" s="1605"/>
      <c r="BJ531" s="1605"/>
      <c r="BK531" s="1605"/>
      <c r="BL531" s="1605"/>
      <c r="BM531" s="1605"/>
      <c r="BN531" s="1605"/>
      <c r="BO531" s="1605"/>
      <c r="BP531" s="1605"/>
      <c r="BQ531" s="1605"/>
      <c r="BR531" s="1605"/>
      <c r="BS531" s="1605"/>
      <c r="BT531" s="1605"/>
      <c r="BU531" s="1605"/>
      <c r="BV531" s="1605"/>
      <c r="BW531" s="1605"/>
      <c r="BX531" s="1605"/>
      <c r="BY531" s="1605"/>
      <c r="BZ531" s="1605"/>
      <c r="CA531" s="1605"/>
      <c r="CB531" s="1605"/>
      <c r="CC531" s="1605"/>
      <c r="CD531" s="1605"/>
      <c r="CE531" s="1605"/>
      <c r="CF531" s="1605"/>
      <c r="CG531" s="1605"/>
      <c r="CH531" s="1605"/>
      <c r="CI531" s="1605"/>
      <c r="CJ531" s="1605"/>
      <c r="CK531" s="1605"/>
      <c r="CL531" s="1605"/>
      <c r="CM531" s="1605"/>
      <c r="CN531" s="1605"/>
      <c r="CO531" s="1605"/>
      <c r="CP531" s="1605"/>
      <c r="CQ531" s="1605"/>
      <c r="CR531" s="1605"/>
      <c r="CS531" s="1605"/>
      <c r="CT531" s="1605"/>
      <c r="CU531" s="1605"/>
      <c r="CV531" s="1605"/>
      <c r="CW531" s="1605"/>
      <c r="CX531" s="1605"/>
      <c r="CY531" s="1605"/>
      <c r="CZ531" s="1605"/>
      <c r="DA531" s="1605"/>
      <c r="DB531" s="1605"/>
      <c r="DC531" s="1605"/>
      <c r="DD531" s="1605"/>
      <c r="DE531" s="1605"/>
      <c r="DF531" s="1605"/>
      <c r="DG531" s="1605"/>
      <c r="DH531" s="1605"/>
      <c r="DI531" s="1605"/>
      <c r="DJ531" s="1605"/>
      <c r="DK531" s="1605"/>
      <c r="DL531" s="1605"/>
      <c r="DM531" s="1605"/>
      <c r="DN531" s="1605"/>
      <c r="DO531" s="1605"/>
      <c r="DP531" s="1605"/>
      <c r="DQ531" s="1605"/>
      <c r="DR531" s="1605"/>
      <c r="DS531" s="1605"/>
      <c r="DT531" s="1605"/>
      <c r="DU531" s="1605"/>
      <c r="DV531" s="1605"/>
      <c r="DW531" s="1605"/>
      <c r="DX531" s="1605"/>
      <c r="DY531" s="1605"/>
      <c r="DZ531" s="1605"/>
      <c r="EA531" s="1605"/>
      <c r="EB531" s="1605"/>
      <c r="EC531" s="1605"/>
      <c r="ED531" s="1605"/>
      <c r="EE531" s="1605"/>
      <c r="EF531" s="1605"/>
      <c r="EG531" s="1605"/>
      <c r="EH531" s="1605"/>
      <c r="EI531" s="1605"/>
      <c r="EJ531" s="1605"/>
      <c r="EK531" s="1605"/>
      <c r="EL531" s="1605"/>
      <c r="EM531" s="1605"/>
      <c r="EN531" s="1605"/>
      <c r="EO531" s="1605"/>
      <c r="EP531" s="1605"/>
      <c r="EQ531" s="1605"/>
      <c r="ER531" s="1605"/>
      <c r="ES531" s="1605"/>
      <c r="ET531" s="1605"/>
      <c r="EU531" s="1605"/>
      <c r="EV531" s="1605"/>
      <c r="EW531" s="1605"/>
      <c r="EX531" s="1605"/>
      <c r="EY531" s="1605"/>
      <c r="EZ531" s="1605"/>
      <c r="FA531" s="1605"/>
      <c r="FB531" s="1605"/>
      <c r="FC531" s="1605"/>
      <c r="FD531" s="1605"/>
      <c r="FE531" s="1605"/>
      <c r="FF531" s="1605"/>
      <c r="FG531" s="1605"/>
      <c r="FH531" s="1605"/>
      <c r="FI531" s="1605"/>
      <c r="FJ531" s="1605"/>
      <c r="FK531" s="1605"/>
      <c r="FL531" s="1605"/>
      <c r="FM531" s="1605"/>
      <c r="FN531" s="1605"/>
      <c r="FO531" s="1605"/>
      <c r="FP531" s="1605"/>
      <c r="FQ531" s="1605"/>
      <c r="FR531" s="1605"/>
      <c r="FS531" s="1605"/>
      <c r="FT531" s="1605"/>
      <c r="FU531" s="1605"/>
      <c r="FV531" s="1605"/>
      <c r="FW531" s="1605"/>
      <c r="FX531" s="1605"/>
      <c r="FY531" s="1605"/>
      <c r="FZ531" s="1605"/>
      <c r="GA531" s="1605"/>
      <c r="GB531" s="1605"/>
      <c r="GC531" s="1605"/>
      <c r="GD531" s="1605"/>
      <c r="GE531" s="1605"/>
      <c r="GF531" s="1605"/>
      <c r="GG531" s="1605"/>
      <c r="GH531" s="1605"/>
      <c r="GI531" s="1605"/>
      <c r="GJ531" s="1605"/>
      <c r="GK531" s="1605"/>
      <c r="GL531" s="1605"/>
      <c r="GM531" s="1605"/>
      <c r="GN531" s="1605"/>
      <c r="GO531" s="1605"/>
      <c r="GP531" s="1605"/>
      <c r="GQ531" s="1605"/>
      <c r="GR531" s="1605"/>
      <c r="GS531" s="1605"/>
      <c r="GT531" s="1605"/>
      <c r="GU531" s="1605"/>
      <c r="GV531" s="1605"/>
      <c r="GW531" s="1605"/>
      <c r="GX531" s="1605"/>
      <c r="GY531" s="1605"/>
      <c r="GZ531" s="1605"/>
      <c r="HA531" s="1605"/>
      <c r="HB531" s="1605"/>
      <c r="HC531" s="1605"/>
      <c r="HD531" s="1605"/>
      <c r="HE531" s="1605"/>
      <c r="HF531" s="1605"/>
      <c r="HG531" s="1605"/>
      <c r="HH531" s="1605"/>
      <c r="HI531" s="1605"/>
      <c r="HJ531" s="1605"/>
      <c r="HK531" s="1605"/>
      <c r="HL531" s="1605"/>
      <c r="HM531" s="1605"/>
      <c r="HN531" s="1605"/>
      <c r="HO531" s="1605"/>
      <c r="HP531" s="1605"/>
      <c r="HQ531" s="1605"/>
      <c r="HR531" s="1605"/>
      <c r="HS531" s="1605"/>
      <c r="HT531" s="1605"/>
      <c r="HU531" s="1605"/>
      <c r="HV531" s="1605"/>
      <c r="HW531" s="1605"/>
      <c r="HX531" s="1605"/>
      <c r="HY531" s="1605"/>
      <c r="HZ531" s="1605"/>
      <c r="IA531" s="1605"/>
      <c r="IB531" s="1605"/>
      <c r="IC531" s="1605"/>
      <c r="ID531" s="1605"/>
      <c r="IE531" s="1605"/>
      <c r="IF531" s="1605"/>
      <c r="IG531" s="1605"/>
      <c r="IH531" s="1605"/>
      <c r="II531" s="1605"/>
      <c r="IJ531" s="1605"/>
      <c r="IK531" s="1605"/>
      <c r="IL531" s="1605"/>
      <c r="IM531" s="1605"/>
      <c r="IN531" s="1605"/>
      <c r="IO531" s="1605"/>
      <c r="IP531" s="1605"/>
      <c r="IQ531" s="1605"/>
      <c r="IR531" s="1605"/>
      <c r="IS531" s="1605"/>
      <c r="IT531" s="1605"/>
      <c r="IU531" s="1605"/>
      <c r="IV531" s="1605"/>
      <c r="IW531" s="1605"/>
      <c r="IX531" s="1605"/>
      <c r="IY531" s="1605"/>
      <c r="IZ531" s="1605"/>
      <c r="JA531" s="1605"/>
      <c r="JB531" s="1605"/>
      <c r="JC531" s="1605"/>
      <c r="JD531" s="1605"/>
      <c r="JE531" s="1605"/>
      <c r="JF531" s="1605"/>
      <c r="JG531" s="1605"/>
      <c r="JH531" s="1605"/>
      <c r="JI531" s="1605"/>
      <c r="JJ531" s="1605"/>
      <c r="JK531" s="1605"/>
      <c r="JL531" s="1605"/>
      <c r="JM531" s="1605"/>
      <c r="JN531" s="1605"/>
      <c r="JO531" s="1605"/>
      <c r="JP531" s="1605"/>
      <c r="JQ531" s="1605"/>
      <c r="JR531" s="1605"/>
      <c r="JS531" s="1605"/>
      <c r="JT531" s="1605"/>
      <c r="JU531" s="1605"/>
      <c r="JV531" s="1605"/>
      <c r="JW531" s="1605"/>
      <c r="JX531" s="1605"/>
      <c r="JY531" s="1605"/>
      <c r="JZ531" s="1605"/>
      <c r="KA531" s="1605"/>
      <c r="KB531" s="1606"/>
    </row>
    <row r="532" spans="2:288" ht="15" customHeight="1" x14ac:dyDescent="0.25">
      <c r="B532" s="216" t="str">
        <f t="shared" si="45"/>
        <v>Desk 5</v>
      </c>
      <c r="C532" s="218" t="str">
        <v/>
      </c>
      <c r="D532" s="218" t="str">
        <v/>
      </c>
      <c r="E532" s="218" t="str">
        <v/>
      </c>
      <c r="F532" s="218" t="str">
        <v/>
      </c>
      <c r="G532" s="402" t="str">
        <v/>
      </c>
      <c r="H532" s="1605"/>
      <c r="I532" s="1605"/>
      <c r="J532" s="1605"/>
      <c r="K532" s="1605"/>
      <c r="L532" s="1605"/>
      <c r="M532" s="1605"/>
      <c r="N532" s="1605"/>
      <c r="O532" s="1605"/>
      <c r="P532" s="1605"/>
      <c r="Q532" s="1605"/>
      <c r="R532" s="1605"/>
      <c r="S532" s="1605"/>
      <c r="T532" s="1605"/>
      <c r="U532" s="1605"/>
      <c r="V532" s="1605"/>
      <c r="W532" s="1605"/>
      <c r="X532" s="1605"/>
      <c r="Y532" s="1605"/>
      <c r="Z532" s="1605"/>
      <c r="AA532" s="1605"/>
      <c r="AB532" s="1605"/>
      <c r="AC532" s="1605"/>
      <c r="AD532" s="1605"/>
      <c r="AE532" s="1605"/>
      <c r="AF532" s="1605"/>
      <c r="AG532" s="1605"/>
      <c r="AH532" s="1605"/>
      <c r="AI532" s="1605"/>
      <c r="AJ532" s="1605"/>
      <c r="AK532" s="1605"/>
      <c r="AL532" s="1605"/>
      <c r="AM532" s="1605"/>
      <c r="AN532" s="1605"/>
      <c r="AO532" s="1605"/>
      <c r="AP532" s="1605"/>
      <c r="AQ532" s="1605"/>
      <c r="AR532" s="1605"/>
      <c r="AS532" s="1605"/>
      <c r="AT532" s="1605"/>
      <c r="AU532" s="1605"/>
      <c r="AV532" s="1605"/>
      <c r="AW532" s="1605"/>
      <c r="AX532" s="1605"/>
      <c r="AY532" s="1605"/>
      <c r="AZ532" s="1605"/>
      <c r="BA532" s="1605"/>
      <c r="BB532" s="1605"/>
      <c r="BC532" s="1605"/>
      <c r="BD532" s="1605"/>
      <c r="BE532" s="1605"/>
      <c r="BF532" s="1605"/>
      <c r="BG532" s="1605"/>
      <c r="BH532" s="1605"/>
      <c r="BI532" s="1605"/>
      <c r="BJ532" s="1605"/>
      <c r="BK532" s="1605"/>
      <c r="BL532" s="1605"/>
      <c r="BM532" s="1605"/>
      <c r="BN532" s="1605"/>
      <c r="BO532" s="1605"/>
      <c r="BP532" s="1605"/>
      <c r="BQ532" s="1605"/>
      <c r="BR532" s="1605"/>
      <c r="BS532" s="1605"/>
      <c r="BT532" s="1605"/>
      <c r="BU532" s="1605"/>
      <c r="BV532" s="1605"/>
      <c r="BW532" s="1605"/>
      <c r="BX532" s="1605"/>
      <c r="BY532" s="1605"/>
      <c r="BZ532" s="1605"/>
      <c r="CA532" s="1605"/>
      <c r="CB532" s="1605"/>
      <c r="CC532" s="1605"/>
      <c r="CD532" s="1605"/>
      <c r="CE532" s="1605"/>
      <c r="CF532" s="1605"/>
      <c r="CG532" s="1605"/>
      <c r="CH532" s="1605"/>
      <c r="CI532" s="1605"/>
      <c r="CJ532" s="1605"/>
      <c r="CK532" s="1605"/>
      <c r="CL532" s="1605"/>
      <c r="CM532" s="1605"/>
      <c r="CN532" s="1605"/>
      <c r="CO532" s="1605"/>
      <c r="CP532" s="1605"/>
      <c r="CQ532" s="1605"/>
      <c r="CR532" s="1605"/>
      <c r="CS532" s="1605"/>
      <c r="CT532" s="1605"/>
      <c r="CU532" s="1605"/>
      <c r="CV532" s="1605"/>
      <c r="CW532" s="1605"/>
      <c r="CX532" s="1605"/>
      <c r="CY532" s="1605"/>
      <c r="CZ532" s="1605"/>
      <c r="DA532" s="1605"/>
      <c r="DB532" s="1605"/>
      <c r="DC532" s="1605"/>
      <c r="DD532" s="1605"/>
      <c r="DE532" s="1605"/>
      <c r="DF532" s="1605"/>
      <c r="DG532" s="1605"/>
      <c r="DH532" s="1605"/>
      <c r="DI532" s="1605"/>
      <c r="DJ532" s="1605"/>
      <c r="DK532" s="1605"/>
      <c r="DL532" s="1605"/>
      <c r="DM532" s="1605"/>
      <c r="DN532" s="1605"/>
      <c r="DO532" s="1605"/>
      <c r="DP532" s="1605"/>
      <c r="DQ532" s="1605"/>
      <c r="DR532" s="1605"/>
      <c r="DS532" s="1605"/>
      <c r="DT532" s="1605"/>
      <c r="DU532" s="1605"/>
      <c r="DV532" s="1605"/>
      <c r="DW532" s="1605"/>
      <c r="DX532" s="1605"/>
      <c r="DY532" s="1605"/>
      <c r="DZ532" s="1605"/>
      <c r="EA532" s="1605"/>
      <c r="EB532" s="1605"/>
      <c r="EC532" s="1605"/>
      <c r="ED532" s="1605"/>
      <c r="EE532" s="1605"/>
      <c r="EF532" s="1605"/>
      <c r="EG532" s="1605"/>
      <c r="EH532" s="1605"/>
      <c r="EI532" s="1605"/>
      <c r="EJ532" s="1605"/>
      <c r="EK532" s="1605"/>
      <c r="EL532" s="1605"/>
      <c r="EM532" s="1605"/>
      <c r="EN532" s="1605"/>
      <c r="EO532" s="1605"/>
      <c r="EP532" s="1605"/>
      <c r="EQ532" s="1605"/>
      <c r="ER532" s="1605"/>
      <c r="ES532" s="1605"/>
      <c r="ET532" s="1605"/>
      <c r="EU532" s="1605"/>
      <c r="EV532" s="1605"/>
      <c r="EW532" s="1605"/>
      <c r="EX532" s="1605"/>
      <c r="EY532" s="1605"/>
      <c r="EZ532" s="1605"/>
      <c r="FA532" s="1605"/>
      <c r="FB532" s="1605"/>
      <c r="FC532" s="1605"/>
      <c r="FD532" s="1605"/>
      <c r="FE532" s="1605"/>
      <c r="FF532" s="1605"/>
      <c r="FG532" s="1605"/>
      <c r="FH532" s="1605"/>
      <c r="FI532" s="1605"/>
      <c r="FJ532" s="1605"/>
      <c r="FK532" s="1605"/>
      <c r="FL532" s="1605"/>
      <c r="FM532" s="1605"/>
      <c r="FN532" s="1605"/>
      <c r="FO532" s="1605"/>
      <c r="FP532" s="1605"/>
      <c r="FQ532" s="1605"/>
      <c r="FR532" s="1605"/>
      <c r="FS532" s="1605"/>
      <c r="FT532" s="1605"/>
      <c r="FU532" s="1605"/>
      <c r="FV532" s="1605"/>
      <c r="FW532" s="1605"/>
      <c r="FX532" s="1605"/>
      <c r="FY532" s="1605"/>
      <c r="FZ532" s="1605"/>
      <c r="GA532" s="1605"/>
      <c r="GB532" s="1605"/>
      <c r="GC532" s="1605"/>
      <c r="GD532" s="1605"/>
      <c r="GE532" s="1605"/>
      <c r="GF532" s="1605"/>
      <c r="GG532" s="1605"/>
      <c r="GH532" s="1605"/>
      <c r="GI532" s="1605"/>
      <c r="GJ532" s="1605"/>
      <c r="GK532" s="1605"/>
      <c r="GL532" s="1605"/>
      <c r="GM532" s="1605"/>
      <c r="GN532" s="1605"/>
      <c r="GO532" s="1605"/>
      <c r="GP532" s="1605"/>
      <c r="GQ532" s="1605"/>
      <c r="GR532" s="1605"/>
      <c r="GS532" s="1605"/>
      <c r="GT532" s="1605"/>
      <c r="GU532" s="1605"/>
      <c r="GV532" s="1605"/>
      <c r="GW532" s="1605"/>
      <c r="GX532" s="1605"/>
      <c r="GY532" s="1605"/>
      <c r="GZ532" s="1605"/>
      <c r="HA532" s="1605"/>
      <c r="HB532" s="1605"/>
      <c r="HC532" s="1605"/>
      <c r="HD532" s="1605"/>
      <c r="HE532" s="1605"/>
      <c r="HF532" s="1605"/>
      <c r="HG532" s="1605"/>
      <c r="HH532" s="1605"/>
      <c r="HI532" s="1605"/>
      <c r="HJ532" s="1605"/>
      <c r="HK532" s="1605"/>
      <c r="HL532" s="1605"/>
      <c r="HM532" s="1605"/>
      <c r="HN532" s="1605"/>
      <c r="HO532" s="1605"/>
      <c r="HP532" s="1605"/>
      <c r="HQ532" s="1605"/>
      <c r="HR532" s="1605"/>
      <c r="HS532" s="1605"/>
      <c r="HT532" s="1605"/>
      <c r="HU532" s="1605"/>
      <c r="HV532" s="1605"/>
      <c r="HW532" s="1605"/>
      <c r="HX532" s="1605"/>
      <c r="HY532" s="1605"/>
      <c r="HZ532" s="1605"/>
      <c r="IA532" s="1605"/>
      <c r="IB532" s="1605"/>
      <c r="IC532" s="1605"/>
      <c r="ID532" s="1605"/>
      <c r="IE532" s="1605"/>
      <c r="IF532" s="1605"/>
      <c r="IG532" s="1605"/>
      <c r="IH532" s="1605"/>
      <c r="II532" s="1605"/>
      <c r="IJ532" s="1605"/>
      <c r="IK532" s="1605"/>
      <c r="IL532" s="1605"/>
      <c r="IM532" s="1605"/>
      <c r="IN532" s="1605"/>
      <c r="IO532" s="1605"/>
      <c r="IP532" s="1605"/>
      <c r="IQ532" s="1605"/>
      <c r="IR532" s="1605"/>
      <c r="IS532" s="1605"/>
      <c r="IT532" s="1605"/>
      <c r="IU532" s="1605"/>
      <c r="IV532" s="1605"/>
      <c r="IW532" s="1605"/>
      <c r="IX532" s="1605"/>
      <c r="IY532" s="1605"/>
      <c r="IZ532" s="1605"/>
      <c r="JA532" s="1605"/>
      <c r="JB532" s="1605"/>
      <c r="JC532" s="1605"/>
      <c r="JD532" s="1605"/>
      <c r="JE532" s="1605"/>
      <c r="JF532" s="1605"/>
      <c r="JG532" s="1605"/>
      <c r="JH532" s="1605"/>
      <c r="JI532" s="1605"/>
      <c r="JJ532" s="1605"/>
      <c r="JK532" s="1605"/>
      <c r="JL532" s="1605"/>
      <c r="JM532" s="1605"/>
      <c r="JN532" s="1605"/>
      <c r="JO532" s="1605"/>
      <c r="JP532" s="1605"/>
      <c r="JQ532" s="1605"/>
      <c r="JR532" s="1605"/>
      <c r="JS532" s="1605"/>
      <c r="JT532" s="1605"/>
      <c r="JU532" s="1605"/>
      <c r="JV532" s="1605"/>
      <c r="JW532" s="1605"/>
      <c r="JX532" s="1605"/>
      <c r="JY532" s="1605"/>
      <c r="JZ532" s="1605"/>
      <c r="KA532" s="1605"/>
      <c r="KB532" s="1606"/>
    </row>
    <row r="533" spans="2:288" ht="15" customHeight="1" x14ac:dyDescent="0.25">
      <c r="B533" s="216" t="str">
        <f t="shared" si="45"/>
        <v>Desk 6</v>
      </c>
      <c r="C533" s="218" t="str">
        <v/>
      </c>
      <c r="D533" s="218" t="str">
        <v/>
      </c>
      <c r="E533" s="218" t="str">
        <v/>
      </c>
      <c r="F533" s="218" t="str">
        <v/>
      </c>
      <c r="G533" s="402" t="str">
        <v/>
      </c>
      <c r="H533" s="1605"/>
      <c r="I533" s="1605"/>
      <c r="J533" s="1605"/>
      <c r="K533" s="1605"/>
      <c r="L533" s="1605"/>
      <c r="M533" s="1605"/>
      <c r="N533" s="1605"/>
      <c r="O533" s="1605"/>
      <c r="P533" s="1605"/>
      <c r="Q533" s="1605"/>
      <c r="R533" s="1605"/>
      <c r="S533" s="1605"/>
      <c r="T533" s="1605"/>
      <c r="U533" s="1605"/>
      <c r="V533" s="1605"/>
      <c r="W533" s="1605"/>
      <c r="X533" s="1605"/>
      <c r="Y533" s="1605"/>
      <c r="Z533" s="1605"/>
      <c r="AA533" s="1605"/>
      <c r="AB533" s="1605"/>
      <c r="AC533" s="1605"/>
      <c r="AD533" s="1605"/>
      <c r="AE533" s="1605"/>
      <c r="AF533" s="1605"/>
      <c r="AG533" s="1605"/>
      <c r="AH533" s="1605"/>
      <c r="AI533" s="1605"/>
      <c r="AJ533" s="1605"/>
      <c r="AK533" s="1605"/>
      <c r="AL533" s="1605"/>
      <c r="AM533" s="1605"/>
      <c r="AN533" s="1605"/>
      <c r="AO533" s="1605"/>
      <c r="AP533" s="1605"/>
      <c r="AQ533" s="1605"/>
      <c r="AR533" s="1605"/>
      <c r="AS533" s="1605"/>
      <c r="AT533" s="1605"/>
      <c r="AU533" s="1605"/>
      <c r="AV533" s="1605"/>
      <c r="AW533" s="1605"/>
      <c r="AX533" s="1605"/>
      <c r="AY533" s="1605"/>
      <c r="AZ533" s="1605"/>
      <c r="BA533" s="1605"/>
      <c r="BB533" s="1605"/>
      <c r="BC533" s="1605"/>
      <c r="BD533" s="1605"/>
      <c r="BE533" s="1605"/>
      <c r="BF533" s="1605"/>
      <c r="BG533" s="1605"/>
      <c r="BH533" s="1605"/>
      <c r="BI533" s="1605"/>
      <c r="BJ533" s="1605"/>
      <c r="BK533" s="1605"/>
      <c r="BL533" s="1605"/>
      <c r="BM533" s="1605"/>
      <c r="BN533" s="1605"/>
      <c r="BO533" s="1605"/>
      <c r="BP533" s="1605"/>
      <c r="BQ533" s="1605"/>
      <c r="BR533" s="1605"/>
      <c r="BS533" s="1605"/>
      <c r="BT533" s="1605"/>
      <c r="BU533" s="1605"/>
      <c r="BV533" s="1605"/>
      <c r="BW533" s="1605"/>
      <c r="BX533" s="1605"/>
      <c r="BY533" s="1605"/>
      <c r="BZ533" s="1605"/>
      <c r="CA533" s="1605"/>
      <c r="CB533" s="1605"/>
      <c r="CC533" s="1605"/>
      <c r="CD533" s="1605"/>
      <c r="CE533" s="1605"/>
      <c r="CF533" s="1605"/>
      <c r="CG533" s="1605"/>
      <c r="CH533" s="1605"/>
      <c r="CI533" s="1605"/>
      <c r="CJ533" s="1605"/>
      <c r="CK533" s="1605"/>
      <c r="CL533" s="1605"/>
      <c r="CM533" s="1605"/>
      <c r="CN533" s="1605"/>
      <c r="CO533" s="1605"/>
      <c r="CP533" s="1605"/>
      <c r="CQ533" s="1605"/>
      <c r="CR533" s="1605"/>
      <c r="CS533" s="1605"/>
      <c r="CT533" s="1605"/>
      <c r="CU533" s="1605"/>
      <c r="CV533" s="1605"/>
      <c r="CW533" s="1605"/>
      <c r="CX533" s="1605"/>
      <c r="CY533" s="1605"/>
      <c r="CZ533" s="1605"/>
      <c r="DA533" s="1605"/>
      <c r="DB533" s="1605"/>
      <c r="DC533" s="1605"/>
      <c r="DD533" s="1605"/>
      <c r="DE533" s="1605"/>
      <c r="DF533" s="1605"/>
      <c r="DG533" s="1605"/>
      <c r="DH533" s="1605"/>
      <c r="DI533" s="1605"/>
      <c r="DJ533" s="1605"/>
      <c r="DK533" s="1605"/>
      <c r="DL533" s="1605"/>
      <c r="DM533" s="1605"/>
      <c r="DN533" s="1605"/>
      <c r="DO533" s="1605"/>
      <c r="DP533" s="1605"/>
      <c r="DQ533" s="1605"/>
      <c r="DR533" s="1605"/>
      <c r="DS533" s="1605"/>
      <c r="DT533" s="1605"/>
      <c r="DU533" s="1605"/>
      <c r="DV533" s="1605"/>
      <c r="DW533" s="1605"/>
      <c r="DX533" s="1605"/>
      <c r="DY533" s="1605"/>
      <c r="DZ533" s="1605"/>
      <c r="EA533" s="1605"/>
      <c r="EB533" s="1605"/>
      <c r="EC533" s="1605"/>
      <c r="ED533" s="1605"/>
      <c r="EE533" s="1605"/>
      <c r="EF533" s="1605"/>
      <c r="EG533" s="1605"/>
      <c r="EH533" s="1605"/>
      <c r="EI533" s="1605"/>
      <c r="EJ533" s="1605"/>
      <c r="EK533" s="1605"/>
      <c r="EL533" s="1605"/>
      <c r="EM533" s="1605"/>
      <c r="EN533" s="1605"/>
      <c r="EO533" s="1605"/>
      <c r="EP533" s="1605"/>
      <c r="EQ533" s="1605"/>
      <c r="ER533" s="1605"/>
      <c r="ES533" s="1605"/>
      <c r="ET533" s="1605"/>
      <c r="EU533" s="1605"/>
      <c r="EV533" s="1605"/>
      <c r="EW533" s="1605"/>
      <c r="EX533" s="1605"/>
      <c r="EY533" s="1605"/>
      <c r="EZ533" s="1605"/>
      <c r="FA533" s="1605"/>
      <c r="FB533" s="1605"/>
      <c r="FC533" s="1605"/>
      <c r="FD533" s="1605"/>
      <c r="FE533" s="1605"/>
      <c r="FF533" s="1605"/>
      <c r="FG533" s="1605"/>
      <c r="FH533" s="1605"/>
      <c r="FI533" s="1605"/>
      <c r="FJ533" s="1605"/>
      <c r="FK533" s="1605"/>
      <c r="FL533" s="1605"/>
      <c r="FM533" s="1605"/>
      <c r="FN533" s="1605"/>
      <c r="FO533" s="1605"/>
      <c r="FP533" s="1605"/>
      <c r="FQ533" s="1605"/>
      <c r="FR533" s="1605"/>
      <c r="FS533" s="1605"/>
      <c r="FT533" s="1605"/>
      <c r="FU533" s="1605"/>
      <c r="FV533" s="1605"/>
      <c r="FW533" s="1605"/>
      <c r="FX533" s="1605"/>
      <c r="FY533" s="1605"/>
      <c r="FZ533" s="1605"/>
      <c r="GA533" s="1605"/>
      <c r="GB533" s="1605"/>
      <c r="GC533" s="1605"/>
      <c r="GD533" s="1605"/>
      <c r="GE533" s="1605"/>
      <c r="GF533" s="1605"/>
      <c r="GG533" s="1605"/>
      <c r="GH533" s="1605"/>
      <c r="GI533" s="1605"/>
      <c r="GJ533" s="1605"/>
      <c r="GK533" s="1605"/>
      <c r="GL533" s="1605"/>
      <c r="GM533" s="1605"/>
      <c r="GN533" s="1605"/>
      <c r="GO533" s="1605"/>
      <c r="GP533" s="1605"/>
      <c r="GQ533" s="1605"/>
      <c r="GR533" s="1605"/>
      <c r="GS533" s="1605"/>
      <c r="GT533" s="1605"/>
      <c r="GU533" s="1605"/>
      <c r="GV533" s="1605"/>
      <c r="GW533" s="1605"/>
      <c r="GX533" s="1605"/>
      <c r="GY533" s="1605"/>
      <c r="GZ533" s="1605"/>
      <c r="HA533" s="1605"/>
      <c r="HB533" s="1605"/>
      <c r="HC533" s="1605"/>
      <c r="HD533" s="1605"/>
      <c r="HE533" s="1605"/>
      <c r="HF533" s="1605"/>
      <c r="HG533" s="1605"/>
      <c r="HH533" s="1605"/>
      <c r="HI533" s="1605"/>
      <c r="HJ533" s="1605"/>
      <c r="HK533" s="1605"/>
      <c r="HL533" s="1605"/>
      <c r="HM533" s="1605"/>
      <c r="HN533" s="1605"/>
      <c r="HO533" s="1605"/>
      <c r="HP533" s="1605"/>
      <c r="HQ533" s="1605"/>
      <c r="HR533" s="1605"/>
      <c r="HS533" s="1605"/>
      <c r="HT533" s="1605"/>
      <c r="HU533" s="1605"/>
      <c r="HV533" s="1605"/>
      <c r="HW533" s="1605"/>
      <c r="HX533" s="1605"/>
      <c r="HY533" s="1605"/>
      <c r="HZ533" s="1605"/>
      <c r="IA533" s="1605"/>
      <c r="IB533" s="1605"/>
      <c r="IC533" s="1605"/>
      <c r="ID533" s="1605"/>
      <c r="IE533" s="1605"/>
      <c r="IF533" s="1605"/>
      <c r="IG533" s="1605"/>
      <c r="IH533" s="1605"/>
      <c r="II533" s="1605"/>
      <c r="IJ533" s="1605"/>
      <c r="IK533" s="1605"/>
      <c r="IL533" s="1605"/>
      <c r="IM533" s="1605"/>
      <c r="IN533" s="1605"/>
      <c r="IO533" s="1605"/>
      <c r="IP533" s="1605"/>
      <c r="IQ533" s="1605"/>
      <c r="IR533" s="1605"/>
      <c r="IS533" s="1605"/>
      <c r="IT533" s="1605"/>
      <c r="IU533" s="1605"/>
      <c r="IV533" s="1605"/>
      <c r="IW533" s="1605"/>
      <c r="IX533" s="1605"/>
      <c r="IY533" s="1605"/>
      <c r="IZ533" s="1605"/>
      <c r="JA533" s="1605"/>
      <c r="JB533" s="1605"/>
      <c r="JC533" s="1605"/>
      <c r="JD533" s="1605"/>
      <c r="JE533" s="1605"/>
      <c r="JF533" s="1605"/>
      <c r="JG533" s="1605"/>
      <c r="JH533" s="1605"/>
      <c r="JI533" s="1605"/>
      <c r="JJ533" s="1605"/>
      <c r="JK533" s="1605"/>
      <c r="JL533" s="1605"/>
      <c r="JM533" s="1605"/>
      <c r="JN533" s="1605"/>
      <c r="JO533" s="1605"/>
      <c r="JP533" s="1605"/>
      <c r="JQ533" s="1605"/>
      <c r="JR533" s="1605"/>
      <c r="JS533" s="1605"/>
      <c r="JT533" s="1605"/>
      <c r="JU533" s="1605"/>
      <c r="JV533" s="1605"/>
      <c r="JW533" s="1605"/>
      <c r="JX533" s="1605"/>
      <c r="JY533" s="1605"/>
      <c r="JZ533" s="1605"/>
      <c r="KA533" s="1605"/>
      <c r="KB533" s="1606"/>
    </row>
    <row r="534" spans="2:288" ht="15" customHeight="1" x14ac:dyDescent="0.25">
      <c r="B534" s="216" t="str">
        <f t="shared" si="45"/>
        <v>Desk 7</v>
      </c>
      <c r="C534" s="218" t="str">
        <v/>
      </c>
      <c r="D534" s="218" t="str">
        <v/>
      </c>
      <c r="E534" s="218" t="str">
        <v/>
      </c>
      <c r="F534" s="218" t="str">
        <v/>
      </c>
      <c r="G534" s="402" t="str">
        <v/>
      </c>
      <c r="H534" s="1605"/>
      <c r="I534" s="1605"/>
      <c r="J534" s="1605"/>
      <c r="K534" s="1605"/>
      <c r="L534" s="1605"/>
      <c r="M534" s="1605"/>
      <c r="N534" s="1605"/>
      <c r="O534" s="1605"/>
      <c r="P534" s="1605"/>
      <c r="Q534" s="1605"/>
      <c r="R534" s="1605"/>
      <c r="S534" s="1605"/>
      <c r="T534" s="1605"/>
      <c r="U534" s="1605"/>
      <c r="V534" s="1605"/>
      <c r="W534" s="1605"/>
      <c r="X534" s="1605"/>
      <c r="Y534" s="1605"/>
      <c r="Z534" s="1605"/>
      <c r="AA534" s="1605"/>
      <c r="AB534" s="1605"/>
      <c r="AC534" s="1605"/>
      <c r="AD534" s="1605"/>
      <c r="AE534" s="1605"/>
      <c r="AF534" s="1605"/>
      <c r="AG534" s="1605"/>
      <c r="AH534" s="1605"/>
      <c r="AI534" s="1605"/>
      <c r="AJ534" s="1605"/>
      <c r="AK534" s="1605"/>
      <c r="AL534" s="1605"/>
      <c r="AM534" s="1605"/>
      <c r="AN534" s="1605"/>
      <c r="AO534" s="1605"/>
      <c r="AP534" s="1605"/>
      <c r="AQ534" s="1605"/>
      <c r="AR534" s="1605"/>
      <c r="AS534" s="1605"/>
      <c r="AT534" s="1605"/>
      <c r="AU534" s="1605"/>
      <c r="AV534" s="1605"/>
      <c r="AW534" s="1605"/>
      <c r="AX534" s="1605"/>
      <c r="AY534" s="1605"/>
      <c r="AZ534" s="1605"/>
      <c r="BA534" s="1605"/>
      <c r="BB534" s="1605"/>
      <c r="BC534" s="1605"/>
      <c r="BD534" s="1605"/>
      <c r="BE534" s="1605"/>
      <c r="BF534" s="1605"/>
      <c r="BG534" s="1605"/>
      <c r="BH534" s="1605"/>
      <c r="BI534" s="1605"/>
      <c r="BJ534" s="1605"/>
      <c r="BK534" s="1605"/>
      <c r="BL534" s="1605"/>
      <c r="BM534" s="1605"/>
      <c r="BN534" s="1605"/>
      <c r="BO534" s="1605"/>
      <c r="BP534" s="1605"/>
      <c r="BQ534" s="1605"/>
      <c r="BR534" s="1605"/>
      <c r="BS534" s="1605"/>
      <c r="BT534" s="1605"/>
      <c r="BU534" s="1605"/>
      <c r="BV534" s="1605"/>
      <c r="BW534" s="1605"/>
      <c r="BX534" s="1605"/>
      <c r="BY534" s="1605"/>
      <c r="BZ534" s="1605"/>
      <c r="CA534" s="1605"/>
      <c r="CB534" s="1605"/>
      <c r="CC534" s="1605"/>
      <c r="CD534" s="1605"/>
      <c r="CE534" s="1605"/>
      <c r="CF534" s="1605"/>
      <c r="CG534" s="1605"/>
      <c r="CH534" s="1605"/>
      <c r="CI534" s="1605"/>
      <c r="CJ534" s="1605"/>
      <c r="CK534" s="1605"/>
      <c r="CL534" s="1605"/>
      <c r="CM534" s="1605"/>
      <c r="CN534" s="1605"/>
      <c r="CO534" s="1605"/>
      <c r="CP534" s="1605"/>
      <c r="CQ534" s="1605"/>
      <c r="CR534" s="1605"/>
      <c r="CS534" s="1605"/>
      <c r="CT534" s="1605"/>
      <c r="CU534" s="1605"/>
      <c r="CV534" s="1605"/>
      <c r="CW534" s="1605"/>
      <c r="CX534" s="1605"/>
      <c r="CY534" s="1605"/>
      <c r="CZ534" s="1605"/>
      <c r="DA534" s="1605"/>
      <c r="DB534" s="1605"/>
      <c r="DC534" s="1605"/>
      <c r="DD534" s="1605"/>
      <c r="DE534" s="1605"/>
      <c r="DF534" s="1605"/>
      <c r="DG534" s="1605"/>
      <c r="DH534" s="1605"/>
      <c r="DI534" s="1605"/>
      <c r="DJ534" s="1605"/>
      <c r="DK534" s="1605"/>
      <c r="DL534" s="1605"/>
      <c r="DM534" s="1605"/>
      <c r="DN534" s="1605"/>
      <c r="DO534" s="1605"/>
      <c r="DP534" s="1605"/>
      <c r="DQ534" s="1605"/>
      <c r="DR534" s="1605"/>
      <c r="DS534" s="1605"/>
      <c r="DT534" s="1605"/>
      <c r="DU534" s="1605"/>
      <c r="DV534" s="1605"/>
      <c r="DW534" s="1605"/>
      <c r="DX534" s="1605"/>
      <c r="DY534" s="1605"/>
      <c r="DZ534" s="1605"/>
      <c r="EA534" s="1605"/>
      <c r="EB534" s="1605"/>
      <c r="EC534" s="1605"/>
      <c r="ED534" s="1605"/>
      <c r="EE534" s="1605"/>
      <c r="EF534" s="1605"/>
      <c r="EG534" s="1605"/>
      <c r="EH534" s="1605"/>
      <c r="EI534" s="1605"/>
      <c r="EJ534" s="1605"/>
      <c r="EK534" s="1605"/>
      <c r="EL534" s="1605"/>
      <c r="EM534" s="1605"/>
      <c r="EN534" s="1605"/>
      <c r="EO534" s="1605"/>
      <c r="EP534" s="1605"/>
      <c r="EQ534" s="1605"/>
      <c r="ER534" s="1605"/>
      <c r="ES534" s="1605"/>
      <c r="ET534" s="1605"/>
      <c r="EU534" s="1605"/>
      <c r="EV534" s="1605"/>
      <c r="EW534" s="1605"/>
      <c r="EX534" s="1605"/>
      <c r="EY534" s="1605"/>
      <c r="EZ534" s="1605"/>
      <c r="FA534" s="1605"/>
      <c r="FB534" s="1605"/>
      <c r="FC534" s="1605"/>
      <c r="FD534" s="1605"/>
      <c r="FE534" s="1605"/>
      <c r="FF534" s="1605"/>
      <c r="FG534" s="1605"/>
      <c r="FH534" s="1605"/>
      <c r="FI534" s="1605"/>
      <c r="FJ534" s="1605"/>
      <c r="FK534" s="1605"/>
      <c r="FL534" s="1605"/>
      <c r="FM534" s="1605"/>
      <c r="FN534" s="1605"/>
      <c r="FO534" s="1605"/>
      <c r="FP534" s="1605"/>
      <c r="FQ534" s="1605"/>
      <c r="FR534" s="1605"/>
      <c r="FS534" s="1605"/>
      <c r="FT534" s="1605"/>
      <c r="FU534" s="1605"/>
      <c r="FV534" s="1605"/>
      <c r="FW534" s="1605"/>
      <c r="FX534" s="1605"/>
      <c r="FY534" s="1605"/>
      <c r="FZ534" s="1605"/>
      <c r="GA534" s="1605"/>
      <c r="GB534" s="1605"/>
      <c r="GC534" s="1605"/>
      <c r="GD534" s="1605"/>
      <c r="GE534" s="1605"/>
      <c r="GF534" s="1605"/>
      <c r="GG534" s="1605"/>
      <c r="GH534" s="1605"/>
      <c r="GI534" s="1605"/>
      <c r="GJ534" s="1605"/>
      <c r="GK534" s="1605"/>
      <c r="GL534" s="1605"/>
      <c r="GM534" s="1605"/>
      <c r="GN534" s="1605"/>
      <c r="GO534" s="1605"/>
      <c r="GP534" s="1605"/>
      <c r="GQ534" s="1605"/>
      <c r="GR534" s="1605"/>
      <c r="GS534" s="1605"/>
      <c r="GT534" s="1605"/>
      <c r="GU534" s="1605"/>
      <c r="GV534" s="1605"/>
      <c r="GW534" s="1605"/>
      <c r="GX534" s="1605"/>
      <c r="GY534" s="1605"/>
      <c r="GZ534" s="1605"/>
      <c r="HA534" s="1605"/>
      <c r="HB534" s="1605"/>
      <c r="HC534" s="1605"/>
      <c r="HD534" s="1605"/>
      <c r="HE534" s="1605"/>
      <c r="HF534" s="1605"/>
      <c r="HG534" s="1605"/>
      <c r="HH534" s="1605"/>
      <c r="HI534" s="1605"/>
      <c r="HJ534" s="1605"/>
      <c r="HK534" s="1605"/>
      <c r="HL534" s="1605"/>
      <c r="HM534" s="1605"/>
      <c r="HN534" s="1605"/>
      <c r="HO534" s="1605"/>
      <c r="HP534" s="1605"/>
      <c r="HQ534" s="1605"/>
      <c r="HR534" s="1605"/>
      <c r="HS534" s="1605"/>
      <c r="HT534" s="1605"/>
      <c r="HU534" s="1605"/>
      <c r="HV534" s="1605"/>
      <c r="HW534" s="1605"/>
      <c r="HX534" s="1605"/>
      <c r="HY534" s="1605"/>
      <c r="HZ534" s="1605"/>
      <c r="IA534" s="1605"/>
      <c r="IB534" s="1605"/>
      <c r="IC534" s="1605"/>
      <c r="ID534" s="1605"/>
      <c r="IE534" s="1605"/>
      <c r="IF534" s="1605"/>
      <c r="IG534" s="1605"/>
      <c r="IH534" s="1605"/>
      <c r="II534" s="1605"/>
      <c r="IJ534" s="1605"/>
      <c r="IK534" s="1605"/>
      <c r="IL534" s="1605"/>
      <c r="IM534" s="1605"/>
      <c r="IN534" s="1605"/>
      <c r="IO534" s="1605"/>
      <c r="IP534" s="1605"/>
      <c r="IQ534" s="1605"/>
      <c r="IR534" s="1605"/>
      <c r="IS534" s="1605"/>
      <c r="IT534" s="1605"/>
      <c r="IU534" s="1605"/>
      <c r="IV534" s="1605"/>
      <c r="IW534" s="1605"/>
      <c r="IX534" s="1605"/>
      <c r="IY534" s="1605"/>
      <c r="IZ534" s="1605"/>
      <c r="JA534" s="1605"/>
      <c r="JB534" s="1605"/>
      <c r="JC534" s="1605"/>
      <c r="JD534" s="1605"/>
      <c r="JE534" s="1605"/>
      <c r="JF534" s="1605"/>
      <c r="JG534" s="1605"/>
      <c r="JH534" s="1605"/>
      <c r="JI534" s="1605"/>
      <c r="JJ534" s="1605"/>
      <c r="JK534" s="1605"/>
      <c r="JL534" s="1605"/>
      <c r="JM534" s="1605"/>
      <c r="JN534" s="1605"/>
      <c r="JO534" s="1605"/>
      <c r="JP534" s="1605"/>
      <c r="JQ534" s="1605"/>
      <c r="JR534" s="1605"/>
      <c r="JS534" s="1605"/>
      <c r="JT534" s="1605"/>
      <c r="JU534" s="1605"/>
      <c r="JV534" s="1605"/>
      <c r="JW534" s="1605"/>
      <c r="JX534" s="1605"/>
      <c r="JY534" s="1605"/>
      <c r="JZ534" s="1605"/>
      <c r="KA534" s="1605"/>
      <c r="KB534" s="1606"/>
    </row>
    <row r="535" spans="2:288" ht="15" customHeight="1" x14ac:dyDescent="0.25">
      <c r="B535" s="216" t="str">
        <f t="shared" si="45"/>
        <v>Desk 8</v>
      </c>
      <c r="C535" s="218" t="str">
        <v/>
      </c>
      <c r="D535" s="218" t="str">
        <v/>
      </c>
      <c r="E535" s="218" t="str">
        <v/>
      </c>
      <c r="F535" s="218" t="str">
        <v/>
      </c>
      <c r="G535" s="402" t="str">
        <v/>
      </c>
      <c r="H535" s="1605"/>
      <c r="I535" s="1605"/>
      <c r="J535" s="1605"/>
      <c r="K535" s="1605"/>
      <c r="L535" s="1605"/>
      <c r="M535" s="1605"/>
      <c r="N535" s="1605"/>
      <c r="O535" s="1605"/>
      <c r="P535" s="1605"/>
      <c r="Q535" s="1605"/>
      <c r="R535" s="1605"/>
      <c r="S535" s="1605"/>
      <c r="T535" s="1605"/>
      <c r="U535" s="1605"/>
      <c r="V535" s="1605"/>
      <c r="W535" s="1605"/>
      <c r="X535" s="1605"/>
      <c r="Y535" s="1605"/>
      <c r="Z535" s="1605"/>
      <c r="AA535" s="1605"/>
      <c r="AB535" s="1605"/>
      <c r="AC535" s="1605"/>
      <c r="AD535" s="1605"/>
      <c r="AE535" s="1605"/>
      <c r="AF535" s="1605"/>
      <c r="AG535" s="1605"/>
      <c r="AH535" s="1605"/>
      <c r="AI535" s="1605"/>
      <c r="AJ535" s="1605"/>
      <c r="AK535" s="1605"/>
      <c r="AL535" s="1605"/>
      <c r="AM535" s="1605"/>
      <c r="AN535" s="1605"/>
      <c r="AO535" s="1605"/>
      <c r="AP535" s="1605"/>
      <c r="AQ535" s="1605"/>
      <c r="AR535" s="1605"/>
      <c r="AS535" s="1605"/>
      <c r="AT535" s="1605"/>
      <c r="AU535" s="1605"/>
      <c r="AV535" s="1605"/>
      <c r="AW535" s="1605"/>
      <c r="AX535" s="1605"/>
      <c r="AY535" s="1605"/>
      <c r="AZ535" s="1605"/>
      <c r="BA535" s="1605"/>
      <c r="BB535" s="1605"/>
      <c r="BC535" s="1605"/>
      <c r="BD535" s="1605"/>
      <c r="BE535" s="1605"/>
      <c r="BF535" s="1605"/>
      <c r="BG535" s="1605"/>
      <c r="BH535" s="1605"/>
      <c r="BI535" s="1605"/>
      <c r="BJ535" s="1605"/>
      <c r="BK535" s="1605"/>
      <c r="BL535" s="1605"/>
      <c r="BM535" s="1605"/>
      <c r="BN535" s="1605"/>
      <c r="BO535" s="1605"/>
      <c r="BP535" s="1605"/>
      <c r="BQ535" s="1605"/>
      <c r="BR535" s="1605"/>
      <c r="BS535" s="1605"/>
      <c r="BT535" s="1605"/>
      <c r="BU535" s="1605"/>
      <c r="BV535" s="1605"/>
      <c r="BW535" s="1605"/>
      <c r="BX535" s="1605"/>
      <c r="BY535" s="1605"/>
      <c r="BZ535" s="1605"/>
      <c r="CA535" s="1605"/>
      <c r="CB535" s="1605"/>
      <c r="CC535" s="1605"/>
      <c r="CD535" s="1605"/>
      <c r="CE535" s="1605"/>
      <c r="CF535" s="1605"/>
      <c r="CG535" s="1605"/>
      <c r="CH535" s="1605"/>
      <c r="CI535" s="1605"/>
      <c r="CJ535" s="1605"/>
      <c r="CK535" s="1605"/>
      <c r="CL535" s="1605"/>
      <c r="CM535" s="1605"/>
      <c r="CN535" s="1605"/>
      <c r="CO535" s="1605"/>
      <c r="CP535" s="1605"/>
      <c r="CQ535" s="1605"/>
      <c r="CR535" s="1605"/>
      <c r="CS535" s="1605"/>
      <c r="CT535" s="1605"/>
      <c r="CU535" s="1605"/>
      <c r="CV535" s="1605"/>
      <c r="CW535" s="1605"/>
      <c r="CX535" s="1605"/>
      <c r="CY535" s="1605"/>
      <c r="CZ535" s="1605"/>
      <c r="DA535" s="1605"/>
      <c r="DB535" s="1605"/>
      <c r="DC535" s="1605"/>
      <c r="DD535" s="1605"/>
      <c r="DE535" s="1605"/>
      <c r="DF535" s="1605"/>
      <c r="DG535" s="1605"/>
      <c r="DH535" s="1605"/>
      <c r="DI535" s="1605"/>
      <c r="DJ535" s="1605"/>
      <c r="DK535" s="1605"/>
      <c r="DL535" s="1605"/>
      <c r="DM535" s="1605"/>
      <c r="DN535" s="1605"/>
      <c r="DO535" s="1605"/>
      <c r="DP535" s="1605"/>
      <c r="DQ535" s="1605"/>
      <c r="DR535" s="1605"/>
      <c r="DS535" s="1605"/>
      <c r="DT535" s="1605"/>
      <c r="DU535" s="1605"/>
      <c r="DV535" s="1605"/>
      <c r="DW535" s="1605"/>
      <c r="DX535" s="1605"/>
      <c r="DY535" s="1605"/>
      <c r="DZ535" s="1605"/>
      <c r="EA535" s="1605"/>
      <c r="EB535" s="1605"/>
      <c r="EC535" s="1605"/>
      <c r="ED535" s="1605"/>
      <c r="EE535" s="1605"/>
      <c r="EF535" s="1605"/>
      <c r="EG535" s="1605"/>
      <c r="EH535" s="1605"/>
      <c r="EI535" s="1605"/>
      <c r="EJ535" s="1605"/>
      <c r="EK535" s="1605"/>
      <c r="EL535" s="1605"/>
      <c r="EM535" s="1605"/>
      <c r="EN535" s="1605"/>
      <c r="EO535" s="1605"/>
      <c r="EP535" s="1605"/>
      <c r="EQ535" s="1605"/>
      <c r="ER535" s="1605"/>
      <c r="ES535" s="1605"/>
      <c r="ET535" s="1605"/>
      <c r="EU535" s="1605"/>
      <c r="EV535" s="1605"/>
      <c r="EW535" s="1605"/>
      <c r="EX535" s="1605"/>
      <c r="EY535" s="1605"/>
      <c r="EZ535" s="1605"/>
      <c r="FA535" s="1605"/>
      <c r="FB535" s="1605"/>
      <c r="FC535" s="1605"/>
      <c r="FD535" s="1605"/>
      <c r="FE535" s="1605"/>
      <c r="FF535" s="1605"/>
      <c r="FG535" s="1605"/>
      <c r="FH535" s="1605"/>
      <c r="FI535" s="1605"/>
      <c r="FJ535" s="1605"/>
      <c r="FK535" s="1605"/>
      <c r="FL535" s="1605"/>
      <c r="FM535" s="1605"/>
      <c r="FN535" s="1605"/>
      <c r="FO535" s="1605"/>
      <c r="FP535" s="1605"/>
      <c r="FQ535" s="1605"/>
      <c r="FR535" s="1605"/>
      <c r="FS535" s="1605"/>
      <c r="FT535" s="1605"/>
      <c r="FU535" s="1605"/>
      <c r="FV535" s="1605"/>
      <c r="FW535" s="1605"/>
      <c r="FX535" s="1605"/>
      <c r="FY535" s="1605"/>
      <c r="FZ535" s="1605"/>
      <c r="GA535" s="1605"/>
      <c r="GB535" s="1605"/>
      <c r="GC535" s="1605"/>
      <c r="GD535" s="1605"/>
      <c r="GE535" s="1605"/>
      <c r="GF535" s="1605"/>
      <c r="GG535" s="1605"/>
      <c r="GH535" s="1605"/>
      <c r="GI535" s="1605"/>
      <c r="GJ535" s="1605"/>
      <c r="GK535" s="1605"/>
      <c r="GL535" s="1605"/>
      <c r="GM535" s="1605"/>
      <c r="GN535" s="1605"/>
      <c r="GO535" s="1605"/>
      <c r="GP535" s="1605"/>
      <c r="GQ535" s="1605"/>
      <c r="GR535" s="1605"/>
      <c r="GS535" s="1605"/>
      <c r="GT535" s="1605"/>
      <c r="GU535" s="1605"/>
      <c r="GV535" s="1605"/>
      <c r="GW535" s="1605"/>
      <c r="GX535" s="1605"/>
      <c r="GY535" s="1605"/>
      <c r="GZ535" s="1605"/>
      <c r="HA535" s="1605"/>
      <c r="HB535" s="1605"/>
      <c r="HC535" s="1605"/>
      <c r="HD535" s="1605"/>
      <c r="HE535" s="1605"/>
      <c r="HF535" s="1605"/>
      <c r="HG535" s="1605"/>
      <c r="HH535" s="1605"/>
      <c r="HI535" s="1605"/>
      <c r="HJ535" s="1605"/>
      <c r="HK535" s="1605"/>
      <c r="HL535" s="1605"/>
      <c r="HM535" s="1605"/>
      <c r="HN535" s="1605"/>
      <c r="HO535" s="1605"/>
      <c r="HP535" s="1605"/>
      <c r="HQ535" s="1605"/>
      <c r="HR535" s="1605"/>
      <c r="HS535" s="1605"/>
      <c r="HT535" s="1605"/>
      <c r="HU535" s="1605"/>
      <c r="HV535" s="1605"/>
      <c r="HW535" s="1605"/>
      <c r="HX535" s="1605"/>
      <c r="HY535" s="1605"/>
      <c r="HZ535" s="1605"/>
      <c r="IA535" s="1605"/>
      <c r="IB535" s="1605"/>
      <c r="IC535" s="1605"/>
      <c r="ID535" s="1605"/>
      <c r="IE535" s="1605"/>
      <c r="IF535" s="1605"/>
      <c r="IG535" s="1605"/>
      <c r="IH535" s="1605"/>
      <c r="II535" s="1605"/>
      <c r="IJ535" s="1605"/>
      <c r="IK535" s="1605"/>
      <c r="IL535" s="1605"/>
      <c r="IM535" s="1605"/>
      <c r="IN535" s="1605"/>
      <c r="IO535" s="1605"/>
      <c r="IP535" s="1605"/>
      <c r="IQ535" s="1605"/>
      <c r="IR535" s="1605"/>
      <c r="IS535" s="1605"/>
      <c r="IT535" s="1605"/>
      <c r="IU535" s="1605"/>
      <c r="IV535" s="1605"/>
      <c r="IW535" s="1605"/>
      <c r="IX535" s="1605"/>
      <c r="IY535" s="1605"/>
      <c r="IZ535" s="1605"/>
      <c r="JA535" s="1605"/>
      <c r="JB535" s="1605"/>
      <c r="JC535" s="1605"/>
      <c r="JD535" s="1605"/>
      <c r="JE535" s="1605"/>
      <c r="JF535" s="1605"/>
      <c r="JG535" s="1605"/>
      <c r="JH535" s="1605"/>
      <c r="JI535" s="1605"/>
      <c r="JJ535" s="1605"/>
      <c r="JK535" s="1605"/>
      <c r="JL535" s="1605"/>
      <c r="JM535" s="1605"/>
      <c r="JN535" s="1605"/>
      <c r="JO535" s="1605"/>
      <c r="JP535" s="1605"/>
      <c r="JQ535" s="1605"/>
      <c r="JR535" s="1605"/>
      <c r="JS535" s="1605"/>
      <c r="JT535" s="1605"/>
      <c r="JU535" s="1605"/>
      <c r="JV535" s="1605"/>
      <c r="JW535" s="1605"/>
      <c r="JX535" s="1605"/>
      <c r="JY535" s="1605"/>
      <c r="JZ535" s="1605"/>
      <c r="KA535" s="1605"/>
      <c r="KB535" s="1606"/>
    </row>
    <row r="536" spans="2:288" ht="15" customHeight="1" x14ac:dyDescent="0.25">
      <c r="B536" s="216" t="str">
        <f t="shared" si="45"/>
        <v>Desk 9</v>
      </c>
      <c r="C536" s="218" t="str">
        <v/>
      </c>
      <c r="D536" s="218" t="str">
        <v/>
      </c>
      <c r="E536" s="218" t="str">
        <v/>
      </c>
      <c r="F536" s="218" t="str">
        <v/>
      </c>
      <c r="G536" s="402" t="str">
        <v/>
      </c>
      <c r="H536" s="1605"/>
      <c r="I536" s="1605"/>
      <c r="J536" s="1605"/>
      <c r="K536" s="1605"/>
      <c r="L536" s="1605"/>
      <c r="M536" s="1605"/>
      <c r="N536" s="1605"/>
      <c r="O536" s="1605"/>
      <c r="P536" s="1605"/>
      <c r="Q536" s="1605"/>
      <c r="R536" s="1605"/>
      <c r="S536" s="1605"/>
      <c r="T536" s="1605"/>
      <c r="U536" s="1605"/>
      <c r="V536" s="1605"/>
      <c r="W536" s="1605"/>
      <c r="X536" s="1605"/>
      <c r="Y536" s="1605"/>
      <c r="Z536" s="1605"/>
      <c r="AA536" s="1605"/>
      <c r="AB536" s="1605"/>
      <c r="AC536" s="1605"/>
      <c r="AD536" s="1605"/>
      <c r="AE536" s="1605"/>
      <c r="AF536" s="1605"/>
      <c r="AG536" s="1605"/>
      <c r="AH536" s="1605"/>
      <c r="AI536" s="1605"/>
      <c r="AJ536" s="1605"/>
      <c r="AK536" s="1605"/>
      <c r="AL536" s="1605"/>
      <c r="AM536" s="1605"/>
      <c r="AN536" s="1605"/>
      <c r="AO536" s="1605"/>
      <c r="AP536" s="1605"/>
      <c r="AQ536" s="1605"/>
      <c r="AR536" s="1605"/>
      <c r="AS536" s="1605"/>
      <c r="AT536" s="1605"/>
      <c r="AU536" s="1605"/>
      <c r="AV536" s="1605"/>
      <c r="AW536" s="1605"/>
      <c r="AX536" s="1605"/>
      <c r="AY536" s="1605"/>
      <c r="AZ536" s="1605"/>
      <c r="BA536" s="1605"/>
      <c r="BB536" s="1605"/>
      <c r="BC536" s="1605"/>
      <c r="BD536" s="1605"/>
      <c r="BE536" s="1605"/>
      <c r="BF536" s="1605"/>
      <c r="BG536" s="1605"/>
      <c r="BH536" s="1605"/>
      <c r="BI536" s="1605"/>
      <c r="BJ536" s="1605"/>
      <c r="BK536" s="1605"/>
      <c r="BL536" s="1605"/>
      <c r="BM536" s="1605"/>
      <c r="BN536" s="1605"/>
      <c r="BO536" s="1605"/>
      <c r="BP536" s="1605"/>
      <c r="BQ536" s="1605"/>
      <c r="BR536" s="1605"/>
      <c r="BS536" s="1605"/>
      <c r="BT536" s="1605"/>
      <c r="BU536" s="1605"/>
      <c r="BV536" s="1605"/>
      <c r="BW536" s="1605"/>
      <c r="BX536" s="1605"/>
      <c r="BY536" s="1605"/>
      <c r="BZ536" s="1605"/>
      <c r="CA536" s="1605"/>
      <c r="CB536" s="1605"/>
      <c r="CC536" s="1605"/>
      <c r="CD536" s="1605"/>
      <c r="CE536" s="1605"/>
      <c r="CF536" s="1605"/>
      <c r="CG536" s="1605"/>
      <c r="CH536" s="1605"/>
      <c r="CI536" s="1605"/>
      <c r="CJ536" s="1605"/>
      <c r="CK536" s="1605"/>
      <c r="CL536" s="1605"/>
      <c r="CM536" s="1605"/>
      <c r="CN536" s="1605"/>
      <c r="CO536" s="1605"/>
      <c r="CP536" s="1605"/>
      <c r="CQ536" s="1605"/>
      <c r="CR536" s="1605"/>
      <c r="CS536" s="1605"/>
      <c r="CT536" s="1605"/>
      <c r="CU536" s="1605"/>
      <c r="CV536" s="1605"/>
      <c r="CW536" s="1605"/>
      <c r="CX536" s="1605"/>
      <c r="CY536" s="1605"/>
      <c r="CZ536" s="1605"/>
      <c r="DA536" s="1605"/>
      <c r="DB536" s="1605"/>
      <c r="DC536" s="1605"/>
      <c r="DD536" s="1605"/>
      <c r="DE536" s="1605"/>
      <c r="DF536" s="1605"/>
      <c r="DG536" s="1605"/>
      <c r="DH536" s="1605"/>
      <c r="DI536" s="1605"/>
      <c r="DJ536" s="1605"/>
      <c r="DK536" s="1605"/>
      <c r="DL536" s="1605"/>
      <c r="DM536" s="1605"/>
      <c r="DN536" s="1605"/>
      <c r="DO536" s="1605"/>
      <c r="DP536" s="1605"/>
      <c r="DQ536" s="1605"/>
      <c r="DR536" s="1605"/>
      <c r="DS536" s="1605"/>
      <c r="DT536" s="1605"/>
      <c r="DU536" s="1605"/>
      <c r="DV536" s="1605"/>
      <c r="DW536" s="1605"/>
      <c r="DX536" s="1605"/>
      <c r="DY536" s="1605"/>
      <c r="DZ536" s="1605"/>
      <c r="EA536" s="1605"/>
      <c r="EB536" s="1605"/>
      <c r="EC536" s="1605"/>
      <c r="ED536" s="1605"/>
      <c r="EE536" s="1605"/>
      <c r="EF536" s="1605"/>
      <c r="EG536" s="1605"/>
      <c r="EH536" s="1605"/>
      <c r="EI536" s="1605"/>
      <c r="EJ536" s="1605"/>
      <c r="EK536" s="1605"/>
      <c r="EL536" s="1605"/>
      <c r="EM536" s="1605"/>
      <c r="EN536" s="1605"/>
      <c r="EO536" s="1605"/>
      <c r="EP536" s="1605"/>
      <c r="EQ536" s="1605"/>
      <c r="ER536" s="1605"/>
      <c r="ES536" s="1605"/>
      <c r="ET536" s="1605"/>
      <c r="EU536" s="1605"/>
      <c r="EV536" s="1605"/>
      <c r="EW536" s="1605"/>
      <c r="EX536" s="1605"/>
      <c r="EY536" s="1605"/>
      <c r="EZ536" s="1605"/>
      <c r="FA536" s="1605"/>
      <c r="FB536" s="1605"/>
      <c r="FC536" s="1605"/>
      <c r="FD536" s="1605"/>
      <c r="FE536" s="1605"/>
      <c r="FF536" s="1605"/>
      <c r="FG536" s="1605"/>
      <c r="FH536" s="1605"/>
      <c r="FI536" s="1605"/>
      <c r="FJ536" s="1605"/>
      <c r="FK536" s="1605"/>
      <c r="FL536" s="1605"/>
      <c r="FM536" s="1605"/>
      <c r="FN536" s="1605"/>
      <c r="FO536" s="1605"/>
      <c r="FP536" s="1605"/>
      <c r="FQ536" s="1605"/>
      <c r="FR536" s="1605"/>
      <c r="FS536" s="1605"/>
      <c r="FT536" s="1605"/>
      <c r="FU536" s="1605"/>
      <c r="FV536" s="1605"/>
      <c r="FW536" s="1605"/>
      <c r="FX536" s="1605"/>
      <c r="FY536" s="1605"/>
      <c r="FZ536" s="1605"/>
      <c r="GA536" s="1605"/>
      <c r="GB536" s="1605"/>
      <c r="GC536" s="1605"/>
      <c r="GD536" s="1605"/>
      <c r="GE536" s="1605"/>
      <c r="GF536" s="1605"/>
      <c r="GG536" s="1605"/>
      <c r="GH536" s="1605"/>
      <c r="GI536" s="1605"/>
      <c r="GJ536" s="1605"/>
      <c r="GK536" s="1605"/>
      <c r="GL536" s="1605"/>
      <c r="GM536" s="1605"/>
      <c r="GN536" s="1605"/>
      <c r="GO536" s="1605"/>
      <c r="GP536" s="1605"/>
      <c r="GQ536" s="1605"/>
      <c r="GR536" s="1605"/>
      <c r="GS536" s="1605"/>
      <c r="GT536" s="1605"/>
      <c r="GU536" s="1605"/>
      <c r="GV536" s="1605"/>
      <c r="GW536" s="1605"/>
      <c r="GX536" s="1605"/>
      <c r="GY536" s="1605"/>
      <c r="GZ536" s="1605"/>
      <c r="HA536" s="1605"/>
      <c r="HB536" s="1605"/>
      <c r="HC536" s="1605"/>
      <c r="HD536" s="1605"/>
      <c r="HE536" s="1605"/>
      <c r="HF536" s="1605"/>
      <c r="HG536" s="1605"/>
      <c r="HH536" s="1605"/>
      <c r="HI536" s="1605"/>
      <c r="HJ536" s="1605"/>
      <c r="HK536" s="1605"/>
      <c r="HL536" s="1605"/>
      <c r="HM536" s="1605"/>
      <c r="HN536" s="1605"/>
      <c r="HO536" s="1605"/>
      <c r="HP536" s="1605"/>
      <c r="HQ536" s="1605"/>
      <c r="HR536" s="1605"/>
      <c r="HS536" s="1605"/>
      <c r="HT536" s="1605"/>
      <c r="HU536" s="1605"/>
      <c r="HV536" s="1605"/>
      <c r="HW536" s="1605"/>
      <c r="HX536" s="1605"/>
      <c r="HY536" s="1605"/>
      <c r="HZ536" s="1605"/>
      <c r="IA536" s="1605"/>
      <c r="IB536" s="1605"/>
      <c r="IC536" s="1605"/>
      <c r="ID536" s="1605"/>
      <c r="IE536" s="1605"/>
      <c r="IF536" s="1605"/>
      <c r="IG536" s="1605"/>
      <c r="IH536" s="1605"/>
      <c r="II536" s="1605"/>
      <c r="IJ536" s="1605"/>
      <c r="IK536" s="1605"/>
      <c r="IL536" s="1605"/>
      <c r="IM536" s="1605"/>
      <c r="IN536" s="1605"/>
      <c r="IO536" s="1605"/>
      <c r="IP536" s="1605"/>
      <c r="IQ536" s="1605"/>
      <c r="IR536" s="1605"/>
      <c r="IS536" s="1605"/>
      <c r="IT536" s="1605"/>
      <c r="IU536" s="1605"/>
      <c r="IV536" s="1605"/>
      <c r="IW536" s="1605"/>
      <c r="IX536" s="1605"/>
      <c r="IY536" s="1605"/>
      <c r="IZ536" s="1605"/>
      <c r="JA536" s="1605"/>
      <c r="JB536" s="1605"/>
      <c r="JC536" s="1605"/>
      <c r="JD536" s="1605"/>
      <c r="JE536" s="1605"/>
      <c r="JF536" s="1605"/>
      <c r="JG536" s="1605"/>
      <c r="JH536" s="1605"/>
      <c r="JI536" s="1605"/>
      <c r="JJ536" s="1605"/>
      <c r="JK536" s="1605"/>
      <c r="JL536" s="1605"/>
      <c r="JM536" s="1605"/>
      <c r="JN536" s="1605"/>
      <c r="JO536" s="1605"/>
      <c r="JP536" s="1605"/>
      <c r="JQ536" s="1605"/>
      <c r="JR536" s="1605"/>
      <c r="JS536" s="1605"/>
      <c r="JT536" s="1605"/>
      <c r="JU536" s="1605"/>
      <c r="JV536" s="1605"/>
      <c r="JW536" s="1605"/>
      <c r="JX536" s="1605"/>
      <c r="JY536" s="1605"/>
      <c r="JZ536" s="1605"/>
      <c r="KA536" s="1605"/>
      <c r="KB536" s="1606"/>
    </row>
    <row r="537" spans="2:288" ht="15" customHeight="1" x14ac:dyDescent="0.25">
      <c r="B537" s="216" t="str">
        <f t="shared" si="45"/>
        <v>Desk 10</v>
      </c>
      <c r="C537" s="218" t="str">
        <v/>
      </c>
      <c r="D537" s="218" t="str">
        <v/>
      </c>
      <c r="E537" s="218" t="str">
        <v/>
      </c>
      <c r="F537" s="218" t="str">
        <v/>
      </c>
      <c r="G537" s="402" t="str">
        <v/>
      </c>
      <c r="H537" s="1605"/>
      <c r="I537" s="1605"/>
      <c r="J537" s="1605"/>
      <c r="K537" s="1605"/>
      <c r="L537" s="1605"/>
      <c r="M537" s="1605"/>
      <c r="N537" s="1605"/>
      <c r="O537" s="1605"/>
      <c r="P537" s="1605"/>
      <c r="Q537" s="1605"/>
      <c r="R537" s="1605"/>
      <c r="S537" s="1605"/>
      <c r="T537" s="1605"/>
      <c r="U537" s="1605"/>
      <c r="V537" s="1605"/>
      <c r="W537" s="1605"/>
      <c r="X537" s="1605"/>
      <c r="Y537" s="1605"/>
      <c r="Z537" s="1605"/>
      <c r="AA537" s="1605"/>
      <c r="AB537" s="1605"/>
      <c r="AC537" s="1605"/>
      <c r="AD537" s="1605"/>
      <c r="AE537" s="1605"/>
      <c r="AF537" s="1605"/>
      <c r="AG537" s="1605"/>
      <c r="AH537" s="1605"/>
      <c r="AI537" s="1605"/>
      <c r="AJ537" s="1605"/>
      <c r="AK537" s="1605"/>
      <c r="AL537" s="1605"/>
      <c r="AM537" s="1605"/>
      <c r="AN537" s="1605"/>
      <c r="AO537" s="1605"/>
      <c r="AP537" s="1605"/>
      <c r="AQ537" s="1605"/>
      <c r="AR537" s="1605"/>
      <c r="AS537" s="1605"/>
      <c r="AT537" s="1605"/>
      <c r="AU537" s="1605"/>
      <c r="AV537" s="1605"/>
      <c r="AW537" s="1605"/>
      <c r="AX537" s="1605"/>
      <c r="AY537" s="1605"/>
      <c r="AZ537" s="1605"/>
      <c r="BA537" s="1605"/>
      <c r="BB537" s="1605"/>
      <c r="BC537" s="1605"/>
      <c r="BD537" s="1605"/>
      <c r="BE537" s="1605"/>
      <c r="BF537" s="1605"/>
      <c r="BG537" s="1605"/>
      <c r="BH537" s="1605"/>
      <c r="BI537" s="1605"/>
      <c r="BJ537" s="1605"/>
      <c r="BK537" s="1605"/>
      <c r="BL537" s="1605"/>
      <c r="BM537" s="1605"/>
      <c r="BN537" s="1605"/>
      <c r="BO537" s="1605"/>
      <c r="BP537" s="1605"/>
      <c r="BQ537" s="1605"/>
      <c r="BR537" s="1605"/>
      <c r="BS537" s="1605"/>
      <c r="BT537" s="1605"/>
      <c r="BU537" s="1605"/>
      <c r="BV537" s="1605"/>
      <c r="BW537" s="1605"/>
      <c r="BX537" s="1605"/>
      <c r="BY537" s="1605"/>
      <c r="BZ537" s="1605"/>
      <c r="CA537" s="1605"/>
      <c r="CB537" s="1605"/>
      <c r="CC537" s="1605"/>
      <c r="CD537" s="1605"/>
      <c r="CE537" s="1605"/>
      <c r="CF537" s="1605"/>
      <c r="CG537" s="1605"/>
      <c r="CH537" s="1605"/>
      <c r="CI537" s="1605"/>
      <c r="CJ537" s="1605"/>
      <c r="CK537" s="1605"/>
      <c r="CL537" s="1605"/>
      <c r="CM537" s="1605"/>
      <c r="CN537" s="1605"/>
      <c r="CO537" s="1605"/>
      <c r="CP537" s="1605"/>
      <c r="CQ537" s="1605"/>
      <c r="CR537" s="1605"/>
      <c r="CS537" s="1605"/>
      <c r="CT537" s="1605"/>
      <c r="CU537" s="1605"/>
      <c r="CV537" s="1605"/>
      <c r="CW537" s="1605"/>
      <c r="CX537" s="1605"/>
      <c r="CY537" s="1605"/>
      <c r="CZ537" s="1605"/>
      <c r="DA537" s="1605"/>
      <c r="DB537" s="1605"/>
      <c r="DC537" s="1605"/>
      <c r="DD537" s="1605"/>
      <c r="DE537" s="1605"/>
      <c r="DF537" s="1605"/>
      <c r="DG537" s="1605"/>
      <c r="DH537" s="1605"/>
      <c r="DI537" s="1605"/>
      <c r="DJ537" s="1605"/>
      <c r="DK537" s="1605"/>
      <c r="DL537" s="1605"/>
      <c r="DM537" s="1605"/>
      <c r="DN537" s="1605"/>
      <c r="DO537" s="1605"/>
      <c r="DP537" s="1605"/>
      <c r="DQ537" s="1605"/>
      <c r="DR537" s="1605"/>
      <c r="DS537" s="1605"/>
      <c r="DT537" s="1605"/>
      <c r="DU537" s="1605"/>
      <c r="DV537" s="1605"/>
      <c r="DW537" s="1605"/>
      <c r="DX537" s="1605"/>
      <c r="DY537" s="1605"/>
      <c r="DZ537" s="1605"/>
      <c r="EA537" s="1605"/>
      <c r="EB537" s="1605"/>
      <c r="EC537" s="1605"/>
      <c r="ED537" s="1605"/>
      <c r="EE537" s="1605"/>
      <c r="EF537" s="1605"/>
      <c r="EG537" s="1605"/>
      <c r="EH537" s="1605"/>
      <c r="EI537" s="1605"/>
      <c r="EJ537" s="1605"/>
      <c r="EK537" s="1605"/>
      <c r="EL537" s="1605"/>
      <c r="EM537" s="1605"/>
      <c r="EN537" s="1605"/>
      <c r="EO537" s="1605"/>
      <c r="EP537" s="1605"/>
      <c r="EQ537" s="1605"/>
      <c r="ER537" s="1605"/>
      <c r="ES537" s="1605"/>
      <c r="ET537" s="1605"/>
      <c r="EU537" s="1605"/>
      <c r="EV537" s="1605"/>
      <c r="EW537" s="1605"/>
      <c r="EX537" s="1605"/>
      <c r="EY537" s="1605"/>
      <c r="EZ537" s="1605"/>
      <c r="FA537" s="1605"/>
      <c r="FB537" s="1605"/>
      <c r="FC537" s="1605"/>
      <c r="FD537" s="1605"/>
      <c r="FE537" s="1605"/>
      <c r="FF537" s="1605"/>
      <c r="FG537" s="1605"/>
      <c r="FH537" s="1605"/>
      <c r="FI537" s="1605"/>
      <c r="FJ537" s="1605"/>
      <c r="FK537" s="1605"/>
      <c r="FL537" s="1605"/>
      <c r="FM537" s="1605"/>
      <c r="FN537" s="1605"/>
      <c r="FO537" s="1605"/>
      <c r="FP537" s="1605"/>
      <c r="FQ537" s="1605"/>
      <c r="FR537" s="1605"/>
      <c r="FS537" s="1605"/>
      <c r="FT537" s="1605"/>
      <c r="FU537" s="1605"/>
      <c r="FV537" s="1605"/>
      <c r="FW537" s="1605"/>
      <c r="FX537" s="1605"/>
      <c r="FY537" s="1605"/>
      <c r="FZ537" s="1605"/>
      <c r="GA537" s="1605"/>
      <c r="GB537" s="1605"/>
      <c r="GC537" s="1605"/>
      <c r="GD537" s="1605"/>
      <c r="GE537" s="1605"/>
      <c r="GF537" s="1605"/>
      <c r="GG537" s="1605"/>
      <c r="GH537" s="1605"/>
      <c r="GI537" s="1605"/>
      <c r="GJ537" s="1605"/>
      <c r="GK537" s="1605"/>
      <c r="GL537" s="1605"/>
      <c r="GM537" s="1605"/>
      <c r="GN537" s="1605"/>
      <c r="GO537" s="1605"/>
      <c r="GP537" s="1605"/>
      <c r="GQ537" s="1605"/>
      <c r="GR537" s="1605"/>
      <c r="GS537" s="1605"/>
      <c r="GT537" s="1605"/>
      <c r="GU537" s="1605"/>
      <c r="GV537" s="1605"/>
      <c r="GW537" s="1605"/>
      <c r="GX537" s="1605"/>
      <c r="GY537" s="1605"/>
      <c r="GZ537" s="1605"/>
      <c r="HA537" s="1605"/>
      <c r="HB537" s="1605"/>
      <c r="HC537" s="1605"/>
      <c r="HD537" s="1605"/>
      <c r="HE537" s="1605"/>
      <c r="HF537" s="1605"/>
      <c r="HG537" s="1605"/>
      <c r="HH537" s="1605"/>
      <c r="HI537" s="1605"/>
      <c r="HJ537" s="1605"/>
      <c r="HK537" s="1605"/>
      <c r="HL537" s="1605"/>
      <c r="HM537" s="1605"/>
      <c r="HN537" s="1605"/>
      <c r="HO537" s="1605"/>
      <c r="HP537" s="1605"/>
      <c r="HQ537" s="1605"/>
      <c r="HR537" s="1605"/>
      <c r="HS537" s="1605"/>
      <c r="HT537" s="1605"/>
      <c r="HU537" s="1605"/>
      <c r="HV537" s="1605"/>
      <c r="HW537" s="1605"/>
      <c r="HX537" s="1605"/>
      <c r="HY537" s="1605"/>
      <c r="HZ537" s="1605"/>
      <c r="IA537" s="1605"/>
      <c r="IB537" s="1605"/>
      <c r="IC537" s="1605"/>
      <c r="ID537" s="1605"/>
      <c r="IE537" s="1605"/>
      <c r="IF537" s="1605"/>
      <c r="IG537" s="1605"/>
      <c r="IH537" s="1605"/>
      <c r="II537" s="1605"/>
      <c r="IJ537" s="1605"/>
      <c r="IK537" s="1605"/>
      <c r="IL537" s="1605"/>
      <c r="IM537" s="1605"/>
      <c r="IN537" s="1605"/>
      <c r="IO537" s="1605"/>
      <c r="IP537" s="1605"/>
      <c r="IQ537" s="1605"/>
      <c r="IR537" s="1605"/>
      <c r="IS537" s="1605"/>
      <c r="IT537" s="1605"/>
      <c r="IU537" s="1605"/>
      <c r="IV537" s="1605"/>
      <c r="IW537" s="1605"/>
      <c r="IX537" s="1605"/>
      <c r="IY537" s="1605"/>
      <c r="IZ537" s="1605"/>
      <c r="JA537" s="1605"/>
      <c r="JB537" s="1605"/>
      <c r="JC537" s="1605"/>
      <c r="JD537" s="1605"/>
      <c r="JE537" s="1605"/>
      <c r="JF537" s="1605"/>
      <c r="JG537" s="1605"/>
      <c r="JH537" s="1605"/>
      <c r="JI537" s="1605"/>
      <c r="JJ537" s="1605"/>
      <c r="JK537" s="1605"/>
      <c r="JL537" s="1605"/>
      <c r="JM537" s="1605"/>
      <c r="JN537" s="1605"/>
      <c r="JO537" s="1605"/>
      <c r="JP537" s="1605"/>
      <c r="JQ537" s="1605"/>
      <c r="JR537" s="1605"/>
      <c r="JS537" s="1605"/>
      <c r="JT537" s="1605"/>
      <c r="JU537" s="1605"/>
      <c r="JV537" s="1605"/>
      <c r="JW537" s="1605"/>
      <c r="JX537" s="1605"/>
      <c r="JY537" s="1605"/>
      <c r="JZ537" s="1605"/>
      <c r="KA537" s="1605"/>
      <c r="KB537" s="1606"/>
    </row>
    <row r="538" spans="2:288" ht="15" customHeight="1" x14ac:dyDescent="0.25">
      <c r="B538" s="216" t="str">
        <f t="shared" si="45"/>
        <v>Desk 11</v>
      </c>
      <c r="C538" s="218" t="str">
        <v/>
      </c>
      <c r="D538" s="218" t="str">
        <v/>
      </c>
      <c r="E538" s="218" t="str">
        <v/>
      </c>
      <c r="F538" s="218" t="str">
        <v/>
      </c>
      <c r="G538" s="402" t="str">
        <v/>
      </c>
      <c r="H538" s="1605"/>
      <c r="I538" s="1605"/>
      <c r="J538" s="1605"/>
      <c r="K538" s="1605"/>
      <c r="L538" s="1605"/>
      <c r="M538" s="1605"/>
      <c r="N538" s="1605"/>
      <c r="O538" s="1605"/>
      <c r="P538" s="1605"/>
      <c r="Q538" s="1605"/>
      <c r="R538" s="1605"/>
      <c r="S538" s="1605"/>
      <c r="T538" s="1605"/>
      <c r="U538" s="1605"/>
      <c r="V538" s="1605"/>
      <c r="W538" s="1605"/>
      <c r="X538" s="1605"/>
      <c r="Y538" s="1605"/>
      <c r="Z538" s="1605"/>
      <c r="AA538" s="1605"/>
      <c r="AB538" s="1605"/>
      <c r="AC538" s="1605"/>
      <c r="AD538" s="1605"/>
      <c r="AE538" s="1605"/>
      <c r="AF538" s="1605"/>
      <c r="AG538" s="1605"/>
      <c r="AH538" s="1605"/>
      <c r="AI538" s="1605"/>
      <c r="AJ538" s="1605"/>
      <c r="AK538" s="1605"/>
      <c r="AL538" s="1605"/>
      <c r="AM538" s="1605"/>
      <c r="AN538" s="1605"/>
      <c r="AO538" s="1605"/>
      <c r="AP538" s="1605"/>
      <c r="AQ538" s="1605"/>
      <c r="AR538" s="1605"/>
      <c r="AS538" s="1605"/>
      <c r="AT538" s="1605"/>
      <c r="AU538" s="1605"/>
      <c r="AV538" s="1605"/>
      <c r="AW538" s="1605"/>
      <c r="AX538" s="1605"/>
      <c r="AY538" s="1605"/>
      <c r="AZ538" s="1605"/>
      <c r="BA538" s="1605"/>
      <c r="BB538" s="1605"/>
      <c r="BC538" s="1605"/>
      <c r="BD538" s="1605"/>
      <c r="BE538" s="1605"/>
      <c r="BF538" s="1605"/>
      <c r="BG538" s="1605"/>
      <c r="BH538" s="1605"/>
      <c r="BI538" s="1605"/>
      <c r="BJ538" s="1605"/>
      <c r="BK538" s="1605"/>
      <c r="BL538" s="1605"/>
      <c r="BM538" s="1605"/>
      <c r="BN538" s="1605"/>
      <c r="BO538" s="1605"/>
      <c r="BP538" s="1605"/>
      <c r="BQ538" s="1605"/>
      <c r="BR538" s="1605"/>
      <c r="BS538" s="1605"/>
      <c r="BT538" s="1605"/>
      <c r="BU538" s="1605"/>
      <c r="BV538" s="1605"/>
      <c r="BW538" s="1605"/>
      <c r="BX538" s="1605"/>
      <c r="BY538" s="1605"/>
      <c r="BZ538" s="1605"/>
      <c r="CA538" s="1605"/>
      <c r="CB538" s="1605"/>
      <c r="CC538" s="1605"/>
      <c r="CD538" s="1605"/>
      <c r="CE538" s="1605"/>
      <c r="CF538" s="1605"/>
      <c r="CG538" s="1605"/>
      <c r="CH538" s="1605"/>
      <c r="CI538" s="1605"/>
      <c r="CJ538" s="1605"/>
      <c r="CK538" s="1605"/>
      <c r="CL538" s="1605"/>
      <c r="CM538" s="1605"/>
      <c r="CN538" s="1605"/>
      <c r="CO538" s="1605"/>
      <c r="CP538" s="1605"/>
      <c r="CQ538" s="1605"/>
      <c r="CR538" s="1605"/>
      <c r="CS538" s="1605"/>
      <c r="CT538" s="1605"/>
      <c r="CU538" s="1605"/>
      <c r="CV538" s="1605"/>
      <c r="CW538" s="1605"/>
      <c r="CX538" s="1605"/>
      <c r="CY538" s="1605"/>
      <c r="CZ538" s="1605"/>
      <c r="DA538" s="1605"/>
      <c r="DB538" s="1605"/>
      <c r="DC538" s="1605"/>
      <c r="DD538" s="1605"/>
      <c r="DE538" s="1605"/>
      <c r="DF538" s="1605"/>
      <c r="DG538" s="1605"/>
      <c r="DH538" s="1605"/>
      <c r="DI538" s="1605"/>
      <c r="DJ538" s="1605"/>
      <c r="DK538" s="1605"/>
      <c r="DL538" s="1605"/>
      <c r="DM538" s="1605"/>
      <c r="DN538" s="1605"/>
      <c r="DO538" s="1605"/>
      <c r="DP538" s="1605"/>
      <c r="DQ538" s="1605"/>
      <c r="DR538" s="1605"/>
      <c r="DS538" s="1605"/>
      <c r="DT538" s="1605"/>
      <c r="DU538" s="1605"/>
      <c r="DV538" s="1605"/>
      <c r="DW538" s="1605"/>
      <c r="DX538" s="1605"/>
      <c r="DY538" s="1605"/>
      <c r="DZ538" s="1605"/>
      <c r="EA538" s="1605"/>
      <c r="EB538" s="1605"/>
      <c r="EC538" s="1605"/>
      <c r="ED538" s="1605"/>
      <c r="EE538" s="1605"/>
      <c r="EF538" s="1605"/>
      <c r="EG538" s="1605"/>
      <c r="EH538" s="1605"/>
      <c r="EI538" s="1605"/>
      <c r="EJ538" s="1605"/>
      <c r="EK538" s="1605"/>
      <c r="EL538" s="1605"/>
      <c r="EM538" s="1605"/>
      <c r="EN538" s="1605"/>
      <c r="EO538" s="1605"/>
      <c r="EP538" s="1605"/>
      <c r="EQ538" s="1605"/>
      <c r="ER538" s="1605"/>
      <c r="ES538" s="1605"/>
      <c r="ET538" s="1605"/>
      <c r="EU538" s="1605"/>
      <c r="EV538" s="1605"/>
      <c r="EW538" s="1605"/>
      <c r="EX538" s="1605"/>
      <c r="EY538" s="1605"/>
      <c r="EZ538" s="1605"/>
      <c r="FA538" s="1605"/>
      <c r="FB538" s="1605"/>
      <c r="FC538" s="1605"/>
      <c r="FD538" s="1605"/>
      <c r="FE538" s="1605"/>
      <c r="FF538" s="1605"/>
      <c r="FG538" s="1605"/>
      <c r="FH538" s="1605"/>
      <c r="FI538" s="1605"/>
      <c r="FJ538" s="1605"/>
      <c r="FK538" s="1605"/>
      <c r="FL538" s="1605"/>
      <c r="FM538" s="1605"/>
      <c r="FN538" s="1605"/>
      <c r="FO538" s="1605"/>
      <c r="FP538" s="1605"/>
      <c r="FQ538" s="1605"/>
      <c r="FR538" s="1605"/>
      <c r="FS538" s="1605"/>
      <c r="FT538" s="1605"/>
      <c r="FU538" s="1605"/>
      <c r="FV538" s="1605"/>
      <c r="FW538" s="1605"/>
      <c r="FX538" s="1605"/>
      <c r="FY538" s="1605"/>
      <c r="FZ538" s="1605"/>
      <c r="GA538" s="1605"/>
      <c r="GB538" s="1605"/>
      <c r="GC538" s="1605"/>
      <c r="GD538" s="1605"/>
      <c r="GE538" s="1605"/>
      <c r="GF538" s="1605"/>
      <c r="GG538" s="1605"/>
      <c r="GH538" s="1605"/>
      <c r="GI538" s="1605"/>
      <c r="GJ538" s="1605"/>
      <c r="GK538" s="1605"/>
      <c r="GL538" s="1605"/>
      <c r="GM538" s="1605"/>
      <c r="GN538" s="1605"/>
      <c r="GO538" s="1605"/>
      <c r="GP538" s="1605"/>
      <c r="GQ538" s="1605"/>
      <c r="GR538" s="1605"/>
      <c r="GS538" s="1605"/>
      <c r="GT538" s="1605"/>
      <c r="GU538" s="1605"/>
      <c r="GV538" s="1605"/>
      <c r="GW538" s="1605"/>
      <c r="GX538" s="1605"/>
      <c r="GY538" s="1605"/>
      <c r="GZ538" s="1605"/>
      <c r="HA538" s="1605"/>
      <c r="HB538" s="1605"/>
      <c r="HC538" s="1605"/>
      <c r="HD538" s="1605"/>
      <c r="HE538" s="1605"/>
      <c r="HF538" s="1605"/>
      <c r="HG538" s="1605"/>
      <c r="HH538" s="1605"/>
      <c r="HI538" s="1605"/>
      <c r="HJ538" s="1605"/>
      <c r="HK538" s="1605"/>
      <c r="HL538" s="1605"/>
      <c r="HM538" s="1605"/>
      <c r="HN538" s="1605"/>
      <c r="HO538" s="1605"/>
      <c r="HP538" s="1605"/>
      <c r="HQ538" s="1605"/>
      <c r="HR538" s="1605"/>
      <c r="HS538" s="1605"/>
      <c r="HT538" s="1605"/>
      <c r="HU538" s="1605"/>
      <c r="HV538" s="1605"/>
      <c r="HW538" s="1605"/>
      <c r="HX538" s="1605"/>
      <c r="HY538" s="1605"/>
      <c r="HZ538" s="1605"/>
      <c r="IA538" s="1605"/>
      <c r="IB538" s="1605"/>
      <c r="IC538" s="1605"/>
      <c r="ID538" s="1605"/>
      <c r="IE538" s="1605"/>
      <c r="IF538" s="1605"/>
      <c r="IG538" s="1605"/>
      <c r="IH538" s="1605"/>
      <c r="II538" s="1605"/>
      <c r="IJ538" s="1605"/>
      <c r="IK538" s="1605"/>
      <c r="IL538" s="1605"/>
      <c r="IM538" s="1605"/>
      <c r="IN538" s="1605"/>
      <c r="IO538" s="1605"/>
      <c r="IP538" s="1605"/>
      <c r="IQ538" s="1605"/>
      <c r="IR538" s="1605"/>
      <c r="IS538" s="1605"/>
      <c r="IT538" s="1605"/>
      <c r="IU538" s="1605"/>
      <c r="IV538" s="1605"/>
      <c r="IW538" s="1605"/>
      <c r="IX538" s="1605"/>
      <c r="IY538" s="1605"/>
      <c r="IZ538" s="1605"/>
      <c r="JA538" s="1605"/>
      <c r="JB538" s="1605"/>
      <c r="JC538" s="1605"/>
      <c r="JD538" s="1605"/>
      <c r="JE538" s="1605"/>
      <c r="JF538" s="1605"/>
      <c r="JG538" s="1605"/>
      <c r="JH538" s="1605"/>
      <c r="JI538" s="1605"/>
      <c r="JJ538" s="1605"/>
      <c r="JK538" s="1605"/>
      <c r="JL538" s="1605"/>
      <c r="JM538" s="1605"/>
      <c r="JN538" s="1605"/>
      <c r="JO538" s="1605"/>
      <c r="JP538" s="1605"/>
      <c r="JQ538" s="1605"/>
      <c r="JR538" s="1605"/>
      <c r="JS538" s="1605"/>
      <c r="JT538" s="1605"/>
      <c r="JU538" s="1605"/>
      <c r="JV538" s="1605"/>
      <c r="JW538" s="1605"/>
      <c r="JX538" s="1605"/>
      <c r="JY538" s="1605"/>
      <c r="JZ538" s="1605"/>
      <c r="KA538" s="1605"/>
      <c r="KB538" s="1606"/>
    </row>
    <row r="539" spans="2:288" ht="15" customHeight="1" x14ac:dyDescent="0.25">
      <c r="B539" s="216" t="str">
        <f t="shared" si="45"/>
        <v>Desk 12</v>
      </c>
      <c r="C539" s="218" t="str">
        <v/>
      </c>
      <c r="D539" s="218" t="str">
        <v/>
      </c>
      <c r="E539" s="218" t="str">
        <v/>
      </c>
      <c r="F539" s="218" t="str">
        <v/>
      </c>
      <c r="G539" s="402" t="str">
        <v/>
      </c>
      <c r="H539" s="1605"/>
      <c r="I539" s="1605"/>
      <c r="J539" s="1605"/>
      <c r="K539" s="1605"/>
      <c r="L539" s="1605"/>
      <c r="M539" s="1605"/>
      <c r="N539" s="1605"/>
      <c r="O539" s="1605"/>
      <c r="P539" s="1605"/>
      <c r="Q539" s="1605"/>
      <c r="R539" s="1605"/>
      <c r="S539" s="1605"/>
      <c r="T539" s="1605"/>
      <c r="U539" s="1605"/>
      <c r="V539" s="1605"/>
      <c r="W539" s="1605"/>
      <c r="X539" s="1605"/>
      <c r="Y539" s="1605"/>
      <c r="Z539" s="1605"/>
      <c r="AA539" s="1605"/>
      <c r="AB539" s="1605"/>
      <c r="AC539" s="1605"/>
      <c r="AD539" s="1605"/>
      <c r="AE539" s="1605"/>
      <c r="AF539" s="1605"/>
      <c r="AG539" s="1605"/>
      <c r="AH539" s="1605"/>
      <c r="AI539" s="1605"/>
      <c r="AJ539" s="1605"/>
      <c r="AK539" s="1605"/>
      <c r="AL539" s="1605"/>
      <c r="AM539" s="1605"/>
      <c r="AN539" s="1605"/>
      <c r="AO539" s="1605"/>
      <c r="AP539" s="1605"/>
      <c r="AQ539" s="1605"/>
      <c r="AR539" s="1605"/>
      <c r="AS539" s="1605"/>
      <c r="AT539" s="1605"/>
      <c r="AU539" s="1605"/>
      <c r="AV539" s="1605"/>
      <c r="AW539" s="1605"/>
      <c r="AX539" s="1605"/>
      <c r="AY539" s="1605"/>
      <c r="AZ539" s="1605"/>
      <c r="BA539" s="1605"/>
      <c r="BB539" s="1605"/>
      <c r="BC539" s="1605"/>
      <c r="BD539" s="1605"/>
      <c r="BE539" s="1605"/>
      <c r="BF539" s="1605"/>
      <c r="BG539" s="1605"/>
      <c r="BH539" s="1605"/>
      <c r="BI539" s="1605"/>
      <c r="BJ539" s="1605"/>
      <c r="BK539" s="1605"/>
      <c r="BL539" s="1605"/>
      <c r="BM539" s="1605"/>
      <c r="BN539" s="1605"/>
      <c r="BO539" s="1605"/>
      <c r="BP539" s="1605"/>
      <c r="BQ539" s="1605"/>
      <c r="BR539" s="1605"/>
      <c r="BS539" s="1605"/>
      <c r="BT539" s="1605"/>
      <c r="BU539" s="1605"/>
      <c r="BV539" s="1605"/>
      <c r="BW539" s="1605"/>
      <c r="BX539" s="1605"/>
      <c r="BY539" s="1605"/>
      <c r="BZ539" s="1605"/>
      <c r="CA539" s="1605"/>
      <c r="CB539" s="1605"/>
      <c r="CC539" s="1605"/>
      <c r="CD539" s="1605"/>
      <c r="CE539" s="1605"/>
      <c r="CF539" s="1605"/>
      <c r="CG539" s="1605"/>
      <c r="CH539" s="1605"/>
      <c r="CI539" s="1605"/>
      <c r="CJ539" s="1605"/>
      <c r="CK539" s="1605"/>
      <c r="CL539" s="1605"/>
      <c r="CM539" s="1605"/>
      <c r="CN539" s="1605"/>
      <c r="CO539" s="1605"/>
      <c r="CP539" s="1605"/>
      <c r="CQ539" s="1605"/>
      <c r="CR539" s="1605"/>
      <c r="CS539" s="1605"/>
      <c r="CT539" s="1605"/>
      <c r="CU539" s="1605"/>
      <c r="CV539" s="1605"/>
      <c r="CW539" s="1605"/>
      <c r="CX539" s="1605"/>
      <c r="CY539" s="1605"/>
      <c r="CZ539" s="1605"/>
      <c r="DA539" s="1605"/>
      <c r="DB539" s="1605"/>
      <c r="DC539" s="1605"/>
      <c r="DD539" s="1605"/>
      <c r="DE539" s="1605"/>
      <c r="DF539" s="1605"/>
      <c r="DG539" s="1605"/>
      <c r="DH539" s="1605"/>
      <c r="DI539" s="1605"/>
      <c r="DJ539" s="1605"/>
      <c r="DK539" s="1605"/>
      <c r="DL539" s="1605"/>
      <c r="DM539" s="1605"/>
      <c r="DN539" s="1605"/>
      <c r="DO539" s="1605"/>
      <c r="DP539" s="1605"/>
      <c r="DQ539" s="1605"/>
      <c r="DR539" s="1605"/>
      <c r="DS539" s="1605"/>
      <c r="DT539" s="1605"/>
      <c r="DU539" s="1605"/>
      <c r="DV539" s="1605"/>
      <c r="DW539" s="1605"/>
      <c r="DX539" s="1605"/>
      <c r="DY539" s="1605"/>
      <c r="DZ539" s="1605"/>
      <c r="EA539" s="1605"/>
      <c r="EB539" s="1605"/>
      <c r="EC539" s="1605"/>
      <c r="ED539" s="1605"/>
      <c r="EE539" s="1605"/>
      <c r="EF539" s="1605"/>
      <c r="EG539" s="1605"/>
      <c r="EH539" s="1605"/>
      <c r="EI539" s="1605"/>
      <c r="EJ539" s="1605"/>
      <c r="EK539" s="1605"/>
      <c r="EL539" s="1605"/>
      <c r="EM539" s="1605"/>
      <c r="EN539" s="1605"/>
      <c r="EO539" s="1605"/>
      <c r="EP539" s="1605"/>
      <c r="EQ539" s="1605"/>
      <c r="ER539" s="1605"/>
      <c r="ES539" s="1605"/>
      <c r="ET539" s="1605"/>
      <c r="EU539" s="1605"/>
      <c r="EV539" s="1605"/>
      <c r="EW539" s="1605"/>
      <c r="EX539" s="1605"/>
      <c r="EY539" s="1605"/>
      <c r="EZ539" s="1605"/>
      <c r="FA539" s="1605"/>
      <c r="FB539" s="1605"/>
      <c r="FC539" s="1605"/>
      <c r="FD539" s="1605"/>
      <c r="FE539" s="1605"/>
      <c r="FF539" s="1605"/>
      <c r="FG539" s="1605"/>
      <c r="FH539" s="1605"/>
      <c r="FI539" s="1605"/>
      <c r="FJ539" s="1605"/>
      <c r="FK539" s="1605"/>
      <c r="FL539" s="1605"/>
      <c r="FM539" s="1605"/>
      <c r="FN539" s="1605"/>
      <c r="FO539" s="1605"/>
      <c r="FP539" s="1605"/>
      <c r="FQ539" s="1605"/>
      <c r="FR539" s="1605"/>
      <c r="FS539" s="1605"/>
      <c r="FT539" s="1605"/>
      <c r="FU539" s="1605"/>
      <c r="FV539" s="1605"/>
      <c r="FW539" s="1605"/>
      <c r="FX539" s="1605"/>
      <c r="FY539" s="1605"/>
      <c r="FZ539" s="1605"/>
      <c r="GA539" s="1605"/>
      <c r="GB539" s="1605"/>
      <c r="GC539" s="1605"/>
      <c r="GD539" s="1605"/>
      <c r="GE539" s="1605"/>
      <c r="GF539" s="1605"/>
      <c r="GG539" s="1605"/>
      <c r="GH539" s="1605"/>
      <c r="GI539" s="1605"/>
      <c r="GJ539" s="1605"/>
      <c r="GK539" s="1605"/>
      <c r="GL539" s="1605"/>
      <c r="GM539" s="1605"/>
      <c r="GN539" s="1605"/>
      <c r="GO539" s="1605"/>
      <c r="GP539" s="1605"/>
      <c r="GQ539" s="1605"/>
      <c r="GR539" s="1605"/>
      <c r="GS539" s="1605"/>
      <c r="GT539" s="1605"/>
      <c r="GU539" s="1605"/>
      <c r="GV539" s="1605"/>
      <c r="GW539" s="1605"/>
      <c r="GX539" s="1605"/>
      <c r="GY539" s="1605"/>
      <c r="GZ539" s="1605"/>
      <c r="HA539" s="1605"/>
      <c r="HB539" s="1605"/>
      <c r="HC539" s="1605"/>
      <c r="HD539" s="1605"/>
      <c r="HE539" s="1605"/>
      <c r="HF539" s="1605"/>
      <c r="HG539" s="1605"/>
      <c r="HH539" s="1605"/>
      <c r="HI539" s="1605"/>
      <c r="HJ539" s="1605"/>
      <c r="HK539" s="1605"/>
      <c r="HL539" s="1605"/>
      <c r="HM539" s="1605"/>
      <c r="HN539" s="1605"/>
      <c r="HO539" s="1605"/>
      <c r="HP539" s="1605"/>
      <c r="HQ539" s="1605"/>
      <c r="HR539" s="1605"/>
      <c r="HS539" s="1605"/>
      <c r="HT539" s="1605"/>
      <c r="HU539" s="1605"/>
      <c r="HV539" s="1605"/>
      <c r="HW539" s="1605"/>
      <c r="HX539" s="1605"/>
      <c r="HY539" s="1605"/>
      <c r="HZ539" s="1605"/>
      <c r="IA539" s="1605"/>
      <c r="IB539" s="1605"/>
      <c r="IC539" s="1605"/>
      <c r="ID539" s="1605"/>
      <c r="IE539" s="1605"/>
      <c r="IF539" s="1605"/>
      <c r="IG539" s="1605"/>
      <c r="IH539" s="1605"/>
      <c r="II539" s="1605"/>
      <c r="IJ539" s="1605"/>
      <c r="IK539" s="1605"/>
      <c r="IL539" s="1605"/>
      <c r="IM539" s="1605"/>
      <c r="IN539" s="1605"/>
      <c r="IO539" s="1605"/>
      <c r="IP539" s="1605"/>
      <c r="IQ539" s="1605"/>
      <c r="IR539" s="1605"/>
      <c r="IS539" s="1605"/>
      <c r="IT539" s="1605"/>
      <c r="IU539" s="1605"/>
      <c r="IV539" s="1605"/>
      <c r="IW539" s="1605"/>
      <c r="IX539" s="1605"/>
      <c r="IY539" s="1605"/>
      <c r="IZ539" s="1605"/>
      <c r="JA539" s="1605"/>
      <c r="JB539" s="1605"/>
      <c r="JC539" s="1605"/>
      <c r="JD539" s="1605"/>
      <c r="JE539" s="1605"/>
      <c r="JF539" s="1605"/>
      <c r="JG539" s="1605"/>
      <c r="JH539" s="1605"/>
      <c r="JI539" s="1605"/>
      <c r="JJ539" s="1605"/>
      <c r="JK539" s="1605"/>
      <c r="JL539" s="1605"/>
      <c r="JM539" s="1605"/>
      <c r="JN539" s="1605"/>
      <c r="JO539" s="1605"/>
      <c r="JP539" s="1605"/>
      <c r="JQ539" s="1605"/>
      <c r="JR539" s="1605"/>
      <c r="JS539" s="1605"/>
      <c r="JT539" s="1605"/>
      <c r="JU539" s="1605"/>
      <c r="JV539" s="1605"/>
      <c r="JW539" s="1605"/>
      <c r="JX539" s="1605"/>
      <c r="JY539" s="1605"/>
      <c r="JZ539" s="1605"/>
      <c r="KA539" s="1605"/>
      <c r="KB539" s="1606"/>
    </row>
    <row r="540" spans="2:288" ht="15" customHeight="1" x14ac:dyDescent="0.25">
      <c r="B540" s="216" t="str">
        <f t="shared" si="45"/>
        <v>Desk 13</v>
      </c>
      <c r="C540" s="218" t="str">
        <v/>
      </c>
      <c r="D540" s="218" t="str">
        <v/>
      </c>
      <c r="E540" s="218" t="str">
        <v/>
      </c>
      <c r="F540" s="218" t="str">
        <v/>
      </c>
      <c r="G540" s="402" t="str">
        <v/>
      </c>
      <c r="H540" s="1605"/>
      <c r="I540" s="1605"/>
      <c r="J540" s="1605"/>
      <c r="K540" s="1605"/>
      <c r="L540" s="1605"/>
      <c r="M540" s="1605"/>
      <c r="N540" s="1605"/>
      <c r="O540" s="1605"/>
      <c r="P540" s="1605"/>
      <c r="Q540" s="1605"/>
      <c r="R540" s="1605"/>
      <c r="S540" s="1605"/>
      <c r="T540" s="1605"/>
      <c r="U540" s="1605"/>
      <c r="V540" s="1605"/>
      <c r="W540" s="1605"/>
      <c r="X540" s="1605"/>
      <c r="Y540" s="1605"/>
      <c r="Z540" s="1605"/>
      <c r="AA540" s="1605"/>
      <c r="AB540" s="1605"/>
      <c r="AC540" s="1605"/>
      <c r="AD540" s="1605"/>
      <c r="AE540" s="1605"/>
      <c r="AF540" s="1605"/>
      <c r="AG540" s="1605"/>
      <c r="AH540" s="1605"/>
      <c r="AI540" s="1605"/>
      <c r="AJ540" s="1605"/>
      <c r="AK540" s="1605"/>
      <c r="AL540" s="1605"/>
      <c r="AM540" s="1605"/>
      <c r="AN540" s="1605"/>
      <c r="AO540" s="1605"/>
      <c r="AP540" s="1605"/>
      <c r="AQ540" s="1605"/>
      <c r="AR540" s="1605"/>
      <c r="AS540" s="1605"/>
      <c r="AT540" s="1605"/>
      <c r="AU540" s="1605"/>
      <c r="AV540" s="1605"/>
      <c r="AW540" s="1605"/>
      <c r="AX540" s="1605"/>
      <c r="AY540" s="1605"/>
      <c r="AZ540" s="1605"/>
      <c r="BA540" s="1605"/>
      <c r="BB540" s="1605"/>
      <c r="BC540" s="1605"/>
      <c r="BD540" s="1605"/>
      <c r="BE540" s="1605"/>
      <c r="BF540" s="1605"/>
      <c r="BG540" s="1605"/>
      <c r="BH540" s="1605"/>
      <c r="BI540" s="1605"/>
      <c r="BJ540" s="1605"/>
      <c r="BK540" s="1605"/>
      <c r="BL540" s="1605"/>
      <c r="BM540" s="1605"/>
      <c r="BN540" s="1605"/>
      <c r="BO540" s="1605"/>
      <c r="BP540" s="1605"/>
      <c r="BQ540" s="1605"/>
      <c r="BR540" s="1605"/>
      <c r="BS540" s="1605"/>
      <c r="BT540" s="1605"/>
      <c r="BU540" s="1605"/>
      <c r="BV540" s="1605"/>
      <c r="BW540" s="1605"/>
      <c r="BX540" s="1605"/>
      <c r="BY540" s="1605"/>
      <c r="BZ540" s="1605"/>
      <c r="CA540" s="1605"/>
      <c r="CB540" s="1605"/>
      <c r="CC540" s="1605"/>
      <c r="CD540" s="1605"/>
      <c r="CE540" s="1605"/>
      <c r="CF540" s="1605"/>
      <c r="CG540" s="1605"/>
      <c r="CH540" s="1605"/>
      <c r="CI540" s="1605"/>
      <c r="CJ540" s="1605"/>
      <c r="CK540" s="1605"/>
      <c r="CL540" s="1605"/>
      <c r="CM540" s="1605"/>
      <c r="CN540" s="1605"/>
      <c r="CO540" s="1605"/>
      <c r="CP540" s="1605"/>
      <c r="CQ540" s="1605"/>
      <c r="CR540" s="1605"/>
      <c r="CS540" s="1605"/>
      <c r="CT540" s="1605"/>
      <c r="CU540" s="1605"/>
      <c r="CV540" s="1605"/>
      <c r="CW540" s="1605"/>
      <c r="CX540" s="1605"/>
      <c r="CY540" s="1605"/>
      <c r="CZ540" s="1605"/>
      <c r="DA540" s="1605"/>
      <c r="DB540" s="1605"/>
      <c r="DC540" s="1605"/>
      <c r="DD540" s="1605"/>
      <c r="DE540" s="1605"/>
      <c r="DF540" s="1605"/>
      <c r="DG540" s="1605"/>
      <c r="DH540" s="1605"/>
      <c r="DI540" s="1605"/>
      <c r="DJ540" s="1605"/>
      <c r="DK540" s="1605"/>
      <c r="DL540" s="1605"/>
      <c r="DM540" s="1605"/>
      <c r="DN540" s="1605"/>
      <c r="DO540" s="1605"/>
      <c r="DP540" s="1605"/>
      <c r="DQ540" s="1605"/>
      <c r="DR540" s="1605"/>
      <c r="DS540" s="1605"/>
      <c r="DT540" s="1605"/>
      <c r="DU540" s="1605"/>
      <c r="DV540" s="1605"/>
      <c r="DW540" s="1605"/>
      <c r="DX540" s="1605"/>
      <c r="DY540" s="1605"/>
      <c r="DZ540" s="1605"/>
      <c r="EA540" s="1605"/>
      <c r="EB540" s="1605"/>
      <c r="EC540" s="1605"/>
      <c r="ED540" s="1605"/>
      <c r="EE540" s="1605"/>
      <c r="EF540" s="1605"/>
      <c r="EG540" s="1605"/>
      <c r="EH540" s="1605"/>
      <c r="EI540" s="1605"/>
      <c r="EJ540" s="1605"/>
      <c r="EK540" s="1605"/>
      <c r="EL540" s="1605"/>
      <c r="EM540" s="1605"/>
      <c r="EN540" s="1605"/>
      <c r="EO540" s="1605"/>
      <c r="EP540" s="1605"/>
      <c r="EQ540" s="1605"/>
      <c r="ER540" s="1605"/>
      <c r="ES540" s="1605"/>
      <c r="ET540" s="1605"/>
      <c r="EU540" s="1605"/>
      <c r="EV540" s="1605"/>
      <c r="EW540" s="1605"/>
      <c r="EX540" s="1605"/>
      <c r="EY540" s="1605"/>
      <c r="EZ540" s="1605"/>
      <c r="FA540" s="1605"/>
      <c r="FB540" s="1605"/>
      <c r="FC540" s="1605"/>
      <c r="FD540" s="1605"/>
      <c r="FE540" s="1605"/>
      <c r="FF540" s="1605"/>
      <c r="FG540" s="1605"/>
      <c r="FH540" s="1605"/>
      <c r="FI540" s="1605"/>
      <c r="FJ540" s="1605"/>
      <c r="FK540" s="1605"/>
      <c r="FL540" s="1605"/>
      <c r="FM540" s="1605"/>
      <c r="FN540" s="1605"/>
      <c r="FO540" s="1605"/>
      <c r="FP540" s="1605"/>
      <c r="FQ540" s="1605"/>
      <c r="FR540" s="1605"/>
      <c r="FS540" s="1605"/>
      <c r="FT540" s="1605"/>
      <c r="FU540" s="1605"/>
      <c r="FV540" s="1605"/>
      <c r="FW540" s="1605"/>
      <c r="FX540" s="1605"/>
      <c r="FY540" s="1605"/>
      <c r="FZ540" s="1605"/>
      <c r="GA540" s="1605"/>
      <c r="GB540" s="1605"/>
      <c r="GC540" s="1605"/>
      <c r="GD540" s="1605"/>
      <c r="GE540" s="1605"/>
      <c r="GF540" s="1605"/>
      <c r="GG540" s="1605"/>
      <c r="GH540" s="1605"/>
      <c r="GI540" s="1605"/>
      <c r="GJ540" s="1605"/>
      <c r="GK540" s="1605"/>
      <c r="GL540" s="1605"/>
      <c r="GM540" s="1605"/>
      <c r="GN540" s="1605"/>
      <c r="GO540" s="1605"/>
      <c r="GP540" s="1605"/>
      <c r="GQ540" s="1605"/>
      <c r="GR540" s="1605"/>
      <c r="GS540" s="1605"/>
      <c r="GT540" s="1605"/>
      <c r="GU540" s="1605"/>
      <c r="GV540" s="1605"/>
      <c r="GW540" s="1605"/>
      <c r="GX540" s="1605"/>
      <c r="GY540" s="1605"/>
      <c r="GZ540" s="1605"/>
      <c r="HA540" s="1605"/>
      <c r="HB540" s="1605"/>
      <c r="HC540" s="1605"/>
      <c r="HD540" s="1605"/>
      <c r="HE540" s="1605"/>
      <c r="HF540" s="1605"/>
      <c r="HG540" s="1605"/>
      <c r="HH540" s="1605"/>
      <c r="HI540" s="1605"/>
      <c r="HJ540" s="1605"/>
      <c r="HK540" s="1605"/>
      <c r="HL540" s="1605"/>
      <c r="HM540" s="1605"/>
      <c r="HN540" s="1605"/>
      <c r="HO540" s="1605"/>
      <c r="HP540" s="1605"/>
      <c r="HQ540" s="1605"/>
      <c r="HR540" s="1605"/>
      <c r="HS540" s="1605"/>
      <c r="HT540" s="1605"/>
      <c r="HU540" s="1605"/>
      <c r="HV540" s="1605"/>
      <c r="HW540" s="1605"/>
      <c r="HX540" s="1605"/>
      <c r="HY540" s="1605"/>
      <c r="HZ540" s="1605"/>
      <c r="IA540" s="1605"/>
      <c r="IB540" s="1605"/>
      <c r="IC540" s="1605"/>
      <c r="ID540" s="1605"/>
      <c r="IE540" s="1605"/>
      <c r="IF540" s="1605"/>
      <c r="IG540" s="1605"/>
      <c r="IH540" s="1605"/>
      <c r="II540" s="1605"/>
      <c r="IJ540" s="1605"/>
      <c r="IK540" s="1605"/>
      <c r="IL540" s="1605"/>
      <c r="IM540" s="1605"/>
      <c r="IN540" s="1605"/>
      <c r="IO540" s="1605"/>
      <c r="IP540" s="1605"/>
      <c r="IQ540" s="1605"/>
      <c r="IR540" s="1605"/>
      <c r="IS540" s="1605"/>
      <c r="IT540" s="1605"/>
      <c r="IU540" s="1605"/>
      <c r="IV540" s="1605"/>
      <c r="IW540" s="1605"/>
      <c r="IX540" s="1605"/>
      <c r="IY540" s="1605"/>
      <c r="IZ540" s="1605"/>
      <c r="JA540" s="1605"/>
      <c r="JB540" s="1605"/>
      <c r="JC540" s="1605"/>
      <c r="JD540" s="1605"/>
      <c r="JE540" s="1605"/>
      <c r="JF540" s="1605"/>
      <c r="JG540" s="1605"/>
      <c r="JH540" s="1605"/>
      <c r="JI540" s="1605"/>
      <c r="JJ540" s="1605"/>
      <c r="JK540" s="1605"/>
      <c r="JL540" s="1605"/>
      <c r="JM540" s="1605"/>
      <c r="JN540" s="1605"/>
      <c r="JO540" s="1605"/>
      <c r="JP540" s="1605"/>
      <c r="JQ540" s="1605"/>
      <c r="JR540" s="1605"/>
      <c r="JS540" s="1605"/>
      <c r="JT540" s="1605"/>
      <c r="JU540" s="1605"/>
      <c r="JV540" s="1605"/>
      <c r="JW540" s="1605"/>
      <c r="JX540" s="1605"/>
      <c r="JY540" s="1605"/>
      <c r="JZ540" s="1605"/>
      <c r="KA540" s="1605"/>
      <c r="KB540" s="1606"/>
    </row>
    <row r="541" spans="2:288" ht="15" customHeight="1" x14ac:dyDescent="0.25">
      <c r="B541" s="216" t="str">
        <f t="shared" si="45"/>
        <v>Desk 14</v>
      </c>
      <c r="C541" s="218" t="str">
        <v/>
      </c>
      <c r="D541" s="218" t="str">
        <v/>
      </c>
      <c r="E541" s="218" t="str">
        <v/>
      </c>
      <c r="F541" s="218" t="str">
        <v/>
      </c>
      <c r="G541" s="402" t="str">
        <v/>
      </c>
      <c r="H541" s="1605"/>
      <c r="I541" s="1605"/>
      <c r="J541" s="1605"/>
      <c r="K541" s="1605"/>
      <c r="L541" s="1605"/>
      <c r="M541" s="1605"/>
      <c r="N541" s="1605"/>
      <c r="O541" s="1605"/>
      <c r="P541" s="1605"/>
      <c r="Q541" s="1605"/>
      <c r="R541" s="1605"/>
      <c r="S541" s="1605"/>
      <c r="T541" s="1605"/>
      <c r="U541" s="1605"/>
      <c r="V541" s="1605"/>
      <c r="W541" s="1605"/>
      <c r="X541" s="1605"/>
      <c r="Y541" s="1605"/>
      <c r="Z541" s="1605"/>
      <c r="AA541" s="1605"/>
      <c r="AB541" s="1605"/>
      <c r="AC541" s="1605"/>
      <c r="AD541" s="1605"/>
      <c r="AE541" s="1605"/>
      <c r="AF541" s="1605"/>
      <c r="AG541" s="1605"/>
      <c r="AH541" s="1605"/>
      <c r="AI541" s="1605"/>
      <c r="AJ541" s="1605"/>
      <c r="AK541" s="1605"/>
      <c r="AL541" s="1605"/>
      <c r="AM541" s="1605"/>
      <c r="AN541" s="1605"/>
      <c r="AO541" s="1605"/>
      <c r="AP541" s="1605"/>
      <c r="AQ541" s="1605"/>
      <c r="AR541" s="1605"/>
      <c r="AS541" s="1605"/>
      <c r="AT541" s="1605"/>
      <c r="AU541" s="1605"/>
      <c r="AV541" s="1605"/>
      <c r="AW541" s="1605"/>
      <c r="AX541" s="1605"/>
      <c r="AY541" s="1605"/>
      <c r="AZ541" s="1605"/>
      <c r="BA541" s="1605"/>
      <c r="BB541" s="1605"/>
      <c r="BC541" s="1605"/>
      <c r="BD541" s="1605"/>
      <c r="BE541" s="1605"/>
      <c r="BF541" s="1605"/>
      <c r="BG541" s="1605"/>
      <c r="BH541" s="1605"/>
      <c r="BI541" s="1605"/>
      <c r="BJ541" s="1605"/>
      <c r="BK541" s="1605"/>
      <c r="BL541" s="1605"/>
      <c r="BM541" s="1605"/>
      <c r="BN541" s="1605"/>
      <c r="BO541" s="1605"/>
      <c r="BP541" s="1605"/>
      <c r="BQ541" s="1605"/>
      <c r="BR541" s="1605"/>
      <c r="BS541" s="1605"/>
      <c r="BT541" s="1605"/>
      <c r="BU541" s="1605"/>
      <c r="BV541" s="1605"/>
      <c r="BW541" s="1605"/>
      <c r="BX541" s="1605"/>
      <c r="BY541" s="1605"/>
      <c r="BZ541" s="1605"/>
      <c r="CA541" s="1605"/>
      <c r="CB541" s="1605"/>
      <c r="CC541" s="1605"/>
      <c r="CD541" s="1605"/>
      <c r="CE541" s="1605"/>
      <c r="CF541" s="1605"/>
      <c r="CG541" s="1605"/>
      <c r="CH541" s="1605"/>
      <c r="CI541" s="1605"/>
      <c r="CJ541" s="1605"/>
      <c r="CK541" s="1605"/>
      <c r="CL541" s="1605"/>
      <c r="CM541" s="1605"/>
      <c r="CN541" s="1605"/>
      <c r="CO541" s="1605"/>
      <c r="CP541" s="1605"/>
      <c r="CQ541" s="1605"/>
      <c r="CR541" s="1605"/>
      <c r="CS541" s="1605"/>
      <c r="CT541" s="1605"/>
      <c r="CU541" s="1605"/>
      <c r="CV541" s="1605"/>
      <c r="CW541" s="1605"/>
      <c r="CX541" s="1605"/>
      <c r="CY541" s="1605"/>
      <c r="CZ541" s="1605"/>
      <c r="DA541" s="1605"/>
      <c r="DB541" s="1605"/>
      <c r="DC541" s="1605"/>
      <c r="DD541" s="1605"/>
      <c r="DE541" s="1605"/>
      <c r="DF541" s="1605"/>
      <c r="DG541" s="1605"/>
      <c r="DH541" s="1605"/>
      <c r="DI541" s="1605"/>
      <c r="DJ541" s="1605"/>
      <c r="DK541" s="1605"/>
      <c r="DL541" s="1605"/>
      <c r="DM541" s="1605"/>
      <c r="DN541" s="1605"/>
      <c r="DO541" s="1605"/>
      <c r="DP541" s="1605"/>
      <c r="DQ541" s="1605"/>
      <c r="DR541" s="1605"/>
      <c r="DS541" s="1605"/>
      <c r="DT541" s="1605"/>
      <c r="DU541" s="1605"/>
      <c r="DV541" s="1605"/>
      <c r="DW541" s="1605"/>
      <c r="DX541" s="1605"/>
      <c r="DY541" s="1605"/>
      <c r="DZ541" s="1605"/>
      <c r="EA541" s="1605"/>
      <c r="EB541" s="1605"/>
      <c r="EC541" s="1605"/>
      <c r="ED541" s="1605"/>
      <c r="EE541" s="1605"/>
      <c r="EF541" s="1605"/>
      <c r="EG541" s="1605"/>
      <c r="EH541" s="1605"/>
      <c r="EI541" s="1605"/>
      <c r="EJ541" s="1605"/>
      <c r="EK541" s="1605"/>
      <c r="EL541" s="1605"/>
      <c r="EM541" s="1605"/>
      <c r="EN541" s="1605"/>
      <c r="EO541" s="1605"/>
      <c r="EP541" s="1605"/>
      <c r="EQ541" s="1605"/>
      <c r="ER541" s="1605"/>
      <c r="ES541" s="1605"/>
      <c r="ET541" s="1605"/>
      <c r="EU541" s="1605"/>
      <c r="EV541" s="1605"/>
      <c r="EW541" s="1605"/>
      <c r="EX541" s="1605"/>
      <c r="EY541" s="1605"/>
      <c r="EZ541" s="1605"/>
      <c r="FA541" s="1605"/>
      <c r="FB541" s="1605"/>
      <c r="FC541" s="1605"/>
      <c r="FD541" s="1605"/>
      <c r="FE541" s="1605"/>
      <c r="FF541" s="1605"/>
      <c r="FG541" s="1605"/>
      <c r="FH541" s="1605"/>
      <c r="FI541" s="1605"/>
      <c r="FJ541" s="1605"/>
      <c r="FK541" s="1605"/>
      <c r="FL541" s="1605"/>
      <c r="FM541" s="1605"/>
      <c r="FN541" s="1605"/>
      <c r="FO541" s="1605"/>
      <c r="FP541" s="1605"/>
      <c r="FQ541" s="1605"/>
      <c r="FR541" s="1605"/>
      <c r="FS541" s="1605"/>
      <c r="FT541" s="1605"/>
      <c r="FU541" s="1605"/>
      <c r="FV541" s="1605"/>
      <c r="FW541" s="1605"/>
      <c r="FX541" s="1605"/>
      <c r="FY541" s="1605"/>
      <c r="FZ541" s="1605"/>
      <c r="GA541" s="1605"/>
      <c r="GB541" s="1605"/>
      <c r="GC541" s="1605"/>
      <c r="GD541" s="1605"/>
      <c r="GE541" s="1605"/>
      <c r="GF541" s="1605"/>
      <c r="GG541" s="1605"/>
      <c r="GH541" s="1605"/>
      <c r="GI541" s="1605"/>
      <c r="GJ541" s="1605"/>
      <c r="GK541" s="1605"/>
      <c r="GL541" s="1605"/>
      <c r="GM541" s="1605"/>
      <c r="GN541" s="1605"/>
      <c r="GO541" s="1605"/>
      <c r="GP541" s="1605"/>
      <c r="GQ541" s="1605"/>
      <c r="GR541" s="1605"/>
      <c r="GS541" s="1605"/>
      <c r="GT541" s="1605"/>
      <c r="GU541" s="1605"/>
      <c r="GV541" s="1605"/>
      <c r="GW541" s="1605"/>
      <c r="GX541" s="1605"/>
      <c r="GY541" s="1605"/>
      <c r="GZ541" s="1605"/>
      <c r="HA541" s="1605"/>
      <c r="HB541" s="1605"/>
      <c r="HC541" s="1605"/>
      <c r="HD541" s="1605"/>
      <c r="HE541" s="1605"/>
      <c r="HF541" s="1605"/>
      <c r="HG541" s="1605"/>
      <c r="HH541" s="1605"/>
      <c r="HI541" s="1605"/>
      <c r="HJ541" s="1605"/>
      <c r="HK541" s="1605"/>
      <c r="HL541" s="1605"/>
      <c r="HM541" s="1605"/>
      <c r="HN541" s="1605"/>
      <c r="HO541" s="1605"/>
      <c r="HP541" s="1605"/>
      <c r="HQ541" s="1605"/>
      <c r="HR541" s="1605"/>
      <c r="HS541" s="1605"/>
      <c r="HT541" s="1605"/>
      <c r="HU541" s="1605"/>
      <c r="HV541" s="1605"/>
      <c r="HW541" s="1605"/>
      <c r="HX541" s="1605"/>
      <c r="HY541" s="1605"/>
      <c r="HZ541" s="1605"/>
      <c r="IA541" s="1605"/>
      <c r="IB541" s="1605"/>
      <c r="IC541" s="1605"/>
      <c r="ID541" s="1605"/>
      <c r="IE541" s="1605"/>
      <c r="IF541" s="1605"/>
      <c r="IG541" s="1605"/>
      <c r="IH541" s="1605"/>
      <c r="II541" s="1605"/>
      <c r="IJ541" s="1605"/>
      <c r="IK541" s="1605"/>
      <c r="IL541" s="1605"/>
      <c r="IM541" s="1605"/>
      <c r="IN541" s="1605"/>
      <c r="IO541" s="1605"/>
      <c r="IP541" s="1605"/>
      <c r="IQ541" s="1605"/>
      <c r="IR541" s="1605"/>
      <c r="IS541" s="1605"/>
      <c r="IT541" s="1605"/>
      <c r="IU541" s="1605"/>
      <c r="IV541" s="1605"/>
      <c r="IW541" s="1605"/>
      <c r="IX541" s="1605"/>
      <c r="IY541" s="1605"/>
      <c r="IZ541" s="1605"/>
      <c r="JA541" s="1605"/>
      <c r="JB541" s="1605"/>
      <c r="JC541" s="1605"/>
      <c r="JD541" s="1605"/>
      <c r="JE541" s="1605"/>
      <c r="JF541" s="1605"/>
      <c r="JG541" s="1605"/>
      <c r="JH541" s="1605"/>
      <c r="JI541" s="1605"/>
      <c r="JJ541" s="1605"/>
      <c r="JK541" s="1605"/>
      <c r="JL541" s="1605"/>
      <c r="JM541" s="1605"/>
      <c r="JN541" s="1605"/>
      <c r="JO541" s="1605"/>
      <c r="JP541" s="1605"/>
      <c r="JQ541" s="1605"/>
      <c r="JR541" s="1605"/>
      <c r="JS541" s="1605"/>
      <c r="JT541" s="1605"/>
      <c r="JU541" s="1605"/>
      <c r="JV541" s="1605"/>
      <c r="JW541" s="1605"/>
      <c r="JX541" s="1605"/>
      <c r="JY541" s="1605"/>
      <c r="JZ541" s="1605"/>
      <c r="KA541" s="1605"/>
      <c r="KB541" s="1606"/>
    </row>
    <row r="542" spans="2:288" ht="15" customHeight="1" x14ac:dyDescent="0.25">
      <c r="B542" s="216" t="str">
        <f t="shared" si="45"/>
        <v>Desk 15</v>
      </c>
      <c r="C542" s="218" t="str">
        <v/>
      </c>
      <c r="D542" s="218" t="str">
        <v/>
      </c>
      <c r="E542" s="218" t="str">
        <v/>
      </c>
      <c r="F542" s="218" t="str">
        <v/>
      </c>
      <c r="G542" s="402" t="str">
        <v/>
      </c>
      <c r="H542" s="1605"/>
      <c r="I542" s="1605"/>
      <c r="J542" s="1605"/>
      <c r="K542" s="1605"/>
      <c r="L542" s="1605"/>
      <c r="M542" s="1605"/>
      <c r="N542" s="1605"/>
      <c r="O542" s="1605"/>
      <c r="P542" s="1605"/>
      <c r="Q542" s="1605"/>
      <c r="R542" s="1605"/>
      <c r="S542" s="1605"/>
      <c r="T542" s="1605"/>
      <c r="U542" s="1605"/>
      <c r="V542" s="1605"/>
      <c r="W542" s="1605"/>
      <c r="X542" s="1605"/>
      <c r="Y542" s="1605"/>
      <c r="Z542" s="1605"/>
      <c r="AA542" s="1605"/>
      <c r="AB542" s="1605"/>
      <c r="AC542" s="1605"/>
      <c r="AD542" s="1605"/>
      <c r="AE542" s="1605"/>
      <c r="AF542" s="1605"/>
      <c r="AG542" s="1605"/>
      <c r="AH542" s="1605"/>
      <c r="AI542" s="1605"/>
      <c r="AJ542" s="1605"/>
      <c r="AK542" s="1605"/>
      <c r="AL542" s="1605"/>
      <c r="AM542" s="1605"/>
      <c r="AN542" s="1605"/>
      <c r="AO542" s="1605"/>
      <c r="AP542" s="1605"/>
      <c r="AQ542" s="1605"/>
      <c r="AR542" s="1605"/>
      <c r="AS542" s="1605"/>
      <c r="AT542" s="1605"/>
      <c r="AU542" s="1605"/>
      <c r="AV542" s="1605"/>
      <c r="AW542" s="1605"/>
      <c r="AX542" s="1605"/>
      <c r="AY542" s="1605"/>
      <c r="AZ542" s="1605"/>
      <c r="BA542" s="1605"/>
      <c r="BB542" s="1605"/>
      <c r="BC542" s="1605"/>
      <c r="BD542" s="1605"/>
      <c r="BE542" s="1605"/>
      <c r="BF542" s="1605"/>
      <c r="BG542" s="1605"/>
      <c r="BH542" s="1605"/>
      <c r="BI542" s="1605"/>
      <c r="BJ542" s="1605"/>
      <c r="BK542" s="1605"/>
      <c r="BL542" s="1605"/>
      <c r="BM542" s="1605"/>
      <c r="BN542" s="1605"/>
      <c r="BO542" s="1605"/>
      <c r="BP542" s="1605"/>
      <c r="BQ542" s="1605"/>
      <c r="BR542" s="1605"/>
      <c r="BS542" s="1605"/>
      <c r="BT542" s="1605"/>
      <c r="BU542" s="1605"/>
      <c r="BV542" s="1605"/>
      <c r="BW542" s="1605"/>
      <c r="BX542" s="1605"/>
      <c r="BY542" s="1605"/>
      <c r="BZ542" s="1605"/>
      <c r="CA542" s="1605"/>
      <c r="CB542" s="1605"/>
      <c r="CC542" s="1605"/>
      <c r="CD542" s="1605"/>
      <c r="CE542" s="1605"/>
      <c r="CF542" s="1605"/>
      <c r="CG542" s="1605"/>
      <c r="CH542" s="1605"/>
      <c r="CI542" s="1605"/>
      <c r="CJ542" s="1605"/>
      <c r="CK542" s="1605"/>
      <c r="CL542" s="1605"/>
      <c r="CM542" s="1605"/>
      <c r="CN542" s="1605"/>
      <c r="CO542" s="1605"/>
      <c r="CP542" s="1605"/>
      <c r="CQ542" s="1605"/>
      <c r="CR542" s="1605"/>
      <c r="CS542" s="1605"/>
      <c r="CT542" s="1605"/>
      <c r="CU542" s="1605"/>
      <c r="CV542" s="1605"/>
      <c r="CW542" s="1605"/>
      <c r="CX542" s="1605"/>
      <c r="CY542" s="1605"/>
      <c r="CZ542" s="1605"/>
      <c r="DA542" s="1605"/>
      <c r="DB542" s="1605"/>
      <c r="DC542" s="1605"/>
      <c r="DD542" s="1605"/>
      <c r="DE542" s="1605"/>
      <c r="DF542" s="1605"/>
      <c r="DG542" s="1605"/>
      <c r="DH542" s="1605"/>
      <c r="DI542" s="1605"/>
      <c r="DJ542" s="1605"/>
      <c r="DK542" s="1605"/>
      <c r="DL542" s="1605"/>
      <c r="DM542" s="1605"/>
      <c r="DN542" s="1605"/>
      <c r="DO542" s="1605"/>
      <c r="DP542" s="1605"/>
      <c r="DQ542" s="1605"/>
      <c r="DR542" s="1605"/>
      <c r="DS542" s="1605"/>
      <c r="DT542" s="1605"/>
      <c r="DU542" s="1605"/>
      <c r="DV542" s="1605"/>
      <c r="DW542" s="1605"/>
      <c r="DX542" s="1605"/>
      <c r="DY542" s="1605"/>
      <c r="DZ542" s="1605"/>
      <c r="EA542" s="1605"/>
      <c r="EB542" s="1605"/>
      <c r="EC542" s="1605"/>
      <c r="ED542" s="1605"/>
      <c r="EE542" s="1605"/>
      <c r="EF542" s="1605"/>
      <c r="EG542" s="1605"/>
      <c r="EH542" s="1605"/>
      <c r="EI542" s="1605"/>
      <c r="EJ542" s="1605"/>
      <c r="EK542" s="1605"/>
      <c r="EL542" s="1605"/>
      <c r="EM542" s="1605"/>
      <c r="EN542" s="1605"/>
      <c r="EO542" s="1605"/>
      <c r="EP542" s="1605"/>
      <c r="EQ542" s="1605"/>
      <c r="ER542" s="1605"/>
      <c r="ES542" s="1605"/>
      <c r="ET542" s="1605"/>
      <c r="EU542" s="1605"/>
      <c r="EV542" s="1605"/>
      <c r="EW542" s="1605"/>
      <c r="EX542" s="1605"/>
      <c r="EY542" s="1605"/>
      <c r="EZ542" s="1605"/>
      <c r="FA542" s="1605"/>
      <c r="FB542" s="1605"/>
      <c r="FC542" s="1605"/>
      <c r="FD542" s="1605"/>
      <c r="FE542" s="1605"/>
      <c r="FF542" s="1605"/>
      <c r="FG542" s="1605"/>
      <c r="FH542" s="1605"/>
      <c r="FI542" s="1605"/>
      <c r="FJ542" s="1605"/>
      <c r="FK542" s="1605"/>
      <c r="FL542" s="1605"/>
      <c r="FM542" s="1605"/>
      <c r="FN542" s="1605"/>
      <c r="FO542" s="1605"/>
      <c r="FP542" s="1605"/>
      <c r="FQ542" s="1605"/>
      <c r="FR542" s="1605"/>
      <c r="FS542" s="1605"/>
      <c r="FT542" s="1605"/>
      <c r="FU542" s="1605"/>
      <c r="FV542" s="1605"/>
      <c r="FW542" s="1605"/>
      <c r="FX542" s="1605"/>
      <c r="FY542" s="1605"/>
      <c r="FZ542" s="1605"/>
      <c r="GA542" s="1605"/>
      <c r="GB542" s="1605"/>
      <c r="GC542" s="1605"/>
      <c r="GD542" s="1605"/>
      <c r="GE542" s="1605"/>
      <c r="GF542" s="1605"/>
      <c r="GG542" s="1605"/>
      <c r="GH542" s="1605"/>
      <c r="GI542" s="1605"/>
      <c r="GJ542" s="1605"/>
      <c r="GK542" s="1605"/>
      <c r="GL542" s="1605"/>
      <c r="GM542" s="1605"/>
      <c r="GN542" s="1605"/>
      <c r="GO542" s="1605"/>
      <c r="GP542" s="1605"/>
      <c r="GQ542" s="1605"/>
      <c r="GR542" s="1605"/>
      <c r="GS542" s="1605"/>
      <c r="GT542" s="1605"/>
      <c r="GU542" s="1605"/>
      <c r="GV542" s="1605"/>
      <c r="GW542" s="1605"/>
      <c r="GX542" s="1605"/>
      <c r="GY542" s="1605"/>
      <c r="GZ542" s="1605"/>
      <c r="HA542" s="1605"/>
      <c r="HB542" s="1605"/>
      <c r="HC542" s="1605"/>
      <c r="HD542" s="1605"/>
      <c r="HE542" s="1605"/>
      <c r="HF542" s="1605"/>
      <c r="HG542" s="1605"/>
      <c r="HH542" s="1605"/>
      <c r="HI542" s="1605"/>
      <c r="HJ542" s="1605"/>
      <c r="HK542" s="1605"/>
      <c r="HL542" s="1605"/>
      <c r="HM542" s="1605"/>
      <c r="HN542" s="1605"/>
      <c r="HO542" s="1605"/>
      <c r="HP542" s="1605"/>
      <c r="HQ542" s="1605"/>
      <c r="HR542" s="1605"/>
      <c r="HS542" s="1605"/>
      <c r="HT542" s="1605"/>
      <c r="HU542" s="1605"/>
      <c r="HV542" s="1605"/>
      <c r="HW542" s="1605"/>
      <c r="HX542" s="1605"/>
      <c r="HY542" s="1605"/>
      <c r="HZ542" s="1605"/>
      <c r="IA542" s="1605"/>
      <c r="IB542" s="1605"/>
      <c r="IC542" s="1605"/>
      <c r="ID542" s="1605"/>
      <c r="IE542" s="1605"/>
      <c r="IF542" s="1605"/>
      <c r="IG542" s="1605"/>
      <c r="IH542" s="1605"/>
      <c r="II542" s="1605"/>
      <c r="IJ542" s="1605"/>
      <c r="IK542" s="1605"/>
      <c r="IL542" s="1605"/>
      <c r="IM542" s="1605"/>
      <c r="IN542" s="1605"/>
      <c r="IO542" s="1605"/>
      <c r="IP542" s="1605"/>
      <c r="IQ542" s="1605"/>
      <c r="IR542" s="1605"/>
      <c r="IS542" s="1605"/>
      <c r="IT542" s="1605"/>
      <c r="IU542" s="1605"/>
      <c r="IV542" s="1605"/>
      <c r="IW542" s="1605"/>
      <c r="IX542" s="1605"/>
      <c r="IY542" s="1605"/>
      <c r="IZ542" s="1605"/>
      <c r="JA542" s="1605"/>
      <c r="JB542" s="1605"/>
      <c r="JC542" s="1605"/>
      <c r="JD542" s="1605"/>
      <c r="JE542" s="1605"/>
      <c r="JF542" s="1605"/>
      <c r="JG542" s="1605"/>
      <c r="JH542" s="1605"/>
      <c r="JI542" s="1605"/>
      <c r="JJ542" s="1605"/>
      <c r="JK542" s="1605"/>
      <c r="JL542" s="1605"/>
      <c r="JM542" s="1605"/>
      <c r="JN542" s="1605"/>
      <c r="JO542" s="1605"/>
      <c r="JP542" s="1605"/>
      <c r="JQ542" s="1605"/>
      <c r="JR542" s="1605"/>
      <c r="JS542" s="1605"/>
      <c r="JT542" s="1605"/>
      <c r="JU542" s="1605"/>
      <c r="JV542" s="1605"/>
      <c r="JW542" s="1605"/>
      <c r="JX542" s="1605"/>
      <c r="JY542" s="1605"/>
      <c r="JZ542" s="1605"/>
      <c r="KA542" s="1605"/>
      <c r="KB542" s="1606"/>
    </row>
    <row r="543" spans="2:288" ht="15" customHeight="1" x14ac:dyDescent="0.25">
      <c r="B543" s="216" t="str">
        <f t="shared" si="45"/>
        <v>Desk 16</v>
      </c>
      <c r="C543" s="218" t="str">
        <v/>
      </c>
      <c r="D543" s="218" t="str">
        <v/>
      </c>
      <c r="E543" s="218" t="str">
        <v/>
      </c>
      <c r="F543" s="218" t="str">
        <v/>
      </c>
      <c r="G543" s="402" t="str">
        <v/>
      </c>
      <c r="H543" s="1605"/>
      <c r="I543" s="1605"/>
      <c r="J543" s="1605"/>
      <c r="K543" s="1605"/>
      <c r="L543" s="1605"/>
      <c r="M543" s="1605"/>
      <c r="N543" s="1605"/>
      <c r="O543" s="1605"/>
      <c r="P543" s="1605"/>
      <c r="Q543" s="1605"/>
      <c r="R543" s="1605"/>
      <c r="S543" s="1605"/>
      <c r="T543" s="1605"/>
      <c r="U543" s="1605"/>
      <c r="V543" s="1605"/>
      <c r="W543" s="1605"/>
      <c r="X543" s="1605"/>
      <c r="Y543" s="1605"/>
      <c r="Z543" s="1605"/>
      <c r="AA543" s="1605"/>
      <c r="AB543" s="1605"/>
      <c r="AC543" s="1605"/>
      <c r="AD543" s="1605"/>
      <c r="AE543" s="1605"/>
      <c r="AF543" s="1605"/>
      <c r="AG543" s="1605"/>
      <c r="AH543" s="1605"/>
      <c r="AI543" s="1605"/>
      <c r="AJ543" s="1605"/>
      <c r="AK543" s="1605"/>
      <c r="AL543" s="1605"/>
      <c r="AM543" s="1605"/>
      <c r="AN543" s="1605"/>
      <c r="AO543" s="1605"/>
      <c r="AP543" s="1605"/>
      <c r="AQ543" s="1605"/>
      <c r="AR543" s="1605"/>
      <c r="AS543" s="1605"/>
      <c r="AT543" s="1605"/>
      <c r="AU543" s="1605"/>
      <c r="AV543" s="1605"/>
      <c r="AW543" s="1605"/>
      <c r="AX543" s="1605"/>
      <c r="AY543" s="1605"/>
      <c r="AZ543" s="1605"/>
      <c r="BA543" s="1605"/>
      <c r="BB543" s="1605"/>
      <c r="BC543" s="1605"/>
      <c r="BD543" s="1605"/>
      <c r="BE543" s="1605"/>
      <c r="BF543" s="1605"/>
      <c r="BG543" s="1605"/>
      <c r="BH543" s="1605"/>
      <c r="BI543" s="1605"/>
      <c r="BJ543" s="1605"/>
      <c r="BK543" s="1605"/>
      <c r="BL543" s="1605"/>
      <c r="BM543" s="1605"/>
      <c r="BN543" s="1605"/>
      <c r="BO543" s="1605"/>
      <c r="BP543" s="1605"/>
      <c r="BQ543" s="1605"/>
      <c r="BR543" s="1605"/>
      <c r="BS543" s="1605"/>
      <c r="BT543" s="1605"/>
      <c r="BU543" s="1605"/>
      <c r="BV543" s="1605"/>
      <c r="BW543" s="1605"/>
      <c r="BX543" s="1605"/>
      <c r="BY543" s="1605"/>
      <c r="BZ543" s="1605"/>
      <c r="CA543" s="1605"/>
      <c r="CB543" s="1605"/>
      <c r="CC543" s="1605"/>
      <c r="CD543" s="1605"/>
      <c r="CE543" s="1605"/>
      <c r="CF543" s="1605"/>
      <c r="CG543" s="1605"/>
      <c r="CH543" s="1605"/>
      <c r="CI543" s="1605"/>
      <c r="CJ543" s="1605"/>
      <c r="CK543" s="1605"/>
      <c r="CL543" s="1605"/>
      <c r="CM543" s="1605"/>
      <c r="CN543" s="1605"/>
      <c r="CO543" s="1605"/>
      <c r="CP543" s="1605"/>
      <c r="CQ543" s="1605"/>
      <c r="CR543" s="1605"/>
      <c r="CS543" s="1605"/>
      <c r="CT543" s="1605"/>
      <c r="CU543" s="1605"/>
      <c r="CV543" s="1605"/>
      <c r="CW543" s="1605"/>
      <c r="CX543" s="1605"/>
      <c r="CY543" s="1605"/>
      <c r="CZ543" s="1605"/>
      <c r="DA543" s="1605"/>
      <c r="DB543" s="1605"/>
      <c r="DC543" s="1605"/>
      <c r="DD543" s="1605"/>
      <c r="DE543" s="1605"/>
      <c r="DF543" s="1605"/>
      <c r="DG543" s="1605"/>
      <c r="DH543" s="1605"/>
      <c r="DI543" s="1605"/>
      <c r="DJ543" s="1605"/>
      <c r="DK543" s="1605"/>
      <c r="DL543" s="1605"/>
      <c r="DM543" s="1605"/>
      <c r="DN543" s="1605"/>
      <c r="DO543" s="1605"/>
      <c r="DP543" s="1605"/>
      <c r="DQ543" s="1605"/>
      <c r="DR543" s="1605"/>
      <c r="DS543" s="1605"/>
      <c r="DT543" s="1605"/>
      <c r="DU543" s="1605"/>
      <c r="DV543" s="1605"/>
      <c r="DW543" s="1605"/>
      <c r="DX543" s="1605"/>
      <c r="DY543" s="1605"/>
      <c r="DZ543" s="1605"/>
      <c r="EA543" s="1605"/>
      <c r="EB543" s="1605"/>
      <c r="EC543" s="1605"/>
      <c r="ED543" s="1605"/>
      <c r="EE543" s="1605"/>
      <c r="EF543" s="1605"/>
      <c r="EG543" s="1605"/>
      <c r="EH543" s="1605"/>
      <c r="EI543" s="1605"/>
      <c r="EJ543" s="1605"/>
      <c r="EK543" s="1605"/>
      <c r="EL543" s="1605"/>
      <c r="EM543" s="1605"/>
      <c r="EN543" s="1605"/>
      <c r="EO543" s="1605"/>
      <c r="EP543" s="1605"/>
      <c r="EQ543" s="1605"/>
      <c r="ER543" s="1605"/>
      <c r="ES543" s="1605"/>
      <c r="ET543" s="1605"/>
      <c r="EU543" s="1605"/>
      <c r="EV543" s="1605"/>
      <c r="EW543" s="1605"/>
      <c r="EX543" s="1605"/>
      <c r="EY543" s="1605"/>
      <c r="EZ543" s="1605"/>
      <c r="FA543" s="1605"/>
      <c r="FB543" s="1605"/>
      <c r="FC543" s="1605"/>
      <c r="FD543" s="1605"/>
      <c r="FE543" s="1605"/>
      <c r="FF543" s="1605"/>
      <c r="FG543" s="1605"/>
      <c r="FH543" s="1605"/>
      <c r="FI543" s="1605"/>
      <c r="FJ543" s="1605"/>
      <c r="FK543" s="1605"/>
      <c r="FL543" s="1605"/>
      <c r="FM543" s="1605"/>
      <c r="FN543" s="1605"/>
      <c r="FO543" s="1605"/>
      <c r="FP543" s="1605"/>
      <c r="FQ543" s="1605"/>
      <c r="FR543" s="1605"/>
      <c r="FS543" s="1605"/>
      <c r="FT543" s="1605"/>
      <c r="FU543" s="1605"/>
      <c r="FV543" s="1605"/>
      <c r="FW543" s="1605"/>
      <c r="FX543" s="1605"/>
      <c r="FY543" s="1605"/>
      <c r="FZ543" s="1605"/>
      <c r="GA543" s="1605"/>
      <c r="GB543" s="1605"/>
      <c r="GC543" s="1605"/>
      <c r="GD543" s="1605"/>
      <c r="GE543" s="1605"/>
      <c r="GF543" s="1605"/>
      <c r="GG543" s="1605"/>
      <c r="GH543" s="1605"/>
      <c r="GI543" s="1605"/>
      <c r="GJ543" s="1605"/>
      <c r="GK543" s="1605"/>
      <c r="GL543" s="1605"/>
      <c r="GM543" s="1605"/>
      <c r="GN543" s="1605"/>
      <c r="GO543" s="1605"/>
      <c r="GP543" s="1605"/>
      <c r="GQ543" s="1605"/>
      <c r="GR543" s="1605"/>
      <c r="GS543" s="1605"/>
      <c r="GT543" s="1605"/>
      <c r="GU543" s="1605"/>
      <c r="GV543" s="1605"/>
      <c r="GW543" s="1605"/>
      <c r="GX543" s="1605"/>
      <c r="GY543" s="1605"/>
      <c r="GZ543" s="1605"/>
      <c r="HA543" s="1605"/>
      <c r="HB543" s="1605"/>
      <c r="HC543" s="1605"/>
      <c r="HD543" s="1605"/>
      <c r="HE543" s="1605"/>
      <c r="HF543" s="1605"/>
      <c r="HG543" s="1605"/>
      <c r="HH543" s="1605"/>
      <c r="HI543" s="1605"/>
      <c r="HJ543" s="1605"/>
      <c r="HK543" s="1605"/>
      <c r="HL543" s="1605"/>
      <c r="HM543" s="1605"/>
      <c r="HN543" s="1605"/>
      <c r="HO543" s="1605"/>
      <c r="HP543" s="1605"/>
      <c r="HQ543" s="1605"/>
      <c r="HR543" s="1605"/>
      <c r="HS543" s="1605"/>
      <c r="HT543" s="1605"/>
      <c r="HU543" s="1605"/>
      <c r="HV543" s="1605"/>
      <c r="HW543" s="1605"/>
      <c r="HX543" s="1605"/>
      <c r="HY543" s="1605"/>
      <c r="HZ543" s="1605"/>
      <c r="IA543" s="1605"/>
      <c r="IB543" s="1605"/>
      <c r="IC543" s="1605"/>
      <c r="ID543" s="1605"/>
      <c r="IE543" s="1605"/>
      <c r="IF543" s="1605"/>
      <c r="IG543" s="1605"/>
      <c r="IH543" s="1605"/>
      <c r="II543" s="1605"/>
      <c r="IJ543" s="1605"/>
      <c r="IK543" s="1605"/>
      <c r="IL543" s="1605"/>
      <c r="IM543" s="1605"/>
      <c r="IN543" s="1605"/>
      <c r="IO543" s="1605"/>
      <c r="IP543" s="1605"/>
      <c r="IQ543" s="1605"/>
      <c r="IR543" s="1605"/>
      <c r="IS543" s="1605"/>
      <c r="IT543" s="1605"/>
      <c r="IU543" s="1605"/>
      <c r="IV543" s="1605"/>
      <c r="IW543" s="1605"/>
      <c r="IX543" s="1605"/>
      <c r="IY543" s="1605"/>
      <c r="IZ543" s="1605"/>
      <c r="JA543" s="1605"/>
      <c r="JB543" s="1605"/>
      <c r="JC543" s="1605"/>
      <c r="JD543" s="1605"/>
      <c r="JE543" s="1605"/>
      <c r="JF543" s="1605"/>
      <c r="JG543" s="1605"/>
      <c r="JH543" s="1605"/>
      <c r="JI543" s="1605"/>
      <c r="JJ543" s="1605"/>
      <c r="JK543" s="1605"/>
      <c r="JL543" s="1605"/>
      <c r="JM543" s="1605"/>
      <c r="JN543" s="1605"/>
      <c r="JO543" s="1605"/>
      <c r="JP543" s="1605"/>
      <c r="JQ543" s="1605"/>
      <c r="JR543" s="1605"/>
      <c r="JS543" s="1605"/>
      <c r="JT543" s="1605"/>
      <c r="JU543" s="1605"/>
      <c r="JV543" s="1605"/>
      <c r="JW543" s="1605"/>
      <c r="JX543" s="1605"/>
      <c r="JY543" s="1605"/>
      <c r="JZ543" s="1605"/>
      <c r="KA543" s="1605"/>
      <c r="KB543" s="1606"/>
    </row>
    <row r="544" spans="2:288" ht="15" customHeight="1" x14ac:dyDescent="0.25">
      <c r="B544" s="216" t="str">
        <f t="shared" si="45"/>
        <v>Desk 17</v>
      </c>
      <c r="C544" s="218" t="str">
        <v/>
      </c>
      <c r="D544" s="218" t="str">
        <v/>
      </c>
      <c r="E544" s="218" t="str">
        <v/>
      </c>
      <c r="F544" s="218" t="str">
        <v/>
      </c>
      <c r="G544" s="402" t="str">
        <v/>
      </c>
      <c r="H544" s="1605"/>
      <c r="I544" s="1605"/>
      <c r="J544" s="1605"/>
      <c r="K544" s="1605"/>
      <c r="L544" s="1605"/>
      <c r="M544" s="1605"/>
      <c r="N544" s="1605"/>
      <c r="O544" s="1605"/>
      <c r="P544" s="1605"/>
      <c r="Q544" s="1605"/>
      <c r="R544" s="1605"/>
      <c r="S544" s="1605"/>
      <c r="T544" s="1605"/>
      <c r="U544" s="1605"/>
      <c r="V544" s="1605"/>
      <c r="W544" s="1605"/>
      <c r="X544" s="1605"/>
      <c r="Y544" s="1605"/>
      <c r="Z544" s="1605"/>
      <c r="AA544" s="1605"/>
      <c r="AB544" s="1605"/>
      <c r="AC544" s="1605"/>
      <c r="AD544" s="1605"/>
      <c r="AE544" s="1605"/>
      <c r="AF544" s="1605"/>
      <c r="AG544" s="1605"/>
      <c r="AH544" s="1605"/>
      <c r="AI544" s="1605"/>
      <c r="AJ544" s="1605"/>
      <c r="AK544" s="1605"/>
      <c r="AL544" s="1605"/>
      <c r="AM544" s="1605"/>
      <c r="AN544" s="1605"/>
      <c r="AO544" s="1605"/>
      <c r="AP544" s="1605"/>
      <c r="AQ544" s="1605"/>
      <c r="AR544" s="1605"/>
      <c r="AS544" s="1605"/>
      <c r="AT544" s="1605"/>
      <c r="AU544" s="1605"/>
      <c r="AV544" s="1605"/>
      <c r="AW544" s="1605"/>
      <c r="AX544" s="1605"/>
      <c r="AY544" s="1605"/>
      <c r="AZ544" s="1605"/>
      <c r="BA544" s="1605"/>
      <c r="BB544" s="1605"/>
      <c r="BC544" s="1605"/>
      <c r="BD544" s="1605"/>
      <c r="BE544" s="1605"/>
      <c r="BF544" s="1605"/>
      <c r="BG544" s="1605"/>
      <c r="BH544" s="1605"/>
      <c r="BI544" s="1605"/>
      <c r="BJ544" s="1605"/>
      <c r="BK544" s="1605"/>
      <c r="BL544" s="1605"/>
      <c r="BM544" s="1605"/>
      <c r="BN544" s="1605"/>
      <c r="BO544" s="1605"/>
      <c r="BP544" s="1605"/>
      <c r="BQ544" s="1605"/>
      <c r="BR544" s="1605"/>
      <c r="BS544" s="1605"/>
      <c r="BT544" s="1605"/>
      <c r="BU544" s="1605"/>
      <c r="BV544" s="1605"/>
      <c r="BW544" s="1605"/>
      <c r="BX544" s="1605"/>
      <c r="BY544" s="1605"/>
      <c r="BZ544" s="1605"/>
      <c r="CA544" s="1605"/>
      <c r="CB544" s="1605"/>
      <c r="CC544" s="1605"/>
      <c r="CD544" s="1605"/>
      <c r="CE544" s="1605"/>
      <c r="CF544" s="1605"/>
      <c r="CG544" s="1605"/>
      <c r="CH544" s="1605"/>
      <c r="CI544" s="1605"/>
      <c r="CJ544" s="1605"/>
      <c r="CK544" s="1605"/>
      <c r="CL544" s="1605"/>
      <c r="CM544" s="1605"/>
      <c r="CN544" s="1605"/>
      <c r="CO544" s="1605"/>
      <c r="CP544" s="1605"/>
      <c r="CQ544" s="1605"/>
      <c r="CR544" s="1605"/>
      <c r="CS544" s="1605"/>
      <c r="CT544" s="1605"/>
      <c r="CU544" s="1605"/>
      <c r="CV544" s="1605"/>
      <c r="CW544" s="1605"/>
      <c r="CX544" s="1605"/>
      <c r="CY544" s="1605"/>
      <c r="CZ544" s="1605"/>
      <c r="DA544" s="1605"/>
      <c r="DB544" s="1605"/>
      <c r="DC544" s="1605"/>
      <c r="DD544" s="1605"/>
      <c r="DE544" s="1605"/>
      <c r="DF544" s="1605"/>
      <c r="DG544" s="1605"/>
      <c r="DH544" s="1605"/>
      <c r="DI544" s="1605"/>
      <c r="DJ544" s="1605"/>
      <c r="DK544" s="1605"/>
      <c r="DL544" s="1605"/>
      <c r="DM544" s="1605"/>
      <c r="DN544" s="1605"/>
      <c r="DO544" s="1605"/>
      <c r="DP544" s="1605"/>
      <c r="DQ544" s="1605"/>
      <c r="DR544" s="1605"/>
      <c r="DS544" s="1605"/>
      <c r="DT544" s="1605"/>
      <c r="DU544" s="1605"/>
      <c r="DV544" s="1605"/>
      <c r="DW544" s="1605"/>
      <c r="DX544" s="1605"/>
      <c r="DY544" s="1605"/>
      <c r="DZ544" s="1605"/>
      <c r="EA544" s="1605"/>
      <c r="EB544" s="1605"/>
      <c r="EC544" s="1605"/>
      <c r="ED544" s="1605"/>
      <c r="EE544" s="1605"/>
      <c r="EF544" s="1605"/>
      <c r="EG544" s="1605"/>
      <c r="EH544" s="1605"/>
      <c r="EI544" s="1605"/>
      <c r="EJ544" s="1605"/>
      <c r="EK544" s="1605"/>
      <c r="EL544" s="1605"/>
      <c r="EM544" s="1605"/>
      <c r="EN544" s="1605"/>
      <c r="EO544" s="1605"/>
      <c r="EP544" s="1605"/>
      <c r="EQ544" s="1605"/>
      <c r="ER544" s="1605"/>
      <c r="ES544" s="1605"/>
      <c r="ET544" s="1605"/>
      <c r="EU544" s="1605"/>
      <c r="EV544" s="1605"/>
      <c r="EW544" s="1605"/>
      <c r="EX544" s="1605"/>
      <c r="EY544" s="1605"/>
      <c r="EZ544" s="1605"/>
      <c r="FA544" s="1605"/>
      <c r="FB544" s="1605"/>
      <c r="FC544" s="1605"/>
      <c r="FD544" s="1605"/>
      <c r="FE544" s="1605"/>
      <c r="FF544" s="1605"/>
      <c r="FG544" s="1605"/>
      <c r="FH544" s="1605"/>
      <c r="FI544" s="1605"/>
      <c r="FJ544" s="1605"/>
      <c r="FK544" s="1605"/>
      <c r="FL544" s="1605"/>
      <c r="FM544" s="1605"/>
      <c r="FN544" s="1605"/>
      <c r="FO544" s="1605"/>
      <c r="FP544" s="1605"/>
      <c r="FQ544" s="1605"/>
      <c r="FR544" s="1605"/>
      <c r="FS544" s="1605"/>
      <c r="FT544" s="1605"/>
      <c r="FU544" s="1605"/>
      <c r="FV544" s="1605"/>
      <c r="FW544" s="1605"/>
      <c r="FX544" s="1605"/>
      <c r="FY544" s="1605"/>
      <c r="FZ544" s="1605"/>
      <c r="GA544" s="1605"/>
      <c r="GB544" s="1605"/>
      <c r="GC544" s="1605"/>
      <c r="GD544" s="1605"/>
      <c r="GE544" s="1605"/>
      <c r="GF544" s="1605"/>
      <c r="GG544" s="1605"/>
      <c r="GH544" s="1605"/>
      <c r="GI544" s="1605"/>
      <c r="GJ544" s="1605"/>
      <c r="GK544" s="1605"/>
      <c r="GL544" s="1605"/>
      <c r="GM544" s="1605"/>
      <c r="GN544" s="1605"/>
      <c r="GO544" s="1605"/>
      <c r="GP544" s="1605"/>
      <c r="GQ544" s="1605"/>
      <c r="GR544" s="1605"/>
      <c r="GS544" s="1605"/>
      <c r="GT544" s="1605"/>
      <c r="GU544" s="1605"/>
      <c r="GV544" s="1605"/>
      <c r="GW544" s="1605"/>
      <c r="GX544" s="1605"/>
      <c r="GY544" s="1605"/>
      <c r="GZ544" s="1605"/>
      <c r="HA544" s="1605"/>
      <c r="HB544" s="1605"/>
      <c r="HC544" s="1605"/>
      <c r="HD544" s="1605"/>
      <c r="HE544" s="1605"/>
      <c r="HF544" s="1605"/>
      <c r="HG544" s="1605"/>
      <c r="HH544" s="1605"/>
      <c r="HI544" s="1605"/>
      <c r="HJ544" s="1605"/>
      <c r="HK544" s="1605"/>
      <c r="HL544" s="1605"/>
      <c r="HM544" s="1605"/>
      <c r="HN544" s="1605"/>
      <c r="HO544" s="1605"/>
      <c r="HP544" s="1605"/>
      <c r="HQ544" s="1605"/>
      <c r="HR544" s="1605"/>
      <c r="HS544" s="1605"/>
      <c r="HT544" s="1605"/>
      <c r="HU544" s="1605"/>
      <c r="HV544" s="1605"/>
      <c r="HW544" s="1605"/>
      <c r="HX544" s="1605"/>
      <c r="HY544" s="1605"/>
      <c r="HZ544" s="1605"/>
      <c r="IA544" s="1605"/>
      <c r="IB544" s="1605"/>
      <c r="IC544" s="1605"/>
      <c r="ID544" s="1605"/>
      <c r="IE544" s="1605"/>
      <c r="IF544" s="1605"/>
      <c r="IG544" s="1605"/>
      <c r="IH544" s="1605"/>
      <c r="II544" s="1605"/>
      <c r="IJ544" s="1605"/>
      <c r="IK544" s="1605"/>
      <c r="IL544" s="1605"/>
      <c r="IM544" s="1605"/>
      <c r="IN544" s="1605"/>
      <c r="IO544" s="1605"/>
      <c r="IP544" s="1605"/>
      <c r="IQ544" s="1605"/>
      <c r="IR544" s="1605"/>
      <c r="IS544" s="1605"/>
      <c r="IT544" s="1605"/>
      <c r="IU544" s="1605"/>
      <c r="IV544" s="1605"/>
      <c r="IW544" s="1605"/>
      <c r="IX544" s="1605"/>
      <c r="IY544" s="1605"/>
      <c r="IZ544" s="1605"/>
      <c r="JA544" s="1605"/>
      <c r="JB544" s="1605"/>
      <c r="JC544" s="1605"/>
      <c r="JD544" s="1605"/>
      <c r="JE544" s="1605"/>
      <c r="JF544" s="1605"/>
      <c r="JG544" s="1605"/>
      <c r="JH544" s="1605"/>
      <c r="JI544" s="1605"/>
      <c r="JJ544" s="1605"/>
      <c r="JK544" s="1605"/>
      <c r="JL544" s="1605"/>
      <c r="JM544" s="1605"/>
      <c r="JN544" s="1605"/>
      <c r="JO544" s="1605"/>
      <c r="JP544" s="1605"/>
      <c r="JQ544" s="1605"/>
      <c r="JR544" s="1605"/>
      <c r="JS544" s="1605"/>
      <c r="JT544" s="1605"/>
      <c r="JU544" s="1605"/>
      <c r="JV544" s="1605"/>
      <c r="JW544" s="1605"/>
      <c r="JX544" s="1605"/>
      <c r="JY544" s="1605"/>
      <c r="JZ544" s="1605"/>
      <c r="KA544" s="1605"/>
      <c r="KB544" s="1606"/>
    </row>
    <row r="545" spans="2:288" ht="15" customHeight="1" x14ac:dyDescent="0.25">
      <c r="B545" s="216" t="str">
        <f t="shared" si="45"/>
        <v>Desk 18</v>
      </c>
      <c r="C545" s="218" t="str">
        <v/>
      </c>
      <c r="D545" s="218" t="str">
        <v/>
      </c>
      <c r="E545" s="218" t="str">
        <v/>
      </c>
      <c r="F545" s="218" t="str">
        <v/>
      </c>
      <c r="G545" s="402" t="str">
        <v/>
      </c>
      <c r="H545" s="1605"/>
      <c r="I545" s="1605"/>
      <c r="J545" s="1605"/>
      <c r="K545" s="1605"/>
      <c r="L545" s="1605"/>
      <c r="M545" s="1605"/>
      <c r="N545" s="1605"/>
      <c r="O545" s="1605"/>
      <c r="P545" s="1605"/>
      <c r="Q545" s="1605"/>
      <c r="R545" s="1605"/>
      <c r="S545" s="1605"/>
      <c r="T545" s="1605"/>
      <c r="U545" s="1605"/>
      <c r="V545" s="1605"/>
      <c r="W545" s="1605"/>
      <c r="X545" s="1605"/>
      <c r="Y545" s="1605"/>
      <c r="Z545" s="1605"/>
      <c r="AA545" s="1605"/>
      <c r="AB545" s="1605"/>
      <c r="AC545" s="1605"/>
      <c r="AD545" s="1605"/>
      <c r="AE545" s="1605"/>
      <c r="AF545" s="1605"/>
      <c r="AG545" s="1605"/>
      <c r="AH545" s="1605"/>
      <c r="AI545" s="1605"/>
      <c r="AJ545" s="1605"/>
      <c r="AK545" s="1605"/>
      <c r="AL545" s="1605"/>
      <c r="AM545" s="1605"/>
      <c r="AN545" s="1605"/>
      <c r="AO545" s="1605"/>
      <c r="AP545" s="1605"/>
      <c r="AQ545" s="1605"/>
      <c r="AR545" s="1605"/>
      <c r="AS545" s="1605"/>
      <c r="AT545" s="1605"/>
      <c r="AU545" s="1605"/>
      <c r="AV545" s="1605"/>
      <c r="AW545" s="1605"/>
      <c r="AX545" s="1605"/>
      <c r="AY545" s="1605"/>
      <c r="AZ545" s="1605"/>
      <c r="BA545" s="1605"/>
      <c r="BB545" s="1605"/>
      <c r="BC545" s="1605"/>
      <c r="BD545" s="1605"/>
      <c r="BE545" s="1605"/>
      <c r="BF545" s="1605"/>
      <c r="BG545" s="1605"/>
      <c r="BH545" s="1605"/>
      <c r="BI545" s="1605"/>
      <c r="BJ545" s="1605"/>
      <c r="BK545" s="1605"/>
      <c r="BL545" s="1605"/>
      <c r="BM545" s="1605"/>
      <c r="BN545" s="1605"/>
      <c r="BO545" s="1605"/>
      <c r="BP545" s="1605"/>
      <c r="BQ545" s="1605"/>
      <c r="BR545" s="1605"/>
      <c r="BS545" s="1605"/>
      <c r="BT545" s="1605"/>
      <c r="BU545" s="1605"/>
      <c r="BV545" s="1605"/>
      <c r="BW545" s="1605"/>
      <c r="BX545" s="1605"/>
      <c r="BY545" s="1605"/>
      <c r="BZ545" s="1605"/>
      <c r="CA545" s="1605"/>
      <c r="CB545" s="1605"/>
      <c r="CC545" s="1605"/>
      <c r="CD545" s="1605"/>
      <c r="CE545" s="1605"/>
      <c r="CF545" s="1605"/>
      <c r="CG545" s="1605"/>
      <c r="CH545" s="1605"/>
      <c r="CI545" s="1605"/>
      <c r="CJ545" s="1605"/>
      <c r="CK545" s="1605"/>
      <c r="CL545" s="1605"/>
      <c r="CM545" s="1605"/>
      <c r="CN545" s="1605"/>
      <c r="CO545" s="1605"/>
      <c r="CP545" s="1605"/>
      <c r="CQ545" s="1605"/>
      <c r="CR545" s="1605"/>
      <c r="CS545" s="1605"/>
      <c r="CT545" s="1605"/>
      <c r="CU545" s="1605"/>
      <c r="CV545" s="1605"/>
      <c r="CW545" s="1605"/>
      <c r="CX545" s="1605"/>
      <c r="CY545" s="1605"/>
      <c r="CZ545" s="1605"/>
      <c r="DA545" s="1605"/>
      <c r="DB545" s="1605"/>
      <c r="DC545" s="1605"/>
      <c r="DD545" s="1605"/>
      <c r="DE545" s="1605"/>
      <c r="DF545" s="1605"/>
      <c r="DG545" s="1605"/>
      <c r="DH545" s="1605"/>
      <c r="DI545" s="1605"/>
      <c r="DJ545" s="1605"/>
      <c r="DK545" s="1605"/>
      <c r="DL545" s="1605"/>
      <c r="DM545" s="1605"/>
      <c r="DN545" s="1605"/>
      <c r="DO545" s="1605"/>
      <c r="DP545" s="1605"/>
      <c r="DQ545" s="1605"/>
      <c r="DR545" s="1605"/>
      <c r="DS545" s="1605"/>
      <c r="DT545" s="1605"/>
      <c r="DU545" s="1605"/>
      <c r="DV545" s="1605"/>
      <c r="DW545" s="1605"/>
      <c r="DX545" s="1605"/>
      <c r="DY545" s="1605"/>
      <c r="DZ545" s="1605"/>
      <c r="EA545" s="1605"/>
      <c r="EB545" s="1605"/>
      <c r="EC545" s="1605"/>
      <c r="ED545" s="1605"/>
      <c r="EE545" s="1605"/>
      <c r="EF545" s="1605"/>
      <c r="EG545" s="1605"/>
      <c r="EH545" s="1605"/>
      <c r="EI545" s="1605"/>
      <c r="EJ545" s="1605"/>
      <c r="EK545" s="1605"/>
      <c r="EL545" s="1605"/>
      <c r="EM545" s="1605"/>
      <c r="EN545" s="1605"/>
      <c r="EO545" s="1605"/>
      <c r="EP545" s="1605"/>
      <c r="EQ545" s="1605"/>
      <c r="ER545" s="1605"/>
      <c r="ES545" s="1605"/>
      <c r="ET545" s="1605"/>
      <c r="EU545" s="1605"/>
      <c r="EV545" s="1605"/>
      <c r="EW545" s="1605"/>
      <c r="EX545" s="1605"/>
      <c r="EY545" s="1605"/>
      <c r="EZ545" s="1605"/>
      <c r="FA545" s="1605"/>
      <c r="FB545" s="1605"/>
      <c r="FC545" s="1605"/>
      <c r="FD545" s="1605"/>
      <c r="FE545" s="1605"/>
      <c r="FF545" s="1605"/>
      <c r="FG545" s="1605"/>
      <c r="FH545" s="1605"/>
      <c r="FI545" s="1605"/>
      <c r="FJ545" s="1605"/>
      <c r="FK545" s="1605"/>
      <c r="FL545" s="1605"/>
      <c r="FM545" s="1605"/>
      <c r="FN545" s="1605"/>
      <c r="FO545" s="1605"/>
      <c r="FP545" s="1605"/>
      <c r="FQ545" s="1605"/>
      <c r="FR545" s="1605"/>
      <c r="FS545" s="1605"/>
      <c r="FT545" s="1605"/>
      <c r="FU545" s="1605"/>
      <c r="FV545" s="1605"/>
      <c r="FW545" s="1605"/>
      <c r="FX545" s="1605"/>
      <c r="FY545" s="1605"/>
      <c r="FZ545" s="1605"/>
      <c r="GA545" s="1605"/>
      <c r="GB545" s="1605"/>
      <c r="GC545" s="1605"/>
      <c r="GD545" s="1605"/>
      <c r="GE545" s="1605"/>
      <c r="GF545" s="1605"/>
      <c r="GG545" s="1605"/>
      <c r="GH545" s="1605"/>
      <c r="GI545" s="1605"/>
      <c r="GJ545" s="1605"/>
      <c r="GK545" s="1605"/>
      <c r="GL545" s="1605"/>
      <c r="GM545" s="1605"/>
      <c r="GN545" s="1605"/>
      <c r="GO545" s="1605"/>
      <c r="GP545" s="1605"/>
      <c r="GQ545" s="1605"/>
      <c r="GR545" s="1605"/>
      <c r="GS545" s="1605"/>
      <c r="GT545" s="1605"/>
      <c r="GU545" s="1605"/>
      <c r="GV545" s="1605"/>
      <c r="GW545" s="1605"/>
      <c r="GX545" s="1605"/>
      <c r="GY545" s="1605"/>
      <c r="GZ545" s="1605"/>
      <c r="HA545" s="1605"/>
      <c r="HB545" s="1605"/>
      <c r="HC545" s="1605"/>
      <c r="HD545" s="1605"/>
      <c r="HE545" s="1605"/>
      <c r="HF545" s="1605"/>
      <c r="HG545" s="1605"/>
      <c r="HH545" s="1605"/>
      <c r="HI545" s="1605"/>
      <c r="HJ545" s="1605"/>
      <c r="HK545" s="1605"/>
      <c r="HL545" s="1605"/>
      <c r="HM545" s="1605"/>
      <c r="HN545" s="1605"/>
      <c r="HO545" s="1605"/>
      <c r="HP545" s="1605"/>
      <c r="HQ545" s="1605"/>
      <c r="HR545" s="1605"/>
      <c r="HS545" s="1605"/>
      <c r="HT545" s="1605"/>
      <c r="HU545" s="1605"/>
      <c r="HV545" s="1605"/>
      <c r="HW545" s="1605"/>
      <c r="HX545" s="1605"/>
      <c r="HY545" s="1605"/>
      <c r="HZ545" s="1605"/>
      <c r="IA545" s="1605"/>
      <c r="IB545" s="1605"/>
      <c r="IC545" s="1605"/>
      <c r="ID545" s="1605"/>
      <c r="IE545" s="1605"/>
      <c r="IF545" s="1605"/>
      <c r="IG545" s="1605"/>
      <c r="IH545" s="1605"/>
      <c r="II545" s="1605"/>
      <c r="IJ545" s="1605"/>
      <c r="IK545" s="1605"/>
      <c r="IL545" s="1605"/>
      <c r="IM545" s="1605"/>
      <c r="IN545" s="1605"/>
      <c r="IO545" s="1605"/>
      <c r="IP545" s="1605"/>
      <c r="IQ545" s="1605"/>
      <c r="IR545" s="1605"/>
      <c r="IS545" s="1605"/>
      <c r="IT545" s="1605"/>
      <c r="IU545" s="1605"/>
      <c r="IV545" s="1605"/>
      <c r="IW545" s="1605"/>
      <c r="IX545" s="1605"/>
      <c r="IY545" s="1605"/>
      <c r="IZ545" s="1605"/>
      <c r="JA545" s="1605"/>
      <c r="JB545" s="1605"/>
      <c r="JC545" s="1605"/>
      <c r="JD545" s="1605"/>
      <c r="JE545" s="1605"/>
      <c r="JF545" s="1605"/>
      <c r="JG545" s="1605"/>
      <c r="JH545" s="1605"/>
      <c r="JI545" s="1605"/>
      <c r="JJ545" s="1605"/>
      <c r="JK545" s="1605"/>
      <c r="JL545" s="1605"/>
      <c r="JM545" s="1605"/>
      <c r="JN545" s="1605"/>
      <c r="JO545" s="1605"/>
      <c r="JP545" s="1605"/>
      <c r="JQ545" s="1605"/>
      <c r="JR545" s="1605"/>
      <c r="JS545" s="1605"/>
      <c r="JT545" s="1605"/>
      <c r="JU545" s="1605"/>
      <c r="JV545" s="1605"/>
      <c r="JW545" s="1605"/>
      <c r="JX545" s="1605"/>
      <c r="JY545" s="1605"/>
      <c r="JZ545" s="1605"/>
      <c r="KA545" s="1605"/>
      <c r="KB545" s="1606"/>
    </row>
    <row r="546" spans="2:288" ht="15" customHeight="1" x14ac:dyDescent="0.25">
      <c r="B546" s="216" t="str">
        <f t="shared" si="45"/>
        <v>Desk 19</v>
      </c>
      <c r="C546" s="218" t="str">
        <v/>
      </c>
      <c r="D546" s="218" t="str">
        <v/>
      </c>
      <c r="E546" s="218" t="str">
        <v/>
      </c>
      <c r="F546" s="218" t="str">
        <v/>
      </c>
      <c r="G546" s="402" t="str">
        <v/>
      </c>
      <c r="H546" s="1605"/>
      <c r="I546" s="1605"/>
      <c r="J546" s="1605"/>
      <c r="K546" s="1605"/>
      <c r="L546" s="1605"/>
      <c r="M546" s="1605"/>
      <c r="N546" s="1605"/>
      <c r="O546" s="1605"/>
      <c r="P546" s="1605"/>
      <c r="Q546" s="1605"/>
      <c r="R546" s="1605"/>
      <c r="S546" s="1605"/>
      <c r="T546" s="1605"/>
      <c r="U546" s="1605"/>
      <c r="V546" s="1605"/>
      <c r="W546" s="1605"/>
      <c r="X546" s="1605"/>
      <c r="Y546" s="1605"/>
      <c r="Z546" s="1605"/>
      <c r="AA546" s="1605"/>
      <c r="AB546" s="1605"/>
      <c r="AC546" s="1605"/>
      <c r="AD546" s="1605"/>
      <c r="AE546" s="1605"/>
      <c r="AF546" s="1605"/>
      <c r="AG546" s="1605"/>
      <c r="AH546" s="1605"/>
      <c r="AI546" s="1605"/>
      <c r="AJ546" s="1605"/>
      <c r="AK546" s="1605"/>
      <c r="AL546" s="1605"/>
      <c r="AM546" s="1605"/>
      <c r="AN546" s="1605"/>
      <c r="AO546" s="1605"/>
      <c r="AP546" s="1605"/>
      <c r="AQ546" s="1605"/>
      <c r="AR546" s="1605"/>
      <c r="AS546" s="1605"/>
      <c r="AT546" s="1605"/>
      <c r="AU546" s="1605"/>
      <c r="AV546" s="1605"/>
      <c r="AW546" s="1605"/>
      <c r="AX546" s="1605"/>
      <c r="AY546" s="1605"/>
      <c r="AZ546" s="1605"/>
      <c r="BA546" s="1605"/>
      <c r="BB546" s="1605"/>
      <c r="BC546" s="1605"/>
      <c r="BD546" s="1605"/>
      <c r="BE546" s="1605"/>
      <c r="BF546" s="1605"/>
      <c r="BG546" s="1605"/>
      <c r="BH546" s="1605"/>
      <c r="BI546" s="1605"/>
      <c r="BJ546" s="1605"/>
      <c r="BK546" s="1605"/>
      <c r="BL546" s="1605"/>
      <c r="BM546" s="1605"/>
      <c r="BN546" s="1605"/>
      <c r="BO546" s="1605"/>
      <c r="BP546" s="1605"/>
      <c r="BQ546" s="1605"/>
      <c r="BR546" s="1605"/>
      <c r="BS546" s="1605"/>
      <c r="BT546" s="1605"/>
      <c r="BU546" s="1605"/>
      <c r="BV546" s="1605"/>
      <c r="BW546" s="1605"/>
      <c r="BX546" s="1605"/>
      <c r="BY546" s="1605"/>
      <c r="BZ546" s="1605"/>
      <c r="CA546" s="1605"/>
      <c r="CB546" s="1605"/>
      <c r="CC546" s="1605"/>
      <c r="CD546" s="1605"/>
      <c r="CE546" s="1605"/>
      <c r="CF546" s="1605"/>
      <c r="CG546" s="1605"/>
      <c r="CH546" s="1605"/>
      <c r="CI546" s="1605"/>
      <c r="CJ546" s="1605"/>
      <c r="CK546" s="1605"/>
      <c r="CL546" s="1605"/>
      <c r="CM546" s="1605"/>
      <c r="CN546" s="1605"/>
      <c r="CO546" s="1605"/>
      <c r="CP546" s="1605"/>
      <c r="CQ546" s="1605"/>
      <c r="CR546" s="1605"/>
      <c r="CS546" s="1605"/>
      <c r="CT546" s="1605"/>
      <c r="CU546" s="1605"/>
      <c r="CV546" s="1605"/>
      <c r="CW546" s="1605"/>
      <c r="CX546" s="1605"/>
      <c r="CY546" s="1605"/>
      <c r="CZ546" s="1605"/>
      <c r="DA546" s="1605"/>
      <c r="DB546" s="1605"/>
      <c r="DC546" s="1605"/>
      <c r="DD546" s="1605"/>
      <c r="DE546" s="1605"/>
      <c r="DF546" s="1605"/>
      <c r="DG546" s="1605"/>
      <c r="DH546" s="1605"/>
      <c r="DI546" s="1605"/>
      <c r="DJ546" s="1605"/>
      <c r="DK546" s="1605"/>
      <c r="DL546" s="1605"/>
      <c r="DM546" s="1605"/>
      <c r="DN546" s="1605"/>
      <c r="DO546" s="1605"/>
      <c r="DP546" s="1605"/>
      <c r="DQ546" s="1605"/>
      <c r="DR546" s="1605"/>
      <c r="DS546" s="1605"/>
      <c r="DT546" s="1605"/>
      <c r="DU546" s="1605"/>
      <c r="DV546" s="1605"/>
      <c r="DW546" s="1605"/>
      <c r="DX546" s="1605"/>
      <c r="DY546" s="1605"/>
      <c r="DZ546" s="1605"/>
      <c r="EA546" s="1605"/>
      <c r="EB546" s="1605"/>
      <c r="EC546" s="1605"/>
      <c r="ED546" s="1605"/>
      <c r="EE546" s="1605"/>
      <c r="EF546" s="1605"/>
      <c r="EG546" s="1605"/>
      <c r="EH546" s="1605"/>
      <c r="EI546" s="1605"/>
      <c r="EJ546" s="1605"/>
      <c r="EK546" s="1605"/>
      <c r="EL546" s="1605"/>
      <c r="EM546" s="1605"/>
      <c r="EN546" s="1605"/>
      <c r="EO546" s="1605"/>
      <c r="EP546" s="1605"/>
      <c r="EQ546" s="1605"/>
      <c r="ER546" s="1605"/>
      <c r="ES546" s="1605"/>
      <c r="ET546" s="1605"/>
      <c r="EU546" s="1605"/>
      <c r="EV546" s="1605"/>
      <c r="EW546" s="1605"/>
      <c r="EX546" s="1605"/>
      <c r="EY546" s="1605"/>
      <c r="EZ546" s="1605"/>
      <c r="FA546" s="1605"/>
      <c r="FB546" s="1605"/>
      <c r="FC546" s="1605"/>
      <c r="FD546" s="1605"/>
      <c r="FE546" s="1605"/>
      <c r="FF546" s="1605"/>
      <c r="FG546" s="1605"/>
      <c r="FH546" s="1605"/>
      <c r="FI546" s="1605"/>
      <c r="FJ546" s="1605"/>
      <c r="FK546" s="1605"/>
      <c r="FL546" s="1605"/>
      <c r="FM546" s="1605"/>
      <c r="FN546" s="1605"/>
      <c r="FO546" s="1605"/>
      <c r="FP546" s="1605"/>
      <c r="FQ546" s="1605"/>
      <c r="FR546" s="1605"/>
      <c r="FS546" s="1605"/>
      <c r="FT546" s="1605"/>
      <c r="FU546" s="1605"/>
      <c r="FV546" s="1605"/>
      <c r="FW546" s="1605"/>
      <c r="FX546" s="1605"/>
      <c r="FY546" s="1605"/>
      <c r="FZ546" s="1605"/>
      <c r="GA546" s="1605"/>
      <c r="GB546" s="1605"/>
      <c r="GC546" s="1605"/>
      <c r="GD546" s="1605"/>
      <c r="GE546" s="1605"/>
      <c r="GF546" s="1605"/>
      <c r="GG546" s="1605"/>
      <c r="GH546" s="1605"/>
      <c r="GI546" s="1605"/>
      <c r="GJ546" s="1605"/>
      <c r="GK546" s="1605"/>
      <c r="GL546" s="1605"/>
      <c r="GM546" s="1605"/>
      <c r="GN546" s="1605"/>
      <c r="GO546" s="1605"/>
      <c r="GP546" s="1605"/>
      <c r="GQ546" s="1605"/>
      <c r="GR546" s="1605"/>
      <c r="GS546" s="1605"/>
      <c r="GT546" s="1605"/>
      <c r="GU546" s="1605"/>
      <c r="GV546" s="1605"/>
      <c r="GW546" s="1605"/>
      <c r="GX546" s="1605"/>
      <c r="GY546" s="1605"/>
      <c r="GZ546" s="1605"/>
      <c r="HA546" s="1605"/>
      <c r="HB546" s="1605"/>
      <c r="HC546" s="1605"/>
      <c r="HD546" s="1605"/>
      <c r="HE546" s="1605"/>
      <c r="HF546" s="1605"/>
      <c r="HG546" s="1605"/>
      <c r="HH546" s="1605"/>
      <c r="HI546" s="1605"/>
      <c r="HJ546" s="1605"/>
      <c r="HK546" s="1605"/>
      <c r="HL546" s="1605"/>
      <c r="HM546" s="1605"/>
      <c r="HN546" s="1605"/>
      <c r="HO546" s="1605"/>
      <c r="HP546" s="1605"/>
      <c r="HQ546" s="1605"/>
      <c r="HR546" s="1605"/>
      <c r="HS546" s="1605"/>
      <c r="HT546" s="1605"/>
      <c r="HU546" s="1605"/>
      <c r="HV546" s="1605"/>
      <c r="HW546" s="1605"/>
      <c r="HX546" s="1605"/>
      <c r="HY546" s="1605"/>
      <c r="HZ546" s="1605"/>
      <c r="IA546" s="1605"/>
      <c r="IB546" s="1605"/>
      <c r="IC546" s="1605"/>
      <c r="ID546" s="1605"/>
      <c r="IE546" s="1605"/>
      <c r="IF546" s="1605"/>
      <c r="IG546" s="1605"/>
      <c r="IH546" s="1605"/>
      <c r="II546" s="1605"/>
      <c r="IJ546" s="1605"/>
      <c r="IK546" s="1605"/>
      <c r="IL546" s="1605"/>
      <c r="IM546" s="1605"/>
      <c r="IN546" s="1605"/>
      <c r="IO546" s="1605"/>
      <c r="IP546" s="1605"/>
      <c r="IQ546" s="1605"/>
      <c r="IR546" s="1605"/>
      <c r="IS546" s="1605"/>
      <c r="IT546" s="1605"/>
      <c r="IU546" s="1605"/>
      <c r="IV546" s="1605"/>
      <c r="IW546" s="1605"/>
      <c r="IX546" s="1605"/>
      <c r="IY546" s="1605"/>
      <c r="IZ546" s="1605"/>
      <c r="JA546" s="1605"/>
      <c r="JB546" s="1605"/>
      <c r="JC546" s="1605"/>
      <c r="JD546" s="1605"/>
      <c r="JE546" s="1605"/>
      <c r="JF546" s="1605"/>
      <c r="JG546" s="1605"/>
      <c r="JH546" s="1605"/>
      <c r="JI546" s="1605"/>
      <c r="JJ546" s="1605"/>
      <c r="JK546" s="1605"/>
      <c r="JL546" s="1605"/>
      <c r="JM546" s="1605"/>
      <c r="JN546" s="1605"/>
      <c r="JO546" s="1605"/>
      <c r="JP546" s="1605"/>
      <c r="JQ546" s="1605"/>
      <c r="JR546" s="1605"/>
      <c r="JS546" s="1605"/>
      <c r="JT546" s="1605"/>
      <c r="JU546" s="1605"/>
      <c r="JV546" s="1605"/>
      <c r="JW546" s="1605"/>
      <c r="JX546" s="1605"/>
      <c r="JY546" s="1605"/>
      <c r="JZ546" s="1605"/>
      <c r="KA546" s="1605"/>
      <c r="KB546" s="1606"/>
    </row>
    <row r="547" spans="2:288" ht="15" customHeight="1" x14ac:dyDescent="0.25">
      <c r="B547" s="216" t="str">
        <f t="shared" si="45"/>
        <v>Desk 20</v>
      </c>
      <c r="C547" s="218" t="str">
        <v/>
      </c>
      <c r="D547" s="218" t="str">
        <v/>
      </c>
      <c r="E547" s="218" t="str">
        <v/>
      </c>
      <c r="F547" s="218" t="str">
        <v/>
      </c>
      <c r="G547" s="402" t="str">
        <v/>
      </c>
      <c r="H547" s="1605"/>
      <c r="I547" s="1605"/>
      <c r="J547" s="1605"/>
      <c r="K547" s="1605"/>
      <c r="L547" s="1605"/>
      <c r="M547" s="1605"/>
      <c r="N547" s="1605"/>
      <c r="O547" s="1605"/>
      <c r="P547" s="1605"/>
      <c r="Q547" s="1605"/>
      <c r="R547" s="1605"/>
      <c r="S547" s="1605"/>
      <c r="T547" s="1605"/>
      <c r="U547" s="1605"/>
      <c r="V547" s="1605"/>
      <c r="W547" s="1605"/>
      <c r="X547" s="1605"/>
      <c r="Y547" s="1605"/>
      <c r="Z547" s="1605"/>
      <c r="AA547" s="1605"/>
      <c r="AB547" s="1605"/>
      <c r="AC547" s="1605"/>
      <c r="AD547" s="1605"/>
      <c r="AE547" s="1605"/>
      <c r="AF547" s="1605"/>
      <c r="AG547" s="1605"/>
      <c r="AH547" s="1605"/>
      <c r="AI547" s="1605"/>
      <c r="AJ547" s="1605"/>
      <c r="AK547" s="1605"/>
      <c r="AL547" s="1605"/>
      <c r="AM547" s="1605"/>
      <c r="AN547" s="1605"/>
      <c r="AO547" s="1605"/>
      <c r="AP547" s="1605"/>
      <c r="AQ547" s="1605"/>
      <c r="AR547" s="1605"/>
      <c r="AS547" s="1605"/>
      <c r="AT547" s="1605"/>
      <c r="AU547" s="1605"/>
      <c r="AV547" s="1605"/>
      <c r="AW547" s="1605"/>
      <c r="AX547" s="1605"/>
      <c r="AY547" s="1605"/>
      <c r="AZ547" s="1605"/>
      <c r="BA547" s="1605"/>
      <c r="BB547" s="1605"/>
      <c r="BC547" s="1605"/>
      <c r="BD547" s="1605"/>
      <c r="BE547" s="1605"/>
      <c r="BF547" s="1605"/>
      <c r="BG547" s="1605"/>
      <c r="BH547" s="1605"/>
      <c r="BI547" s="1605"/>
      <c r="BJ547" s="1605"/>
      <c r="BK547" s="1605"/>
      <c r="BL547" s="1605"/>
      <c r="BM547" s="1605"/>
      <c r="BN547" s="1605"/>
      <c r="BO547" s="1605"/>
      <c r="BP547" s="1605"/>
      <c r="BQ547" s="1605"/>
      <c r="BR547" s="1605"/>
      <c r="BS547" s="1605"/>
      <c r="BT547" s="1605"/>
      <c r="BU547" s="1605"/>
      <c r="BV547" s="1605"/>
      <c r="BW547" s="1605"/>
      <c r="BX547" s="1605"/>
      <c r="BY547" s="1605"/>
      <c r="BZ547" s="1605"/>
      <c r="CA547" s="1605"/>
      <c r="CB547" s="1605"/>
      <c r="CC547" s="1605"/>
      <c r="CD547" s="1605"/>
      <c r="CE547" s="1605"/>
      <c r="CF547" s="1605"/>
      <c r="CG547" s="1605"/>
      <c r="CH547" s="1605"/>
      <c r="CI547" s="1605"/>
      <c r="CJ547" s="1605"/>
      <c r="CK547" s="1605"/>
      <c r="CL547" s="1605"/>
      <c r="CM547" s="1605"/>
      <c r="CN547" s="1605"/>
      <c r="CO547" s="1605"/>
      <c r="CP547" s="1605"/>
      <c r="CQ547" s="1605"/>
      <c r="CR547" s="1605"/>
      <c r="CS547" s="1605"/>
      <c r="CT547" s="1605"/>
      <c r="CU547" s="1605"/>
      <c r="CV547" s="1605"/>
      <c r="CW547" s="1605"/>
      <c r="CX547" s="1605"/>
      <c r="CY547" s="1605"/>
      <c r="CZ547" s="1605"/>
      <c r="DA547" s="1605"/>
      <c r="DB547" s="1605"/>
      <c r="DC547" s="1605"/>
      <c r="DD547" s="1605"/>
      <c r="DE547" s="1605"/>
      <c r="DF547" s="1605"/>
      <c r="DG547" s="1605"/>
      <c r="DH547" s="1605"/>
      <c r="DI547" s="1605"/>
      <c r="DJ547" s="1605"/>
      <c r="DK547" s="1605"/>
      <c r="DL547" s="1605"/>
      <c r="DM547" s="1605"/>
      <c r="DN547" s="1605"/>
      <c r="DO547" s="1605"/>
      <c r="DP547" s="1605"/>
      <c r="DQ547" s="1605"/>
      <c r="DR547" s="1605"/>
      <c r="DS547" s="1605"/>
      <c r="DT547" s="1605"/>
      <c r="DU547" s="1605"/>
      <c r="DV547" s="1605"/>
      <c r="DW547" s="1605"/>
      <c r="DX547" s="1605"/>
      <c r="DY547" s="1605"/>
      <c r="DZ547" s="1605"/>
      <c r="EA547" s="1605"/>
      <c r="EB547" s="1605"/>
      <c r="EC547" s="1605"/>
      <c r="ED547" s="1605"/>
      <c r="EE547" s="1605"/>
      <c r="EF547" s="1605"/>
      <c r="EG547" s="1605"/>
      <c r="EH547" s="1605"/>
      <c r="EI547" s="1605"/>
      <c r="EJ547" s="1605"/>
      <c r="EK547" s="1605"/>
      <c r="EL547" s="1605"/>
      <c r="EM547" s="1605"/>
      <c r="EN547" s="1605"/>
      <c r="EO547" s="1605"/>
      <c r="EP547" s="1605"/>
      <c r="EQ547" s="1605"/>
      <c r="ER547" s="1605"/>
      <c r="ES547" s="1605"/>
      <c r="ET547" s="1605"/>
      <c r="EU547" s="1605"/>
      <c r="EV547" s="1605"/>
      <c r="EW547" s="1605"/>
      <c r="EX547" s="1605"/>
      <c r="EY547" s="1605"/>
      <c r="EZ547" s="1605"/>
      <c r="FA547" s="1605"/>
      <c r="FB547" s="1605"/>
      <c r="FC547" s="1605"/>
      <c r="FD547" s="1605"/>
      <c r="FE547" s="1605"/>
      <c r="FF547" s="1605"/>
      <c r="FG547" s="1605"/>
      <c r="FH547" s="1605"/>
      <c r="FI547" s="1605"/>
      <c r="FJ547" s="1605"/>
      <c r="FK547" s="1605"/>
      <c r="FL547" s="1605"/>
      <c r="FM547" s="1605"/>
      <c r="FN547" s="1605"/>
      <c r="FO547" s="1605"/>
      <c r="FP547" s="1605"/>
      <c r="FQ547" s="1605"/>
      <c r="FR547" s="1605"/>
      <c r="FS547" s="1605"/>
      <c r="FT547" s="1605"/>
      <c r="FU547" s="1605"/>
      <c r="FV547" s="1605"/>
      <c r="FW547" s="1605"/>
      <c r="FX547" s="1605"/>
      <c r="FY547" s="1605"/>
      <c r="FZ547" s="1605"/>
      <c r="GA547" s="1605"/>
      <c r="GB547" s="1605"/>
      <c r="GC547" s="1605"/>
      <c r="GD547" s="1605"/>
      <c r="GE547" s="1605"/>
      <c r="GF547" s="1605"/>
      <c r="GG547" s="1605"/>
      <c r="GH547" s="1605"/>
      <c r="GI547" s="1605"/>
      <c r="GJ547" s="1605"/>
      <c r="GK547" s="1605"/>
      <c r="GL547" s="1605"/>
      <c r="GM547" s="1605"/>
      <c r="GN547" s="1605"/>
      <c r="GO547" s="1605"/>
      <c r="GP547" s="1605"/>
      <c r="GQ547" s="1605"/>
      <c r="GR547" s="1605"/>
      <c r="GS547" s="1605"/>
      <c r="GT547" s="1605"/>
      <c r="GU547" s="1605"/>
      <c r="GV547" s="1605"/>
      <c r="GW547" s="1605"/>
      <c r="GX547" s="1605"/>
      <c r="GY547" s="1605"/>
      <c r="GZ547" s="1605"/>
      <c r="HA547" s="1605"/>
      <c r="HB547" s="1605"/>
      <c r="HC547" s="1605"/>
      <c r="HD547" s="1605"/>
      <c r="HE547" s="1605"/>
      <c r="HF547" s="1605"/>
      <c r="HG547" s="1605"/>
      <c r="HH547" s="1605"/>
      <c r="HI547" s="1605"/>
      <c r="HJ547" s="1605"/>
      <c r="HK547" s="1605"/>
      <c r="HL547" s="1605"/>
      <c r="HM547" s="1605"/>
      <c r="HN547" s="1605"/>
      <c r="HO547" s="1605"/>
      <c r="HP547" s="1605"/>
      <c r="HQ547" s="1605"/>
      <c r="HR547" s="1605"/>
      <c r="HS547" s="1605"/>
      <c r="HT547" s="1605"/>
      <c r="HU547" s="1605"/>
      <c r="HV547" s="1605"/>
      <c r="HW547" s="1605"/>
      <c r="HX547" s="1605"/>
      <c r="HY547" s="1605"/>
      <c r="HZ547" s="1605"/>
      <c r="IA547" s="1605"/>
      <c r="IB547" s="1605"/>
      <c r="IC547" s="1605"/>
      <c r="ID547" s="1605"/>
      <c r="IE547" s="1605"/>
      <c r="IF547" s="1605"/>
      <c r="IG547" s="1605"/>
      <c r="IH547" s="1605"/>
      <c r="II547" s="1605"/>
      <c r="IJ547" s="1605"/>
      <c r="IK547" s="1605"/>
      <c r="IL547" s="1605"/>
      <c r="IM547" s="1605"/>
      <c r="IN547" s="1605"/>
      <c r="IO547" s="1605"/>
      <c r="IP547" s="1605"/>
      <c r="IQ547" s="1605"/>
      <c r="IR547" s="1605"/>
      <c r="IS547" s="1605"/>
      <c r="IT547" s="1605"/>
      <c r="IU547" s="1605"/>
      <c r="IV547" s="1605"/>
      <c r="IW547" s="1605"/>
      <c r="IX547" s="1605"/>
      <c r="IY547" s="1605"/>
      <c r="IZ547" s="1605"/>
      <c r="JA547" s="1605"/>
      <c r="JB547" s="1605"/>
      <c r="JC547" s="1605"/>
      <c r="JD547" s="1605"/>
      <c r="JE547" s="1605"/>
      <c r="JF547" s="1605"/>
      <c r="JG547" s="1605"/>
      <c r="JH547" s="1605"/>
      <c r="JI547" s="1605"/>
      <c r="JJ547" s="1605"/>
      <c r="JK547" s="1605"/>
      <c r="JL547" s="1605"/>
      <c r="JM547" s="1605"/>
      <c r="JN547" s="1605"/>
      <c r="JO547" s="1605"/>
      <c r="JP547" s="1605"/>
      <c r="JQ547" s="1605"/>
      <c r="JR547" s="1605"/>
      <c r="JS547" s="1605"/>
      <c r="JT547" s="1605"/>
      <c r="JU547" s="1605"/>
      <c r="JV547" s="1605"/>
      <c r="JW547" s="1605"/>
      <c r="JX547" s="1605"/>
      <c r="JY547" s="1605"/>
      <c r="JZ547" s="1605"/>
      <c r="KA547" s="1605"/>
      <c r="KB547" s="1606"/>
    </row>
    <row r="548" spans="2:288" ht="15" customHeight="1" x14ac:dyDescent="0.25">
      <c r="B548" s="216" t="str">
        <f t="shared" si="45"/>
        <v>Desk 21</v>
      </c>
      <c r="C548" s="218" t="str">
        <v/>
      </c>
      <c r="D548" s="218" t="str">
        <v/>
      </c>
      <c r="E548" s="218" t="str">
        <v/>
      </c>
      <c r="F548" s="218" t="str">
        <v/>
      </c>
      <c r="G548" s="402" t="str">
        <v/>
      </c>
      <c r="H548" s="1605"/>
      <c r="I548" s="1605"/>
      <c r="J548" s="1605"/>
      <c r="K548" s="1605"/>
      <c r="L548" s="1605"/>
      <c r="M548" s="1605"/>
      <c r="N548" s="1605"/>
      <c r="O548" s="1605"/>
      <c r="P548" s="1605"/>
      <c r="Q548" s="1605"/>
      <c r="R548" s="1605"/>
      <c r="S548" s="1605"/>
      <c r="T548" s="1605"/>
      <c r="U548" s="1605"/>
      <c r="V548" s="1605"/>
      <c r="W548" s="1605"/>
      <c r="X548" s="1605"/>
      <c r="Y548" s="1605"/>
      <c r="Z548" s="1605"/>
      <c r="AA548" s="1605"/>
      <c r="AB548" s="1605"/>
      <c r="AC548" s="1605"/>
      <c r="AD548" s="1605"/>
      <c r="AE548" s="1605"/>
      <c r="AF548" s="1605"/>
      <c r="AG548" s="1605"/>
      <c r="AH548" s="1605"/>
      <c r="AI548" s="1605"/>
      <c r="AJ548" s="1605"/>
      <c r="AK548" s="1605"/>
      <c r="AL548" s="1605"/>
      <c r="AM548" s="1605"/>
      <c r="AN548" s="1605"/>
      <c r="AO548" s="1605"/>
      <c r="AP548" s="1605"/>
      <c r="AQ548" s="1605"/>
      <c r="AR548" s="1605"/>
      <c r="AS548" s="1605"/>
      <c r="AT548" s="1605"/>
      <c r="AU548" s="1605"/>
      <c r="AV548" s="1605"/>
      <c r="AW548" s="1605"/>
      <c r="AX548" s="1605"/>
      <c r="AY548" s="1605"/>
      <c r="AZ548" s="1605"/>
      <c r="BA548" s="1605"/>
      <c r="BB548" s="1605"/>
      <c r="BC548" s="1605"/>
      <c r="BD548" s="1605"/>
      <c r="BE548" s="1605"/>
      <c r="BF548" s="1605"/>
      <c r="BG548" s="1605"/>
      <c r="BH548" s="1605"/>
      <c r="BI548" s="1605"/>
      <c r="BJ548" s="1605"/>
      <c r="BK548" s="1605"/>
      <c r="BL548" s="1605"/>
      <c r="BM548" s="1605"/>
      <c r="BN548" s="1605"/>
      <c r="BO548" s="1605"/>
      <c r="BP548" s="1605"/>
      <c r="BQ548" s="1605"/>
      <c r="BR548" s="1605"/>
      <c r="BS548" s="1605"/>
      <c r="BT548" s="1605"/>
      <c r="BU548" s="1605"/>
      <c r="BV548" s="1605"/>
      <c r="BW548" s="1605"/>
      <c r="BX548" s="1605"/>
      <c r="BY548" s="1605"/>
      <c r="BZ548" s="1605"/>
      <c r="CA548" s="1605"/>
      <c r="CB548" s="1605"/>
      <c r="CC548" s="1605"/>
      <c r="CD548" s="1605"/>
      <c r="CE548" s="1605"/>
      <c r="CF548" s="1605"/>
      <c r="CG548" s="1605"/>
      <c r="CH548" s="1605"/>
      <c r="CI548" s="1605"/>
      <c r="CJ548" s="1605"/>
      <c r="CK548" s="1605"/>
      <c r="CL548" s="1605"/>
      <c r="CM548" s="1605"/>
      <c r="CN548" s="1605"/>
      <c r="CO548" s="1605"/>
      <c r="CP548" s="1605"/>
      <c r="CQ548" s="1605"/>
      <c r="CR548" s="1605"/>
      <c r="CS548" s="1605"/>
      <c r="CT548" s="1605"/>
      <c r="CU548" s="1605"/>
      <c r="CV548" s="1605"/>
      <c r="CW548" s="1605"/>
      <c r="CX548" s="1605"/>
      <c r="CY548" s="1605"/>
      <c r="CZ548" s="1605"/>
      <c r="DA548" s="1605"/>
      <c r="DB548" s="1605"/>
      <c r="DC548" s="1605"/>
      <c r="DD548" s="1605"/>
      <c r="DE548" s="1605"/>
      <c r="DF548" s="1605"/>
      <c r="DG548" s="1605"/>
      <c r="DH548" s="1605"/>
      <c r="DI548" s="1605"/>
      <c r="DJ548" s="1605"/>
      <c r="DK548" s="1605"/>
      <c r="DL548" s="1605"/>
      <c r="DM548" s="1605"/>
      <c r="DN548" s="1605"/>
      <c r="DO548" s="1605"/>
      <c r="DP548" s="1605"/>
      <c r="DQ548" s="1605"/>
      <c r="DR548" s="1605"/>
      <c r="DS548" s="1605"/>
      <c r="DT548" s="1605"/>
      <c r="DU548" s="1605"/>
      <c r="DV548" s="1605"/>
      <c r="DW548" s="1605"/>
      <c r="DX548" s="1605"/>
      <c r="DY548" s="1605"/>
      <c r="DZ548" s="1605"/>
      <c r="EA548" s="1605"/>
      <c r="EB548" s="1605"/>
      <c r="EC548" s="1605"/>
      <c r="ED548" s="1605"/>
      <c r="EE548" s="1605"/>
      <c r="EF548" s="1605"/>
      <c r="EG548" s="1605"/>
      <c r="EH548" s="1605"/>
      <c r="EI548" s="1605"/>
      <c r="EJ548" s="1605"/>
      <c r="EK548" s="1605"/>
      <c r="EL548" s="1605"/>
      <c r="EM548" s="1605"/>
      <c r="EN548" s="1605"/>
      <c r="EO548" s="1605"/>
      <c r="EP548" s="1605"/>
      <c r="EQ548" s="1605"/>
      <c r="ER548" s="1605"/>
      <c r="ES548" s="1605"/>
      <c r="ET548" s="1605"/>
      <c r="EU548" s="1605"/>
      <c r="EV548" s="1605"/>
      <c r="EW548" s="1605"/>
      <c r="EX548" s="1605"/>
      <c r="EY548" s="1605"/>
      <c r="EZ548" s="1605"/>
      <c r="FA548" s="1605"/>
      <c r="FB548" s="1605"/>
      <c r="FC548" s="1605"/>
      <c r="FD548" s="1605"/>
      <c r="FE548" s="1605"/>
      <c r="FF548" s="1605"/>
      <c r="FG548" s="1605"/>
      <c r="FH548" s="1605"/>
      <c r="FI548" s="1605"/>
      <c r="FJ548" s="1605"/>
      <c r="FK548" s="1605"/>
      <c r="FL548" s="1605"/>
      <c r="FM548" s="1605"/>
      <c r="FN548" s="1605"/>
      <c r="FO548" s="1605"/>
      <c r="FP548" s="1605"/>
      <c r="FQ548" s="1605"/>
      <c r="FR548" s="1605"/>
      <c r="FS548" s="1605"/>
      <c r="FT548" s="1605"/>
      <c r="FU548" s="1605"/>
      <c r="FV548" s="1605"/>
      <c r="FW548" s="1605"/>
      <c r="FX548" s="1605"/>
      <c r="FY548" s="1605"/>
      <c r="FZ548" s="1605"/>
      <c r="GA548" s="1605"/>
      <c r="GB548" s="1605"/>
      <c r="GC548" s="1605"/>
      <c r="GD548" s="1605"/>
      <c r="GE548" s="1605"/>
      <c r="GF548" s="1605"/>
      <c r="GG548" s="1605"/>
      <c r="GH548" s="1605"/>
      <c r="GI548" s="1605"/>
      <c r="GJ548" s="1605"/>
      <c r="GK548" s="1605"/>
      <c r="GL548" s="1605"/>
      <c r="GM548" s="1605"/>
      <c r="GN548" s="1605"/>
      <c r="GO548" s="1605"/>
      <c r="GP548" s="1605"/>
      <c r="GQ548" s="1605"/>
      <c r="GR548" s="1605"/>
      <c r="GS548" s="1605"/>
      <c r="GT548" s="1605"/>
      <c r="GU548" s="1605"/>
      <c r="GV548" s="1605"/>
      <c r="GW548" s="1605"/>
      <c r="GX548" s="1605"/>
      <c r="GY548" s="1605"/>
      <c r="GZ548" s="1605"/>
      <c r="HA548" s="1605"/>
      <c r="HB548" s="1605"/>
      <c r="HC548" s="1605"/>
      <c r="HD548" s="1605"/>
      <c r="HE548" s="1605"/>
      <c r="HF548" s="1605"/>
      <c r="HG548" s="1605"/>
      <c r="HH548" s="1605"/>
      <c r="HI548" s="1605"/>
      <c r="HJ548" s="1605"/>
      <c r="HK548" s="1605"/>
      <c r="HL548" s="1605"/>
      <c r="HM548" s="1605"/>
      <c r="HN548" s="1605"/>
      <c r="HO548" s="1605"/>
      <c r="HP548" s="1605"/>
      <c r="HQ548" s="1605"/>
      <c r="HR548" s="1605"/>
      <c r="HS548" s="1605"/>
      <c r="HT548" s="1605"/>
      <c r="HU548" s="1605"/>
      <c r="HV548" s="1605"/>
      <c r="HW548" s="1605"/>
      <c r="HX548" s="1605"/>
      <c r="HY548" s="1605"/>
      <c r="HZ548" s="1605"/>
      <c r="IA548" s="1605"/>
      <c r="IB548" s="1605"/>
      <c r="IC548" s="1605"/>
      <c r="ID548" s="1605"/>
      <c r="IE548" s="1605"/>
      <c r="IF548" s="1605"/>
      <c r="IG548" s="1605"/>
      <c r="IH548" s="1605"/>
      <c r="II548" s="1605"/>
      <c r="IJ548" s="1605"/>
      <c r="IK548" s="1605"/>
      <c r="IL548" s="1605"/>
      <c r="IM548" s="1605"/>
      <c r="IN548" s="1605"/>
      <c r="IO548" s="1605"/>
      <c r="IP548" s="1605"/>
      <c r="IQ548" s="1605"/>
      <c r="IR548" s="1605"/>
      <c r="IS548" s="1605"/>
      <c r="IT548" s="1605"/>
      <c r="IU548" s="1605"/>
      <c r="IV548" s="1605"/>
      <c r="IW548" s="1605"/>
      <c r="IX548" s="1605"/>
      <c r="IY548" s="1605"/>
      <c r="IZ548" s="1605"/>
      <c r="JA548" s="1605"/>
      <c r="JB548" s="1605"/>
      <c r="JC548" s="1605"/>
      <c r="JD548" s="1605"/>
      <c r="JE548" s="1605"/>
      <c r="JF548" s="1605"/>
      <c r="JG548" s="1605"/>
      <c r="JH548" s="1605"/>
      <c r="JI548" s="1605"/>
      <c r="JJ548" s="1605"/>
      <c r="JK548" s="1605"/>
      <c r="JL548" s="1605"/>
      <c r="JM548" s="1605"/>
      <c r="JN548" s="1605"/>
      <c r="JO548" s="1605"/>
      <c r="JP548" s="1605"/>
      <c r="JQ548" s="1605"/>
      <c r="JR548" s="1605"/>
      <c r="JS548" s="1605"/>
      <c r="JT548" s="1605"/>
      <c r="JU548" s="1605"/>
      <c r="JV548" s="1605"/>
      <c r="JW548" s="1605"/>
      <c r="JX548" s="1605"/>
      <c r="JY548" s="1605"/>
      <c r="JZ548" s="1605"/>
      <c r="KA548" s="1605"/>
      <c r="KB548" s="1606"/>
    </row>
    <row r="549" spans="2:288" ht="15" customHeight="1" x14ac:dyDescent="0.25">
      <c r="B549" s="216" t="str">
        <f t="shared" si="45"/>
        <v>Desk 22</v>
      </c>
      <c r="C549" s="218" t="str">
        <v/>
      </c>
      <c r="D549" s="218" t="str">
        <v/>
      </c>
      <c r="E549" s="218" t="str">
        <v/>
      </c>
      <c r="F549" s="218" t="str">
        <v/>
      </c>
      <c r="G549" s="402" t="str">
        <v/>
      </c>
      <c r="H549" s="1605"/>
      <c r="I549" s="1605"/>
      <c r="J549" s="1605"/>
      <c r="K549" s="1605"/>
      <c r="L549" s="1605"/>
      <c r="M549" s="1605"/>
      <c r="N549" s="1605"/>
      <c r="O549" s="1605"/>
      <c r="P549" s="1605"/>
      <c r="Q549" s="1605"/>
      <c r="R549" s="1605"/>
      <c r="S549" s="1605"/>
      <c r="T549" s="1605"/>
      <c r="U549" s="1605"/>
      <c r="V549" s="1605"/>
      <c r="W549" s="1605"/>
      <c r="X549" s="1605"/>
      <c r="Y549" s="1605"/>
      <c r="Z549" s="1605"/>
      <c r="AA549" s="1605"/>
      <c r="AB549" s="1605"/>
      <c r="AC549" s="1605"/>
      <c r="AD549" s="1605"/>
      <c r="AE549" s="1605"/>
      <c r="AF549" s="1605"/>
      <c r="AG549" s="1605"/>
      <c r="AH549" s="1605"/>
      <c r="AI549" s="1605"/>
      <c r="AJ549" s="1605"/>
      <c r="AK549" s="1605"/>
      <c r="AL549" s="1605"/>
      <c r="AM549" s="1605"/>
      <c r="AN549" s="1605"/>
      <c r="AO549" s="1605"/>
      <c r="AP549" s="1605"/>
      <c r="AQ549" s="1605"/>
      <c r="AR549" s="1605"/>
      <c r="AS549" s="1605"/>
      <c r="AT549" s="1605"/>
      <c r="AU549" s="1605"/>
      <c r="AV549" s="1605"/>
      <c r="AW549" s="1605"/>
      <c r="AX549" s="1605"/>
      <c r="AY549" s="1605"/>
      <c r="AZ549" s="1605"/>
      <c r="BA549" s="1605"/>
      <c r="BB549" s="1605"/>
      <c r="BC549" s="1605"/>
      <c r="BD549" s="1605"/>
      <c r="BE549" s="1605"/>
      <c r="BF549" s="1605"/>
      <c r="BG549" s="1605"/>
      <c r="BH549" s="1605"/>
      <c r="BI549" s="1605"/>
      <c r="BJ549" s="1605"/>
      <c r="BK549" s="1605"/>
      <c r="BL549" s="1605"/>
      <c r="BM549" s="1605"/>
      <c r="BN549" s="1605"/>
      <c r="BO549" s="1605"/>
      <c r="BP549" s="1605"/>
      <c r="BQ549" s="1605"/>
      <c r="BR549" s="1605"/>
      <c r="BS549" s="1605"/>
      <c r="BT549" s="1605"/>
      <c r="BU549" s="1605"/>
      <c r="BV549" s="1605"/>
      <c r="BW549" s="1605"/>
      <c r="BX549" s="1605"/>
      <c r="BY549" s="1605"/>
      <c r="BZ549" s="1605"/>
      <c r="CA549" s="1605"/>
      <c r="CB549" s="1605"/>
      <c r="CC549" s="1605"/>
      <c r="CD549" s="1605"/>
      <c r="CE549" s="1605"/>
      <c r="CF549" s="1605"/>
      <c r="CG549" s="1605"/>
      <c r="CH549" s="1605"/>
      <c r="CI549" s="1605"/>
      <c r="CJ549" s="1605"/>
      <c r="CK549" s="1605"/>
      <c r="CL549" s="1605"/>
      <c r="CM549" s="1605"/>
      <c r="CN549" s="1605"/>
      <c r="CO549" s="1605"/>
      <c r="CP549" s="1605"/>
      <c r="CQ549" s="1605"/>
      <c r="CR549" s="1605"/>
      <c r="CS549" s="1605"/>
      <c r="CT549" s="1605"/>
      <c r="CU549" s="1605"/>
      <c r="CV549" s="1605"/>
      <c r="CW549" s="1605"/>
      <c r="CX549" s="1605"/>
      <c r="CY549" s="1605"/>
      <c r="CZ549" s="1605"/>
      <c r="DA549" s="1605"/>
      <c r="DB549" s="1605"/>
      <c r="DC549" s="1605"/>
      <c r="DD549" s="1605"/>
      <c r="DE549" s="1605"/>
      <c r="DF549" s="1605"/>
      <c r="DG549" s="1605"/>
      <c r="DH549" s="1605"/>
      <c r="DI549" s="1605"/>
      <c r="DJ549" s="1605"/>
      <c r="DK549" s="1605"/>
      <c r="DL549" s="1605"/>
      <c r="DM549" s="1605"/>
      <c r="DN549" s="1605"/>
      <c r="DO549" s="1605"/>
      <c r="DP549" s="1605"/>
      <c r="DQ549" s="1605"/>
      <c r="DR549" s="1605"/>
      <c r="DS549" s="1605"/>
      <c r="DT549" s="1605"/>
      <c r="DU549" s="1605"/>
      <c r="DV549" s="1605"/>
      <c r="DW549" s="1605"/>
      <c r="DX549" s="1605"/>
      <c r="DY549" s="1605"/>
      <c r="DZ549" s="1605"/>
      <c r="EA549" s="1605"/>
      <c r="EB549" s="1605"/>
      <c r="EC549" s="1605"/>
      <c r="ED549" s="1605"/>
      <c r="EE549" s="1605"/>
      <c r="EF549" s="1605"/>
      <c r="EG549" s="1605"/>
      <c r="EH549" s="1605"/>
      <c r="EI549" s="1605"/>
      <c r="EJ549" s="1605"/>
      <c r="EK549" s="1605"/>
      <c r="EL549" s="1605"/>
      <c r="EM549" s="1605"/>
      <c r="EN549" s="1605"/>
      <c r="EO549" s="1605"/>
      <c r="EP549" s="1605"/>
      <c r="EQ549" s="1605"/>
      <c r="ER549" s="1605"/>
      <c r="ES549" s="1605"/>
      <c r="ET549" s="1605"/>
      <c r="EU549" s="1605"/>
      <c r="EV549" s="1605"/>
      <c r="EW549" s="1605"/>
      <c r="EX549" s="1605"/>
      <c r="EY549" s="1605"/>
      <c r="EZ549" s="1605"/>
      <c r="FA549" s="1605"/>
      <c r="FB549" s="1605"/>
      <c r="FC549" s="1605"/>
      <c r="FD549" s="1605"/>
      <c r="FE549" s="1605"/>
      <c r="FF549" s="1605"/>
      <c r="FG549" s="1605"/>
      <c r="FH549" s="1605"/>
      <c r="FI549" s="1605"/>
      <c r="FJ549" s="1605"/>
      <c r="FK549" s="1605"/>
      <c r="FL549" s="1605"/>
      <c r="FM549" s="1605"/>
      <c r="FN549" s="1605"/>
      <c r="FO549" s="1605"/>
      <c r="FP549" s="1605"/>
      <c r="FQ549" s="1605"/>
      <c r="FR549" s="1605"/>
      <c r="FS549" s="1605"/>
      <c r="FT549" s="1605"/>
      <c r="FU549" s="1605"/>
      <c r="FV549" s="1605"/>
      <c r="FW549" s="1605"/>
      <c r="FX549" s="1605"/>
      <c r="FY549" s="1605"/>
      <c r="FZ549" s="1605"/>
      <c r="GA549" s="1605"/>
      <c r="GB549" s="1605"/>
      <c r="GC549" s="1605"/>
      <c r="GD549" s="1605"/>
      <c r="GE549" s="1605"/>
      <c r="GF549" s="1605"/>
      <c r="GG549" s="1605"/>
      <c r="GH549" s="1605"/>
      <c r="GI549" s="1605"/>
      <c r="GJ549" s="1605"/>
      <c r="GK549" s="1605"/>
      <c r="GL549" s="1605"/>
      <c r="GM549" s="1605"/>
      <c r="GN549" s="1605"/>
      <c r="GO549" s="1605"/>
      <c r="GP549" s="1605"/>
      <c r="GQ549" s="1605"/>
      <c r="GR549" s="1605"/>
      <c r="GS549" s="1605"/>
      <c r="GT549" s="1605"/>
      <c r="GU549" s="1605"/>
      <c r="GV549" s="1605"/>
      <c r="GW549" s="1605"/>
      <c r="GX549" s="1605"/>
      <c r="GY549" s="1605"/>
      <c r="GZ549" s="1605"/>
      <c r="HA549" s="1605"/>
      <c r="HB549" s="1605"/>
      <c r="HC549" s="1605"/>
      <c r="HD549" s="1605"/>
      <c r="HE549" s="1605"/>
      <c r="HF549" s="1605"/>
      <c r="HG549" s="1605"/>
      <c r="HH549" s="1605"/>
      <c r="HI549" s="1605"/>
      <c r="HJ549" s="1605"/>
      <c r="HK549" s="1605"/>
      <c r="HL549" s="1605"/>
      <c r="HM549" s="1605"/>
      <c r="HN549" s="1605"/>
      <c r="HO549" s="1605"/>
      <c r="HP549" s="1605"/>
      <c r="HQ549" s="1605"/>
      <c r="HR549" s="1605"/>
      <c r="HS549" s="1605"/>
      <c r="HT549" s="1605"/>
      <c r="HU549" s="1605"/>
      <c r="HV549" s="1605"/>
      <c r="HW549" s="1605"/>
      <c r="HX549" s="1605"/>
      <c r="HY549" s="1605"/>
      <c r="HZ549" s="1605"/>
      <c r="IA549" s="1605"/>
      <c r="IB549" s="1605"/>
      <c r="IC549" s="1605"/>
      <c r="ID549" s="1605"/>
      <c r="IE549" s="1605"/>
      <c r="IF549" s="1605"/>
      <c r="IG549" s="1605"/>
      <c r="IH549" s="1605"/>
      <c r="II549" s="1605"/>
      <c r="IJ549" s="1605"/>
      <c r="IK549" s="1605"/>
      <c r="IL549" s="1605"/>
      <c r="IM549" s="1605"/>
      <c r="IN549" s="1605"/>
      <c r="IO549" s="1605"/>
      <c r="IP549" s="1605"/>
      <c r="IQ549" s="1605"/>
      <c r="IR549" s="1605"/>
      <c r="IS549" s="1605"/>
      <c r="IT549" s="1605"/>
      <c r="IU549" s="1605"/>
      <c r="IV549" s="1605"/>
      <c r="IW549" s="1605"/>
      <c r="IX549" s="1605"/>
      <c r="IY549" s="1605"/>
      <c r="IZ549" s="1605"/>
      <c r="JA549" s="1605"/>
      <c r="JB549" s="1605"/>
      <c r="JC549" s="1605"/>
      <c r="JD549" s="1605"/>
      <c r="JE549" s="1605"/>
      <c r="JF549" s="1605"/>
      <c r="JG549" s="1605"/>
      <c r="JH549" s="1605"/>
      <c r="JI549" s="1605"/>
      <c r="JJ549" s="1605"/>
      <c r="JK549" s="1605"/>
      <c r="JL549" s="1605"/>
      <c r="JM549" s="1605"/>
      <c r="JN549" s="1605"/>
      <c r="JO549" s="1605"/>
      <c r="JP549" s="1605"/>
      <c r="JQ549" s="1605"/>
      <c r="JR549" s="1605"/>
      <c r="JS549" s="1605"/>
      <c r="JT549" s="1605"/>
      <c r="JU549" s="1605"/>
      <c r="JV549" s="1605"/>
      <c r="JW549" s="1605"/>
      <c r="JX549" s="1605"/>
      <c r="JY549" s="1605"/>
      <c r="JZ549" s="1605"/>
      <c r="KA549" s="1605"/>
      <c r="KB549" s="1606"/>
    </row>
    <row r="550" spans="2:288" ht="15" customHeight="1" x14ac:dyDescent="0.25">
      <c r="B550" s="216" t="str">
        <f t="shared" si="45"/>
        <v>Desk 23</v>
      </c>
      <c r="C550" s="218" t="str">
        <v/>
      </c>
      <c r="D550" s="218" t="str">
        <v/>
      </c>
      <c r="E550" s="218" t="str">
        <v/>
      </c>
      <c r="F550" s="218" t="str">
        <v/>
      </c>
      <c r="G550" s="402" t="str">
        <v/>
      </c>
      <c r="H550" s="1605"/>
      <c r="I550" s="1605"/>
      <c r="J550" s="1605"/>
      <c r="K550" s="1605"/>
      <c r="L550" s="1605"/>
      <c r="M550" s="1605"/>
      <c r="N550" s="1605"/>
      <c r="O550" s="1605"/>
      <c r="P550" s="1605"/>
      <c r="Q550" s="1605"/>
      <c r="R550" s="1605"/>
      <c r="S550" s="1605"/>
      <c r="T550" s="1605"/>
      <c r="U550" s="1605"/>
      <c r="V550" s="1605"/>
      <c r="W550" s="1605"/>
      <c r="X550" s="1605"/>
      <c r="Y550" s="1605"/>
      <c r="Z550" s="1605"/>
      <c r="AA550" s="1605"/>
      <c r="AB550" s="1605"/>
      <c r="AC550" s="1605"/>
      <c r="AD550" s="1605"/>
      <c r="AE550" s="1605"/>
      <c r="AF550" s="1605"/>
      <c r="AG550" s="1605"/>
      <c r="AH550" s="1605"/>
      <c r="AI550" s="1605"/>
      <c r="AJ550" s="1605"/>
      <c r="AK550" s="1605"/>
      <c r="AL550" s="1605"/>
      <c r="AM550" s="1605"/>
      <c r="AN550" s="1605"/>
      <c r="AO550" s="1605"/>
      <c r="AP550" s="1605"/>
      <c r="AQ550" s="1605"/>
      <c r="AR550" s="1605"/>
      <c r="AS550" s="1605"/>
      <c r="AT550" s="1605"/>
      <c r="AU550" s="1605"/>
      <c r="AV550" s="1605"/>
      <c r="AW550" s="1605"/>
      <c r="AX550" s="1605"/>
      <c r="AY550" s="1605"/>
      <c r="AZ550" s="1605"/>
      <c r="BA550" s="1605"/>
      <c r="BB550" s="1605"/>
      <c r="BC550" s="1605"/>
      <c r="BD550" s="1605"/>
      <c r="BE550" s="1605"/>
      <c r="BF550" s="1605"/>
      <c r="BG550" s="1605"/>
      <c r="BH550" s="1605"/>
      <c r="BI550" s="1605"/>
      <c r="BJ550" s="1605"/>
      <c r="BK550" s="1605"/>
      <c r="BL550" s="1605"/>
      <c r="BM550" s="1605"/>
      <c r="BN550" s="1605"/>
      <c r="BO550" s="1605"/>
      <c r="BP550" s="1605"/>
      <c r="BQ550" s="1605"/>
      <c r="BR550" s="1605"/>
      <c r="BS550" s="1605"/>
      <c r="BT550" s="1605"/>
      <c r="BU550" s="1605"/>
      <c r="BV550" s="1605"/>
      <c r="BW550" s="1605"/>
      <c r="BX550" s="1605"/>
      <c r="BY550" s="1605"/>
      <c r="BZ550" s="1605"/>
      <c r="CA550" s="1605"/>
      <c r="CB550" s="1605"/>
      <c r="CC550" s="1605"/>
      <c r="CD550" s="1605"/>
      <c r="CE550" s="1605"/>
      <c r="CF550" s="1605"/>
      <c r="CG550" s="1605"/>
      <c r="CH550" s="1605"/>
      <c r="CI550" s="1605"/>
      <c r="CJ550" s="1605"/>
      <c r="CK550" s="1605"/>
      <c r="CL550" s="1605"/>
      <c r="CM550" s="1605"/>
      <c r="CN550" s="1605"/>
      <c r="CO550" s="1605"/>
      <c r="CP550" s="1605"/>
      <c r="CQ550" s="1605"/>
      <c r="CR550" s="1605"/>
      <c r="CS550" s="1605"/>
      <c r="CT550" s="1605"/>
      <c r="CU550" s="1605"/>
      <c r="CV550" s="1605"/>
      <c r="CW550" s="1605"/>
      <c r="CX550" s="1605"/>
      <c r="CY550" s="1605"/>
      <c r="CZ550" s="1605"/>
      <c r="DA550" s="1605"/>
      <c r="DB550" s="1605"/>
      <c r="DC550" s="1605"/>
      <c r="DD550" s="1605"/>
      <c r="DE550" s="1605"/>
      <c r="DF550" s="1605"/>
      <c r="DG550" s="1605"/>
      <c r="DH550" s="1605"/>
      <c r="DI550" s="1605"/>
      <c r="DJ550" s="1605"/>
      <c r="DK550" s="1605"/>
      <c r="DL550" s="1605"/>
      <c r="DM550" s="1605"/>
      <c r="DN550" s="1605"/>
      <c r="DO550" s="1605"/>
      <c r="DP550" s="1605"/>
      <c r="DQ550" s="1605"/>
      <c r="DR550" s="1605"/>
      <c r="DS550" s="1605"/>
      <c r="DT550" s="1605"/>
      <c r="DU550" s="1605"/>
      <c r="DV550" s="1605"/>
      <c r="DW550" s="1605"/>
      <c r="DX550" s="1605"/>
      <c r="DY550" s="1605"/>
      <c r="DZ550" s="1605"/>
      <c r="EA550" s="1605"/>
      <c r="EB550" s="1605"/>
      <c r="EC550" s="1605"/>
      <c r="ED550" s="1605"/>
      <c r="EE550" s="1605"/>
      <c r="EF550" s="1605"/>
      <c r="EG550" s="1605"/>
      <c r="EH550" s="1605"/>
      <c r="EI550" s="1605"/>
      <c r="EJ550" s="1605"/>
      <c r="EK550" s="1605"/>
      <c r="EL550" s="1605"/>
      <c r="EM550" s="1605"/>
      <c r="EN550" s="1605"/>
      <c r="EO550" s="1605"/>
      <c r="EP550" s="1605"/>
      <c r="EQ550" s="1605"/>
      <c r="ER550" s="1605"/>
      <c r="ES550" s="1605"/>
      <c r="ET550" s="1605"/>
      <c r="EU550" s="1605"/>
      <c r="EV550" s="1605"/>
      <c r="EW550" s="1605"/>
      <c r="EX550" s="1605"/>
      <c r="EY550" s="1605"/>
      <c r="EZ550" s="1605"/>
      <c r="FA550" s="1605"/>
      <c r="FB550" s="1605"/>
      <c r="FC550" s="1605"/>
      <c r="FD550" s="1605"/>
      <c r="FE550" s="1605"/>
      <c r="FF550" s="1605"/>
      <c r="FG550" s="1605"/>
      <c r="FH550" s="1605"/>
      <c r="FI550" s="1605"/>
      <c r="FJ550" s="1605"/>
      <c r="FK550" s="1605"/>
      <c r="FL550" s="1605"/>
      <c r="FM550" s="1605"/>
      <c r="FN550" s="1605"/>
      <c r="FO550" s="1605"/>
      <c r="FP550" s="1605"/>
      <c r="FQ550" s="1605"/>
      <c r="FR550" s="1605"/>
      <c r="FS550" s="1605"/>
      <c r="FT550" s="1605"/>
      <c r="FU550" s="1605"/>
      <c r="FV550" s="1605"/>
      <c r="FW550" s="1605"/>
      <c r="FX550" s="1605"/>
      <c r="FY550" s="1605"/>
      <c r="FZ550" s="1605"/>
      <c r="GA550" s="1605"/>
      <c r="GB550" s="1605"/>
      <c r="GC550" s="1605"/>
      <c r="GD550" s="1605"/>
      <c r="GE550" s="1605"/>
      <c r="GF550" s="1605"/>
      <c r="GG550" s="1605"/>
      <c r="GH550" s="1605"/>
      <c r="GI550" s="1605"/>
      <c r="GJ550" s="1605"/>
      <c r="GK550" s="1605"/>
      <c r="GL550" s="1605"/>
      <c r="GM550" s="1605"/>
      <c r="GN550" s="1605"/>
      <c r="GO550" s="1605"/>
      <c r="GP550" s="1605"/>
      <c r="GQ550" s="1605"/>
      <c r="GR550" s="1605"/>
      <c r="GS550" s="1605"/>
      <c r="GT550" s="1605"/>
      <c r="GU550" s="1605"/>
      <c r="GV550" s="1605"/>
      <c r="GW550" s="1605"/>
      <c r="GX550" s="1605"/>
      <c r="GY550" s="1605"/>
      <c r="GZ550" s="1605"/>
      <c r="HA550" s="1605"/>
      <c r="HB550" s="1605"/>
      <c r="HC550" s="1605"/>
      <c r="HD550" s="1605"/>
      <c r="HE550" s="1605"/>
      <c r="HF550" s="1605"/>
      <c r="HG550" s="1605"/>
      <c r="HH550" s="1605"/>
      <c r="HI550" s="1605"/>
      <c r="HJ550" s="1605"/>
      <c r="HK550" s="1605"/>
      <c r="HL550" s="1605"/>
      <c r="HM550" s="1605"/>
      <c r="HN550" s="1605"/>
      <c r="HO550" s="1605"/>
      <c r="HP550" s="1605"/>
      <c r="HQ550" s="1605"/>
      <c r="HR550" s="1605"/>
      <c r="HS550" s="1605"/>
      <c r="HT550" s="1605"/>
      <c r="HU550" s="1605"/>
      <c r="HV550" s="1605"/>
      <c r="HW550" s="1605"/>
      <c r="HX550" s="1605"/>
      <c r="HY550" s="1605"/>
      <c r="HZ550" s="1605"/>
      <c r="IA550" s="1605"/>
      <c r="IB550" s="1605"/>
      <c r="IC550" s="1605"/>
      <c r="ID550" s="1605"/>
      <c r="IE550" s="1605"/>
      <c r="IF550" s="1605"/>
      <c r="IG550" s="1605"/>
      <c r="IH550" s="1605"/>
      <c r="II550" s="1605"/>
      <c r="IJ550" s="1605"/>
      <c r="IK550" s="1605"/>
      <c r="IL550" s="1605"/>
      <c r="IM550" s="1605"/>
      <c r="IN550" s="1605"/>
      <c r="IO550" s="1605"/>
      <c r="IP550" s="1605"/>
      <c r="IQ550" s="1605"/>
      <c r="IR550" s="1605"/>
      <c r="IS550" s="1605"/>
      <c r="IT550" s="1605"/>
      <c r="IU550" s="1605"/>
      <c r="IV550" s="1605"/>
      <c r="IW550" s="1605"/>
      <c r="IX550" s="1605"/>
      <c r="IY550" s="1605"/>
      <c r="IZ550" s="1605"/>
      <c r="JA550" s="1605"/>
      <c r="JB550" s="1605"/>
      <c r="JC550" s="1605"/>
      <c r="JD550" s="1605"/>
      <c r="JE550" s="1605"/>
      <c r="JF550" s="1605"/>
      <c r="JG550" s="1605"/>
      <c r="JH550" s="1605"/>
      <c r="JI550" s="1605"/>
      <c r="JJ550" s="1605"/>
      <c r="JK550" s="1605"/>
      <c r="JL550" s="1605"/>
      <c r="JM550" s="1605"/>
      <c r="JN550" s="1605"/>
      <c r="JO550" s="1605"/>
      <c r="JP550" s="1605"/>
      <c r="JQ550" s="1605"/>
      <c r="JR550" s="1605"/>
      <c r="JS550" s="1605"/>
      <c r="JT550" s="1605"/>
      <c r="JU550" s="1605"/>
      <c r="JV550" s="1605"/>
      <c r="JW550" s="1605"/>
      <c r="JX550" s="1605"/>
      <c r="JY550" s="1605"/>
      <c r="JZ550" s="1605"/>
      <c r="KA550" s="1605"/>
      <c r="KB550" s="1606"/>
    </row>
    <row r="551" spans="2:288" ht="15" customHeight="1" x14ac:dyDescent="0.25">
      <c r="B551" s="216" t="str">
        <f t="shared" si="45"/>
        <v>Desk 24</v>
      </c>
      <c r="C551" s="218" t="str">
        <v/>
      </c>
      <c r="D551" s="218" t="str">
        <v/>
      </c>
      <c r="E551" s="218" t="str">
        <v/>
      </c>
      <c r="F551" s="218" t="str">
        <v/>
      </c>
      <c r="G551" s="402" t="str">
        <v/>
      </c>
      <c r="H551" s="1605"/>
      <c r="I551" s="1605"/>
      <c r="J551" s="1605"/>
      <c r="K551" s="1605"/>
      <c r="L551" s="1605"/>
      <c r="M551" s="1605"/>
      <c r="N551" s="1605"/>
      <c r="O551" s="1605"/>
      <c r="P551" s="1605"/>
      <c r="Q551" s="1605"/>
      <c r="R551" s="1605"/>
      <c r="S551" s="1605"/>
      <c r="T551" s="1605"/>
      <c r="U551" s="1605"/>
      <c r="V551" s="1605"/>
      <c r="W551" s="1605"/>
      <c r="X551" s="1605"/>
      <c r="Y551" s="1605"/>
      <c r="Z551" s="1605"/>
      <c r="AA551" s="1605"/>
      <c r="AB551" s="1605"/>
      <c r="AC551" s="1605"/>
      <c r="AD551" s="1605"/>
      <c r="AE551" s="1605"/>
      <c r="AF551" s="1605"/>
      <c r="AG551" s="1605"/>
      <c r="AH551" s="1605"/>
      <c r="AI551" s="1605"/>
      <c r="AJ551" s="1605"/>
      <c r="AK551" s="1605"/>
      <c r="AL551" s="1605"/>
      <c r="AM551" s="1605"/>
      <c r="AN551" s="1605"/>
      <c r="AO551" s="1605"/>
      <c r="AP551" s="1605"/>
      <c r="AQ551" s="1605"/>
      <c r="AR551" s="1605"/>
      <c r="AS551" s="1605"/>
      <c r="AT551" s="1605"/>
      <c r="AU551" s="1605"/>
      <c r="AV551" s="1605"/>
      <c r="AW551" s="1605"/>
      <c r="AX551" s="1605"/>
      <c r="AY551" s="1605"/>
      <c r="AZ551" s="1605"/>
      <c r="BA551" s="1605"/>
      <c r="BB551" s="1605"/>
      <c r="BC551" s="1605"/>
      <c r="BD551" s="1605"/>
      <c r="BE551" s="1605"/>
      <c r="BF551" s="1605"/>
      <c r="BG551" s="1605"/>
      <c r="BH551" s="1605"/>
      <c r="BI551" s="1605"/>
      <c r="BJ551" s="1605"/>
      <c r="BK551" s="1605"/>
      <c r="BL551" s="1605"/>
      <c r="BM551" s="1605"/>
      <c r="BN551" s="1605"/>
      <c r="BO551" s="1605"/>
      <c r="BP551" s="1605"/>
      <c r="BQ551" s="1605"/>
      <c r="BR551" s="1605"/>
      <c r="BS551" s="1605"/>
      <c r="BT551" s="1605"/>
      <c r="BU551" s="1605"/>
      <c r="BV551" s="1605"/>
      <c r="BW551" s="1605"/>
      <c r="BX551" s="1605"/>
      <c r="BY551" s="1605"/>
      <c r="BZ551" s="1605"/>
      <c r="CA551" s="1605"/>
      <c r="CB551" s="1605"/>
      <c r="CC551" s="1605"/>
      <c r="CD551" s="1605"/>
      <c r="CE551" s="1605"/>
      <c r="CF551" s="1605"/>
      <c r="CG551" s="1605"/>
      <c r="CH551" s="1605"/>
      <c r="CI551" s="1605"/>
      <c r="CJ551" s="1605"/>
      <c r="CK551" s="1605"/>
      <c r="CL551" s="1605"/>
      <c r="CM551" s="1605"/>
      <c r="CN551" s="1605"/>
      <c r="CO551" s="1605"/>
      <c r="CP551" s="1605"/>
      <c r="CQ551" s="1605"/>
      <c r="CR551" s="1605"/>
      <c r="CS551" s="1605"/>
      <c r="CT551" s="1605"/>
      <c r="CU551" s="1605"/>
      <c r="CV551" s="1605"/>
      <c r="CW551" s="1605"/>
      <c r="CX551" s="1605"/>
      <c r="CY551" s="1605"/>
      <c r="CZ551" s="1605"/>
      <c r="DA551" s="1605"/>
      <c r="DB551" s="1605"/>
      <c r="DC551" s="1605"/>
      <c r="DD551" s="1605"/>
      <c r="DE551" s="1605"/>
      <c r="DF551" s="1605"/>
      <c r="DG551" s="1605"/>
      <c r="DH551" s="1605"/>
      <c r="DI551" s="1605"/>
      <c r="DJ551" s="1605"/>
      <c r="DK551" s="1605"/>
      <c r="DL551" s="1605"/>
      <c r="DM551" s="1605"/>
      <c r="DN551" s="1605"/>
      <c r="DO551" s="1605"/>
      <c r="DP551" s="1605"/>
      <c r="DQ551" s="1605"/>
      <c r="DR551" s="1605"/>
      <c r="DS551" s="1605"/>
      <c r="DT551" s="1605"/>
      <c r="DU551" s="1605"/>
      <c r="DV551" s="1605"/>
      <c r="DW551" s="1605"/>
      <c r="DX551" s="1605"/>
      <c r="DY551" s="1605"/>
      <c r="DZ551" s="1605"/>
      <c r="EA551" s="1605"/>
      <c r="EB551" s="1605"/>
      <c r="EC551" s="1605"/>
      <c r="ED551" s="1605"/>
      <c r="EE551" s="1605"/>
      <c r="EF551" s="1605"/>
      <c r="EG551" s="1605"/>
      <c r="EH551" s="1605"/>
      <c r="EI551" s="1605"/>
      <c r="EJ551" s="1605"/>
      <c r="EK551" s="1605"/>
      <c r="EL551" s="1605"/>
      <c r="EM551" s="1605"/>
      <c r="EN551" s="1605"/>
      <c r="EO551" s="1605"/>
      <c r="EP551" s="1605"/>
      <c r="EQ551" s="1605"/>
      <c r="ER551" s="1605"/>
      <c r="ES551" s="1605"/>
      <c r="ET551" s="1605"/>
      <c r="EU551" s="1605"/>
      <c r="EV551" s="1605"/>
      <c r="EW551" s="1605"/>
      <c r="EX551" s="1605"/>
      <c r="EY551" s="1605"/>
      <c r="EZ551" s="1605"/>
      <c r="FA551" s="1605"/>
      <c r="FB551" s="1605"/>
      <c r="FC551" s="1605"/>
      <c r="FD551" s="1605"/>
      <c r="FE551" s="1605"/>
      <c r="FF551" s="1605"/>
      <c r="FG551" s="1605"/>
      <c r="FH551" s="1605"/>
      <c r="FI551" s="1605"/>
      <c r="FJ551" s="1605"/>
      <c r="FK551" s="1605"/>
      <c r="FL551" s="1605"/>
      <c r="FM551" s="1605"/>
      <c r="FN551" s="1605"/>
      <c r="FO551" s="1605"/>
      <c r="FP551" s="1605"/>
      <c r="FQ551" s="1605"/>
      <c r="FR551" s="1605"/>
      <c r="FS551" s="1605"/>
      <c r="FT551" s="1605"/>
      <c r="FU551" s="1605"/>
      <c r="FV551" s="1605"/>
      <c r="FW551" s="1605"/>
      <c r="FX551" s="1605"/>
      <c r="FY551" s="1605"/>
      <c r="FZ551" s="1605"/>
      <c r="GA551" s="1605"/>
      <c r="GB551" s="1605"/>
      <c r="GC551" s="1605"/>
      <c r="GD551" s="1605"/>
      <c r="GE551" s="1605"/>
      <c r="GF551" s="1605"/>
      <c r="GG551" s="1605"/>
      <c r="GH551" s="1605"/>
      <c r="GI551" s="1605"/>
      <c r="GJ551" s="1605"/>
      <c r="GK551" s="1605"/>
      <c r="GL551" s="1605"/>
      <c r="GM551" s="1605"/>
      <c r="GN551" s="1605"/>
      <c r="GO551" s="1605"/>
      <c r="GP551" s="1605"/>
      <c r="GQ551" s="1605"/>
      <c r="GR551" s="1605"/>
      <c r="GS551" s="1605"/>
      <c r="GT551" s="1605"/>
      <c r="GU551" s="1605"/>
      <c r="GV551" s="1605"/>
      <c r="GW551" s="1605"/>
      <c r="GX551" s="1605"/>
      <c r="GY551" s="1605"/>
      <c r="GZ551" s="1605"/>
      <c r="HA551" s="1605"/>
      <c r="HB551" s="1605"/>
      <c r="HC551" s="1605"/>
      <c r="HD551" s="1605"/>
      <c r="HE551" s="1605"/>
      <c r="HF551" s="1605"/>
      <c r="HG551" s="1605"/>
      <c r="HH551" s="1605"/>
      <c r="HI551" s="1605"/>
      <c r="HJ551" s="1605"/>
      <c r="HK551" s="1605"/>
      <c r="HL551" s="1605"/>
      <c r="HM551" s="1605"/>
      <c r="HN551" s="1605"/>
      <c r="HO551" s="1605"/>
      <c r="HP551" s="1605"/>
      <c r="HQ551" s="1605"/>
      <c r="HR551" s="1605"/>
      <c r="HS551" s="1605"/>
      <c r="HT551" s="1605"/>
      <c r="HU551" s="1605"/>
      <c r="HV551" s="1605"/>
      <c r="HW551" s="1605"/>
      <c r="HX551" s="1605"/>
      <c r="HY551" s="1605"/>
      <c r="HZ551" s="1605"/>
      <c r="IA551" s="1605"/>
      <c r="IB551" s="1605"/>
      <c r="IC551" s="1605"/>
      <c r="ID551" s="1605"/>
      <c r="IE551" s="1605"/>
      <c r="IF551" s="1605"/>
      <c r="IG551" s="1605"/>
      <c r="IH551" s="1605"/>
      <c r="II551" s="1605"/>
      <c r="IJ551" s="1605"/>
      <c r="IK551" s="1605"/>
      <c r="IL551" s="1605"/>
      <c r="IM551" s="1605"/>
      <c r="IN551" s="1605"/>
      <c r="IO551" s="1605"/>
      <c r="IP551" s="1605"/>
      <c r="IQ551" s="1605"/>
      <c r="IR551" s="1605"/>
      <c r="IS551" s="1605"/>
      <c r="IT551" s="1605"/>
      <c r="IU551" s="1605"/>
      <c r="IV551" s="1605"/>
      <c r="IW551" s="1605"/>
      <c r="IX551" s="1605"/>
      <c r="IY551" s="1605"/>
      <c r="IZ551" s="1605"/>
      <c r="JA551" s="1605"/>
      <c r="JB551" s="1605"/>
      <c r="JC551" s="1605"/>
      <c r="JD551" s="1605"/>
      <c r="JE551" s="1605"/>
      <c r="JF551" s="1605"/>
      <c r="JG551" s="1605"/>
      <c r="JH551" s="1605"/>
      <c r="JI551" s="1605"/>
      <c r="JJ551" s="1605"/>
      <c r="JK551" s="1605"/>
      <c r="JL551" s="1605"/>
      <c r="JM551" s="1605"/>
      <c r="JN551" s="1605"/>
      <c r="JO551" s="1605"/>
      <c r="JP551" s="1605"/>
      <c r="JQ551" s="1605"/>
      <c r="JR551" s="1605"/>
      <c r="JS551" s="1605"/>
      <c r="JT551" s="1605"/>
      <c r="JU551" s="1605"/>
      <c r="JV551" s="1605"/>
      <c r="JW551" s="1605"/>
      <c r="JX551" s="1605"/>
      <c r="JY551" s="1605"/>
      <c r="JZ551" s="1605"/>
      <c r="KA551" s="1605"/>
      <c r="KB551" s="1606"/>
    </row>
    <row r="552" spans="2:288" ht="15" customHeight="1" x14ac:dyDescent="0.25">
      <c r="B552" s="216" t="str">
        <f t="shared" si="45"/>
        <v>Desk 25</v>
      </c>
      <c r="C552" s="218" t="str">
        <v/>
      </c>
      <c r="D552" s="218" t="str">
        <v/>
      </c>
      <c r="E552" s="218" t="str">
        <v/>
      </c>
      <c r="F552" s="218" t="str">
        <v/>
      </c>
      <c r="G552" s="402" t="str">
        <v/>
      </c>
      <c r="H552" s="1605"/>
      <c r="I552" s="1605"/>
      <c r="J552" s="1605"/>
      <c r="K552" s="1605"/>
      <c r="L552" s="1605"/>
      <c r="M552" s="1605"/>
      <c r="N552" s="1605"/>
      <c r="O552" s="1605"/>
      <c r="P552" s="1605"/>
      <c r="Q552" s="1605"/>
      <c r="R552" s="1605"/>
      <c r="S552" s="1605"/>
      <c r="T552" s="1605"/>
      <c r="U552" s="1605"/>
      <c r="V552" s="1605"/>
      <c r="W552" s="1605"/>
      <c r="X552" s="1605"/>
      <c r="Y552" s="1605"/>
      <c r="Z552" s="1605"/>
      <c r="AA552" s="1605"/>
      <c r="AB552" s="1605"/>
      <c r="AC552" s="1605"/>
      <c r="AD552" s="1605"/>
      <c r="AE552" s="1605"/>
      <c r="AF552" s="1605"/>
      <c r="AG552" s="1605"/>
      <c r="AH552" s="1605"/>
      <c r="AI552" s="1605"/>
      <c r="AJ552" s="1605"/>
      <c r="AK552" s="1605"/>
      <c r="AL552" s="1605"/>
      <c r="AM552" s="1605"/>
      <c r="AN552" s="1605"/>
      <c r="AO552" s="1605"/>
      <c r="AP552" s="1605"/>
      <c r="AQ552" s="1605"/>
      <c r="AR552" s="1605"/>
      <c r="AS552" s="1605"/>
      <c r="AT552" s="1605"/>
      <c r="AU552" s="1605"/>
      <c r="AV552" s="1605"/>
      <c r="AW552" s="1605"/>
      <c r="AX552" s="1605"/>
      <c r="AY552" s="1605"/>
      <c r="AZ552" s="1605"/>
      <c r="BA552" s="1605"/>
      <c r="BB552" s="1605"/>
      <c r="BC552" s="1605"/>
      <c r="BD552" s="1605"/>
      <c r="BE552" s="1605"/>
      <c r="BF552" s="1605"/>
      <c r="BG552" s="1605"/>
      <c r="BH552" s="1605"/>
      <c r="BI552" s="1605"/>
      <c r="BJ552" s="1605"/>
      <c r="BK552" s="1605"/>
      <c r="BL552" s="1605"/>
      <c r="BM552" s="1605"/>
      <c r="BN552" s="1605"/>
      <c r="BO552" s="1605"/>
      <c r="BP552" s="1605"/>
      <c r="BQ552" s="1605"/>
      <c r="BR552" s="1605"/>
      <c r="BS552" s="1605"/>
      <c r="BT552" s="1605"/>
      <c r="BU552" s="1605"/>
      <c r="BV552" s="1605"/>
      <c r="BW552" s="1605"/>
      <c r="BX552" s="1605"/>
      <c r="BY552" s="1605"/>
      <c r="BZ552" s="1605"/>
      <c r="CA552" s="1605"/>
      <c r="CB552" s="1605"/>
      <c r="CC552" s="1605"/>
      <c r="CD552" s="1605"/>
      <c r="CE552" s="1605"/>
      <c r="CF552" s="1605"/>
      <c r="CG552" s="1605"/>
      <c r="CH552" s="1605"/>
      <c r="CI552" s="1605"/>
      <c r="CJ552" s="1605"/>
      <c r="CK552" s="1605"/>
      <c r="CL552" s="1605"/>
      <c r="CM552" s="1605"/>
      <c r="CN552" s="1605"/>
      <c r="CO552" s="1605"/>
      <c r="CP552" s="1605"/>
      <c r="CQ552" s="1605"/>
      <c r="CR552" s="1605"/>
      <c r="CS552" s="1605"/>
      <c r="CT552" s="1605"/>
      <c r="CU552" s="1605"/>
      <c r="CV552" s="1605"/>
      <c r="CW552" s="1605"/>
      <c r="CX552" s="1605"/>
      <c r="CY552" s="1605"/>
      <c r="CZ552" s="1605"/>
      <c r="DA552" s="1605"/>
      <c r="DB552" s="1605"/>
      <c r="DC552" s="1605"/>
      <c r="DD552" s="1605"/>
      <c r="DE552" s="1605"/>
      <c r="DF552" s="1605"/>
      <c r="DG552" s="1605"/>
      <c r="DH552" s="1605"/>
      <c r="DI552" s="1605"/>
      <c r="DJ552" s="1605"/>
      <c r="DK552" s="1605"/>
      <c r="DL552" s="1605"/>
      <c r="DM552" s="1605"/>
      <c r="DN552" s="1605"/>
      <c r="DO552" s="1605"/>
      <c r="DP552" s="1605"/>
      <c r="DQ552" s="1605"/>
      <c r="DR552" s="1605"/>
      <c r="DS552" s="1605"/>
      <c r="DT552" s="1605"/>
      <c r="DU552" s="1605"/>
      <c r="DV552" s="1605"/>
      <c r="DW552" s="1605"/>
      <c r="DX552" s="1605"/>
      <c r="DY552" s="1605"/>
      <c r="DZ552" s="1605"/>
      <c r="EA552" s="1605"/>
      <c r="EB552" s="1605"/>
      <c r="EC552" s="1605"/>
      <c r="ED552" s="1605"/>
      <c r="EE552" s="1605"/>
      <c r="EF552" s="1605"/>
      <c r="EG552" s="1605"/>
      <c r="EH552" s="1605"/>
      <c r="EI552" s="1605"/>
      <c r="EJ552" s="1605"/>
      <c r="EK552" s="1605"/>
      <c r="EL552" s="1605"/>
      <c r="EM552" s="1605"/>
      <c r="EN552" s="1605"/>
      <c r="EO552" s="1605"/>
      <c r="EP552" s="1605"/>
      <c r="EQ552" s="1605"/>
      <c r="ER552" s="1605"/>
      <c r="ES552" s="1605"/>
      <c r="ET552" s="1605"/>
      <c r="EU552" s="1605"/>
      <c r="EV552" s="1605"/>
      <c r="EW552" s="1605"/>
      <c r="EX552" s="1605"/>
      <c r="EY552" s="1605"/>
      <c r="EZ552" s="1605"/>
      <c r="FA552" s="1605"/>
      <c r="FB552" s="1605"/>
      <c r="FC552" s="1605"/>
      <c r="FD552" s="1605"/>
      <c r="FE552" s="1605"/>
      <c r="FF552" s="1605"/>
      <c r="FG552" s="1605"/>
      <c r="FH552" s="1605"/>
      <c r="FI552" s="1605"/>
      <c r="FJ552" s="1605"/>
      <c r="FK552" s="1605"/>
      <c r="FL552" s="1605"/>
      <c r="FM552" s="1605"/>
      <c r="FN552" s="1605"/>
      <c r="FO552" s="1605"/>
      <c r="FP552" s="1605"/>
      <c r="FQ552" s="1605"/>
      <c r="FR552" s="1605"/>
      <c r="FS552" s="1605"/>
      <c r="FT552" s="1605"/>
      <c r="FU552" s="1605"/>
      <c r="FV552" s="1605"/>
      <c r="FW552" s="1605"/>
      <c r="FX552" s="1605"/>
      <c r="FY552" s="1605"/>
      <c r="FZ552" s="1605"/>
      <c r="GA552" s="1605"/>
      <c r="GB552" s="1605"/>
      <c r="GC552" s="1605"/>
      <c r="GD552" s="1605"/>
      <c r="GE552" s="1605"/>
      <c r="GF552" s="1605"/>
      <c r="GG552" s="1605"/>
      <c r="GH552" s="1605"/>
      <c r="GI552" s="1605"/>
      <c r="GJ552" s="1605"/>
      <c r="GK552" s="1605"/>
      <c r="GL552" s="1605"/>
      <c r="GM552" s="1605"/>
      <c r="GN552" s="1605"/>
      <c r="GO552" s="1605"/>
      <c r="GP552" s="1605"/>
      <c r="GQ552" s="1605"/>
      <c r="GR552" s="1605"/>
      <c r="GS552" s="1605"/>
      <c r="GT552" s="1605"/>
      <c r="GU552" s="1605"/>
      <c r="GV552" s="1605"/>
      <c r="GW552" s="1605"/>
      <c r="GX552" s="1605"/>
      <c r="GY552" s="1605"/>
      <c r="GZ552" s="1605"/>
      <c r="HA552" s="1605"/>
      <c r="HB552" s="1605"/>
      <c r="HC552" s="1605"/>
      <c r="HD552" s="1605"/>
      <c r="HE552" s="1605"/>
      <c r="HF552" s="1605"/>
      <c r="HG552" s="1605"/>
      <c r="HH552" s="1605"/>
      <c r="HI552" s="1605"/>
      <c r="HJ552" s="1605"/>
      <c r="HK552" s="1605"/>
      <c r="HL552" s="1605"/>
      <c r="HM552" s="1605"/>
      <c r="HN552" s="1605"/>
      <c r="HO552" s="1605"/>
      <c r="HP552" s="1605"/>
      <c r="HQ552" s="1605"/>
      <c r="HR552" s="1605"/>
      <c r="HS552" s="1605"/>
      <c r="HT552" s="1605"/>
      <c r="HU552" s="1605"/>
      <c r="HV552" s="1605"/>
      <c r="HW552" s="1605"/>
      <c r="HX552" s="1605"/>
      <c r="HY552" s="1605"/>
      <c r="HZ552" s="1605"/>
      <c r="IA552" s="1605"/>
      <c r="IB552" s="1605"/>
      <c r="IC552" s="1605"/>
      <c r="ID552" s="1605"/>
      <c r="IE552" s="1605"/>
      <c r="IF552" s="1605"/>
      <c r="IG552" s="1605"/>
      <c r="IH552" s="1605"/>
      <c r="II552" s="1605"/>
      <c r="IJ552" s="1605"/>
      <c r="IK552" s="1605"/>
      <c r="IL552" s="1605"/>
      <c r="IM552" s="1605"/>
      <c r="IN552" s="1605"/>
      <c r="IO552" s="1605"/>
      <c r="IP552" s="1605"/>
      <c r="IQ552" s="1605"/>
      <c r="IR552" s="1605"/>
      <c r="IS552" s="1605"/>
      <c r="IT552" s="1605"/>
      <c r="IU552" s="1605"/>
      <c r="IV552" s="1605"/>
      <c r="IW552" s="1605"/>
      <c r="IX552" s="1605"/>
      <c r="IY552" s="1605"/>
      <c r="IZ552" s="1605"/>
      <c r="JA552" s="1605"/>
      <c r="JB552" s="1605"/>
      <c r="JC552" s="1605"/>
      <c r="JD552" s="1605"/>
      <c r="JE552" s="1605"/>
      <c r="JF552" s="1605"/>
      <c r="JG552" s="1605"/>
      <c r="JH552" s="1605"/>
      <c r="JI552" s="1605"/>
      <c r="JJ552" s="1605"/>
      <c r="JK552" s="1605"/>
      <c r="JL552" s="1605"/>
      <c r="JM552" s="1605"/>
      <c r="JN552" s="1605"/>
      <c r="JO552" s="1605"/>
      <c r="JP552" s="1605"/>
      <c r="JQ552" s="1605"/>
      <c r="JR552" s="1605"/>
      <c r="JS552" s="1605"/>
      <c r="JT552" s="1605"/>
      <c r="JU552" s="1605"/>
      <c r="JV552" s="1605"/>
      <c r="JW552" s="1605"/>
      <c r="JX552" s="1605"/>
      <c r="JY552" s="1605"/>
      <c r="JZ552" s="1605"/>
      <c r="KA552" s="1605"/>
      <c r="KB552" s="1606"/>
    </row>
    <row r="553" spans="2:288" ht="15" customHeight="1" x14ac:dyDescent="0.25">
      <c r="B553" s="216" t="str">
        <f t="shared" si="45"/>
        <v>Desk 26</v>
      </c>
      <c r="C553" s="218" t="str">
        <v/>
      </c>
      <c r="D553" s="218" t="str">
        <v/>
      </c>
      <c r="E553" s="218" t="str">
        <v/>
      </c>
      <c r="F553" s="218" t="str">
        <v/>
      </c>
      <c r="G553" s="402" t="str">
        <v/>
      </c>
      <c r="H553" s="1605"/>
      <c r="I553" s="1605"/>
      <c r="J553" s="1605"/>
      <c r="K553" s="1605"/>
      <c r="L553" s="1605"/>
      <c r="M553" s="1605"/>
      <c r="N553" s="1605"/>
      <c r="O553" s="1605"/>
      <c r="P553" s="1605"/>
      <c r="Q553" s="1605"/>
      <c r="R553" s="1605"/>
      <c r="S553" s="1605"/>
      <c r="T553" s="1605"/>
      <c r="U553" s="1605"/>
      <c r="V553" s="1605"/>
      <c r="W553" s="1605"/>
      <c r="X553" s="1605"/>
      <c r="Y553" s="1605"/>
      <c r="Z553" s="1605"/>
      <c r="AA553" s="1605"/>
      <c r="AB553" s="1605"/>
      <c r="AC553" s="1605"/>
      <c r="AD553" s="1605"/>
      <c r="AE553" s="1605"/>
      <c r="AF553" s="1605"/>
      <c r="AG553" s="1605"/>
      <c r="AH553" s="1605"/>
      <c r="AI553" s="1605"/>
      <c r="AJ553" s="1605"/>
      <c r="AK553" s="1605"/>
      <c r="AL553" s="1605"/>
      <c r="AM553" s="1605"/>
      <c r="AN553" s="1605"/>
      <c r="AO553" s="1605"/>
      <c r="AP553" s="1605"/>
      <c r="AQ553" s="1605"/>
      <c r="AR553" s="1605"/>
      <c r="AS553" s="1605"/>
      <c r="AT553" s="1605"/>
      <c r="AU553" s="1605"/>
      <c r="AV553" s="1605"/>
      <c r="AW553" s="1605"/>
      <c r="AX553" s="1605"/>
      <c r="AY553" s="1605"/>
      <c r="AZ553" s="1605"/>
      <c r="BA553" s="1605"/>
      <c r="BB553" s="1605"/>
      <c r="BC553" s="1605"/>
      <c r="BD553" s="1605"/>
      <c r="BE553" s="1605"/>
      <c r="BF553" s="1605"/>
      <c r="BG553" s="1605"/>
      <c r="BH553" s="1605"/>
      <c r="BI553" s="1605"/>
      <c r="BJ553" s="1605"/>
      <c r="BK553" s="1605"/>
      <c r="BL553" s="1605"/>
      <c r="BM553" s="1605"/>
      <c r="BN553" s="1605"/>
      <c r="BO553" s="1605"/>
      <c r="BP553" s="1605"/>
      <c r="BQ553" s="1605"/>
      <c r="BR553" s="1605"/>
      <c r="BS553" s="1605"/>
      <c r="BT553" s="1605"/>
      <c r="BU553" s="1605"/>
      <c r="BV553" s="1605"/>
      <c r="BW553" s="1605"/>
      <c r="BX553" s="1605"/>
      <c r="BY553" s="1605"/>
      <c r="BZ553" s="1605"/>
      <c r="CA553" s="1605"/>
      <c r="CB553" s="1605"/>
      <c r="CC553" s="1605"/>
      <c r="CD553" s="1605"/>
      <c r="CE553" s="1605"/>
      <c r="CF553" s="1605"/>
      <c r="CG553" s="1605"/>
      <c r="CH553" s="1605"/>
      <c r="CI553" s="1605"/>
      <c r="CJ553" s="1605"/>
      <c r="CK553" s="1605"/>
      <c r="CL553" s="1605"/>
      <c r="CM553" s="1605"/>
      <c r="CN553" s="1605"/>
      <c r="CO553" s="1605"/>
      <c r="CP553" s="1605"/>
      <c r="CQ553" s="1605"/>
      <c r="CR553" s="1605"/>
      <c r="CS553" s="1605"/>
      <c r="CT553" s="1605"/>
      <c r="CU553" s="1605"/>
      <c r="CV553" s="1605"/>
      <c r="CW553" s="1605"/>
      <c r="CX553" s="1605"/>
      <c r="CY553" s="1605"/>
      <c r="CZ553" s="1605"/>
      <c r="DA553" s="1605"/>
      <c r="DB553" s="1605"/>
      <c r="DC553" s="1605"/>
      <c r="DD553" s="1605"/>
      <c r="DE553" s="1605"/>
      <c r="DF553" s="1605"/>
      <c r="DG553" s="1605"/>
      <c r="DH553" s="1605"/>
      <c r="DI553" s="1605"/>
      <c r="DJ553" s="1605"/>
      <c r="DK553" s="1605"/>
      <c r="DL553" s="1605"/>
      <c r="DM553" s="1605"/>
      <c r="DN553" s="1605"/>
      <c r="DO553" s="1605"/>
      <c r="DP553" s="1605"/>
      <c r="DQ553" s="1605"/>
      <c r="DR553" s="1605"/>
      <c r="DS553" s="1605"/>
      <c r="DT553" s="1605"/>
      <c r="DU553" s="1605"/>
      <c r="DV553" s="1605"/>
      <c r="DW553" s="1605"/>
      <c r="DX553" s="1605"/>
      <c r="DY553" s="1605"/>
      <c r="DZ553" s="1605"/>
      <c r="EA553" s="1605"/>
      <c r="EB553" s="1605"/>
      <c r="EC553" s="1605"/>
      <c r="ED553" s="1605"/>
      <c r="EE553" s="1605"/>
      <c r="EF553" s="1605"/>
      <c r="EG553" s="1605"/>
      <c r="EH553" s="1605"/>
      <c r="EI553" s="1605"/>
      <c r="EJ553" s="1605"/>
      <c r="EK553" s="1605"/>
      <c r="EL553" s="1605"/>
      <c r="EM553" s="1605"/>
      <c r="EN553" s="1605"/>
      <c r="EO553" s="1605"/>
      <c r="EP553" s="1605"/>
      <c r="EQ553" s="1605"/>
      <c r="ER553" s="1605"/>
      <c r="ES553" s="1605"/>
      <c r="ET553" s="1605"/>
      <c r="EU553" s="1605"/>
      <c r="EV553" s="1605"/>
      <c r="EW553" s="1605"/>
      <c r="EX553" s="1605"/>
      <c r="EY553" s="1605"/>
      <c r="EZ553" s="1605"/>
      <c r="FA553" s="1605"/>
      <c r="FB553" s="1605"/>
      <c r="FC553" s="1605"/>
      <c r="FD553" s="1605"/>
      <c r="FE553" s="1605"/>
      <c r="FF553" s="1605"/>
      <c r="FG553" s="1605"/>
      <c r="FH553" s="1605"/>
      <c r="FI553" s="1605"/>
      <c r="FJ553" s="1605"/>
      <c r="FK553" s="1605"/>
      <c r="FL553" s="1605"/>
      <c r="FM553" s="1605"/>
      <c r="FN553" s="1605"/>
      <c r="FO553" s="1605"/>
      <c r="FP553" s="1605"/>
      <c r="FQ553" s="1605"/>
      <c r="FR553" s="1605"/>
      <c r="FS553" s="1605"/>
      <c r="FT553" s="1605"/>
      <c r="FU553" s="1605"/>
      <c r="FV553" s="1605"/>
      <c r="FW553" s="1605"/>
      <c r="FX553" s="1605"/>
      <c r="FY553" s="1605"/>
      <c r="FZ553" s="1605"/>
      <c r="GA553" s="1605"/>
      <c r="GB553" s="1605"/>
      <c r="GC553" s="1605"/>
      <c r="GD553" s="1605"/>
      <c r="GE553" s="1605"/>
      <c r="GF553" s="1605"/>
      <c r="GG553" s="1605"/>
      <c r="GH553" s="1605"/>
      <c r="GI553" s="1605"/>
      <c r="GJ553" s="1605"/>
      <c r="GK553" s="1605"/>
      <c r="GL553" s="1605"/>
      <c r="GM553" s="1605"/>
      <c r="GN553" s="1605"/>
      <c r="GO553" s="1605"/>
      <c r="GP553" s="1605"/>
      <c r="GQ553" s="1605"/>
      <c r="GR553" s="1605"/>
      <c r="GS553" s="1605"/>
      <c r="GT553" s="1605"/>
      <c r="GU553" s="1605"/>
      <c r="GV553" s="1605"/>
      <c r="GW553" s="1605"/>
      <c r="GX553" s="1605"/>
      <c r="GY553" s="1605"/>
      <c r="GZ553" s="1605"/>
      <c r="HA553" s="1605"/>
      <c r="HB553" s="1605"/>
      <c r="HC553" s="1605"/>
      <c r="HD553" s="1605"/>
      <c r="HE553" s="1605"/>
      <c r="HF553" s="1605"/>
      <c r="HG553" s="1605"/>
      <c r="HH553" s="1605"/>
      <c r="HI553" s="1605"/>
      <c r="HJ553" s="1605"/>
      <c r="HK553" s="1605"/>
      <c r="HL553" s="1605"/>
      <c r="HM553" s="1605"/>
      <c r="HN553" s="1605"/>
      <c r="HO553" s="1605"/>
      <c r="HP553" s="1605"/>
      <c r="HQ553" s="1605"/>
      <c r="HR553" s="1605"/>
      <c r="HS553" s="1605"/>
      <c r="HT553" s="1605"/>
      <c r="HU553" s="1605"/>
      <c r="HV553" s="1605"/>
      <c r="HW553" s="1605"/>
      <c r="HX553" s="1605"/>
      <c r="HY553" s="1605"/>
      <c r="HZ553" s="1605"/>
      <c r="IA553" s="1605"/>
      <c r="IB553" s="1605"/>
      <c r="IC553" s="1605"/>
      <c r="ID553" s="1605"/>
      <c r="IE553" s="1605"/>
      <c r="IF553" s="1605"/>
      <c r="IG553" s="1605"/>
      <c r="IH553" s="1605"/>
      <c r="II553" s="1605"/>
      <c r="IJ553" s="1605"/>
      <c r="IK553" s="1605"/>
      <c r="IL553" s="1605"/>
      <c r="IM553" s="1605"/>
      <c r="IN553" s="1605"/>
      <c r="IO553" s="1605"/>
      <c r="IP553" s="1605"/>
      <c r="IQ553" s="1605"/>
      <c r="IR553" s="1605"/>
      <c r="IS553" s="1605"/>
      <c r="IT553" s="1605"/>
      <c r="IU553" s="1605"/>
      <c r="IV553" s="1605"/>
      <c r="IW553" s="1605"/>
      <c r="IX553" s="1605"/>
      <c r="IY553" s="1605"/>
      <c r="IZ553" s="1605"/>
      <c r="JA553" s="1605"/>
      <c r="JB553" s="1605"/>
      <c r="JC553" s="1605"/>
      <c r="JD553" s="1605"/>
      <c r="JE553" s="1605"/>
      <c r="JF553" s="1605"/>
      <c r="JG553" s="1605"/>
      <c r="JH553" s="1605"/>
      <c r="JI553" s="1605"/>
      <c r="JJ553" s="1605"/>
      <c r="JK553" s="1605"/>
      <c r="JL553" s="1605"/>
      <c r="JM553" s="1605"/>
      <c r="JN553" s="1605"/>
      <c r="JO553" s="1605"/>
      <c r="JP553" s="1605"/>
      <c r="JQ553" s="1605"/>
      <c r="JR553" s="1605"/>
      <c r="JS553" s="1605"/>
      <c r="JT553" s="1605"/>
      <c r="JU553" s="1605"/>
      <c r="JV553" s="1605"/>
      <c r="JW553" s="1605"/>
      <c r="JX553" s="1605"/>
      <c r="JY553" s="1605"/>
      <c r="JZ553" s="1605"/>
      <c r="KA553" s="1605"/>
      <c r="KB553" s="1606"/>
    </row>
    <row r="554" spans="2:288" ht="15" customHeight="1" x14ac:dyDescent="0.25">
      <c r="B554" s="216" t="str">
        <f t="shared" si="45"/>
        <v>Desk 27</v>
      </c>
      <c r="C554" s="218" t="str">
        <v/>
      </c>
      <c r="D554" s="218" t="str">
        <v/>
      </c>
      <c r="E554" s="218" t="str">
        <v/>
      </c>
      <c r="F554" s="218" t="str">
        <v/>
      </c>
      <c r="G554" s="402" t="str">
        <v/>
      </c>
      <c r="H554" s="1605"/>
      <c r="I554" s="1605"/>
      <c r="J554" s="1605"/>
      <c r="K554" s="1605"/>
      <c r="L554" s="1605"/>
      <c r="M554" s="1605"/>
      <c r="N554" s="1605"/>
      <c r="O554" s="1605"/>
      <c r="P554" s="1605"/>
      <c r="Q554" s="1605"/>
      <c r="R554" s="1605"/>
      <c r="S554" s="1605"/>
      <c r="T554" s="1605"/>
      <c r="U554" s="1605"/>
      <c r="V554" s="1605"/>
      <c r="W554" s="1605"/>
      <c r="X554" s="1605"/>
      <c r="Y554" s="1605"/>
      <c r="Z554" s="1605"/>
      <c r="AA554" s="1605"/>
      <c r="AB554" s="1605"/>
      <c r="AC554" s="1605"/>
      <c r="AD554" s="1605"/>
      <c r="AE554" s="1605"/>
      <c r="AF554" s="1605"/>
      <c r="AG554" s="1605"/>
      <c r="AH554" s="1605"/>
      <c r="AI554" s="1605"/>
      <c r="AJ554" s="1605"/>
      <c r="AK554" s="1605"/>
      <c r="AL554" s="1605"/>
      <c r="AM554" s="1605"/>
      <c r="AN554" s="1605"/>
      <c r="AO554" s="1605"/>
      <c r="AP554" s="1605"/>
      <c r="AQ554" s="1605"/>
      <c r="AR554" s="1605"/>
      <c r="AS554" s="1605"/>
      <c r="AT554" s="1605"/>
      <c r="AU554" s="1605"/>
      <c r="AV554" s="1605"/>
      <c r="AW554" s="1605"/>
      <c r="AX554" s="1605"/>
      <c r="AY554" s="1605"/>
      <c r="AZ554" s="1605"/>
      <c r="BA554" s="1605"/>
      <c r="BB554" s="1605"/>
      <c r="BC554" s="1605"/>
      <c r="BD554" s="1605"/>
      <c r="BE554" s="1605"/>
      <c r="BF554" s="1605"/>
      <c r="BG554" s="1605"/>
      <c r="BH554" s="1605"/>
      <c r="BI554" s="1605"/>
      <c r="BJ554" s="1605"/>
      <c r="BK554" s="1605"/>
      <c r="BL554" s="1605"/>
      <c r="BM554" s="1605"/>
      <c r="BN554" s="1605"/>
      <c r="BO554" s="1605"/>
      <c r="BP554" s="1605"/>
      <c r="BQ554" s="1605"/>
      <c r="BR554" s="1605"/>
      <c r="BS554" s="1605"/>
      <c r="BT554" s="1605"/>
      <c r="BU554" s="1605"/>
      <c r="BV554" s="1605"/>
      <c r="BW554" s="1605"/>
      <c r="BX554" s="1605"/>
      <c r="BY554" s="1605"/>
      <c r="BZ554" s="1605"/>
      <c r="CA554" s="1605"/>
      <c r="CB554" s="1605"/>
      <c r="CC554" s="1605"/>
      <c r="CD554" s="1605"/>
      <c r="CE554" s="1605"/>
      <c r="CF554" s="1605"/>
      <c r="CG554" s="1605"/>
      <c r="CH554" s="1605"/>
      <c r="CI554" s="1605"/>
      <c r="CJ554" s="1605"/>
      <c r="CK554" s="1605"/>
      <c r="CL554" s="1605"/>
      <c r="CM554" s="1605"/>
      <c r="CN554" s="1605"/>
      <c r="CO554" s="1605"/>
      <c r="CP554" s="1605"/>
      <c r="CQ554" s="1605"/>
      <c r="CR554" s="1605"/>
      <c r="CS554" s="1605"/>
      <c r="CT554" s="1605"/>
      <c r="CU554" s="1605"/>
      <c r="CV554" s="1605"/>
      <c r="CW554" s="1605"/>
      <c r="CX554" s="1605"/>
      <c r="CY554" s="1605"/>
      <c r="CZ554" s="1605"/>
      <c r="DA554" s="1605"/>
      <c r="DB554" s="1605"/>
      <c r="DC554" s="1605"/>
      <c r="DD554" s="1605"/>
      <c r="DE554" s="1605"/>
      <c r="DF554" s="1605"/>
      <c r="DG554" s="1605"/>
      <c r="DH554" s="1605"/>
      <c r="DI554" s="1605"/>
      <c r="DJ554" s="1605"/>
      <c r="DK554" s="1605"/>
      <c r="DL554" s="1605"/>
      <c r="DM554" s="1605"/>
      <c r="DN554" s="1605"/>
      <c r="DO554" s="1605"/>
      <c r="DP554" s="1605"/>
      <c r="DQ554" s="1605"/>
      <c r="DR554" s="1605"/>
      <c r="DS554" s="1605"/>
      <c r="DT554" s="1605"/>
      <c r="DU554" s="1605"/>
      <c r="DV554" s="1605"/>
      <c r="DW554" s="1605"/>
      <c r="DX554" s="1605"/>
      <c r="DY554" s="1605"/>
      <c r="DZ554" s="1605"/>
      <c r="EA554" s="1605"/>
      <c r="EB554" s="1605"/>
      <c r="EC554" s="1605"/>
      <c r="ED554" s="1605"/>
      <c r="EE554" s="1605"/>
      <c r="EF554" s="1605"/>
      <c r="EG554" s="1605"/>
      <c r="EH554" s="1605"/>
      <c r="EI554" s="1605"/>
      <c r="EJ554" s="1605"/>
      <c r="EK554" s="1605"/>
      <c r="EL554" s="1605"/>
      <c r="EM554" s="1605"/>
      <c r="EN554" s="1605"/>
      <c r="EO554" s="1605"/>
      <c r="EP554" s="1605"/>
      <c r="EQ554" s="1605"/>
      <c r="ER554" s="1605"/>
      <c r="ES554" s="1605"/>
      <c r="ET554" s="1605"/>
      <c r="EU554" s="1605"/>
      <c r="EV554" s="1605"/>
      <c r="EW554" s="1605"/>
      <c r="EX554" s="1605"/>
      <c r="EY554" s="1605"/>
      <c r="EZ554" s="1605"/>
      <c r="FA554" s="1605"/>
      <c r="FB554" s="1605"/>
      <c r="FC554" s="1605"/>
      <c r="FD554" s="1605"/>
      <c r="FE554" s="1605"/>
      <c r="FF554" s="1605"/>
      <c r="FG554" s="1605"/>
      <c r="FH554" s="1605"/>
      <c r="FI554" s="1605"/>
      <c r="FJ554" s="1605"/>
      <c r="FK554" s="1605"/>
      <c r="FL554" s="1605"/>
      <c r="FM554" s="1605"/>
      <c r="FN554" s="1605"/>
      <c r="FO554" s="1605"/>
      <c r="FP554" s="1605"/>
      <c r="FQ554" s="1605"/>
      <c r="FR554" s="1605"/>
      <c r="FS554" s="1605"/>
      <c r="FT554" s="1605"/>
      <c r="FU554" s="1605"/>
      <c r="FV554" s="1605"/>
      <c r="FW554" s="1605"/>
      <c r="FX554" s="1605"/>
      <c r="FY554" s="1605"/>
      <c r="FZ554" s="1605"/>
      <c r="GA554" s="1605"/>
      <c r="GB554" s="1605"/>
      <c r="GC554" s="1605"/>
      <c r="GD554" s="1605"/>
      <c r="GE554" s="1605"/>
      <c r="GF554" s="1605"/>
      <c r="GG554" s="1605"/>
      <c r="GH554" s="1605"/>
      <c r="GI554" s="1605"/>
      <c r="GJ554" s="1605"/>
      <c r="GK554" s="1605"/>
      <c r="GL554" s="1605"/>
      <c r="GM554" s="1605"/>
      <c r="GN554" s="1605"/>
      <c r="GO554" s="1605"/>
      <c r="GP554" s="1605"/>
      <c r="GQ554" s="1605"/>
      <c r="GR554" s="1605"/>
      <c r="GS554" s="1605"/>
      <c r="GT554" s="1605"/>
      <c r="GU554" s="1605"/>
      <c r="GV554" s="1605"/>
      <c r="GW554" s="1605"/>
      <c r="GX554" s="1605"/>
      <c r="GY554" s="1605"/>
      <c r="GZ554" s="1605"/>
      <c r="HA554" s="1605"/>
      <c r="HB554" s="1605"/>
      <c r="HC554" s="1605"/>
      <c r="HD554" s="1605"/>
      <c r="HE554" s="1605"/>
      <c r="HF554" s="1605"/>
      <c r="HG554" s="1605"/>
      <c r="HH554" s="1605"/>
      <c r="HI554" s="1605"/>
      <c r="HJ554" s="1605"/>
      <c r="HK554" s="1605"/>
      <c r="HL554" s="1605"/>
      <c r="HM554" s="1605"/>
      <c r="HN554" s="1605"/>
      <c r="HO554" s="1605"/>
      <c r="HP554" s="1605"/>
      <c r="HQ554" s="1605"/>
      <c r="HR554" s="1605"/>
      <c r="HS554" s="1605"/>
      <c r="HT554" s="1605"/>
      <c r="HU554" s="1605"/>
      <c r="HV554" s="1605"/>
      <c r="HW554" s="1605"/>
      <c r="HX554" s="1605"/>
      <c r="HY554" s="1605"/>
      <c r="HZ554" s="1605"/>
      <c r="IA554" s="1605"/>
      <c r="IB554" s="1605"/>
      <c r="IC554" s="1605"/>
      <c r="ID554" s="1605"/>
      <c r="IE554" s="1605"/>
      <c r="IF554" s="1605"/>
      <c r="IG554" s="1605"/>
      <c r="IH554" s="1605"/>
      <c r="II554" s="1605"/>
      <c r="IJ554" s="1605"/>
      <c r="IK554" s="1605"/>
      <c r="IL554" s="1605"/>
      <c r="IM554" s="1605"/>
      <c r="IN554" s="1605"/>
      <c r="IO554" s="1605"/>
      <c r="IP554" s="1605"/>
      <c r="IQ554" s="1605"/>
      <c r="IR554" s="1605"/>
      <c r="IS554" s="1605"/>
      <c r="IT554" s="1605"/>
      <c r="IU554" s="1605"/>
      <c r="IV554" s="1605"/>
      <c r="IW554" s="1605"/>
      <c r="IX554" s="1605"/>
      <c r="IY554" s="1605"/>
      <c r="IZ554" s="1605"/>
      <c r="JA554" s="1605"/>
      <c r="JB554" s="1605"/>
      <c r="JC554" s="1605"/>
      <c r="JD554" s="1605"/>
      <c r="JE554" s="1605"/>
      <c r="JF554" s="1605"/>
      <c r="JG554" s="1605"/>
      <c r="JH554" s="1605"/>
      <c r="JI554" s="1605"/>
      <c r="JJ554" s="1605"/>
      <c r="JK554" s="1605"/>
      <c r="JL554" s="1605"/>
      <c r="JM554" s="1605"/>
      <c r="JN554" s="1605"/>
      <c r="JO554" s="1605"/>
      <c r="JP554" s="1605"/>
      <c r="JQ554" s="1605"/>
      <c r="JR554" s="1605"/>
      <c r="JS554" s="1605"/>
      <c r="JT554" s="1605"/>
      <c r="JU554" s="1605"/>
      <c r="JV554" s="1605"/>
      <c r="JW554" s="1605"/>
      <c r="JX554" s="1605"/>
      <c r="JY554" s="1605"/>
      <c r="JZ554" s="1605"/>
      <c r="KA554" s="1605"/>
      <c r="KB554" s="1606"/>
    </row>
    <row r="555" spans="2:288" ht="15" customHeight="1" x14ac:dyDescent="0.25">
      <c r="B555" s="216" t="str">
        <f t="shared" si="45"/>
        <v>Desk 28</v>
      </c>
      <c r="C555" s="218" t="str">
        <v/>
      </c>
      <c r="D555" s="218" t="str">
        <v/>
      </c>
      <c r="E555" s="218" t="str">
        <v/>
      </c>
      <c r="F555" s="218" t="str">
        <v/>
      </c>
      <c r="G555" s="402" t="str">
        <v/>
      </c>
      <c r="H555" s="1605"/>
      <c r="I555" s="1605"/>
      <c r="J555" s="1605"/>
      <c r="K555" s="1605"/>
      <c r="L555" s="1605"/>
      <c r="M555" s="1605"/>
      <c r="N555" s="1605"/>
      <c r="O555" s="1605"/>
      <c r="P555" s="1605"/>
      <c r="Q555" s="1605"/>
      <c r="R555" s="1605"/>
      <c r="S555" s="1605"/>
      <c r="T555" s="1605"/>
      <c r="U555" s="1605"/>
      <c r="V555" s="1605"/>
      <c r="W555" s="1605"/>
      <c r="X555" s="1605"/>
      <c r="Y555" s="1605"/>
      <c r="Z555" s="1605"/>
      <c r="AA555" s="1605"/>
      <c r="AB555" s="1605"/>
      <c r="AC555" s="1605"/>
      <c r="AD555" s="1605"/>
      <c r="AE555" s="1605"/>
      <c r="AF555" s="1605"/>
      <c r="AG555" s="1605"/>
      <c r="AH555" s="1605"/>
      <c r="AI555" s="1605"/>
      <c r="AJ555" s="1605"/>
      <c r="AK555" s="1605"/>
      <c r="AL555" s="1605"/>
      <c r="AM555" s="1605"/>
      <c r="AN555" s="1605"/>
      <c r="AO555" s="1605"/>
      <c r="AP555" s="1605"/>
      <c r="AQ555" s="1605"/>
      <c r="AR555" s="1605"/>
      <c r="AS555" s="1605"/>
      <c r="AT555" s="1605"/>
      <c r="AU555" s="1605"/>
      <c r="AV555" s="1605"/>
      <c r="AW555" s="1605"/>
      <c r="AX555" s="1605"/>
      <c r="AY555" s="1605"/>
      <c r="AZ555" s="1605"/>
      <c r="BA555" s="1605"/>
      <c r="BB555" s="1605"/>
      <c r="BC555" s="1605"/>
      <c r="BD555" s="1605"/>
      <c r="BE555" s="1605"/>
      <c r="BF555" s="1605"/>
      <c r="BG555" s="1605"/>
      <c r="BH555" s="1605"/>
      <c r="BI555" s="1605"/>
      <c r="BJ555" s="1605"/>
      <c r="BK555" s="1605"/>
      <c r="BL555" s="1605"/>
      <c r="BM555" s="1605"/>
      <c r="BN555" s="1605"/>
      <c r="BO555" s="1605"/>
      <c r="BP555" s="1605"/>
      <c r="BQ555" s="1605"/>
      <c r="BR555" s="1605"/>
      <c r="BS555" s="1605"/>
      <c r="BT555" s="1605"/>
      <c r="BU555" s="1605"/>
      <c r="BV555" s="1605"/>
      <c r="BW555" s="1605"/>
      <c r="BX555" s="1605"/>
      <c r="BY555" s="1605"/>
      <c r="BZ555" s="1605"/>
      <c r="CA555" s="1605"/>
      <c r="CB555" s="1605"/>
      <c r="CC555" s="1605"/>
      <c r="CD555" s="1605"/>
      <c r="CE555" s="1605"/>
      <c r="CF555" s="1605"/>
      <c r="CG555" s="1605"/>
      <c r="CH555" s="1605"/>
      <c r="CI555" s="1605"/>
      <c r="CJ555" s="1605"/>
      <c r="CK555" s="1605"/>
      <c r="CL555" s="1605"/>
      <c r="CM555" s="1605"/>
      <c r="CN555" s="1605"/>
      <c r="CO555" s="1605"/>
      <c r="CP555" s="1605"/>
      <c r="CQ555" s="1605"/>
      <c r="CR555" s="1605"/>
      <c r="CS555" s="1605"/>
      <c r="CT555" s="1605"/>
      <c r="CU555" s="1605"/>
      <c r="CV555" s="1605"/>
      <c r="CW555" s="1605"/>
      <c r="CX555" s="1605"/>
      <c r="CY555" s="1605"/>
      <c r="CZ555" s="1605"/>
      <c r="DA555" s="1605"/>
      <c r="DB555" s="1605"/>
      <c r="DC555" s="1605"/>
      <c r="DD555" s="1605"/>
      <c r="DE555" s="1605"/>
      <c r="DF555" s="1605"/>
      <c r="DG555" s="1605"/>
      <c r="DH555" s="1605"/>
      <c r="DI555" s="1605"/>
      <c r="DJ555" s="1605"/>
      <c r="DK555" s="1605"/>
      <c r="DL555" s="1605"/>
      <c r="DM555" s="1605"/>
      <c r="DN555" s="1605"/>
      <c r="DO555" s="1605"/>
      <c r="DP555" s="1605"/>
      <c r="DQ555" s="1605"/>
      <c r="DR555" s="1605"/>
      <c r="DS555" s="1605"/>
      <c r="DT555" s="1605"/>
      <c r="DU555" s="1605"/>
      <c r="DV555" s="1605"/>
      <c r="DW555" s="1605"/>
      <c r="DX555" s="1605"/>
      <c r="DY555" s="1605"/>
      <c r="DZ555" s="1605"/>
      <c r="EA555" s="1605"/>
      <c r="EB555" s="1605"/>
      <c r="EC555" s="1605"/>
      <c r="ED555" s="1605"/>
      <c r="EE555" s="1605"/>
      <c r="EF555" s="1605"/>
      <c r="EG555" s="1605"/>
      <c r="EH555" s="1605"/>
      <c r="EI555" s="1605"/>
      <c r="EJ555" s="1605"/>
      <c r="EK555" s="1605"/>
      <c r="EL555" s="1605"/>
      <c r="EM555" s="1605"/>
      <c r="EN555" s="1605"/>
      <c r="EO555" s="1605"/>
      <c r="EP555" s="1605"/>
      <c r="EQ555" s="1605"/>
      <c r="ER555" s="1605"/>
      <c r="ES555" s="1605"/>
      <c r="ET555" s="1605"/>
      <c r="EU555" s="1605"/>
      <c r="EV555" s="1605"/>
      <c r="EW555" s="1605"/>
      <c r="EX555" s="1605"/>
      <c r="EY555" s="1605"/>
      <c r="EZ555" s="1605"/>
      <c r="FA555" s="1605"/>
      <c r="FB555" s="1605"/>
      <c r="FC555" s="1605"/>
      <c r="FD555" s="1605"/>
      <c r="FE555" s="1605"/>
      <c r="FF555" s="1605"/>
      <c r="FG555" s="1605"/>
      <c r="FH555" s="1605"/>
      <c r="FI555" s="1605"/>
      <c r="FJ555" s="1605"/>
      <c r="FK555" s="1605"/>
      <c r="FL555" s="1605"/>
      <c r="FM555" s="1605"/>
      <c r="FN555" s="1605"/>
      <c r="FO555" s="1605"/>
      <c r="FP555" s="1605"/>
      <c r="FQ555" s="1605"/>
      <c r="FR555" s="1605"/>
      <c r="FS555" s="1605"/>
      <c r="FT555" s="1605"/>
      <c r="FU555" s="1605"/>
      <c r="FV555" s="1605"/>
      <c r="FW555" s="1605"/>
      <c r="FX555" s="1605"/>
      <c r="FY555" s="1605"/>
      <c r="FZ555" s="1605"/>
      <c r="GA555" s="1605"/>
      <c r="GB555" s="1605"/>
      <c r="GC555" s="1605"/>
      <c r="GD555" s="1605"/>
      <c r="GE555" s="1605"/>
      <c r="GF555" s="1605"/>
      <c r="GG555" s="1605"/>
      <c r="GH555" s="1605"/>
      <c r="GI555" s="1605"/>
      <c r="GJ555" s="1605"/>
      <c r="GK555" s="1605"/>
      <c r="GL555" s="1605"/>
      <c r="GM555" s="1605"/>
      <c r="GN555" s="1605"/>
      <c r="GO555" s="1605"/>
      <c r="GP555" s="1605"/>
      <c r="GQ555" s="1605"/>
      <c r="GR555" s="1605"/>
      <c r="GS555" s="1605"/>
      <c r="GT555" s="1605"/>
      <c r="GU555" s="1605"/>
      <c r="GV555" s="1605"/>
      <c r="GW555" s="1605"/>
      <c r="GX555" s="1605"/>
      <c r="GY555" s="1605"/>
      <c r="GZ555" s="1605"/>
      <c r="HA555" s="1605"/>
      <c r="HB555" s="1605"/>
      <c r="HC555" s="1605"/>
      <c r="HD555" s="1605"/>
      <c r="HE555" s="1605"/>
      <c r="HF555" s="1605"/>
      <c r="HG555" s="1605"/>
      <c r="HH555" s="1605"/>
      <c r="HI555" s="1605"/>
      <c r="HJ555" s="1605"/>
      <c r="HK555" s="1605"/>
      <c r="HL555" s="1605"/>
      <c r="HM555" s="1605"/>
      <c r="HN555" s="1605"/>
      <c r="HO555" s="1605"/>
      <c r="HP555" s="1605"/>
      <c r="HQ555" s="1605"/>
      <c r="HR555" s="1605"/>
      <c r="HS555" s="1605"/>
      <c r="HT555" s="1605"/>
      <c r="HU555" s="1605"/>
      <c r="HV555" s="1605"/>
      <c r="HW555" s="1605"/>
      <c r="HX555" s="1605"/>
      <c r="HY555" s="1605"/>
      <c r="HZ555" s="1605"/>
      <c r="IA555" s="1605"/>
      <c r="IB555" s="1605"/>
      <c r="IC555" s="1605"/>
      <c r="ID555" s="1605"/>
      <c r="IE555" s="1605"/>
      <c r="IF555" s="1605"/>
      <c r="IG555" s="1605"/>
      <c r="IH555" s="1605"/>
      <c r="II555" s="1605"/>
      <c r="IJ555" s="1605"/>
      <c r="IK555" s="1605"/>
      <c r="IL555" s="1605"/>
      <c r="IM555" s="1605"/>
      <c r="IN555" s="1605"/>
      <c r="IO555" s="1605"/>
      <c r="IP555" s="1605"/>
      <c r="IQ555" s="1605"/>
      <c r="IR555" s="1605"/>
      <c r="IS555" s="1605"/>
      <c r="IT555" s="1605"/>
      <c r="IU555" s="1605"/>
      <c r="IV555" s="1605"/>
      <c r="IW555" s="1605"/>
      <c r="IX555" s="1605"/>
      <c r="IY555" s="1605"/>
      <c r="IZ555" s="1605"/>
      <c r="JA555" s="1605"/>
      <c r="JB555" s="1605"/>
      <c r="JC555" s="1605"/>
      <c r="JD555" s="1605"/>
      <c r="JE555" s="1605"/>
      <c r="JF555" s="1605"/>
      <c r="JG555" s="1605"/>
      <c r="JH555" s="1605"/>
      <c r="JI555" s="1605"/>
      <c r="JJ555" s="1605"/>
      <c r="JK555" s="1605"/>
      <c r="JL555" s="1605"/>
      <c r="JM555" s="1605"/>
      <c r="JN555" s="1605"/>
      <c r="JO555" s="1605"/>
      <c r="JP555" s="1605"/>
      <c r="JQ555" s="1605"/>
      <c r="JR555" s="1605"/>
      <c r="JS555" s="1605"/>
      <c r="JT555" s="1605"/>
      <c r="JU555" s="1605"/>
      <c r="JV555" s="1605"/>
      <c r="JW555" s="1605"/>
      <c r="JX555" s="1605"/>
      <c r="JY555" s="1605"/>
      <c r="JZ555" s="1605"/>
      <c r="KA555" s="1605"/>
      <c r="KB555" s="1606"/>
    </row>
    <row r="556" spans="2:288" ht="15" customHeight="1" x14ac:dyDescent="0.25">
      <c r="B556" s="216" t="str">
        <f t="shared" si="45"/>
        <v>Desk 29</v>
      </c>
      <c r="C556" s="218" t="str">
        <v/>
      </c>
      <c r="D556" s="218" t="str">
        <v/>
      </c>
      <c r="E556" s="218" t="str">
        <v/>
      </c>
      <c r="F556" s="218" t="str">
        <v/>
      </c>
      <c r="G556" s="402" t="str">
        <v/>
      </c>
      <c r="H556" s="1605"/>
      <c r="I556" s="1605"/>
      <c r="J556" s="1605"/>
      <c r="K556" s="1605"/>
      <c r="L556" s="1605"/>
      <c r="M556" s="1605"/>
      <c r="N556" s="1605"/>
      <c r="O556" s="1605"/>
      <c r="P556" s="1605"/>
      <c r="Q556" s="1605"/>
      <c r="R556" s="1605"/>
      <c r="S556" s="1605"/>
      <c r="T556" s="1605"/>
      <c r="U556" s="1605"/>
      <c r="V556" s="1605"/>
      <c r="W556" s="1605"/>
      <c r="X556" s="1605"/>
      <c r="Y556" s="1605"/>
      <c r="Z556" s="1605"/>
      <c r="AA556" s="1605"/>
      <c r="AB556" s="1605"/>
      <c r="AC556" s="1605"/>
      <c r="AD556" s="1605"/>
      <c r="AE556" s="1605"/>
      <c r="AF556" s="1605"/>
      <c r="AG556" s="1605"/>
      <c r="AH556" s="1605"/>
      <c r="AI556" s="1605"/>
      <c r="AJ556" s="1605"/>
      <c r="AK556" s="1605"/>
      <c r="AL556" s="1605"/>
      <c r="AM556" s="1605"/>
      <c r="AN556" s="1605"/>
      <c r="AO556" s="1605"/>
      <c r="AP556" s="1605"/>
      <c r="AQ556" s="1605"/>
      <c r="AR556" s="1605"/>
      <c r="AS556" s="1605"/>
      <c r="AT556" s="1605"/>
      <c r="AU556" s="1605"/>
      <c r="AV556" s="1605"/>
      <c r="AW556" s="1605"/>
      <c r="AX556" s="1605"/>
      <c r="AY556" s="1605"/>
      <c r="AZ556" s="1605"/>
      <c r="BA556" s="1605"/>
      <c r="BB556" s="1605"/>
      <c r="BC556" s="1605"/>
      <c r="BD556" s="1605"/>
      <c r="BE556" s="1605"/>
      <c r="BF556" s="1605"/>
      <c r="BG556" s="1605"/>
      <c r="BH556" s="1605"/>
      <c r="BI556" s="1605"/>
      <c r="BJ556" s="1605"/>
      <c r="BK556" s="1605"/>
      <c r="BL556" s="1605"/>
      <c r="BM556" s="1605"/>
      <c r="BN556" s="1605"/>
      <c r="BO556" s="1605"/>
      <c r="BP556" s="1605"/>
      <c r="BQ556" s="1605"/>
      <c r="BR556" s="1605"/>
      <c r="BS556" s="1605"/>
      <c r="BT556" s="1605"/>
      <c r="BU556" s="1605"/>
      <c r="BV556" s="1605"/>
      <c r="BW556" s="1605"/>
      <c r="BX556" s="1605"/>
      <c r="BY556" s="1605"/>
      <c r="BZ556" s="1605"/>
      <c r="CA556" s="1605"/>
      <c r="CB556" s="1605"/>
      <c r="CC556" s="1605"/>
      <c r="CD556" s="1605"/>
      <c r="CE556" s="1605"/>
      <c r="CF556" s="1605"/>
      <c r="CG556" s="1605"/>
      <c r="CH556" s="1605"/>
      <c r="CI556" s="1605"/>
      <c r="CJ556" s="1605"/>
      <c r="CK556" s="1605"/>
      <c r="CL556" s="1605"/>
      <c r="CM556" s="1605"/>
      <c r="CN556" s="1605"/>
      <c r="CO556" s="1605"/>
      <c r="CP556" s="1605"/>
      <c r="CQ556" s="1605"/>
      <c r="CR556" s="1605"/>
      <c r="CS556" s="1605"/>
      <c r="CT556" s="1605"/>
      <c r="CU556" s="1605"/>
      <c r="CV556" s="1605"/>
      <c r="CW556" s="1605"/>
      <c r="CX556" s="1605"/>
      <c r="CY556" s="1605"/>
      <c r="CZ556" s="1605"/>
      <c r="DA556" s="1605"/>
      <c r="DB556" s="1605"/>
      <c r="DC556" s="1605"/>
      <c r="DD556" s="1605"/>
      <c r="DE556" s="1605"/>
      <c r="DF556" s="1605"/>
      <c r="DG556" s="1605"/>
      <c r="DH556" s="1605"/>
      <c r="DI556" s="1605"/>
      <c r="DJ556" s="1605"/>
      <c r="DK556" s="1605"/>
      <c r="DL556" s="1605"/>
      <c r="DM556" s="1605"/>
      <c r="DN556" s="1605"/>
      <c r="DO556" s="1605"/>
      <c r="DP556" s="1605"/>
      <c r="DQ556" s="1605"/>
      <c r="DR556" s="1605"/>
      <c r="DS556" s="1605"/>
      <c r="DT556" s="1605"/>
      <c r="DU556" s="1605"/>
      <c r="DV556" s="1605"/>
      <c r="DW556" s="1605"/>
      <c r="DX556" s="1605"/>
      <c r="DY556" s="1605"/>
      <c r="DZ556" s="1605"/>
      <c r="EA556" s="1605"/>
      <c r="EB556" s="1605"/>
      <c r="EC556" s="1605"/>
      <c r="ED556" s="1605"/>
      <c r="EE556" s="1605"/>
      <c r="EF556" s="1605"/>
      <c r="EG556" s="1605"/>
      <c r="EH556" s="1605"/>
      <c r="EI556" s="1605"/>
      <c r="EJ556" s="1605"/>
      <c r="EK556" s="1605"/>
      <c r="EL556" s="1605"/>
      <c r="EM556" s="1605"/>
      <c r="EN556" s="1605"/>
      <c r="EO556" s="1605"/>
      <c r="EP556" s="1605"/>
      <c r="EQ556" s="1605"/>
      <c r="ER556" s="1605"/>
      <c r="ES556" s="1605"/>
      <c r="ET556" s="1605"/>
      <c r="EU556" s="1605"/>
      <c r="EV556" s="1605"/>
      <c r="EW556" s="1605"/>
      <c r="EX556" s="1605"/>
      <c r="EY556" s="1605"/>
      <c r="EZ556" s="1605"/>
      <c r="FA556" s="1605"/>
      <c r="FB556" s="1605"/>
      <c r="FC556" s="1605"/>
      <c r="FD556" s="1605"/>
      <c r="FE556" s="1605"/>
      <c r="FF556" s="1605"/>
      <c r="FG556" s="1605"/>
      <c r="FH556" s="1605"/>
      <c r="FI556" s="1605"/>
      <c r="FJ556" s="1605"/>
      <c r="FK556" s="1605"/>
      <c r="FL556" s="1605"/>
      <c r="FM556" s="1605"/>
      <c r="FN556" s="1605"/>
      <c r="FO556" s="1605"/>
      <c r="FP556" s="1605"/>
      <c r="FQ556" s="1605"/>
      <c r="FR556" s="1605"/>
      <c r="FS556" s="1605"/>
      <c r="FT556" s="1605"/>
      <c r="FU556" s="1605"/>
      <c r="FV556" s="1605"/>
      <c r="FW556" s="1605"/>
      <c r="FX556" s="1605"/>
      <c r="FY556" s="1605"/>
      <c r="FZ556" s="1605"/>
      <c r="GA556" s="1605"/>
      <c r="GB556" s="1605"/>
      <c r="GC556" s="1605"/>
      <c r="GD556" s="1605"/>
      <c r="GE556" s="1605"/>
      <c r="GF556" s="1605"/>
      <c r="GG556" s="1605"/>
      <c r="GH556" s="1605"/>
      <c r="GI556" s="1605"/>
      <c r="GJ556" s="1605"/>
      <c r="GK556" s="1605"/>
      <c r="GL556" s="1605"/>
      <c r="GM556" s="1605"/>
      <c r="GN556" s="1605"/>
      <c r="GO556" s="1605"/>
      <c r="GP556" s="1605"/>
      <c r="GQ556" s="1605"/>
      <c r="GR556" s="1605"/>
      <c r="GS556" s="1605"/>
      <c r="GT556" s="1605"/>
      <c r="GU556" s="1605"/>
      <c r="GV556" s="1605"/>
      <c r="GW556" s="1605"/>
      <c r="GX556" s="1605"/>
      <c r="GY556" s="1605"/>
      <c r="GZ556" s="1605"/>
      <c r="HA556" s="1605"/>
      <c r="HB556" s="1605"/>
      <c r="HC556" s="1605"/>
      <c r="HD556" s="1605"/>
      <c r="HE556" s="1605"/>
      <c r="HF556" s="1605"/>
      <c r="HG556" s="1605"/>
      <c r="HH556" s="1605"/>
      <c r="HI556" s="1605"/>
      <c r="HJ556" s="1605"/>
      <c r="HK556" s="1605"/>
      <c r="HL556" s="1605"/>
      <c r="HM556" s="1605"/>
      <c r="HN556" s="1605"/>
      <c r="HO556" s="1605"/>
      <c r="HP556" s="1605"/>
      <c r="HQ556" s="1605"/>
      <c r="HR556" s="1605"/>
      <c r="HS556" s="1605"/>
      <c r="HT556" s="1605"/>
      <c r="HU556" s="1605"/>
      <c r="HV556" s="1605"/>
      <c r="HW556" s="1605"/>
      <c r="HX556" s="1605"/>
      <c r="HY556" s="1605"/>
      <c r="HZ556" s="1605"/>
      <c r="IA556" s="1605"/>
      <c r="IB556" s="1605"/>
      <c r="IC556" s="1605"/>
      <c r="ID556" s="1605"/>
      <c r="IE556" s="1605"/>
      <c r="IF556" s="1605"/>
      <c r="IG556" s="1605"/>
      <c r="IH556" s="1605"/>
      <c r="II556" s="1605"/>
      <c r="IJ556" s="1605"/>
      <c r="IK556" s="1605"/>
      <c r="IL556" s="1605"/>
      <c r="IM556" s="1605"/>
      <c r="IN556" s="1605"/>
      <c r="IO556" s="1605"/>
      <c r="IP556" s="1605"/>
      <c r="IQ556" s="1605"/>
      <c r="IR556" s="1605"/>
      <c r="IS556" s="1605"/>
      <c r="IT556" s="1605"/>
      <c r="IU556" s="1605"/>
      <c r="IV556" s="1605"/>
      <c r="IW556" s="1605"/>
      <c r="IX556" s="1605"/>
      <c r="IY556" s="1605"/>
      <c r="IZ556" s="1605"/>
      <c r="JA556" s="1605"/>
      <c r="JB556" s="1605"/>
      <c r="JC556" s="1605"/>
      <c r="JD556" s="1605"/>
      <c r="JE556" s="1605"/>
      <c r="JF556" s="1605"/>
      <c r="JG556" s="1605"/>
      <c r="JH556" s="1605"/>
      <c r="JI556" s="1605"/>
      <c r="JJ556" s="1605"/>
      <c r="JK556" s="1605"/>
      <c r="JL556" s="1605"/>
      <c r="JM556" s="1605"/>
      <c r="JN556" s="1605"/>
      <c r="JO556" s="1605"/>
      <c r="JP556" s="1605"/>
      <c r="JQ556" s="1605"/>
      <c r="JR556" s="1605"/>
      <c r="JS556" s="1605"/>
      <c r="JT556" s="1605"/>
      <c r="JU556" s="1605"/>
      <c r="JV556" s="1605"/>
      <c r="JW556" s="1605"/>
      <c r="JX556" s="1605"/>
      <c r="JY556" s="1605"/>
      <c r="JZ556" s="1605"/>
      <c r="KA556" s="1605"/>
      <c r="KB556" s="1606"/>
    </row>
    <row r="557" spans="2:288" ht="15" customHeight="1" x14ac:dyDescent="0.25">
      <c r="B557" s="216" t="str">
        <f t="shared" si="45"/>
        <v>Desk 30</v>
      </c>
      <c r="C557" s="218" t="str">
        <v/>
      </c>
      <c r="D557" s="218" t="str">
        <v/>
      </c>
      <c r="E557" s="218" t="str">
        <v/>
      </c>
      <c r="F557" s="218" t="str">
        <v/>
      </c>
      <c r="G557" s="402" t="str">
        <v/>
      </c>
      <c r="H557" s="1605"/>
      <c r="I557" s="1605"/>
      <c r="J557" s="1605"/>
      <c r="K557" s="1605"/>
      <c r="L557" s="1605"/>
      <c r="M557" s="1605"/>
      <c r="N557" s="1605"/>
      <c r="O557" s="1605"/>
      <c r="P557" s="1605"/>
      <c r="Q557" s="1605"/>
      <c r="R557" s="1605"/>
      <c r="S557" s="1605"/>
      <c r="T557" s="1605"/>
      <c r="U557" s="1605"/>
      <c r="V557" s="1605"/>
      <c r="W557" s="1605"/>
      <c r="X557" s="1605"/>
      <c r="Y557" s="1605"/>
      <c r="Z557" s="1605"/>
      <c r="AA557" s="1605"/>
      <c r="AB557" s="1605"/>
      <c r="AC557" s="1605"/>
      <c r="AD557" s="1605"/>
      <c r="AE557" s="1605"/>
      <c r="AF557" s="1605"/>
      <c r="AG557" s="1605"/>
      <c r="AH557" s="1605"/>
      <c r="AI557" s="1605"/>
      <c r="AJ557" s="1605"/>
      <c r="AK557" s="1605"/>
      <c r="AL557" s="1605"/>
      <c r="AM557" s="1605"/>
      <c r="AN557" s="1605"/>
      <c r="AO557" s="1605"/>
      <c r="AP557" s="1605"/>
      <c r="AQ557" s="1605"/>
      <c r="AR557" s="1605"/>
      <c r="AS557" s="1605"/>
      <c r="AT557" s="1605"/>
      <c r="AU557" s="1605"/>
      <c r="AV557" s="1605"/>
      <c r="AW557" s="1605"/>
      <c r="AX557" s="1605"/>
      <c r="AY557" s="1605"/>
      <c r="AZ557" s="1605"/>
      <c r="BA557" s="1605"/>
      <c r="BB557" s="1605"/>
      <c r="BC557" s="1605"/>
      <c r="BD557" s="1605"/>
      <c r="BE557" s="1605"/>
      <c r="BF557" s="1605"/>
      <c r="BG557" s="1605"/>
      <c r="BH557" s="1605"/>
      <c r="BI557" s="1605"/>
      <c r="BJ557" s="1605"/>
      <c r="BK557" s="1605"/>
      <c r="BL557" s="1605"/>
      <c r="BM557" s="1605"/>
      <c r="BN557" s="1605"/>
      <c r="BO557" s="1605"/>
      <c r="BP557" s="1605"/>
      <c r="BQ557" s="1605"/>
      <c r="BR557" s="1605"/>
      <c r="BS557" s="1605"/>
      <c r="BT557" s="1605"/>
      <c r="BU557" s="1605"/>
      <c r="BV557" s="1605"/>
      <c r="BW557" s="1605"/>
      <c r="BX557" s="1605"/>
      <c r="BY557" s="1605"/>
      <c r="BZ557" s="1605"/>
      <c r="CA557" s="1605"/>
      <c r="CB557" s="1605"/>
      <c r="CC557" s="1605"/>
      <c r="CD557" s="1605"/>
      <c r="CE557" s="1605"/>
      <c r="CF557" s="1605"/>
      <c r="CG557" s="1605"/>
      <c r="CH557" s="1605"/>
      <c r="CI557" s="1605"/>
      <c r="CJ557" s="1605"/>
      <c r="CK557" s="1605"/>
      <c r="CL557" s="1605"/>
      <c r="CM557" s="1605"/>
      <c r="CN557" s="1605"/>
      <c r="CO557" s="1605"/>
      <c r="CP557" s="1605"/>
      <c r="CQ557" s="1605"/>
      <c r="CR557" s="1605"/>
      <c r="CS557" s="1605"/>
      <c r="CT557" s="1605"/>
      <c r="CU557" s="1605"/>
      <c r="CV557" s="1605"/>
      <c r="CW557" s="1605"/>
      <c r="CX557" s="1605"/>
      <c r="CY557" s="1605"/>
      <c r="CZ557" s="1605"/>
      <c r="DA557" s="1605"/>
      <c r="DB557" s="1605"/>
      <c r="DC557" s="1605"/>
      <c r="DD557" s="1605"/>
      <c r="DE557" s="1605"/>
      <c r="DF557" s="1605"/>
      <c r="DG557" s="1605"/>
      <c r="DH557" s="1605"/>
      <c r="DI557" s="1605"/>
      <c r="DJ557" s="1605"/>
      <c r="DK557" s="1605"/>
      <c r="DL557" s="1605"/>
      <c r="DM557" s="1605"/>
      <c r="DN557" s="1605"/>
      <c r="DO557" s="1605"/>
      <c r="DP557" s="1605"/>
      <c r="DQ557" s="1605"/>
      <c r="DR557" s="1605"/>
      <c r="DS557" s="1605"/>
      <c r="DT557" s="1605"/>
      <c r="DU557" s="1605"/>
      <c r="DV557" s="1605"/>
      <c r="DW557" s="1605"/>
      <c r="DX557" s="1605"/>
      <c r="DY557" s="1605"/>
      <c r="DZ557" s="1605"/>
      <c r="EA557" s="1605"/>
      <c r="EB557" s="1605"/>
      <c r="EC557" s="1605"/>
      <c r="ED557" s="1605"/>
      <c r="EE557" s="1605"/>
      <c r="EF557" s="1605"/>
      <c r="EG557" s="1605"/>
      <c r="EH557" s="1605"/>
      <c r="EI557" s="1605"/>
      <c r="EJ557" s="1605"/>
      <c r="EK557" s="1605"/>
      <c r="EL557" s="1605"/>
      <c r="EM557" s="1605"/>
      <c r="EN557" s="1605"/>
      <c r="EO557" s="1605"/>
      <c r="EP557" s="1605"/>
      <c r="EQ557" s="1605"/>
      <c r="ER557" s="1605"/>
      <c r="ES557" s="1605"/>
      <c r="ET557" s="1605"/>
      <c r="EU557" s="1605"/>
      <c r="EV557" s="1605"/>
      <c r="EW557" s="1605"/>
      <c r="EX557" s="1605"/>
      <c r="EY557" s="1605"/>
      <c r="EZ557" s="1605"/>
      <c r="FA557" s="1605"/>
      <c r="FB557" s="1605"/>
      <c r="FC557" s="1605"/>
      <c r="FD557" s="1605"/>
      <c r="FE557" s="1605"/>
      <c r="FF557" s="1605"/>
      <c r="FG557" s="1605"/>
      <c r="FH557" s="1605"/>
      <c r="FI557" s="1605"/>
      <c r="FJ557" s="1605"/>
      <c r="FK557" s="1605"/>
      <c r="FL557" s="1605"/>
      <c r="FM557" s="1605"/>
      <c r="FN557" s="1605"/>
      <c r="FO557" s="1605"/>
      <c r="FP557" s="1605"/>
      <c r="FQ557" s="1605"/>
      <c r="FR557" s="1605"/>
      <c r="FS557" s="1605"/>
      <c r="FT557" s="1605"/>
      <c r="FU557" s="1605"/>
      <c r="FV557" s="1605"/>
      <c r="FW557" s="1605"/>
      <c r="FX557" s="1605"/>
      <c r="FY557" s="1605"/>
      <c r="FZ557" s="1605"/>
      <c r="GA557" s="1605"/>
      <c r="GB557" s="1605"/>
      <c r="GC557" s="1605"/>
      <c r="GD557" s="1605"/>
      <c r="GE557" s="1605"/>
      <c r="GF557" s="1605"/>
      <c r="GG557" s="1605"/>
      <c r="GH557" s="1605"/>
      <c r="GI557" s="1605"/>
      <c r="GJ557" s="1605"/>
      <c r="GK557" s="1605"/>
      <c r="GL557" s="1605"/>
      <c r="GM557" s="1605"/>
      <c r="GN557" s="1605"/>
      <c r="GO557" s="1605"/>
      <c r="GP557" s="1605"/>
      <c r="GQ557" s="1605"/>
      <c r="GR557" s="1605"/>
      <c r="GS557" s="1605"/>
      <c r="GT557" s="1605"/>
      <c r="GU557" s="1605"/>
      <c r="GV557" s="1605"/>
      <c r="GW557" s="1605"/>
      <c r="GX557" s="1605"/>
      <c r="GY557" s="1605"/>
      <c r="GZ557" s="1605"/>
      <c r="HA557" s="1605"/>
      <c r="HB557" s="1605"/>
      <c r="HC557" s="1605"/>
      <c r="HD557" s="1605"/>
      <c r="HE557" s="1605"/>
      <c r="HF557" s="1605"/>
      <c r="HG557" s="1605"/>
      <c r="HH557" s="1605"/>
      <c r="HI557" s="1605"/>
      <c r="HJ557" s="1605"/>
      <c r="HK557" s="1605"/>
      <c r="HL557" s="1605"/>
      <c r="HM557" s="1605"/>
      <c r="HN557" s="1605"/>
      <c r="HO557" s="1605"/>
      <c r="HP557" s="1605"/>
      <c r="HQ557" s="1605"/>
      <c r="HR557" s="1605"/>
      <c r="HS557" s="1605"/>
      <c r="HT557" s="1605"/>
      <c r="HU557" s="1605"/>
      <c r="HV557" s="1605"/>
      <c r="HW557" s="1605"/>
      <c r="HX557" s="1605"/>
      <c r="HY557" s="1605"/>
      <c r="HZ557" s="1605"/>
      <c r="IA557" s="1605"/>
      <c r="IB557" s="1605"/>
      <c r="IC557" s="1605"/>
      <c r="ID557" s="1605"/>
      <c r="IE557" s="1605"/>
      <c r="IF557" s="1605"/>
      <c r="IG557" s="1605"/>
      <c r="IH557" s="1605"/>
      <c r="II557" s="1605"/>
      <c r="IJ557" s="1605"/>
      <c r="IK557" s="1605"/>
      <c r="IL557" s="1605"/>
      <c r="IM557" s="1605"/>
      <c r="IN557" s="1605"/>
      <c r="IO557" s="1605"/>
      <c r="IP557" s="1605"/>
      <c r="IQ557" s="1605"/>
      <c r="IR557" s="1605"/>
      <c r="IS557" s="1605"/>
      <c r="IT557" s="1605"/>
      <c r="IU557" s="1605"/>
      <c r="IV557" s="1605"/>
      <c r="IW557" s="1605"/>
      <c r="IX557" s="1605"/>
      <c r="IY557" s="1605"/>
      <c r="IZ557" s="1605"/>
      <c r="JA557" s="1605"/>
      <c r="JB557" s="1605"/>
      <c r="JC557" s="1605"/>
      <c r="JD557" s="1605"/>
      <c r="JE557" s="1605"/>
      <c r="JF557" s="1605"/>
      <c r="JG557" s="1605"/>
      <c r="JH557" s="1605"/>
      <c r="JI557" s="1605"/>
      <c r="JJ557" s="1605"/>
      <c r="JK557" s="1605"/>
      <c r="JL557" s="1605"/>
      <c r="JM557" s="1605"/>
      <c r="JN557" s="1605"/>
      <c r="JO557" s="1605"/>
      <c r="JP557" s="1605"/>
      <c r="JQ557" s="1605"/>
      <c r="JR557" s="1605"/>
      <c r="JS557" s="1605"/>
      <c r="JT557" s="1605"/>
      <c r="JU557" s="1605"/>
      <c r="JV557" s="1605"/>
      <c r="JW557" s="1605"/>
      <c r="JX557" s="1605"/>
      <c r="JY557" s="1605"/>
      <c r="JZ557" s="1605"/>
      <c r="KA557" s="1605"/>
      <c r="KB557" s="1606"/>
    </row>
    <row r="558" spans="2:288" ht="15" customHeight="1" x14ac:dyDescent="0.25">
      <c r="B558" s="216" t="str">
        <f t="shared" si="45"/>
        <v>Desk 31</v>
      </c>
      <c r="C558" s="218" t="str">
        <v/>
      </c>
      <c r="D558" s="218" t="str">
        <v/>
      </c>
      <c r="E558" s="218" t="str">
        <v/>
      </c>
      <c r="F558" s="218" t="str">
        <v/>
      </c>
      <c r="G558" s="402" t="str">
        <v/>
      </c>
      <c r="H558" s="1605"/>
      <c r="I558" s="1605"/>
      <c r="J558" s="1605"/>
      <c r="K558" s="1605"/>
      <c r="L558" s="1605"/>
      <c r="M558" s="1605"/>
      <c r="N558" s="1605"/>
      <c r="O558" s="1605"/>
      <c r="P558" s="1605"/>
      <c r="Q558" s="1605"/>
      <c r="R558" s="1605"/>
      <c r="S558" s="1605"/>
      <c r="T558" s="1605"/>
      <c r="U558" s="1605"/>
      <c r="V558" s="1605"/>
      <c r="W558" s="1605"/>
      <c r="X558" s="1605"/>
      <c r="Y558" s="1605"/>
      <c r="Z558" s="1605"/>
      <c r="AA558" s="1605"/>
      <c r="AB558" s="1605"/>
      <c r="AC558" s="1605"/>
      <c r="AD558" s="1605"/>
      <c r="AE558" s="1605"/>
      <c r="AF558" s="1605"/>
      <c r="AG558" s="1605"/>
      <c r="AH558" s="1605"/>
      <c r="AI558" s="1605"/>
      <c r="AJ558" s="1605"/>
      <c r="AK558" s="1605"/>
      <c r="AL558" s="1605"/>
      <c r="AM558" s="1605"/>
      <c r="AN558" s="1605"/>
      <c r="AO558" s="1605"/>
      <c r="AP558" s="1605"/>
      <c r="AQ558" s="1605"/>
      <c r="AR558" s="1605"/>
      <c r="AS558" s="1605"/>
      <c r="AT558" s="1605"/>
      <c r="AU558" s="1605"/>
      <c r="AV558" s="1605"/>
      <c r="AW558" s="1605"/>
      <c r="AX558" s="1605"/>
      <c r="AY558" s="1605"/>
      <c r="AZ558" s="1605"/>
      <c r="BA558" s="1605"/>
      <c r="BB558" s="1605"/>
      <c r="BC558" s="1605"/>
      <c r="BD558" s="1605"/>
      <c r="BE558" s="1605"/>
      <c r="BF558" s="1605"/>
      <c r="BG558" s="1605"/>
      <c r="BH558" s="1605"/>
      <c r="BI558" s="1605"/>
      <c r="BJ558" s="1605"/>
      <c r="BK558" s="1605"/>
      <c r="BL558" s="1605"/>
      <c r="BM558" s="1605"/>
      <c r="BN558" s="1605"/>
      <c r="BO558" s="1605"/>
      <c r="BP558" s="1605"/>
      <c r="BQ558" s="1605"/>
      <c r="BR558" s="1605"/>
      <c r="BS558" s="1605"/>
      <c r="BT558" s="1605"/>
      <c r="BU558" s="1605"/>
      <c r="BV558" s="1605"/>
      <c r="BW558" s="1605"/>
      <c r="BX558" s="1605"/>
      <c r="BY558" s="1605"/>
      <c r="BZ558" s="1605"/>
      <c r="CA558" s="1605"/>
      <c r="CB558" s="1605"/>
      <c r="CC558" s="1605"/>
      <c r="CD558" s="1605"/>
      <c r="CE558" s="1605"/>
      <c r="CF558" s="1605"/>
      <c r="CG558" s="1605"/>
      <c r="CH558" s="1605"/>
      <c r="CI558" s="1605"/>
      <c r="CJ558" s="1605"/>
      <c r="CK558" s="1605"/>
      <c r="CL558" s="1605"/>
      <c r="CM558" s="1605"/>
      <c r="CN558" s="1605"/>
      <c r="CO558" s="1605"/>
      <c r="CP558" s="1605"/>
      <c r="CQ558" s="1605"/>
      <c r="CR558" s="1605"/>
      <c r="CS558" s="1605"/>
      <c r="CT558" s="1605"/>
      <c r="CU558" s="1605"/>
      <c r="CV558" s="1605"/>
      <c r="CW558" s="1605"/>
      <c r="CX558" s="1605"/>
      <c r="CY558" s="1605"/>
      <c r="CZ558" s="1605"/>
      <c r="DA558" s="1605"/>
      <c r="DB558" s="1605"/>
      <c r="DC558" s="1605"/>
      <c r="DD558" s="1605"/>
      <c r="DE558" s="1605"/>
      <c r="DF558" s="1605"/>
      <c r="DG558" s="1605"/>
      <c r="DH558" s="1605"/>
      <c r="DI558" s="1605"/>
      <c r="DJ558" s="1605"/>
      <c r="DK558" s="1605"/>
      <c r="DL558" s="1605"/>
      <c r="DM558" s="1605"/>
      <c r="DN558" s="1605"/>
      <c r="DO558" s="1605"/>
      <c r="DP558" s="1605"/>
      <c r="DQ558" s="1605"/>
      <c r="DR558" s="1605"/>
      <c r="DS558" s="1605"/>
      <c r="DT558" s="1605"/>
      <c r="DU558" s="1605"/>
      <c r="DV558" s="1605"/>
      <c r="DW558" s="1605"/>
      <c r="DX558" s="1605"/>
      <c r="DY558" s="1605"/>
      <c r="DZ558" s="1605"/>
      <c r="EA558" s="1605"/>
      <c r="EB558" s="1605"/>
      <c r="EC558" s="1605"/>
      <c r="ED558" s="1605"/>
      <c r="EE558" s="1605"/>
      <c r="EF558" s="1605"/>
      <c r="EG558" s="1605"/>
      <c r="EH558" s="1605"/>
      <c r="EI558" s="1605"/>
      <c r="EJ558" s="1605"/>
      <c r="EK558" s="1605"/>
      <c r="EL558" s="1605"/>
      <c r="EM558" s="1605"/>
      <c r="EN558" s="1605"/>
      <c r="EO558" s="1605"/>
      <c r="EP558" s="1605"/>
      <c r="EQ558" s="1605"/>
      <c r="ER558" s="1605"/>
      <c r="ES558" s="1605"/>
      <c r="ET558" s="1605"/>
      <c r="EU558" s="1605"/>
      <c r="EV558" s="1605"/>
      <c r="EW558" s="1605"/>
      <c r="EX558" s="1605"/>
      <c r="EY558" s="1605"/>
      <c r="EZ558" s="1605"/>
      <c r="FA558" s="1605"/>
      <c r="FB558" s="1605"/>
      <c r="FC558" s="1605"/>
      <c r="FD558" s="1605"/>
      <c r="FE558" s="1605"/>
      <c r="FF558" s="1605"/>
      <c r="FG558" s="1605"/>
      <c r="FH558" s="1605"/>
      <c r="FI558" s="1605"/>
      <c r="FJ558" s="1605"/>
      <c r="FK558" s="1605"/>
      <c r="FL558" s="1605"/>
      <c r="FM558" s="1605"/>
      <c r="FN558" s="1605"/>
      <c r="FO558" s="1605"/>
      <c r="FP558" s="1605"/>
      <c r="FQ558" s="1605"/>
      <c r="FR558" s="1605"/>
      <c r="FS558" s="1605"/>
      <c r="FT558" s="1605"/>
      <c r="FU558" s="1605"/>
      <c r="FV558" s="1605"/>
      <c r="FW558" s="1605"/>
      <c r="FX558" s="1605"/>
      <c r="FY558" s="1605"/>
      <c r="FZ558" s="1605"/>
      <c r="GA558" s="1605"/>
      <c r="GB558" s="1605"/>
      <c r="GC558" s="1605"/>
      <c r="GD558" s="1605"/>
      <c r="GE558" s="1605"/>
      <c r="GF558" s="1605"/>
      <c r="GG558" s="1605"/>
      <c r="GH558" s="1605"/>
      <c r="GI558" s="1605"/>
      <c r="GJ558" s="1605"/>
      <c r="GK558" s="1605"/>
      <c r="GL558" s="1605"/>
      <c r="GM558" s="1605"/>
      <c r="GN558" s="1605"/>
      <c r="GO558" s="1605"/>
      <c r="GP558" s="1605"/>
      <c r="GQ558" s="1605"/>
      <c r="GR558" s="1605"/>
      <c r="GS558" s="1605"/>
      <c r="GT558" s="1605"/>
      <c r="GU558" s="1605"/>
      <c r="GV558" s="1605"/>
      <c r="GW558" s="1605"/>
      <c r="GX558" s="1605"/>
      <c r="GY558" s="1605"/>
      <c r="GZ558" s="1605"/>
      <c r="HA558" s="1605"/>
      <c r="HB558" s="1605"/>
      <c r="HC558" s="1605"/>
      <c r="HD558" s="1605"/>
      <c r="HE558" s="1605"/>
      <c r="HF558" s="1605"/>
      <c r="HG558" s="1605"/>
      <c r="HH558" s="1605"/>
      <c r="HI558" s="1605"/>
      <c r="HJ558" s="1605"/>
      <c r="HK558" s="1605"/>
      <c r="HL558" s="1605"/>
      <c r="HM558" s="1605"/>
      <c r="HN558" s="1605"/>
      <c r="HO558" s="1605"/>
      <c r="HP558" s="1605"/>
      <c r="HQ558" s="1605"/>
      <c r="HR558" s="1605"/>
      <c r="HS558" s="1605"/>
      <c r="HT558" s="1605"/>
      <c r="HU558" s="1605"/>
      <c r="HV558" s="1605"/>
      <c r="HW558" s="1605"/>
      <c r="HX558" s="1605"/>
      <c r="HY558" s="1605"/>
      <c r="HZ558" s="1605"/>
      <c r="IA558" s="1605"/>
      <c r="IB558" s="1605"/>
      <c r="IC558" s="1605"/>
      <c r="ID558" s="1605"/>
      <c r="IE558" s="1605"/>
      <c r="IF558" s="1605"/>
      <c r="IG558" s="1605"/>
      <c r="IH558" s="1605"/>
      <c r="II558" s="1605"/>
      <c r="IJ558" s="1605"/>
      <c r="IK558" s="1605"/>
      <c r="IL558" s="1605"/>
      <c r="IM558" s="1605"/>
      <c r="IN558" s="1605"/>
      <c r="IO558" s="1605"/>
      <c r="IP558" s="1605"/>
      <c r="IQ558" s="1605"/>
      <c r="IR558" s="1605"/>
      <c r="IS558" s="1605"/>
      <c r="IT558" s="1605"/>
      <c r="IU558" s="1605"/>
      <c r="IV558" s="1605"/>
      <c r="IW558" s="1605"/>
      <c r="IX558" s="1605"/>
      <c r="IY558" s="1605"/>
      <c r="IZ558" s="1605"/>
      <c r="JA558" s="1605"/>
      <c r="JB558" s="1605"/>
      <c r="JC558" s="1605"/>
      <c r="JD558" s="1605"/>
      <c r="JE558" s="1605"/>
      <c r="JF558" s="1605"/>
      <c r="JG558" s="1605"/>
      <c r="JH558" s="1605"/>
      <c r="JI558" s="1605"/>
      <c r="JJ558" s="1605"/>
      <c r="JK558" s="1605"/>
      <c r="JL558" s="1605"/>
      <c r="JM558" s="1605"/>
      <c r="JN558" s="1605"/>
      <c r="JO558" s="1605"/>
      <c r="JP558" s="1605"/>
      <c r="JQ558" s="1605"/>
      <c r="JR558" s="1605"/>
      <c r="JS558" s="1605"/>
      <c r="JT558" s="1605"/>
      <c r="JU558" s="1605"/>
      <c r="JV558" s="1605"/>
      <c r="JW558" s="1605"/>
      <c r="JX558" s="1605"/>
      <c r="JY558" s="1605"/>
      <c r="JZ558" s="1605"/>
      <c r="KA558" s="1605"/>
      <c r="KB558" s="1606"/>
    </row>
    <row r="559" spans="2:288" ht="15" customHeight="1" x14ac:dyDescent="0.25">
      <c r="B559" s="216" t="str">
        <f t="shared" si="45"/>
        <v>Desk 32</v>
      </c>
      <c r="C559" s="218" t="str">
        <v/>
      </c>
      <c r="D559" s="218" t="str">
        <v/>
      </c>
      <c r="E559" s="218" t="str">
        <v/>
      </c>
      <c r="F559" s="218" t="str">
        <v/>
      </c>
      <c r="G559" s="402" t="str">
        <v/>
      </c>
      <c r="H559" s="1605"/>
      <c r="I559" s="1605"/>
      <c r="J559" s="1605"/>
      <c r="K559" s="1605"/>
      <c r="L559" s="1605"/>
      <c r="M559" s="1605"/>
      <c r="N559" s="1605"/>
      <c r="O559" s="1605"/>
      <c r="P559" s="1605"/>
      <c r="Q559" s="1605"/>
      <c r="R559" s="1605"/>
      <c r="S559" s="1605"/>
      <c r="T559" s="1605"/>
      <c r="U559" s="1605"/>
      <c r="V559" s="1605"/>
      <c r="W559" s="1605"/>
      <c r="X559" s="1605"/>
      <c r="Y559" s="1605"/>
      <c r="Z559" s="1605"/>
      <c r="AA559" s="1605"/>
      <c r="AB559" s="1605"/>
      <c r="AC559" s="1605"/>
      <c r="AD559" s="1605"/>
      <c r="AE559" s="1605"/>
      <c r="AF559" s="1605"/>
      <c r="AG559" s="1605"/>
      <c r="AH559" s="1605"/>
      <c r="AI559" s="1605"/>
      <c r="AJ559" s="1605"/>
      <c r="AK559" s="1605"/>
      <c r="AL559" s="1605"/>
      <c r="AM559" s="1605"/>
      <c r="AN559" s="1605"/>
      <c r="AO559" s="1605"/>
      <c r="AP559" s="1605"/>
      <c r="AQ559" s="1605"/>
      <c r="AR559" s="1605"/>
      <c r="AS559" s="1605"/>
      <c r="AT559" s="1605"/>
      <c r="AU559" s="1605"/>
      <c r="AV559" s="1605"/>
      <c r="AW559" s="1605"/>
      <c r="AX559" s="1605"/>
      <c r="AY559" s="1605"/>
      <c r="AZ559" s="1605"/>
      <c r="BA559" s="1605"/>
      <c r="BB559" s="1605"/>
      <c r="BC559" s="1605"/>
      <c r="BD559" s="1605"/>
      <c r="BE559" s="1605"/>
      <c r="BF559" s="1605"/>
      <c r="BG559" s="1605"/>
      <c r="BH559" s="1605"/>
      <c r="BI559" s="1605"/>
      <c r="BJ559" s="1605"/>
      <c r="BK559" s="1605"/>
      <c r="BL559" s="1605"/>
      <c r="BM559" s="1605"/>
      <c r="BN559" s="1605"/>
      <c r="BO559" s="1605"/>
      <c r="BP559" s="1605"/>
      <c r="BQ559" s="1605"/>
      <c r="BR559" s="1605"/>
      <c r="BS559" s="1605"/>
      <c r="BT559" s="1605"/>
      <c r="BU559" s="1605"/>
      <c r="BV559" s="1605"/>
      <c r="BW559" s="1605"/>
      <c r="BX559" s="1605"/>
      <c r="BY559" s="1605"/>
      <c r="BZ559" s="1605"/>
      <c r="CA559" s="1605"/>
      <c r="CB559" s="1605"/>
      <c r="CC559" s="1605"/>
      <c r="CD559" s="1605"/>
      <c r="CE559" s="1605"/>
      <c r="CF559" s="1605"/>
      <c r="CG559" s="1605"/>
      <c r="CH559" s="1605"/>
      <c r="CI559" s="1605"/>
      <c r="CJ559" s="1605"/>
      <c r="CK559" s="1605"/>
      <c r="CL559" s="1605"/>
      <c r="CM559" s="1605"/>
      <c r="CN559" s="1605"/>
      <c r="CO559" s="1605"/>
      <c r="CP559" s="1605"/>
      <c r="CQ559" s="1605"/>
      <c r="CR559" s="1605"/>
      <c r="CS559" s="1605"/>
      <c r="CT559" s="1605"/>
      <c r="CU559" s="1605"/>
      <c r="CV559" s="1605"/>
      <c r="CW559" s="1605"/>
      <c r="CX559" s="1605"/>
      <c r="CY559" s="1605"/>
      <c r="CZ559" s="1605"/>
      <c r="DA559" s="1605"/>
      <c r="DB559" s="1605"/>
      <c r="DC559" s="1605"/>
      <c r="DD559" s="1605"/>
      <c r="DE559" s="1605"/>
      <c r="DF559" s="1605"/>
      <c r="DG559" s="1605"/>
      <c r="DH559" s="1605"/>
      <c r="DI559" s="1605"/>
      <c r="DJ559" s="1605"/>
      <c r="DK559" s="1605"/>
      <c r="DL559" s="1605"/>
      <c r="DM559" s="1605"/>
      <c r="DN559" s="1605"/>
      <c r="DO559" s="1605"/>
      <c r="DP559" s="1605"/>
      <c r="DQ559" s="1605"/>
      <c r="DR559" s="1605"/>
      <c r="DS559" s="1605"/>
      <c r="DT559" s="1605"/>
      <c r="DU559" s="1605"/>
      <c r="DV559" s="1605"/>
      <c r="DW559" s="1605"/>
      <c r="DX559" s="1605"/>
      <c r="DY559" s="1605"/>
      <c r="DZ559" s="1605"/>
      <c r="EA559" s="1605"/>
      <c r="EB559" s="1605"/>
      <c r="EC559" s="1605"/>
      <c r="ED559" s="1605"/>
      <c r="EE559" s="1605"/>
      <c r="EF559" s="1605"/>
      <c r="EG559" s="1605"/>
      <c r="EH559" s="1605"/>
      <c r="EI559" s="1605"/>
      <c r="EJ559" s="1605"/>
      <c r="EK559" s="1605"/>
      <c r="EL559" s="1605"/>
      <c r="EM559" s="1605"/>
      <c r="EN559" s="1605"/>
      <c r="EO559" s="1605"/>
      <c r="EP559" s="1605"/>
      <c r="EQ559" s="1605"/>
      <c r="ER559" s="1605"/>
      <c r="ES559" s="1605"/>
      <c r="ET559" s="1605"/>
      <c r="EU559" s="1605"/>
      <c r="EV559" s="1605"/>
      <c r="EW559" s="1605"/>
      <c r="EX559" s="1605"/>
      <c r="EY559" s="1605"/>
      <c r="EZ559" s="1605"/>
      <c r="FA559" s="1605"/>
      <c r="FB559" s="1605"/>
      <c r="FC559" s="1605"/>
      <c r="FD559" s="1605"/>
      <c r="FE559" s="1605"/>
      <c r="FF559" s="1605"/>
      <c r="FG559" s="1605"/>
      <c r="FH559" s="1605"/>
      <c r="FI559" s="1605"/>
      <c r="FJ559" s="1605"/>
      <c r="FK559" s="1605"/>
      <c r="FL559" s="1605"/>
      <c r="FM559" s="1605"/>
      <c r="FN559" s="1605"/>
      <c r="FO559" s="1605"/>
      <c r="FP559" s="1605"/>
      <c r="FQ559" s="1605"/>
      <c r="FR559" s="1605"/>
      <c r="FS559" s="1605"/>
      <c r="FT559" s="1605"/>
      <c r="FU559" s="1605"/>
      <c r="FV559" s="1605"/>
      <c r="FW559" s="1605"/>
      <c r="FX559" s="1605"/>
      <c r="FY559" s="1605"/>
      <c r="FZ559" s="1605"/>
      <c r="GA559" s="1605"/>
      <c r="GB559" s="1605"/>
      <c r="GC559" s="1605"/>
      <c r="GD559" s="1605"/>
      <c r="GE559" s="1605"/>
      <c r="GF559" s="1605"/>
      <c r="GG559" s="1605"/>
      <c r="GH559" s="1605"/>
      <c r="GI559" s="1605"/>
      <c r="GJ559" s="1605"/>
      <c r="GK559" s="1605"/>
      <c r="GL559" s="1605"/>
      <c r="GM559" s="1605"/>
      <c r="GN559" s="1605"/>
      <c r="GO559" s="1605"/>
      <c r="GP559" s="1605"/>
      <c r="GQ559" s="1605"/>
      <c r="GR559" s="1605"/>
      <c r="GS559" s="1605"/>
      <c r="GT559" s="1605"/>
      <c r="GU559" s="1605"/>
      <c r="GV559" s="1605"/>
      <c r="GW559" s="1605"/>
      <c r="GX559" s="1605"/>
      <c r="GY559" s="1605"/>
      <c r="GZ559" s="1605"/>
      <c r="HA559" s="1605"/>
      <c r="HB559" s="1605"/>
      <c r="HC559" s="1605"/>
      <c r="HD559" s="1605"/>
      <c r="HE559" s="1605"/>
      <c r="HF559" s="1605"/>
      <c r="HG559" s="1605"/>
      <c r="HH559" s="1605"/>
      <c r="HI559" s="1605"/>
      <c r="HJ559" s="1605"/>
      <c r="HK559" s="1605"/>
      <c r="HL559" s="1605"/>
      <c r="HM559" s="1605"/>
      <c r="HN559" s="1605"/>
      <c r="HO559" s="1605"/>
      <c r="HP559" s="1605"/>
      <c r="HQ559" s="1605"/>
      <c r="HR559" s="1605"/>
      <c r="HS559" s="1605"/>
      <c r="HT559" s="1605"/>
      <c r="HU559" s="1605"/>
      <c r="HV559" s="1605"/>
      <c r="HW559" s="1605"/>
      <c r="HX559" s="1605"/>
      <c r="HY559" s="1605"/>
      <c r="HZ559" s="1605"/>
      <c r="IA559" s="1605"/>
      <c r="IB559" s="1605"/>
      <c r="IC559" s="1605"/>
      <c r="ID559" s="1605"/>
      <c r="IE559" s="1605"/>
      <c r="IF559" s="1605"/>
      <c r="IG559" s="1605"/>
      <c r="IH559" s="1605"/>
      <c r="II559" s="1605"/>
      <c r="IJ559" s="1605"/>
      <c r="IK559" s="1605"/>
      <c r="IL559" s="1605"/>
      <c r="IM559" s="1605"/>
      <c r="IN559" s="1605"/>
      <c r="IO559" s="1605"/>
      <c r="IP559" s="1605"/>
      <c r="IQ559" s="1605"/>
      <c r="IR559" s="1605"/>
      <c r="IS559" s="1605"/>
      <c r="IT559" s="1605"/>
      <c r="IU559" s="1605"/>
      <c r="IV559" s="1605"/>
      <c r="IW559" s="1605"/>
      <c r="IX559" s="1605"/>
      <c r="IY559" s="1605"/>
      <c r="IZ559" s="1605"/>
      <c r="JA559" s="1605"/>
      <c r="JB559" s="1605"/>
      <c r="JC559" s="1605"/>
      <c r="JD559" s="1605"/>
      <c r="JE559" s="1605"/>
      <c r="JF559" s="1605"/>
      <c r="JG559" s="1605"/>
      <c r="JH559" s="1605"/>
      <c r="JI559" s="1605"/>
      <c r="JJ559" s="1605"/>
      <c r="JK559" s="1605"/>
      <c r="JL559" s="1605"/>
      <c r="JM559" s="1605"/>
      <c r="JN559" s="1605"/>
      <c r="JO559" s="1605"/>
      <c r="JP559" s="1605"/>
      <c r="JQ559" s="1605"/>
      <c r="JR559" s="1605"/>
      <c r="JS559" s="1605"/>
      <c r="JT559" s="1605"/>
      <c r="JU559" s="1605"/>
      <c r="JV559" s="1605"/>
      <c r="JW559" s="1605"/>
      <c r="JX559" s="1605"/>
      <c r="JY559" s="1605"/>
      <c r="JZ559" s="1605"/>
      <c r="KA559" s="1605"/>
      <c r="KB559" s="1606"/>
    </row>
    <row r="560" spans="2:288" ht="15" customHeight="1" x14ac:dyDescent="0.25">
      <c r="B560" s="216" t="str">
        <f t="shared" si="45"/>
        <v>Desk 33</v>
      </c>
      <c r="C560" s="218" t="str">
        <v/>
      </c>
      <c r="D560" s="218" t="str">
        <v/>
      </c>
      <c r="E560" s="218" t="str">
        <v/>
      </c>
      <c r="F560" s="218" t="str">
        <v/>
      </c>
      <c r="G560" s="402" t="str">
        <v/>
      </c>
      <c r="H560" s="1605"/>
      <c r="I560" s="1605"/>
      <c r="J560" s="1605"/>
      <c r="K560" s="1605"/>
      <c r="L560" s="1605"/>
      <c r="M560" s="1605"/>
      <c r="N560" s="1605"/>
      <c r="O560" s="1605"/>
      <c r="P560" s="1605"/>
      <c r="Q560" s="1605"/>
      <c r="R560" s="1605"/>
      <c r="S560" s="1605"/>
      <c r="T560" s="1605"/>
      <c r="U560" s="1605"/>
      <c r="V560" s="1605"/>
      <c r="W560" s="1605"/>
      <c r="X560" s="1605"/>
      <c r="Y560" s="1605"/>
      <c r="Z560" s="1605"/>
      <c r="AA560" s="1605"/>
      <c r="AB560" s="1605"/>
      <c r="AC560" s="1605"/>
      <c r="AD560" s="1605"/>
      <c r="AE560" s="1605"/>
      <c r="AF560" s="1605"/>
      <c r="AG560" s="1605"/>
      <c r="AH560" s="1605"/>
      <c r="AI560" s="1605"/>
      <c r="AJ560" s="1605"/>
      <c r="AK560" s="1605"/>
      <c r="AL560" s="1605"/>
      <c r="AM560" s="1605"/>
      <c r="AN560" s="1605"/>
      <c r="AO560" s="1605"/>
      <c r="AP560" s="1605"/>
      <c r="AQ560" s="1605"/>
      <c r="AR560" s="1605"/>
      <c r="AS560" s="1605"/>
      <c r="AT560" s="1605"/>
      <c r="AU560" s="1605"/>
      <c r="AV560" s="1605"/>
      <c r="AW560" s="1605"/>
      <c r="AX560" s="1605"/>
      <c r="AY560" s="1605"/>
      <c r="AZ560" s="1605"/>
      <c r="BA560" s="1605"/>
      <c r="BB560" s="1605"/>
      <c r="BC560" s="1605"/>
      <c r="BD560" s="1605"/>
      <c r="BE560" s="1605"/>
      <c r="BF560" s="1605"/>
      <c r="BG560" s="1605"/>
      <c r="BH560" s="1605"/>
      <c r="BI560" s="1605"/>
      <c r="BJ560" s="1605"/>
      <c r="BK560" s="1605"/>
      <c r="BL560" s="1605"/>
      <c r="BM560" s="1605"/>
      <c r="BN560" s="1605"/>
      <c r="BO560" s="1605"/>
      <c r="BP560" s="1605"/>
      <c r="BQ560" s="1605"/>
      <c r="BR560" s="1605"/>
      <c r="BS560" s="1605"/>
      <c r="BT560" s="1605"/>
      <c r="BU560" s="1605"/>
      <c r="BV560" s="1605"/>
      <c r="BW560" s="1605"/>
      <c r="BX560" s="1605"/>
      <c r="BY560" s="1605"/>
      <c r="BZ560" s="1605"/>
      <c r="CA560" s="1605"/>
      <c r="CB560" s="1605"/>
      <c r="CC560" s="1605"/>
      <c r="CD560" s="1605"/>
      <c r="CE560" s="1605"/>
      <c r="CF560" s="1605"/>
      <c r="CG560" s="1605"/>
      <c r="CH560" s="1605"/>
      <c r="CI560" s="1605"/>
      <c r="CJ560" s="1605"/>
      <c r="CK560" s="1605"/>
      <c r="CL560" s="1605"/>
      <c r="CM560" s="1605"/>
      <c r="CN560" s="1605"/>
      <c r="CO560" s="1605"/>
      <c r="CP560" s="1605"/>
      <c r="CQ560" s="1605"/>
      <c r="CR560" s="1605"/>
      <c r="CS560" s="1605"/>
      <c r="CT560" s="1605"/>
      <c r="CU560" s="1605"/>
      <c r="CV560" s="1605"/>
      <c r="CW560" s="1605"/>
      <c r="CX560" s="1605"/>
      <c r="CY560" s="1605"/>
      <c r="CZ560" s="1605"/>
      <c r="DA560" s="1605"/>
      <c r="DB560" s="1605"/>
      <c r="DC560" s="1605"/>
      <c r="DD560" s="1605"/>
      <c r="DE560" s="1605"/>
      <c r="DF560" s="1605"/>
      <c r="DG560" s="1605"/>
      <c r="DH560" s="1605"/>
      <c r="DI560" s="1605"/>
      <c r="DJ560" s="1605"/>
      <c r="DK560" s="1605"/>
      <c r="DL560" s="1605"/>
      <c r="DM560" s="1605"/>
      <c r="DN560" s="1605"/>
      <c r="DO560" s="1605"/>
      <c r="DP560" s="1605"/>
      <c r="DQ560" s="1605"/>
      <c r="DR560" s="1605"/>
      <c r="DS560" s="1605"/>
      <c r="DT560" s="1605"/>
      <c r="DU560" s="1605"/>
      <c r="DV560" s="1605"/>
      <c r="DW560" s="1605"/>
      <c r="DX560" s="1605"/>
      <c r="DY560" s="1605"/>
      <c r="DZ560" s="1605"/>
      <c r="EA560" s="1605"/>
      <c r="EB560" s="1605"/>
      <c r="EC560" s="1605"/>
      <c r="ED560" s="1605"/>
      <c r="EE560" s="1605"/>
      <c r="EF560" s="1605"/>
      <c r="EG560" s="1605"/>
      <c r="EH560" s="1605"/>
      <c r="EI560" s="1605"/>
      <c r="EJ560" s="1605"/>
      <c r="EK560" s="1605"/>
      <c r="EL560" s="1605"/>
      <c r="EM560" s="1605"/>
      <c r="EN560" s="1605"/>
      <c r="EO560" s="1605"/>
      <c r="EP560" s="1605"/>
      <c r="EQ560" s="1605"/>
      <c r="ER560" s="1605"/>
      <c r="ES560" s="1605"/>
      <c r="ET560" s="1605"/>
      <c r="EU560" s="1605"/>
      <c r="EV560" s="1605"/>
      <c r="EW560" s="1605"/>
      <c r="EX560" s="1605"/>
      <c r="EY560" s="1605"/>
      <c r="EZ560" s="1605"/>
      <c r="FA560" s="1605"/>
      <c r="FB560" s="1605"/>
      <c r="FC560" s="1605"/>
      <c r="FD560" s="1605"/>
      <c r="FE560" s="1605"/>
      <c r="FF560" s="1605"/>
      <c r="FG560" s="1605"/>
      <c r="FH560" s="1605"/>
      <c r="FI560" s="1605"/>
      <c r="FJ560" s="1605"/>
      <c r="FK560" s="1605"/>
      <c r="FL560" s="1605"/>
      <c r="FM560" s="1605"/>
      <c r="FN560" s="1605"/>
      <c r="FO560" s="1605"/>
      <c r="FP560" s="1605"/>
      <c r="FQ560" s="1605"/>
      <c r="FR560" s="1605"/>
      <c r="FS560" s="1605"/>
      <c r="FT560" s="1605"/>
      <c r="FU560" s="1605"/>
      <c r="FV560" s="1605"/>
      <c r="FW560" s="1605"/>
      <c r="FX560" s="1605"/>
      <c r="FY560" s="1605"/>
      <c r="FZ560" s="1605"/>
      <c r="GA560" s="1605"/>
      <c r="GB560" s="1605"/>
      <c r="GC560" s="1605"/>
      <c r="GD560" s="1605"/>
      <c r="GE560" s="1605"/>
      <c r="GF560" s="1605"/>
      <c r="GG560" s="1605"/>
      <c r="GH560" s="1605"/>
      <c r="GI560" s="1605"/>
      <c r="GJ560" s="1605"/>
      <c r="GK560" s="1605"/>
      <c r="GL560" s="1605"/>
      <c r="GM560" s="1605"/>
      <c r="GN560" s="1605"/>
      <c r="GO560" s="1605"/>
      <c r="GP560" s="1605"/>
      <c r="GQ560" s="1605"/>
      <c r="GR560" s="1605"/>
      <c r="GS560" s="1605"/>
      <c r="GT560" s="1605"/>
      <c r="GU560" s="1605"/>
      <c r="GV560" s="1605"/>
      <c r="GW560" s="1605"/>
      <c r="GX560" s="1605"/>
      <c r="GY560" s="1605"/>
      <c r="GZ560" s="1605"/>
      <c r="HA560" s="1605"/>
      <c r="HB560" s="1605"/>
      <c r="HC560" s="1605"/>
      <c r="HD560" s="1605"/>
      <c r="HE560" s="1605"/>
      <c r="HF560" s="1605"/>
      <c r="HG560" s="1605"/>
      <c r="HH560" s="1605"/>
      <c r="HI560" s="1605"/>
      <c r="HJ560" s="1605"/>
      <c r="HK560" s="1605"/>
      <c r="HL560" s="1605"/>
      <c r="HM560" s="1605"/>
      <c r="HN560" s="1605"/>
      <c r="HO560" s="1605"/>
      <c r="HP560" s="1605"/>
      <c r="HQ560" s="1605"/>
      <c r="HR560" s="1605"/>
      <c r="HS560" s="1605"/>
      <c r="HT560" s="1605"/>
      <c r="HU560" s="1605"/>
      <c r="HV560" s="1605"/>
      <c r="HW560" s="1605"/>
      <c r="HX560" s="1605"/>
      <c r="HY560" s="1605"/>
      <c r="HZ560" s="1605"/>
      <c r="IA560" s="1605"/>
      <c r="IB560" s="1605"/>
      <c r="IC560" s="1605"/>
      <c r="ID560" s="1605"/>
      <c r="IE560" s="1605"/>
      <c r="IF560" s="1605"/>
      <c r="IG560" s="1605"/>
      <c r="IH560" s="1605"/>
      <c r="II560" s="1605"/>
      <c r="IJ560" s="1605"/>
      <c r="IK560" s="1605"/>
      <c r="IL560" s="1605"/>
      <c r="IM560" s="1605"/>
      <c r="IN560" s="1605"/>
      <c r="IO560" s="1605"/>
      <c r="IP560" s="1605"/>
      <c r="IQ560" s="1605"/>
      <c r="IR560" s="1605"/>
      <c r="IS560" s="1605"/>
      <c r="IT560" s="1605"/>
      <c r="IU560" s="1605"/>
      <c r="IV560" s="1605"/>
      <c r="IW560" s="1605"/>
      <c r="IX560" s="1605"/>
      <c r="IY560" s="1605"/>
      <c r="IZ560" s="1605"/>
      <c r="JA560" s="1605"/>
      <c r="JB560" s="1605"/>
      <c r="JC560" s="1605"/>
      <c r="JD560" s="1605"/>
      <c r="JE560" s="1605"/>
      <c r="JF560" s="1605"/>
      <c r="JG560" s="1605"/>
      <c r="JH560" s="1605"/>
      <c r="JI560" s="1605"/>
      <c r="JJ560" s="1605"/>
      <c r="JK560" s="1605"/>
      <c r="JL560" s="1605"/>
      <c r="JM560" s="1605"/>
      <c r="JN560" s="1605"/>
      <c r="JO560" s="1605"/>
      <c r="JP560" s="1605"/>
      <c r="JQ560" s="1605"/>
      <c r="JR560" s="1605"/>
      <c r="JS560" s="1605"/>
      <c r="JT560" s="1605"/>
      <c r="JU560" s="1605"/>
      <c r="JV560" s="1605"/>
      <c r="JW560" s="1605"/>
      <c r="JX560" s="1605"/>
      <c r="JY560" s="1605"/>
      <c r="JZ560" s="1605"/>
      <c r="KA560" s="1605"/>
      <c r="KB560" s="1606"/>
    </row>
    <row r="561" spans="2:288" ht="15" customHeight="1" x14ac:dyDescent="0.25">
      <c r="B561" s="216" t="str">
        <f t="shared" ref="B561:B592" si="46">B147</f>
        <v>Desk 34</v>
      </c>
      <c r="C561" s="218" t="str">
        <v/>
      </c>
      <c r="D561" s="218" t="str">
        <v/>
      </c>
      <c r="E561" s="218" t="str">
        <v/>
      </c>
      <c r="F561" s="218" t="str">
        <v/>
      </c>
      <c r="G561" s="402" t="str">
        <v/>
      </c>
      <c r="H561" s="1605"/>
      <c r="I561" s="1605"/>
      <c r="J561" s="1605"/>
      <c r="K561" s="1605"/>
      <c r="L561" s="1605"/>
      <c r="M561" s="1605"/>
      <c r="N561" s="1605"/>
      <c r="O561" s="1605"/>
      <c r="P561" s="1605"/>
      <c r="Q561" s="1605"/>
      <c r="R561" s="1605"/>
      <c r="S561" s="1605"/>
      <c r="T561" s="1605"/>
      <c r="U561" s="1605"/>
      <c r="V561" s="1605"/>
      <c r="W561" s="1605"/>
      <c r="X561" s="1605"/>
      <c r="Y561" s="1605"/>
      <c r="Z561" s="1605"/>
      <c r="AA561" s="1605"/>
      <c r="AB561" s="1605"/>
      <c r="AC561" s="1605"/>
      <c r="AD561" s="1605"/>
      <c r="AE561" s="1605"/>
      <c r="AF561" s="1605"/>
      <c r="AG561" s="1605"/>
      <c r="AH561" s="1605"/>
      <c r="AI561" s="1605"/>
      <c r="AJ561" s="1605"/>
      <c r="AK561" s="1605"/>
      <c r="AL561" s="1605"/>
      <c r="AM561" s="1605"/>
      <c r="AN561" s="1605"/>
      <c r="AO561" s="1605"/>
      <c r="AP561" s="1605"/>
      <c r="AQ561" s="1605"/>
      <c r="AR561" s="1605"/>
      <c r="AS561" s="1605"/>
      <c r="AT561" s="1605"/>
      <c r="AU561" s="1605"/>
      <c r="AV561" s="1605"/>
      <c r="AW561" s="1605"/>
      <c r="AX561" s="1605"/>
      <c r="AY561" s="1605"/>
      <c r="AZ561" s="1605"/>
      <c r="BA561" s="1605"/>
      <c r="BB561" s="1605"/>
      <c r="BC561" s="1605"/>
      <c r="BD561" s="1605"/>
      <c r="BE561" s="1605"/>
      <c r="BF561" s="1605"/>
      <c r="BG561" s="1605"/>
      <c r="BH561" s="1605"/>
      <c r="BI561" s="1605"/>
      <c r="BJ561" s="1605"/>
      <c r="BK561" s="1605"/>
      <c r="BL561" s="1605"/>
      <c r="BM561" s="1605"/>
      <c r="BN561" s="1605"/>
      <c r="BO561" s="1605"/>
      <c r="BP561" s="1605"/>
      <c r="BQ561" s="1605"/>
      <c r="BR561" s="1605"/>
      <c r="BS561" s="1605"/>
      <c r="BT561" s="1605"/>
      <c r="BU561" s="1605"/>
      <c r="BV561" s="1605"/>
      <c r="BW561" s="1605"/>
      <c r="BX561" s="1605"/>
      <c r="BY561" s="1605"/>
      <c r="BZ561" s="1605"/>
      <c r="CA561" s="1605"/>
      <c r="CB561" s="1605"/>
      <c r="CC561" s="1605"/>
      <c r="CD561" s="1605"/>
      <c r="CE561" s="1605"/>
      <c r="CF561" s="1605"/>
      <c r="CG561" s="1605"/>
      <c r="CH561" s="1605"/>
      <c r="CI561" s="1605"/>
      <c r="CJ561" s="1605"/>
      <c r="CK561" s="1605"/>
      <c r="CL561" s="1605"/>
      <c r="CM561" s="1605"/>
      <c r="CN561" s="1605"/>
      <c r="CO561" s="1605"/>
      <c r="CP561" s="1605"/>
      <c r="CQ561" s="1605"/>
      <c r="CR561" s="1605"/>
      <c r="CS561" s="1605"/>
      <c r="CT561" s="1605"/>
      <c r="CU561" s="1605"/>
      <c r="CV561" s="1605"/>
      <c r="CW561" s="1605"/>
      <c r="CX561" s="1605"/>
      <c r="CY561" s="1605"/>
      <c r="CZ561" s="1605"/>
      <c r="DA561" s="1605"/>
      <c r="DB561" s="1605"/>
      <c r="DC561" s="1605"/>
      <c r="DD561" s="1605"/>
      <c r="DE561" s="1605"/>
      <c r="DF561" s="1605"/>
      <c r="DG561" s="1605"/>
      <c r="DH561" s="1605"/>
      <c r="DI561" s="1605"/>
      <c r="DJ561" s="1605"/>
      <c r="DK561" s="1605"/>
      <c r="DL561" s="1605"/>
      <c r="DM561" s="1605"/>
      <c r="DN561" s="1605"/>
      <c r="DO561" s="1605"/>
      <c r="DP561" s="1605"/>
      <c r="DQ561" s="1605"/>
      <c r="DR561" s="1605"/>
      <c r="DS561" s="1605"/>
      <c r="DT561" s="1605"/>
      <c r="DU561" s="1605"/>
      <c r="DV561" s="1605"/>
      <c r="DW561" s="1605"/>
      <c r="DX561" s="1605"/>
      <c r="DY561" s="1605"/>
      <c r="DZ561" s="1605"/>
      <c r="EA561" s="1605"/>
      <c r="EB561" s="1605"/>
      <c r="EC561" s="1605"/>
      <c r="ED561" s="1605"/>
      <c r="EE561" s="1605"/>
      <c r="EF561" s="1605"/>
      <c r="EG561" s="1605"/>
      <c r="EH561" s="1605"/>
      <c r="EI561" s="1605"/>
      <c r="EJ561" s="1605"/>
      <c r="EK561" s="1605"/>
      <c r="EL561" s="1605"/>
      <c r="EM561" s="1605"/>
      <c r="EN561" s="1605"/>
      <c r="EO561" s="1605"/>
      <c r="EP561" s="1605"/>
      <c r="EQ561" s="1605"/>
      <c r="ER561" s="1605"/>
      <c r="ES561" s="1605"/>
      <c r="ET561" s="1605"/>
      <c r="EU561" s="1605"/>
      <c r="EV561" s="1605"/>
      <c r="EW561" s="1605"/>
      <c r="EX561" s="1605"/>
      <c r="EY561" s="1605"/>
      <c r="EZ561" s="1605"/>
      <c r="FA561" s="1605"/>
      <c r="FB561" s="1605"/>
      <c r="FC561" s="1605"/>
      <c r="FD561" s="1605"/>
      <c r="FE561" s="1605"/>
      <c r="FF561" s="1605"/>
      <c r="FG561" s="1605"/>
      <c r="FH561" s="1605"/>
      <c r="FI561" s="1605"/>
      <c r="FJ561" s="1605"/>
      <c r="FK561" s="1605"/>
      <c r="FL561" s="1605"/>
      <c r="FM561" s="1605"/>
      <c r="FN561" s="1605"/>
      <c r="FO561" s="1605"/>
      <c r="FP561" s="1605"/>
      <c r="FQ561" s="1605"/>
      <c r="FR561" s="1605"/>
      <c r="FS561" s="1605"/>
      <c r="FT561" s="1605"/>
      <c r="FU561" s="1605"/>
      <c r="FV561" s="1605"/>
      <c r="FW561" s="1605"/>
      <c r="FX561" s="1605"/>
      <c r="FY561" s="1605"/>
      <c r="FZ561" s="1605"/>
      <c r="GA561" s="1605"/>
      <c r="GB561" s="1605"/>
      <c r="GC561" s="1605"/>
      <c r="GD561" s="1605"/>
      <c r="GE561" s="1605"/>
      <c r="GF561" s="1605"/>
      <c r="GG561" s="1605"/>
      <c r="GH561" s="1605"/>
      <c r="GI561" s="1605"/>
      <c r="GJ561" s="1605"/>
      <c r="GK561" s="1605"/>
      <c r="GL561" s="1605"/>
      <c r="GM561" s="1605"/>
      <c r="GN561" s="1605"/>
      <c r="GO561" s="1605"/>
      <c r="GP561" s="1605"/>
      <c r="GQ561" s="1605"/>
      <c r="GR561" s="1605"/>
      <c r="GS561" s="1605"/>
      <c r="GT561" s="1605"/>
      <c r="GU561" s="1605"/>
      <c r="GV561" s="1605"/>
      <c r="GW561" s="1605"/>
      <c r="GX561" s="1605"/>
      <c r="GY561" s="1605"/>
      <c r="GZ561" s="1605"/>
      <c r="HA561" s="1605"/>
      <c r="HB561" s="1605"/>
      <c r="HC561" s="1605"/>
      <c r="HD561" s="1605"/>
      <c r="HE561" s="1605"/>
      <c r="HF561" s="1605"/>
      <c r="HG561" s="1605"/>
      <c r="HH561" s="1605"/>
      <c r="HI561" s="1605"/>
      <c r="HJ561" s="1605"/>
      <c r="HK561" s="1605"/>
      <c r="HL561" s="1605"/>
      <c r="HM561" s="1605"/>
      <c r="HN561" s="1605"/>
      <c r="HO561" s="1605"/>
      <c r="HP561" s="1605"/>
      <c r="HQ561" s="1605"/>
      <c r="HR561" s="1605"/>
      <c r="HS561" s="1605"/>
      <c r="HT561" s="1605"/>
      <c r="HU561" s="1605"/>
      <c r="HV561" s="1605"/>
      <c r="HW561" s="1605"/>
      <c r="HX561" s="1605"/>
      <c r="HY561" s="1605"/>
      <c r="HZ561" s="1605"/>
      <c r="IA561" s="1605"/>
      <c r="IB561" s="1605"/>
      <c r="IC561" s="1605"/>
      <c r="ID561" s="1605"/>
      <c r="IE561" s="1605"/>
      <c r="IF561" s="1605"/>
      <c r="IG561" s="1605"/>
      <c r="IH561" s="1605"/>
      <c r="II561" s="1605"/>
      <c r="IJ561" s="1605"/>
      <c r="IK561" s="1605"/>
      <c r="IL561" s="1605"/>
      <c r="IM561" s="1605"/>
      <c r="IN561" s="1605"/>
      <c r="IO561" s="1605"/>
      <c r="IP561" s="1605"/>
      <c r="IQ561" s="1605"/>
      <c r="IR561" s="1605"/>
      <c r="IS561" s="1605"/>
      <c r="IT561" s="1605"/>
      <c r="IU561" s="1605"/>
      <c r="IV561" s="1605"/>
      <c r="IW561" s="1605"/>
      <c r="IX561" s="1605"/>
      <c r="IY561" s="1605"/>
      <c r="IZ561" s="1605"/>
      <c r="JA561" s="1605"/>
      <c r="JB561" s="1605"/>
      <c r="JC561" s="1605"/>
      <c r="JD561" s="1605"/>
      <c r="JE561" s="1605"/>
      <c r="JF561" s="1605"/>
      <c r="JG561" s="1605"/>
      <c r="JH561" s="1605"/>
      <c r="JI561" s="1605"/>
      <c r="JJ561" s="1605"/>
      <c r="JK561" s="1605"/>
      <c r="JL561" s="1605"/>
      <c r="JM561" s="1605"/>
      <c r="JN561" s="1605"/>
      <c r="JO561" s="1605"/>
      <c r="JP561" s="1605"/>
      <c r="JQ561" s="1605"/>
      <c r="JR561" s="1605"/>
      <c r="JS561" s="1605"/>
      <c r="JT561" s="1605"/>
      <c r="JU561" s="1605"/>
      <c r="JV561" s="1605"/>
      <c r="JW561" s="1605"/>
      <c r="JX561" s="1605"/>
      <c r="JY561" s="1605"/>
      <c r="JZ561" s="1605"/>
      <c r="KA561" s="1605"/>
      <c r="KB561" s="1606"/>
    </row>
    <row r="562" spans="2:288" ht="15" customHeight="1" x14ac:dyDescent="0.25">
      <c r="B562" s="216" t="str">
        <f t="shared" si="46"/>
        <v>Desk 35</v>
      </c>
      <c r="C562" s="218" t="str">
        <v/>
      </c>
      <c r="D562" s="218" t="str">
        <v/>
      </c>
      <c r="E562" s="218" t="str">
        <v/>
      </c>
      <c r="F562" s="218" t="str">
        <v/>
      </c>
      <c r="G562" s="402" t="str">
        <v/>
      </c>
      <c r="H562" s="1605"/>
      <c r="I562" s="1605"/>
      <c r="J562" s="1605"/>
      <c r="K562" s="1605"/>
      <c r="L562" s="1605"/>
      <c r="M562" s="1605"/>
      <c r="N562" s="1605"/>
      <c r="O562" s="1605"/>
      <c r="P562" s="1605"/>
      <c r="Q562" s="1605"/>
      <c r="R562" s="1605"/>
      <c r="S562" s="1605"/>
      <c r="T562" s="1605"/>
      <c r="U562" s="1605"/>
      <c r="V562" s="1605"/>
      <c r="W562" s="1605"/>
      <c r="X562" s="1605"/>
      <c r="Y562" s="1605"/>
      <c r="Z562" s="1605"/>
      <c r="AA562" s="1605"/>
      <c r="AB562" s="1605"/>
      <c r="AC562" s="1605"/>
      <c r="AD562" s="1605"/>
      <c r="AE562" s="1605"/>
      <c r="AF562" s="1605"/>
      <c r="AG562" s="1605"/>
      <c r="AH562" s="1605"/>
      <c r="AI562" s="1605"/>
      <c r="AJ562" s="1605"/>
      <c r="AK562" s="1605"/>
      <c r="AL562" s="1605"/>
      <c r="AM562" s="1605"/>
      <c r="AN562" s="1605"/>
      <c r="AO562" s="1605"/>
      <c r="AP562" s="1605"/>
      <c r="AQ562" s="1605"/>
      <c r="AR562" s="1605"/>
      <c r="AS562" s="1605"/>
      <c r="AT562" s="1605"/>
      <c r="AU562" s="1605"/>
      <c r="AV562" s="1605"/>
      <c r="AW562" s="1605"/>
      <c r="AX562" s="1605"/>
      <c r="AY562" s="1605"/>
      <c r="AZ562" s="1605"/>
      <c r="BA562" s="1605"/>
      <c r="BB562" s="1605"/>
      <c r="BC562" s="1605"/>
      <c r="BD562" s="1605"/>
      <c r="BE562" s="1605"/>
      <c r="BF562" s="1605"/>
      <c r="BG562" s="1605"/>
      <c r="BH562" s="1605"/>
      <c r="BI562" s="1605"/>
      <c r="BJ562" s="1605"/>
      <c r="BK562" s="1605"/>
      <c r="BL562" s="1605"/>
      <c r="BM562" s="1605"/>
      <c r="BN562" s="1605"/>
      <c r="BO562" s="1605"/>
      <c r="BP562" s="1605"/>
      <c r="BQ562" s="1605"/>
      <c r="BR562" s="1605"/>
      <c r="BS562" s="1605"/>
      <c r="BT562" s="1605"/>
      <c r="BU562" s="1605"/>
      <c r="BV562" s="1605"/>
      <c r="BW562" s="1605"/>
      <c r="BX562" s="1605"/>
      <c r="BY562" s="1605"/>
      <c r="BZ562" s="1605"/>
      <c r="CA562" s="1605"/>
      <c r="CB562" s="1605"/>
      <c r="CC562" s="1605"/>
      <c r="CD562" s="1605"/>
      <c r="CE562" s="1605"/>
      <c r="CF562" s="1605"/>
      <c r="CG562" s="1605"/>
      <c r="CH562" s="1605"/>
      <c r="CI562" s="1605"/>
      <c r="CJ562" s="1605"/>
      <c r="CK562" s="1605"/>
      <c r="CL562" s="1605"/>
      <c r="CM562" s="1605"/>
      <c r="CN562" s="1605"/>
      <c r="CO562" s="1605"/>
      <c r="CP562" s="1605"/>
      <c r="CQ562" s="1605"/>
      <c r="CR562" s="1605"/>
      <c r="CS562" s="1605"/>
      <c r="CT562" s="1605"/>
      <c r="CU562" s="1605"/>
      <c r="CV562" s="1605"/>
      <c r="CW562" s="1605"/>
      <c r="CX562" s="1605"/>
      <c r="CY562" s="1605"/>
      <c r="CZ562" s="1605"/>
      <c r="DA562" s="1605"/>
      <c r="DB562" s="1605"/>
      <c r="DC562" s="1605"/>
      <c r="DD562" s="1605"/>
      <c r="DE562" s="1605"/>
      <c r="DF562" s="1605"/>
      <c r="DG562" s="1605"/>
      <c r="DH562" s="1605"/>
      <c r="DI562" s="1605"/>
      <c r="DJ562" s="1605"/>
      <c r="DK562" s="1605"/>
      <c r="DL562" s="1605"/>
      <c r="DM562" s="1605"/>
      <c r="DN562" s="1605"/>
      <c r="DO562" s="1605"/>
      <c r="DP562" s="1605"/>
      <c r="DQ562" s="1605"/>
      <c r="DR562" s="1605"/>
      <c r="DS562" s="1605"/>
      <c r="DT562" s="1605"/>
      <c r="DU562" s="1605"/>
      <c r="DV562" s="1605"/>
      <c r="DW562" s="1605"/>
      <c r="DX562" s="1605"/>
      <c r="DY562" s="1605"/>
      <c r="DZ562" s="1605"/>
      <c r="EA562" s="1605"/>
      <c r="EB562" s="1605"/>
      <c r="EC562" s="1605"/>
      <c r="ED562" s="1605"/>
      <c r="EE562" s="1605"/>
      <c r="EF562" s="1605"/>
      <c r="EG562" s="1605"/>
      <c r="EH562" s="1605"/>
      <c r="EI562" s="1605"/>
      <c r="EJ562" s="1605"/>
      <c r="EK562" s="1605"/>
      <c r="EL562" s="1605"/>
      <c r="EM562" s="1605"/>
      <c r="EN562" s="1605"/>
      <c r="EO562" s="1605"/>
      <c r="EP562" s="1605"/>
      <c r="EQ562" s="1605"/>
      <c r="ER562" s="1605"/>
      <c r="ES562" s="1605"/>
      <c r="ET562" s="1605"/>
      <c r="EU562" s="1605"/>
      <c r="EV562" s="1605"/>
      <c r="EW562" s="1605"/>
      <c r="EX562" s="1605"/>
      <c r="EY562" s="1605"/>
      <c r="EZ562" s="1605"/>
      <c r="FA562" s="1605"/>
      <c r="FB562" s="1605"/>
      <c r="FC562" s="1605"/>
      <c r="FD562" s="1605"/>
      <c r="FE562" s="1605"/>
      <c r="FF562" s="1605"/>
      <c r="FG562" s="1605"/>
      <c r="FH562" s="1605"/>
      <c r="FI562" s="1605"/>
      <c r="FJ562" s="1605"/>
      <c r="FK562" s="1605"/>
      <c r="FL562" s="1605"/>
      <c r="FM562" s="1605"/>
      <c r="FN562" s="1605"/>
      <c r="FO562" s="1605"/>
      <c r="FP562" s="1605"/>
      <c r="FQ562" s="1605"/>
      <c r="FR562" s="1605"/>
      <c r="FS562" s="1605"/>
      <c r="FT562" s="1605"/>
      <c r="FU562" s="1605"/>
      <c r="FV562" s="1605"/>
      <c r="FW562" s="1605"/>
      <c r="FX562" s="1605"/>
      <c r="FY562" s="1605"/>
      <c r="FZ562" s="1605"/>
      <c r="GA562" s="1605"/>
      <c r="GB562" s="1605"/>
      <c r="GC562" s="1605"/>
      <c r="GD562" s="1605"/>
      <c r="GE562" s="1605"/>
      <c r="GF562" s="1605"/>
      <c r="GG562" s="1605"/>
      <c r="GH562" s="1605"/>
      <c r="GI562" s="1605"/>
      <c r="GJ562" s="1605"/>
      <c r="GK562" s="1605"/>
      <c r="GL562" s="1605"/>
      <c r="GM562" s="1605"/>
      <c r="GN562" s="1605"/>
      <c r="GO562" s="1605"/>
      <c r="GP562" s="1605"/>
      <c r="GQ562" s="1605"/>
      <c r="GR562" s="1605"/>
      <c r="GS562" s="1605"/>
      <c r="GT562" s="1605"/>
      <c r="GU562" s="1605"/>
      <c r="GV562" s="1605"/>
      <c r="GW562" s="1605"/>
      <c r="GX562" s="1605"/>
      <c r="GY562" s="1605"/>
      <c r="GZ562" s="1605"/>
      <c r="HA562" s="1605"/>
      <c r="HB562" s="1605"/>
      <c r="HC562" s="1605"/>
      <c r="HD562" s="1605"/>
      <c r="HE562" s="1605"/>
      <c r="HF562" s="1605"/>
      <c r="HG562" s="1605"/>
      <c r="HH562" s="1605"/>
      <c r="HI562" s="1605"/>
      <c r="HJ562" s="1605"/>
      <c r="HK562" s="1605"/>
      <c r="HL562" s="1605"/>
      <c r="HM562" s="1605"/>
      <c r="HN562" s="1605"/>
      <c r="HO562" s="1605"/>
      <c r="HP562" s="1605"/>
      <c r="HQ562" s="1605"/>
      <c r="HR562" s="1605"/>
      <c r="HS562" s="1605"/>
      <c r="HT562" s="1605"/>
      <c r="HU562" s="1605"/>
      <c r="HV562" s="1605"/>
      <c r="HW562" s="1605"/>
      <c r="HX562" s="1605"/>
      <c r="HY562" s="1605"/>
      <c r="HZ562" s="1605"/>
      <c r="IA562" s="1605"/>
      <c r="IB562" s="1605"/>
      <c r="IC562" s="1605"/>
      <c r="ID562" s="1605"/>
      <c r="IE562" s="1605"/>
      <c r="IF562" s="1605"/>
      <c r="IG562" s="1605"/>
      <c r="IH562" s="1605"/>
      <c r="II562" s="1605"/>
      <c r="IJ562" s="1605"/>
      <c r="IK562" s="1605"/>
      <c r="IL562" s="1605"/>
      <c r="IM562" s="1605"/>
      <c r="IN562" s="1605"/>
      <c r="IO562" s="1605"/>
      <c r="IP562" s="1605"/>
      <c r="IQ562" s="1605"/>
      <c r="IR562" s="1605"/>
      <c r="IS562" s="1605"/>
      <c r="IT562" s="1605"/>
      <c r="IU562" s="1605"/>
      <c r="IV562" s="1605"/>
      <c r="IW562" s="1605"/>
      <c r="IX562" s="1605"/>
      <c r="IY562" s="1605"/>
      <c r="IZ562" s="1605"/>
      <c r="JA562" s="1605"/>
      <c r="JB562" s="1605"/>
      <c r="JC562" s="1605"/>
      <c r="JD562" s="1605"/>
      <c r="JE562" s="1605"/>
      <c r="JF562" s="1605"/>
      <c r="JG562" s="1605"/>
      <c r="JH562" s="1605"/>
      <c r="JI562" s="1605"/>
      <c r="JJ562" s="1605"/>
      <c r="JK562" s="1605"/>
      <c r="JL562" s="1605"/>
      <c r="JM562" s="1605"/>
      <c r="JN562" s="1605"/>
      <c r="JO562" s="1605"/>
      <c r="JP562" s="1605"/>
      <c r="JQ562" s="1605"/>
      <c r="JR562" s="1605"/>
      <c r="JS562" s="1605"/>
      <c r="JT562" s="1605"/>
      <c r="JU562" s="1605"/>
      <c r="JV562" s="1605"/>
      <c r="JW562" s="1605"/>
      <c r="JX562" s="1605"/>
      <c r="JY562" s="1605"/>
      <c r="JZ562" s="1605"/>
      <c r="KA562" s="1605"/>
      <c r="KB562" s="1606"/>
    </row>
    <row r="563" spans="2:288" ht="15" customHeight="1" x14ac:dyDescent="0.25">
      <c r="B563" s="216" t="str">
        <f t="shared" si="46"/>
        <v>Desk 36</v>
      </c>
      <c r="C563" s="218" t="str">
        <v/>
      </c>
      <c r="D563" s="218" t="str">
        <v/>
      </c>
      <c r="E563" s="218" t="str">
        <v/>
      </c>
      <c r="F563" s="218" t="str">
        <v/>
      </c>
      <c r="G563" s="402" t="str">
        <v/>
      </c>
      <c r="H563" s="1605"/>
      <c r="I563" s="1605"/>
      <c r="J563" s="1605"/>
      <c r="K563" s="1605"/>
      <c r="L563" s="1605"/>
      <c r="M563" s="1605"/>
      <c r="N563" s="1605"/>
      <c r="O563" s="1605"/>
      <c r="P563" s="1605"/>
      <c r="Q563" s="1605"/>
      <c r="R563" s="1605"/>
      <c r="S563" s="1605"/>
      <c r="T563" s="1605"/>
      <c r="U563" s="1605"/>
      <c r="V563" s="1605"/>
      <c r="W563" s="1605"/>
      <c r="X563" s="1605"/>
      <c r="Y563" s="1605"/>
      <c r="Z563" s="1605"/>
      <c r="AA563" s="1605"/>
      <c r="AB563" s="1605"/>
      <c r="AC563" s="1605"/>
      <c r="AD563" s="1605"/>
      <c r="AE563" s="1605"/>
      <c r="AF563" s="1605"/>
      <c r="AG563" s="1605"/>
      <c r="AH563" s="1605"/>
      <c r="AI563" s="1605"/>
      <c r="AJ563" s="1605"/>
      <c r="AK563" s="1605"/>
      <c r="AL563" s="1605"/>
      <c r="AM563" s="1605"/>
      <c r="AN563" s="1605"/>
      <c r="AO563" s="1605"/>
      <c r="AP563" s="1605"/>
      <c r="AQ563" s="1605"/>
      <c r="AR563" s="1605"/>
      <c r="AS563" s="1605"/>
      <c r="AT563" s="1605"/>
      <c r="AU563" s="1605"/>
      <c r="AV563" s="1605"/>
      <c r="AW563" s="1605"/>
      <c r="AX563" s="1605"/>
      <c r="AY563" s="1605"/>
      <c r="AZ563" s="1605"/>
      <c r="BA563" s="1605"/>
      <c r="BB563" s="1605"/>
      <c r="BC563" s="1605"/>
      <c r="BD563" s="1605"/>
      <c r="BE563" s="1605"/>
      <c r="BF563" s="1605"/>
      <c r="BG563" s="1605"/>
      <c r="BH563" s="1605"/>
      <c r="BI563" s="1605"/>
      <c r="BJ563" s="1605"/>
      <c r="BK563" s="1605"/>
      <c r="BL563" s="1605"/>
      <c r="BM563" s="1605"/>
      <c r="BN563" s="1605"/>
      <c r="BO563" s="1605"/>
      <c r="BP563" s="1605"/>
      <c r="BQ563" s="1605"/>
      <c r="BR563" s="1605"/>
      <c r="BS563" s="1605"/>
      <c r="BT563" s="1605"/>
      <c r="BU563" s="1605"/>
      <c r="BV563" s="1605"/>
      <c r="BW563" s="1605"/>
      <c r="BX563" s="1605"/>
      <c r="BY563" s="1605"/>
      <c r="BZ563" s="1605"/>
      <c r="CA563" s="1605"/>
      <c r="CB563" s="1605"/>
      <c r="CC563" s="1605"/>
      <c r="CD563" s="1605"/>
      <c r="CE563" s="1605"/>
      <c r="CF563" s="1605"/>
      <c r="CG563" s="1605"/>
      <c r="CH563" s="1605"/>
      <c r="CI563" s="1605"/>
      <c r="CJ563" s="1605"/>
      <c r="CK563" s="1605"/>
      <c r="CL563" s="1605"/>
      <c r="CM563" s="1605"/>
      <c r="CN563" s="1605"/>
      <c r="CO563" s="1605"/>
      <c r="CP563" s="1605"/>
      <c r="CQ563" s="1605"/>
      <c r="CR563" s="1605"/>
      <c r="CS563" s="1605"/>
      <c r="CT563" s="1605"/>
      <c r="CU563" s="1605"/>
      <c r="CV563" s="1605"/>
      <c r="CW563" s="1605"/>
      <c r="CX563" s="1605"/>
      <c r="CY563" s="1605"/>
      <c r="CZ563" s="1605"/>
      <c r="DA563" s="1605"/>
      <c r="DB563" s="1605"/>
      <c r="DC563" s="1605"/>
      <c r="DD563" s="1605"/>
      <c r="DE563" s="1605"/>
      <c r="DF563" s="1605"/>
      <c r="DG563" s="1605"/>
      <c r="DH563" s="1605"/>
      <c r="DI563" s="1605"/>
      <c r="DJ563" s="1605"/>
      <c r="DK563" s="1605"/>
      <c r="DL563" s="1605"/>
      <c r="DM563" s="1605"/>
      <c r="DN563" s="1605"/>
      <c r="DO563" s="1605"/>
      <c r="DP563" s="1605"/>
      <c r="DQ563" s="1605"/>
      <c r="DR563" s="1605"/>
      <c r="DS563" s="1605"/>
      <c r="DT563" s="1605"/>
      <c r="DU563" s="1605"/>
      <c r="DV563" s="1605"/>
      <c r="DW563" s="1605"/>
      <c r="DX563" s="1605"/>
      <c r="DY563" s="1605"/>
      <c r="DZ563" s="1605"/>
      <c r="EA563" s="1605"/>
      <c r="EB563" s="1605"/>
      <c r="EC563" s="1605"/>
      <c r="ED563" s="1605"/>
      <c r="EE563" s="1605"/>
      <c r="EF563" s="1605"/>
      <c r="EG563" s="1605"/>
      <c r="EH563" s="1605"/>
      <c r="EI563" s="1605"/>
      <c r="EJ563" s="1605"/>
      <c r="EK563" s="1605"/>
      <c r="EL563" s="1605"/>
      <c r="EM563" s="1605"/>
      <c r="EN563" s="1605"/>
      <c r="EO563" s="1605"/>
      <c r="EP563" s="1605"/>
      <c r="EQ563" s="1605"/>
      <c r="ER563" s="1605"/>
      <c r="ES563" s="1605"/>
      <c r="ET563" s="1605"/>
      <c r="EU563" s="1605"/>
      <c r="EV563" s="1605"/>
      <c r="EW563" s="1605"/>
      <c r="EX563" s="1605"/>
      <c r="EY563" s="1605"/>
      <c r="EZ563" s="1605"/>
      <c r="FA563" s="1605"/>
      <c r="FB563" s="1605"/>
      <c r="FC563" s="1605"/>
      <c r="FD563" s="1605"/>
      <c r="FE563" s="1605"/>
      <c r="FF563" s="1605"/>
      <c r="FG563" s="1605"/>
      <c r="FH563" s="1605"/>
      <c r="FI563" s="1605"/>
      <c r="FJ563" s="1605"/>
      <c r="FK563" s="1605"/>
      <c r="FL563" s="1605"/>
      <c r="FM563" s="1605"/>
      <c r="FN563" s="1605"/>
      <c r="FO563" s="1605"/>
      <c r="FP563" s="1605"/>
      <c r="FQ563" s="1605"/>
      <c r="FR563" s="1605"/>
      <c r="FS563" s="1605"/>
      <c r="FT563" s="1605"/>
      <c r="FU563" s="1605"/>
      <c r="FV563" s="1605"/>
      <c r="FW563" s="1605"/>
      <c r="FX563" s="1605"/>
      <c r="FY563" s="1605"/>
      <c r="FZ563" s="1605"/>
      <c r="GA563" s="1605"/>
      <c r="GB563" s="1605"/>
      <c r="GC563" s="1605"/>
      <c r="GD563" s="1605"/>
      <c r="GE563" s="1605"/>
      <c r="GF563" s="1605"/>
      <c r="GG563" s="1605"/>
      <c r="GH563" s="1605"/>
      <c r="GI563" s="1605"/>
      <c r="GJ563" s="1605"/>
      <c r="GK563" s="1605"/>
      <c r="GL563" s="1605"/>
      <c r="GM563" s="1605"/>
      <c r="GN563" s="1605"/>
      <c r="GO563" s="1605"/>
      <c r="GP563" s="1605"/>
      <c r="GQ563" s="1605"/>
      <c r="GR563" s="1605"/>
      <c r="GS563" s="1605"/>
      <c r="GT563" s="1605"/>
      <c r="GU563" s="1605"/>
      <c r="GV563" s="1605"/>
      <c r="GW563" s="1605"/>
      <c r="GX563" s="1605"/>
      <c r="GY563" s="1605"/>
      <c r="GZ563" s="1605"/>
      <c r="HA563" s="1605"/>
      <c r="HB563" s="1605"/>
      <c r="HC563" s="1605"/>
      <c r="HD563" s="1605"/>
      <c r="HE563" s="1605"/>
      <c r="HF563" s="1605"/>
      <c r="HG563" s="1605"/>
      <c r="HH563" s="1605"/>
      <c r="HI563" s="1605"/>
      <c r="HJ563" s="1605"/>
      <c r="HK563" s="1605"/>
      <c r="HL563" s="1605"/>
      <c r="HM563" s="1605"/>
      <c r="HN563" s="1605"/>
      <c r="HO563" s="1605"/>
      <c r="HP563" s="1605"/>
      <c r="HQ563" s="1605"/>
      <c r="HR563" s="1605"/>
      <c r="HS563" s="1605"/>
      <c r="HT563" s="1605"/>
      <c r="HU563" s="1605"/>
      <c r="HV563" s="1605"/>
      <c r="HW563" s="1605"/>
      <c r="HX563" s="1605"/>
      <c r="HY563" s="1605"/>
      <c r="HZ563" s="1605"/>
      <c r="IA563" s="1605"/>
      <c r="IB563" s="1605"/>
      <c r="IC563" s="1605"/>
      <c r="ID563" s="1605"/>
      <c r="IE563" s="1605"/>
      <c r="IF563" s="1605"/>
      <c r="IG563" s="1605"/>
      <c r="IH563" s="1605"/>
      <c r="II563" s="1605"/>
      <c r="IJ563" s="1605"/>
      <c r="IK563" s="1605"/>
      <c r="IL563" s="1605"/>
      <c r="IM563" s="1605"/>
      <c r="IN563" s="1605"/>
      <c r="IO563" s="1605"/>
      <c r="IP563" s="1605"/>
      <c r="IQ563" s="1605"/>
      <c r="IR563" s="1605"/>
      <c r="IS563" s="1605"/>
      <c r="IT563" s="1605"/>
      <c r="IU563" s="1605"/>
      <c r="IV563" s="1605"/>
      <c r="IW563" s="1605"/>
      <c r="IX563" s="1605"/>
      <c r="IY563" s="1605"/>
      <c r="IZ563" s="1605"/>
      <c r="JA563" s="1605"/>
      <c r="JB563" s="1605"/>
      <c r="JC563" s="1605"/>
      <c r="JD563" s="1605"/>
      <c r="JE563" s="1605"/>
      <c r="JF563" s="1605"/>
      <c r="JG563" s="1605"/>
      <c r="JH563" s="1605"/>
      <c r="JI563" s="1605"/>
      <c r="JJ563" s="1605"/>
      <c r="JK563" s="1605"/>
      <c r="JL563" s="1605"/>
      <c r="JM563" s="1605"/>
      <c r="JN563" s="1605"/>
      <c r="JO563" s="1605"/>
      <c r="JP563" s="1605"/>
      <c r="JQ563" s="1605"/>
      <c r="JR563" s="1605"/>
      <c r="JS563" s="1605"/>
      <c r="JT563" s="1605"/>
      <c r="JU563" s="1605"/>
      <c r="JV563" s="1605"/>
      <c r="JW563" s="1605"/>
      <c r="JX563" s="1605"/>
      <c r="JY563" s="1605"/>
      <c r="JZ563" s="1605"/>
      <c r="KA563" s="1605"/>
      <c r="KB563" s="1606"/>
    </row>
    <row r="564" spans="2:288" ht="15" customHeight="1" x14ac:dyDescent="0.25">
      <c r="B564" s="216" t="str">
        <f t="shared" si="46"/>
        <v>Desk 37</v>
      </c>
      <c r="C564" s="218" t="str">
        <v/>
      </c>
      <c r="D564" s="218" t="str">
        <v/>
      </c>
      <c r="E564" s="218" t="str">
        <v/>
      </c>
      <c r="F564" s="218" t="str">
        <v/>
      </c>
      <c r="G564" s="402" t="str">
        <v/>
      </c>
      <c r="H564" s="1605"/>
      <c r="I564" s="1605"/>
      <c r="J564" s="1605"/>
      <c r="K564" s="1605"/>
      <c r="L564" s="1605"/>
      <c r="M564" s="1605"/>
      <c r="N564" s="1605"/>
      <c r="O564" s="1605"/>
      <c r="P564" s="1605"/>
      <c r="Q564" s="1605"/>
      <c r="R564" s="1605"/>
      <c r="S564" s="1605"/>
      <c r="T564" s="1605"/>
      <c r="U564" s="1605"/>
      <c r="V564" s="1605"/>
      <c r="W564" s="1605"/>
      <c r="X564" s="1605"/>
      <c r="Y564" s="1605"/>
      <c r="Z564" s="1605"/>
      <c r="AA564" s="1605"/>
      <c r="AB564" s="1605"/>
      <c r="AC564" s="1605"/>
      <c r="AD564" s="1605"/>
      <c r="AE564" s="1605"/>
      <c r="AF564" s="1605"/>
      <c r="AG564" s="1605"/>
      <c r="AH564" s="1605"/>
      <c r="AI564" s="1605"/>
      <c r="AJ564" s="1605"/>
      <c r="AK564" s="1605"/>
      <c r="AL564" s="1605"/>
      <c r="AM564" s="1605"/>
      <c r="AN564" s="1605"/>
      <c r="AO564" s="1605"/>
      <c r="AP564" s="1605"/>
      <c r="AQ564" s="1605"/>
      <c r="AR564" s="1605"/>
      <c r="AS564" s="1605"/>
      <c r="AT564" s="1605"/>
      <c r="AU564" s="1605"/>
      <c r="AV564" s="1605"/>
      <c r="AW564" s="1605"/>
      <c r="AX564" s="1605"/>
      <c r="AY564" s="1605"/>
      <c r="AZ564" s="1605"/>
      <c r="BA564" s="1605"/>
      <c r="BB564" s="1605"/>
      <c r="BC564" s="1605"/>
      <c r="BD564" s="1605"/>
      <c r="BE564" s="1605"/>
      <c r="BF564" s="1605"/>
      <c r="BG564" s="1605"/>
      <c r="BH564" s="1605"/>
      <c r="BI564" s="1605"/>
      <c r="BJ564" s="1605"/>
      <c r="BK564" s="1605"/>
      <c r="BL564" s="1605"/>
      <c r="BM564" s="1605"/>
      <c r="BN564" s="1605"/>
      <c r="BO564" s="1605"/>
      <c r="BP564" s="1605"/>
      <c r="BQ564" s="1605"/>
      <c r="BR564" s="1605"/>
      <c r="BS564" s="1605"/>
      <c r="BT564" s="1605"/>
      <c r="BU564" s="1605"/>
      <c r="BV564" s="1605"/>
      <c r="BW564" s="1605"/>
      <c r="BX564" s="1605"/>
      <c r="BY564" s="1605"/>
      <c r="BZ564" s="1605"/>
      <c r="CA564" s="1605"/>
      <c r="CB564" s="1605"/>
      <c r="CC564" s="1605"/>
      <c r="CD564" s="1605"/>
      <c r="CE564" s="1605"/>
      <c r="CF564" s="1605"/>
      <c r="CG564" s="1605"/>
      <c r="CH564" s="1605"/>
      <c r="CI564" s="1605"/>
      <c r="CJ564" s="1605"/>
      <c r="CK564" s="1605"/>
      <c r="CL564" s="1605"/>
      <c r="CM564" s="1605"/>
      <c r="CN564" s="1605"/>
      <c r="CO564" s="1605"/>
      <c r="CP564" s="1605"/>
      <c r="CQ564" s="1605"/>
      <c r="CR564" s="1605"/>
      <c r="CS564" s="1605"/>
      <c r="CT564" s="1605"/>
      <c r="CU564" s="1605"/>
      <c r="CV564" s="1605"/>
      <c r="CW564" s="1605"/>
      <c r="CX564" s="1605"/>
      <c r="CY564" s="1605"/>
      <c r="CZ564" s="1605"/>
      <c r="DA564" s="1605"/>
      <c r="DB564" s="1605"/>
      <c r="DC564" s="1605"/>
      <c r="DD564" s="1605"/>
      <c r="DE564" s="1605"/>
      <c r="DF564" s="1605"/>
      <c r="DG564" s="1605"/>
      <c r="DH564" s="1605"/>
      <c r="DI564" s="1605"/>
      <c r="DJ564" s="1605"/>
      <c r="DK564" s="1605"/>
      <c r="DL564" s="1605"/>
      <c r="DM564" s="1605"/>
      <c r="DN564" s="1605"/>
      <c r="DO564" s="1605"/>
      <c r="DP564" s="1605"/>
      <c r="DQ564" s="1605"/>
      <c r="DR564" s="1605"/>
      <c r="DS564" s="1605"/>
      <c r="DT564" s="1605"/>
      <c r="DU564" s="1605"/>
      <c r="DV564" s="1605"/>
      <c r="DW564" s="1605"/>
      <c r="DX564" s="1605"/>
      <c r="DY564" s="1605"/>
      <c r="DZ564" s="1605"/>
      <c r="EA564" s="1605"/>
      <c r="EB564" s="1605"/>
      <c r="EC564" s="1605"/>
      <c r="ED564" s="1605"/>
      <c r="EE564" s="1605"/>
      <c r="EF564" s="1605"/>
      <c r="EG564" s="1605"/>
      <c r="EH564" s="1605"/>
      <c r="EI564" s="1605"/>
      <c r="EJ564" s="1605"/>
      <c r="EK564" s="1605"/>
      <c r="EL564" s="1605"/>
      <c r="EM564" s="1605"/>
      <c r="EN564" s="1605"/>
      <c r="EO564" s="1605"/>
      <c r="EP564" s="1605"/>
      <c r="EQ564" s="1605"/>
      <c r="ER564" s="1605"/>
      <c r="ES564" s="1605"/>
      <c r="ET564" s="1605"/>
      <c r="EU564" s="1605"/>
      <c r="EV564" s="1605"/>
      <c r="EW564" s="1605"/>
      <c r="EX564" s="1605"/>
      <c r="EY564" s="1605"/>
      <c r="EZ564" s="1605"/>
      <c r="FA564" s="1605"/>
      <c r="FB564" s="1605"/>
      <c r="FC564" s="1605"/>
      <c r="FD564" s="1605"/>
      <c r="FE564" s="1605"/>
      <c r="FF564" s="1605"/>
      <c r="FG564" s="1605"/>
      <c r="FH564" s="1605"/>
      <c r="FI564" s="1605"/>
      <c r="FJ564" s="1605"/>
      <c r="FK564" s="1605"/>
      <c r="FL564" s="1605"/>
      <c r="FM564" s="1605"/>
      <c r="FN564" s="1605"/>
      <c r="FO564" s="1605"/>
      <c r="FP564" s="1605"/>
      <c r="FQ564" s="1605"/>
      <c r="FR564" s="1605"/>
      <c r="FS564" s="1605"/>
      <c r="FT564" s="1605"/>
      <c r="FU564" s="1605"/>
      <c r="FV564" s="1605"/>
      <c r="FW564" s="1605"/>
      <c r="FX564" s="1605"/>
      <c r="FY564" s="1605"/>
      <c r="FZ564" s="1605"/>
      <c r="GA564" s="1605"/>
      <c r="GB564" s="1605"/>
      <c r="GC564" s="1605"/>
      <c r="GD564" s="1605"/>
      <c r="GE564" s="1605"/>
      <c r="GF564" s="1605"/>
      <c r="GG564" s="1605"/>
      <c r="GH564" s="1605"/>
      <c r="GI564" s="1605"/>
      <c r="GJ564" s="1605"/>
      <c r="GK564" s="1605"/>
      <c r="GL564" s="1605"/>
      <c r="GM564" s="1605"/>
      <c r="GN564" s="1605"/>
      <c r="GO564" s="1605"/>
      <c r="GP564" s="1605"/>
      <c r="GQ564" s="1605"/>
      <c r="GR564" s="1605"/>
      <c r="GS564" s="1605"/>
      <c r="GT564" s="1605"/>
      <c r="GU564" s="1605"/>
      <c r="GV564" s="1605"/>
      <c r="GW564" s="1605"/>
      <c r="GX564" s="1605"/>
      <c r="GY564" s="1605"/>
      <c r="GZ564" s="1605"/>
      <c r="HA564" s="1605"/>
      <c r="HB564" s="1605"/>
      <c r="HC564" s="1605"/>
      <c r="HD564" s="1605"/>
      <c r="HE564" s="1605"/>
      <c r="HF564" s="1605"/>
      <c r="HG564" s="1605"/>
      <c r="HH564" s="1605"/>
      <c r="HI564" s="1605"/>
      <c r="HJ564" s="1605"/>
      <c r="HK564" s="1605"/>
      <c r="HL564" s="1605"/>
      <c r="HM564" s="1605"/>
      <c r="HN564" s="1605"/>
      <c r="HO564" s="1605"/>
      <c r="HP564" s="1605"/>
      <c r="HQ564" s="1605"/>
      <c r="HR564" s="1605"/>
      <c r="HS564" s="1605"/>
      <c r="HT564" s="1605"/>
      <c r="HU564" s="1605"/>
      <c r="HV564" s="1605"/>
      <c r="HW564" s="1605"/>
      <c r="HX564" s="1605"/>
      <c r="HY564" s="1605"/>
      <c r="HZ564" s="1605"/>
      <c r="IA564" s="1605"/>
      <c r="IB564" s="1605"/>
      <c r="IC564" s="1605"/>
      <c r="ID564" s="1605"/>
      <c r="IE564" s="1605"/>
      <c r="IF564" s="1605"/>
      <c r="IG564" s="1605"/>
      <c r="IH564" s="1605"/>
      <c r="II564" s="1605"/>
      <c r="IJ564" s="1605"/>
      <c r="IK564" s="1605"/>
      <c r="IL564" s="1605"/>
      <c r="IM564" s="1605"/>
      <c r="IN564" s="1605"/>
      <c r="IO564" s="1605"/>
      <c r="IP564" s="1605"/>
      <c r="IQ564" s="1605"/>
      <c r="IR564" s="1605"/>
      <c r="IS564" s="1605"/>
      <c r="IT564" s="1605"/>
      <c r="IU564" s="1605"/>
      <c r="IV564" s="1605"/>
      <c r="IW564" s="1605"/>
      <c r="IX564" s="1605"/>
      <c r="IY564" s="1605"/>
      <c r="IZ564" s="1605"/>
      <c r="JA564" s="1605"/>
      <c r="JB564" s="1605"/>
      <c r="JC564" s="1605"/>
      <c r="JD564" s="1605"/>
      <c r="JE564" s="1605"/>
      <c r="JF564" s="1605"/>
      <c r="JG564" s="1605"/>
      <c r="JH564" s="1605"/>
      <c r="JI564" s="1605"/>
      <c r="JJ564" s="1605"/>
      <c r="JK564" s="1605"/>
      <c r="JL564" s="1605"/>
      <c r="JM564" s="1605"/>
      <c r="JN564" s="1605"/>
      <c r="JO564" s="1605"/>
      <c r="JP564" s="1605"/>
      <c r="JQ564" s="1605"/>
      <c r="JR564" s="1605"/>
      <c r="JS564" s="1605"/>
      <c r="JT564" s="1605"/>
      <c r="JU564" s="1605"/>
      <c r="JV564" s="1605"/>
      <c r="JW564" s="1605"/>
      <c r="JX564" s="1605"/>
      <c r="JY564" s="1605"/>
      <c r="JZ564" s="1605"/>
      <c r="KA564" s="1605"/>
      <c r="KB564" s="1606"/>
    </row>
    <row r="565" spans="2:288" ht="15" customHeight="1" x14ac:dyDescent="0.25">
      <c r="B565" s="216" t="str">
        <f t="shared" si="46"/>
        <v>Desk 38</v>
      </c>
      <c r="C565" s="218" t="str">
        <v/>
      </c>
      <c r="D565" s="218" t="str">
        <v/>
      </c>
      <c r="E565" s="218" t="str">
        <v/>
      </c>
      <c r="F565" s="218" t="str">
        <v/>
      </c>
      <c r="G565" s="402" t="str">
        <v/>
      </c>
      <c r="H565" s="1605"/>
      <c r="I565" s="1605"/>
      <c r="J565" s="1605"/>
      <c r="K565" s="1605"/>
      <c r="L565" s="1605"/>
      <c r="M565" s="1605"/>
      <c r="N565" s="1605"/>
      <c r="O565" s="1605"/>
      <c r="P565" s="1605"/>
      <c r="Q565" s="1605"/>
      <c r="R565" s="1605"/>
      <c r="S565" s="1605"/>
      <c r="T565" s="1605"/>
      <c r="U565" s="1605"/>
      <c r="V565" s="1605"/>
      <c r="W565" s="1605"/>
      <c r="X565" s="1605"/>
      <c r="Y565" s="1605"/>
      <c r="Z565" s="1605"/>
      <c r="AA565" s="1605"/>
      <c r="AB565" s="1605"/>
      <c r="AC565" s="1605"/>
      <c r="AD565" s="1605"/>
      <c r="AE565" s="1605"/>
      <c r="AF565" s="1605"/>
      <c r="AG565" s="1605"/>
      <c r="AH565" s="1605"/>
      <c r="AI565" s="1605"/>
      <c r="AJ565" s="1605"/>
      <c r="AK565" s="1605"/>
      <c r="AL565" s="1605"/>
      <c r="AM565" s="1605"/>
      <c r="AN565" s="1605"/>
      <c r="AO565" s="1605"/>
      <c r="AP565" s="1605"/>
      <c r="AQ565" s="1605"/>
      <c r="AR565" s="1605"/>
      <c r="AS565" s="1605"/>
      <c r="AT565" s="1605"/>
      <c r="AU565" s="1605"/>
      <c r="AV565" s="1605"/>
      <c r="AW565" s="1605"/>
      <c r="AX565" s="1605"/>
      <c r="AY565" s="1605"/>
      <c r="AZ565" s="1605"/>
      <c r="BA565" s="1605"/>
      <c r="BB565" s="1605"/>
      <c r="BC565" s="1605"/>
      <c r="BD565" s="1605"/>
      <c r="BE565" s="1605"/>
      <c r="BF565" s="1605"/>
      <c r="BG565" s="1605"/>
      <c r="BH565" s="1605"/>
      <c r="BI565" s="1605"/>
      <c r="BJ565" s="1605"/>
      <c r="BK565" s="1605"/>
      <c r="BL565" s="1605"/>
      <c r="BM565" s="1605"/>
      <c r="BN565" s="1605"/>
      <c r="BO565" s="1605"/>
      <c r="BP565" s="1605"/>
      <c r="BQ565" s="1605"/>
      <c r="BR565" s="1605"/>
      <c r="BS565" s="1605"/>
      <c r="BT565" s="1605"/>
      <c r="BU565" s="1605"/>
      <c r="BV565" s="1605"/>
      <c r="BW565" s="1605"/>
      <c r="BX565" s="1605"/>
      <c r="BY565" s="1605"/>
      <c r="BZ565" s="1605"/>
      <c r="CA565" s="1605"/>
      <c r="CB565" s="1605"/>
      <c r="CC565" s="1605"/>
      <c r="CD565" s="1605"/>
      <c r="CE565" s="1605"/>
      <c r="CF565" s="1605"/>
      <c r="CG565" s="1605"/>
      <c r="CH565" s="1605"/>
      <c r="CI565" s="1605"/>
      <c r="CJ565" s="1605"/>
      <c r="CK565" s="1605"/>
      <c r="CL565" s="1605"/>
      <c r="CM565" s="1605"/>
      <c r="CN565" s="1605"/>
      <c r="CO565" s="1605"/>
      <c r="CP565" s="1605"/>
      <c r="CQ565" s="1605"/>
      <c r="CR565" s="1605"/>
      <c r="CS565" s="1605"/>
      <c r="CT565" s="1605"/>
      <c r="CU565" s="1605"/>
      <c r="CV565" s="1605"/>
      <c r="CW565" s="1605"/>
      <c r="CX565" s="1605"/>
      <c r="CY565" s="1605"/>
      <c r="CZ565" s="1605"/>
      <c r="DA565" s="1605"/>
      <c r="DB565" s="1605"/>
      <c r="DC565" s="1605"/>
      <c r="DD565" s="1605"/>
      <c r="DE565" s="1605"/>
      <c r="DF565" s="1605"/>
      <c r="DG565" s="1605"/>
      <c r="DH565" s="1605"/>
      <c r="DI565" s="1605"/>
      <c r="DJ565" s="1605"/>
      <c r="DK565" s="1605"/>
      <c r="DL565" s="1605"/>
      <c r="DM565" s="1605"/>
      <c r="DN565" s="1605"/>
      <c r="DO565" s="1605"/>
      <c r="DP565" s="1605"/>
      <c r="DQ565" s="1605"/>
      <c r="DR565" s="1605"/>
      <c r="DS565" s="1605"/>
      <c r="DT565" s="1605"/>
      <c r="DU565" s="1605"/>
      <c r="DV565" s="1605"/>
      <c r="DW565" s="1605"/>
      <c r="DX565" s="1605"/>
      <c r="DY565" s="1605"/>
      <c r="DZ565" s="1605"/>
      <c r="EA565" s="1605"/>
      <c r="EB565" s="1605"/>
      <c r="EC565" s="1605"/>
      <c r="ED565" s="1605"/>
      <c r="EE565" s="1605"/>
      <c r="EF565" s="1605"/>
      <c r="EG565" s="1605"/>
      <c r="EH565" s="1605"/>
      <c r="EI565" s="1605"/>
      <c r="EJ565" s="1605"/>
      <c r="EK565" s="1605"/>
      <c r="EL565" s="1605"/>
      <c r="EM565" s="1605"/>
      <c r="EN565" s="1605"/>
      <c r="EO565" s="1605"/>
      <c r="EP565" s="1605"/>
      <c r="EQ565" s="1605"/>
      <c r="ER565" s="1605"/>
      <c r="ES565" s="1605"/>
      <c r="ET565" s="1605"/>
      <c r="EU565" s="1605"/>
      <c r="EV565" s="1605"/>
      <c r="EW565" s="1605"/>
      <c r="EX565" s="1605"/>
      <c r="EY565" s="1605"/>
      <c r="EZ565" s="1605"/>
      <c r="FA565" s="1605"/>
      <c r="FB565" s="1605"/>
      <c r="FC565" s="1605"/>
      <c r="FD565" s="1605"/>
      <c r="FE565" s="1605"/>
      <c r="FF565" s="1605"/>
      <c r="FG565" s="1605"/>
      <c r="FH565" s="1605"/>
      <c r="FI565" s="1605"/>
      <c r="FJ565" s="1605"/>
      <c r="FK565" s="1605"/>
      <c r="FL565" s="1605"/>
      <c r="FM565" s="1605"/>
      <c r="FN565" s="1605"/>
      <c r="FO565" s="1605"/>
      <c r="FP565" s="1605"/>
      <c r="FQ565" s="1605"/>
      <c r="FR565" s="1605"/>
      <c r="FS565" s="1605"/>
      <c r="FT565" s="1605"/>
      <c r="FU565" s="1605"/>
      <c r="FV565" s="1605"/>
      <c r="FW565" s="1605"/>
      <c r="FX565" s="1605"/>
      <c r="FY565" s="1605"/>
      <c r="FZ565" s="1605"/>
      <c r="GA565" s="1605"/>
      <c r="GB565" s="1605"/>
      <c r="GC565" s="1605"/>
      <c r="GD565" s="1605"/>
      <c r="GE565" s="1605"/>
      <c r="GF565" s="1605"/>
      <c r="GG565" s="1605"/>
      <c r="GH565" s="1605"/>
      <c r="GI565" s="1605"/>
      <c r="GJ565" s="1605"/>
      <c r="GK565" s="1605"/>
      <c r="GL565" s="1605"/>
      <c r="GM565" s="1605"/>
      <c r="GN565" s="1605"/>
      <c r="GO565" s="1605"/>
      <c r="GP565" s="1605"/>
      <c r="GQ565" s="1605"/>
      <c r="GR565" s="1605"/>
      <c r="GS565" s="1605"/>
      <c r="GT565" s="1605"/>
      <c r="GU565" s="1605"/>
      <c r="GV565" s="1605"/>
      <c r="GW565" s="1605"/>
      <c r="GX565" s="1605"/>
      <c r="GY565" s="1605"/>
      <c r="GZ565" s="1605"/>
      <c r="HA565" s="1605"/>
      <c r="HB565" s="1605"/>
      <c r="HC565" s="1605"/>
      <c r="HD565" s="1605"/>
      <c r="HE565" s="1605"/>
      <c r="HF565" s="1605"/>
      <c r="HG565" s="1605"/>
      <c r="HH565" s="1605"/>
      <c r="HI565" s="1605"/>
      <c r="HJ565" s="1605"/>
      <c r="HK565" s="1605"/>
      <c r="HL565" s="1605"/>
      <c r="HM565" s="1605"/>
      <c r="HN565" s="1605"/>
      <c r="HO565" s="1605"/>
      <c r="HP565" s="1605"/>
      <c r="HQ565" s="1605"/>
      <c r="HR565" s="1605"/>
      <c r="HS565" s="1605"/>
      <c r="HT565" s="1605"/>
      <c r="HU565" s="1605"/>
      <c r="HV565" s="1605"/>
      <c r="HW565" s="1605"/>
      <c r="HX565" s="1605"/>
      <c r="HY565" s="1605"/>
      <c r="HZ565" s="1605"/>
      <c r="IA565" s="1605"/>
      <c r="IB565" s="1605"/>
      <c r="IC565" s="1605"/>
      <c r="ID565" s="1605"/>
      <c r="IE565" s="1605"/>
      <c r="IF565" s="1605"/>
      <c r="IG565" s="1605"/>
      <c r="IH565" s="1605"/>
      <c r="II565" s="1605"/>
      <c r="IJ565" s="1605"/>
      <c r="IK565" s="1605"/>
      <c r="IL565" s="1605"/>
      <c r="IM565" s="1605"/>
      <c r="IN565" s="1605"/>
      <c r="IO565" s="1605"/>
      <c r="IP565" s="1605"/>
      <c r="IQ565" s="1605"/>
      <c r="IR565" s="1605"/>
      <c r="IS565" s="1605"/>
      <c r="IT565" s="1605"/>
      <c r="IU565" s="1605"/>
      <c r="IV565" s="1605"/>
      <c r="IW565" s="1605"/>
      <c r="IX565" s="1605"/>
      <c r="IY565" s="1605"/>
      <c r="IZ565" s="1605"/>
      <c r="JA565" s="1605"/>
      <c r="JB565" s="1605"/>
      <c r="JC565" s="1605"/>
      <c r="JD565" s="1605"/>
      <c r="JE565" s="1605"/>
      <c r="JF565" s="1605"/>
      <c r="JG565" s="1605"/>
      <c r="JH565" s="1605"/>
      <c r="JI565" s="1605"/>
      <c r="JJ565" s="1605"/>
      <c r="JK565" s="1605"/>
      <c r="JL565" s="1605"/>
      <c r="JM565" s="1605"/>
      <c r="JN565" s="1605"/>
      <c r="JO565" s="1605"/>
      <c r="JP565" s="1605"/>
      <c r="JQ565" s="1605"/>
      <c r="JR565" s="1605"/>
      <c r="JS565" s="1605"/>
      <c r="JT565" s="1605"/>
      <c r="JU565" s="1605"/>
      <c r="JV565" s="1605"/>
      <c r="JW565" s="1605"/>
      <c r="JX565" s="1605"/>
      <c r="JY565" s="1605"/>
      <c r="JZ565" s="1605"/>
      <c r="KA565" s="1605"/>
      <c r="KB565" s="1606"/>
    </row>
    <row r="566" spans="2:288" ht="15" customHeight="1" x14ac:dyDescent="0.25">
      <c r="B566" s="216" t="str">
        <f t="shared" si="46"/>
        <v>Desk 39</v>
      </c>
      <c r="C566" s="218" t="str">
        <v/>
      </c>
      <c r="D566" s="218" t="str">
        <v/>
      </c>
      <c r="E566" s="218" t="str">
        <v/>
      </c>
      <c r="F566" s="218" t="str">
        <v/>
      </c>
      <c r="G566" s="402" t="str">
        <v/>
      </c>
      <c r="H566" s="1605"/>
      <c r="I566" s="1605"/>
      <c r="J566" s="1605"/>
      <c r="K566" s="1605"/>
      <c r="L566" s="1605"/>
      <c r="M566" s="1605"/>
      <c r="N566" s="1605"/>
      <c r="O566" s="1605"/>
      <c r="P566" s="1605"/>
      <c r="Q566" s="1605"/>
      <c r="R566" s="1605"/>
      <c r="S566" s="1605"/>
      <c r="T566" s="1605"/>
      <c r="U566" s="1605"/>
      <c r="V566" s="1605"/>
      <c r="W566" s="1605"/>
      <c r="X566" s="1605"/>
      <c r="Y566" s="1605"/>
      <c r="Z566" s="1605"/>
      <c r="AA566" s="1605"/>
      <c r="AB566" s="1605"/>
      <c r="AC566" s="1605"/>
      <c r="AD566" s="1605"/>
      <c r="AE566" s="1605"/>
      <c r="AF566" s="1605"/>
      <c r="AG566" s="1605"/>
      <c r="AH566" s="1605"/>
      <c r="AI566" s="1605"/>
      <c r="AJ566" s="1605"/>
      <c r="AK566" s="1605"/>
      <c r="AL566" s="1605"/>
      <c r="AM566" s="1605"/>
      <c r="AN566" s="1605"/>
      <c r="AO566" s="1605"/>
      <c r="AP566" s="1605"/>
      <c r="AQ566" s="1605"/>
      <c r="AR566" s="1605"/>
      <c r="AS566" s="1605"/>
      <c r="AT566" s="1605"/>
      <c r="AU566" s="1605"/>
      <c r="AV566" s="1605"/>
      <c r="AW566" s="1605"/>
      <c r="AX566" s="1605"/>
      <c r="AY566" s="1605"/>
      <c r="AZ566" s="1605"/>
      <c r="BA566" s="1605"/>
      <c r="BB566" s="1605"/>
      <c r="BC566" s="1605"/>
      <c r="BD566" s="1605"/>
      <c r="BE566" s="1605"/>
      <c r="BF566" s="1605"/>
      <c r="BG566" s="1605"/>
      <c r="BH566" s="1605"/>
      <c r="BI566" s="1605"/>
      <c r="BJ566" s="1605"/>
      <c r="BK566" s="1605"/>
      <c r="BL566" s="1605"/>
      <c r="BM566" s="1605"/>
      <c r="BN566" s="1605"/>
      <c r="BO566" s="1605"/>
      <c r="BP566" s="1605"/>
      <c r="BQ566" s="1605"/>
      <c r="BR566" s="1605"/>
      <c r="BS566" s="1605"/>
      <c r="BT566" s="1605"/>
      <c r="BU566" s="1605"/>
      <c r="BV566" s="1605"/>
      <c r="BW566" s="1605"/>
      <c r="BX566" s="1605"/>
      <c r="BY566" s="1605"/>
      <c r="BZ566" s="1605"/>
      <c r="CA566" s="1605"/>
      <c r="CB566" s="1605"/>
      <c r="CC566" s="1605"/>
      <c r="CD566" s="1605"/>
      <c r="CE566" s="1605"/>
      <c r="CF566" s="1605"/>
      <c r="CG566" s="1605"/>
      <c r="CH566" s="1605"/>
      <c r="CI566" s="1605"/>
      <c r="CJ566" s="1605"/>
      <c r="CK566" s="1605"/>
      <c r="CL566" s="1605"/>
      <c r="CM566" s="1605"/>
      <c r="CN566" s="1605"/>
      <c r="CO566" s="1605"/>
      <c r="CP566" s="1605"/>
      <c r="CQ566" s="1605"/>
      <c r="CR566" s="1605"/>
      <c r="CS566" s="1605"/>
      <c r="CT566" s="1605"/>
      <c r="CU566" s="1605"/>
      <c r="CV566" s="1605"/>
      <c r="CW566" s="1605"/>
      <c r="CX566" s="1605"/>
      <c r="CY566" s="1605"/>
      <c r="CZ566" s="1605"/>
      <c r="DA566" s="1605"/>
      <c r="DB566" s="1605"/>
      <c r="DC566" s="1605"/>
      <c r="DD566" s="1605"/>
      <c r="DE566" s="1605"/>
      <c r="DF566" s="1605"/>
      <c r="DG566" s="1605"/>
      <c r="DH566" s="1605"/>
      <c r="DI566" s="1605"/>
      <c r="DJ566" s="1605"/>
      <c r="DK566" s="1605"/>
      <c r="DL566" s="1605"/>
      <c r="DM566" s="1605"/>
      <c r="DN566" s="1605"/>
      <c r="DO566" s="1605"/>
      <c r="DP566" s="1605"/>
      <c r="DQ566" s="1605"/>
      <c r="DR566" s="1605"/>
      <c r="DS566" s="1605"/>
      <c r="DT566" s="1605"/>
      <c r="DU566" s="1605"/>
      <c r="DV566" s="1605"/>
      <c r="DW566" s="1605"/>
      <c r="DX566" s="1605"/>
      <c r="DY566" s="1605"/>
      <c r="DZ566" s="1605"/>
      <c r="EA566" s="1605"/>
      <c r="EB566" s="1605"/>
      <c r="EC566" s="1605"/>
      <c r="ED566" s="1605"/>
      <c r="EE566" s="1605"/>
      <c r="EF566" s="1605"/>
      <c r="EG566" s="1605"/>
      <c r="EH566" s="1605"/>
      <c r="EI566" s="1605"/>
      <c r="EJ566" s="1605"/>
      <c r="EK566" s="1605"/>
      <c r="EL566" s="1605"/>
      <c r="EM566" s="1605"/>
      <c r="EN566" s="1605"/>
      <c r="EO566" s="1605"/>
      <c r="EP566" s="1605"/>
      <c r="EQ566" s="1605"/>
      <c r="ER566" s="1605"/>
      <c r="ES566" s="1605"/>
      <c r="ET566" s="1605"/>
      <c r="EU566" s="1605"/>
      <c r="EV566" s="1605"/>
      <c r="EW566" s="1605"/>
      <c r="EX566" s="1605"/>
      <c r="EY566" s="1605"/>
      <c r="EZ566" s="1605"/>
      <c r="FA566" s="1605"/>
      <c r="FB566" s="1605"/>
      <c r="FC566" s="1605"/>
      <c r="FD566" s="1605"/>
      <c r="FE566" s="1605"/>
      <c r="FF566" s="1605"/>
      <c r="FG566" s="1605"/>
      <c r="FH566" s="1605"/>
      <c r="FI566" s="1605"/>
      <c r="FJ566" s="1605"/>
      <c r="FK566" s="1605"/>
      <c r="FL566" s="1605"/>
      <c r="FM566" s="1605"/>
      <c r="FN566" s="1605"/>
      <c r="FO566" s="1605"/>
      <c r="FP566" s="1605"/>
      <c r="FQ566" s="1605"/>
      <c r="FR566" s="1605"/>
      <c r="FS566" s="1605"/>
      <c r="FT566" s="1605"/>
      <c r="FU566" s="1605"/>
      <c r="FV566" s="1605"/>
      <c r="FW566" s="1605"/>
      <c r="FX566" s="1605"/>
      <c r="FY566" s="1605"/>
      <c r="FZ566" s="1605"/>
      <c r="GA566" s="1605"/>
      <c r="GB566" s="1605"/>
      <c r="GC566" s="1605"/>
      <c r="GD566" s="1605"/>
      <c r="GE566" s="1605"/>
      <c r="GF566" s="1605"/>
      <c r="GG566" s="1605"/>
      <c r="GH566" s="1605"/>
      <c r="GI566" s="1605"/>
      <c r="GJ566" s="1605"/>
      <c r="GK566" s="1605"/>
      <c r="GL566" s="1605"/>
      <c r="GM566" s="1605"/>
      <c r="GN566" s="1605"/>
      <c r="GO566" s="1605"/>
      <c r="GP566" s="1605"/>
      <c r="GQ566" s="1605"/>
      <c r="GR566" s="1605"/>
      <c r="GS566" s="1605"/>
      <c r="GT566" s="1605"/>
      <c r="GU566" s="1605"/>
      <c r="GV566" s="1605"/>
      <c r="GW566" s="1605"/>
      <c r="GX566" s="1605"/>
      <c r="GY566" s="1605"/>
      <c r="GZ566" s="1605"/>
      <c r="HA566" s="1605"/>
      <c r="HB566" s="1605"/>
      <c r="HC566" s="1605"/>
      <c r="HD566" s="1605"/>
      <c r="HE566" s="1605"/>
      <c r="HF566" s="1605"/>
      <c r="HG566" s="1605"/>
      <c r="HH566" s="1605"/>
      <c r="HI566" s="1605"/>
      <c r="HJ566" s="1605"/>
      <c r="HK566" s="1605"/>
      <c r="HL566" s="1605"/>
      <c r="HM566" s="1605"/>
      <c r="HN566" s="1605"/>
      <c r="HO566" s="1605"/>
      <c r="HP566" s="1605"/>
      <c r="HQ566" s="1605"/>
      <c r="HR566" s="1605"/>
      <c r="HS566" s="1605"/>
      <c r="HT566" s="1605"/>
      <c r="HU566" s="1605"/>
      <c r="HV566" s="1605"/>
      <c r="HW566" s="1605"/>
      <c r="HX566" s="1605"/>
      <c r="HY566" s="1605"/>
      <c r="HZ566" s="1605"/>
      <c r="IA566" s="1605"/>
      <c r="IB566" s="1605"/>
      <c r="IC566" s="1605"/>
      <c r="ID566" s="1605"/>
      <c r="IE566" s="1605"/>
      <c r="IF566" s="1605"/>
      <c r="IG566" s="1605"/>
      <c r="IH566" s="1605"/>
      <c r="II566" s="1605"/>
      <c r="IJ566" s="1605"/>
      <c r="IK566" s="1605"/>
      <c r="IL566" s="1605"/>
      <c r="IM566" s="1605"/>
      <c r="IN566" s="1605"/>
      <c r="IO566" s="1605"/>
      <c r="IP566" s="1605"/>
      <c r="IQ566" s="1605"/>
      <c r="IR566" s="1605"/>
      <c r="IS566" s="1605"/>
      <c r="IT566" s="1605"/>
      <c r="IU566" s="1605"/>
      <c r="IV566" s="1605"/>
      <c r="IW566" s="1605"/>
      <c r="IX566" s="1605"/>
      <c r="IY566" s="1605"/>
      <c r="IZ566" s="1605"/>
      <c r="JA566" s="1605"/>
      <c r="JB566" s="1605"/>
      <c r="JC566" s="1605"/>
      <c r="JD566" s="1605"/>
      <c r="JE566" s="1605"/>
      <c r="JF566" s="1605"/>
      <c r="JG566" s="1605"/>
      <c r="JH566" s="1605"/>
      <c r="JI566" s="1605"/>
      <c r="JJ566" s="1605"/>
      <c r="JK566" s="1605"/>
      <c r="JL566" s="1605"/>
      <c r="JM566" s="1605"/>
      <c r="JN566" s="1605"/>
      <c r="JO566" s="1605"/>
      <c r="JP566" s="1605"/>
      <c r="JQ566" s="1605"/>
      <c r="JR566" s="1605"/>
      <c r="JS566" s="1605"/>
      <c r="JT566" s="1605"/>
      <c r="JU566" s="1605"/>
      <c r="JV566" s="1605"/>
      <c r="JW566" s="1605"/>
      <c r="JX566" s="1605"/>
      <c r="JY566" s="1605"/>
      <c r="JZ566" s="1605"/>
      <c r="KA566" s="1605"/>
      <c r="KB566" s="1606"/>
    </row>
    <row r="567" spans="2:288" ht="15" customHeight="1" x14ac:dyDescent="0.25">
      <c r="B567" s="216" t="str">
        <f t="shared" si="46"/>
        <v>Desk 40</v>
      </c>
      <c r="C567" s="218" t="str">
        <v/>
      </c>
      <c r="D567" s="218" t="str">
        <v/>
      </c>
      <c r="E567" s="218" t="str">
        <v/>
      </c>
      <c r="F567" s="218" t="str">
        <v/>
      </c>
      <c r="G567" s="402" t="str">
        <v/>
      </c>
      <c r="H567" s="1605"/>
      <c r="I567" s="1605"/>
      <c r="J567" s="1605"/>
      <c r="K567" s="1605"/>
      <c r="L567" s="1605"/>
      <c r="M567" s="1605"/>
      <c r="N567" s="1605"/>
      <c r="O567" s="1605"/>
      <c r="P567" s="1605"/>
      <c r="Q567" s="1605"/>
      <c r="R567" s="1605"/>
      <c r="S567" s="1605"/>
      <c r="T567" s="1605"/>
      <c r="U567" s="1605"/>
      <c r="V567" s="1605"/>
      <c r="W567" s="1605"/>
      <c r="X567" s="1605"/>
      <c r="Y567" s="1605"/>
      <c r="Z567" s="1605"/>
      <c r="AA567" s="1605"/>
      <c r="AB567" s="1605"/>
      <c r="AC567" s="1605"/>
      <c r="AD567" s="1605"/>
      <c r="AE567" s="1605"/>
      <c r="AF567" s="1605"/>
      <c r="AG567" s="1605"/>
      <c r="AH567" s="1605"/>
      <c r="AI567" s="1605"/>
      <c r="AJ567" s="1605"/>
      <c r="AK567" s="1605"/>
      <c r="AL567" s="1605"/>
      <c r="AM567" s="1605"/>
      <c r="AN567" s="1605"/>
      <c r="AO567" s="1605"/>
      <c r="AP567" s="1605"/>
      <c r="AQ567" s="1605"/>
      <c r="AR567" s="1605"/>
      <c r="AS567" s="1605"/>
      <c r="AT567" s="1605"/>
      <c r="AU567" s="1605"/>
      <c r="AV567" s="1605"/>
      <c r="AW567" s="1605"/>
      <c r="AX567" s="1605"/>
      <c r="AY567" s="1605"/>
      <c r="AZ567" s="1605"/>
      <c r="BA567" s="1605"/>
      <c r="BB567" s="1605"/>
      <c r="BC567" s="1605"/>
      <c r="BD567" s="1605"/>
      <c r="BE567" s="1605"/>
      <c r="BF567" s="1605"/>
      <c r="BG567" s="1605"/>
      <c r="BH567" s="1605"/>
      <c r="BI567" s="1605"/>
      <c r="BJ567" s="1605"/>
      <c r="BK567" s="1605"/>
      <c r="BL567" s="1605"/>
      <c r="BM567" s="1605"/>
      <c r="BN567" s="1605"/>
      <c r="BO567" s="1605"/>
      <c r="BP567" s="1605"/>
      <c r="BQ567" s="1605"/>
      <c r="BR567" s="1605"/>
      <c r="BS567" s="1605"/>
      <c r="BT567" s="1605"/>
      <c r="BU567" s="1605"/>
      <c r="BV567" s="1605"/>
      <c r="BW567" s="1605"/>
      <c r="BX567" s="1605"/>
      <c r="BY567" s="1605"/>
      <c r="BZ567" s="1605"/>
      <c r="CA567" s="1605"/>
      <c r="CB567" s="1605"/>
      <c r="CC567" s="1605"/>
      <c r="CD567" s="1605"/>
      <c r="CE567" s="1605"/>
      <c r="CF567" s="1605"/>
      <c r="CG567" s="1605"/>
      <c r="CH567" s="1605"/>
      <c r="CI567" s="1605"/>
      <c r="CJ567" s="1605"/>
      <c r="CK567" s="1605"/>
      <c r="CL567" s="1605"/>
      <c r="CM567" s="1605"/>
      <c r="CN567" s="1605"/>
      <c r="CO567" s="1605"/>
      <c r="CP567" s="1605"/>
      <c r="CQ567" s="1605"/>
      <c r="CR567" s="1605"/>
      <c r="CS567" s="1605"/>
      <c r="CT567" s="1605"/>
      <c r="CU567" s="1605"/>
      <c r="CV567" s="1605"/>
      <c r="CW567" s="1605"/>
      <c r="CX567" s="1605"/>
      <c r="CY567" s="1605"/>
      <c r="CZ567" s="1605"/>
      <c r="DA567" s="1605"/>
      <c r="DB567" s="1605"/>
      <c r="DC567" s="1605"/>
      <c r="DD567" s="1605"/>
      <c r="DE567" s="1605"/>
      <c r="DF567" s="1605"/>
      <c r="DG567" s="1605"/>
      <c r="DH567" s="1605"/>
      <c r="DI567" s="1605"/>
      <c r="DJ567" s="1605"/>
      <c r="DK567" s="1605"/>
      <c r="DL567" s="1605"/>
      <c r="DM567" s="1605"/>
      <c r="DN567" s="1605"/>
      <c r="DO567" s="1605"/>
      <c r="DP567" s="1605"/>
      <c r="DQ567" s="1605"/>
      <c r="DR567" s="1605"/>
      <c r="DS567" s="1605"/>
      <c r="DT567" s="1605"/>
      <c r="DU567" s="1605"/>
      <c r="DV567" s="1605"/>
      <c r="DW567" s="1605"/>
      <c r="DX567" s="1605"/>
      <c r="DY567" s="1605"/>
      <c r="DZ567" s="1605"/>
      <c r="EA567" s="1605"/>
      <c r="EB567" s="1605"/>
      <c r="EC567" s="1605"/>
      <c r="ED567" s="1605"/>
      <c r="EE567" s="1605"/>
      <c r="EF567" s="1605"/>
      <c r="EG567" s="1605"/>
      <c r="EH567" s="1605"/>
      <c r="EI567" s="1605"/>
      <c r="EJ567" s="1605"/>
      <c r="EK567" s="1605"/>
      <c r="EL567" s="1605"/>
      <c r="EM567" s="1605"/>
      <c r="EN567" s="1605"/>
      <c r="EO567" s="1605"/>
      <c r="EP567" s="1605"/>
      <c r="EQ567" s="1605"/>
      <c r="ER567" s="1605"/>
      <c r="ES567" s="1605"/>
      <c r="ET567" s="1605"/>
      <c r="EU567" s="1605"/>
      <c r="EV567" s="1605"/>
      <c r="EW567" s="1605"/>
      <c r="EX567" s="1605"/>
      <c r="EY567" s="1605"/>
      <c r="EZ567" s="1605"/>
      <c r="FA567" s="1605"/>
      <c r="FB567" s="1605"/>
      <c r="FC567" s="1605"/>
      <c r="FD567" s="1605"/>
      <c r="FE567" s="1605"/>
      <c r="FF567" s="1605"/>
      <c r="FG567" s="1605"/>
      <c r="FH567" s="1605"/>
      <c r="FI567" s="1605"/>
      <c r="FJ567" s="1605"/>
      <c r="FK567" s="1605"/>
      <c r="FL567" s="1605"/>
      <c r="FM567" s="1605"/>
      <c r="FN567" s="1605"/>
      <c r="FO567" s="1605"/>
      <c r="FP567" s="1605"/>
      <c r="FQ567" s="1605"/>
      <c r="FR567" s="1605"/>
      <c r="FS567" s="1605"/>
      <c r="FT567" s="1605"/>
      <c r="FU567" s="1605"/>
      <c r="FV567" s="1605"/>
      <c r="FW567" s="1605"/>
      <c r="FX567" s="1605"/>
      <c r="FY567" s="1605"/>
      <c r="FZ567" s="1605"/>
      <c r="GA567" s="1605"/>
      <c r="GB567" s="1605"/>
      <c r="GC567" s="1605"/>
      <c r="GD567" s="1605"/>
      <c r="GE567" s="1605"/>
      <c r="GF567" s="1605"/>
      <c r="GG567" s="1605"/>
      <c r="GH567" s="1605"/>
      <c r="GI567" s="1605"/>
      <c r="GJ567" s="1605"/>
      <c r="GK567" s="1605"/>
      <c r="GL567" s="1605"/>
      <c r="GM567" s="1605"/>
      <c r="GN567" s="1605"/>
      <c r="GO567" s="1605"/>
      <c r="GP567" s="1605"/>
      <c r="GQ567" s="1605"/>
      <c r="GR567" s="1605"/>
      <c r="GS567" s="1605"/>
      <c r="GT567" s="1605"/>
      <c r="GU567" s="1605"/>
      <c r="GV567" s="1605"/>
      <c r="GW567" s="1605"/>
      <c r="GX567" s="1605"/>
      <c r="GY567" s="1605"/>
      <c r="GZ567" s="1605"/>
      <c r="HA567" s="1605"/>
      <c r="HB567" s="1605"/>
      <c r="HC567" s="1605"/>
      <c r="HD567" s="1605"/>
      <c r="HE567" s="1605"/>
      <c r="HF567" s="1605"/>
      <c r="HG567" s="1605"/>
      <c r="HH567" s="1605"/>
      <c r="HI567" s="1605"/>
      <c r="HJ567" s="1605"/>
      <c r="HK567" s="1605"/>
      <c r="HL567" s="1605"/>
      <c r="HM567" s="1605"/>
      <c r="HN567" s="1605"/>
      <c r="HO567" s="1605"/>
      <c r="HP567" s="1605"/>
      <c r="HQ567" s="1605"/>
      <c r="HR567" s="1605"/>
      <c r="HS567" s="1605"/>
      <c r="HT567" s="1605"/>
      <c r="HU567" s="1605"/>
      <c r="HV567" s="1605"/>
      <c r="HW567" s="1605"/>
      <c r="HX567" s="1605"/>
      <c r="HY567" s="1605"/>
      <c r="HZ567" s="1605"/>
      <c r="IA567" s="1605"/>
      <c r="IB567" s="1605"/>
      <c r="IC567" s="1605"/>
      <c r="ID567" s="1605"/>
      <c r="IE567" s="1605"/>
      <c r="IF567" s="1605"/>
      <c r="IG567" s="1605"/>
      <c r="IH567" s="1605"/>
      <c r="II567" s="1605"/>
      <c r="IJ567" s="1605"/>
      <c r="IK567" s="1605"/>
      <c r="IL567" s="1605"/>
      <c r="IM567" s="1605"/>
      <c r="IN567" s="1605"/>
      <c r="IO567" s="1605"/>
      <c r="IP567" s="1605"/>
      <c r="IQ567" s="1605"/>
      <c r="IR567" s="1605"/>
      <c r="IS567" s="1605"/>
      <c r="IT567" s="1605"/>
      <c r="IU567" s="1605"/>
      <c r="IV567" s="1605"/>
      <c r="IW567" s="1605"/>
      <c r="IX567" s="1605"/>
      <c r="IY567" s="1605"/>
      <c r="IZ567" s="1605"/>
      <c r="JA567" s="1605"/>
      <c r="JB567" s="1605"/>
      <c r="JC567" s="1605"/>
      <c r="JD567" s="1605"/>
      <c r="JE567" s="1605"/>
      <c r="JF567" s="1605"/>
      <c r="JG567" s="1605"/>
      <c r="JH567" s="1605"/>
      <c r="JI567" s="1605"/>
      <c r="JJ567" s="1605"/>
      <c r="JK567" s="1605"/>
      <c r="JL567" s="1605"/>
      <c r="JM567" s="1605"/>
      <c r="JN567" s="1605"/>
      <c r="JO567" s="1605"/>
      <c r="JP567" s="1605"/>
      <c r="JQ567" s="1605"/>
      <c r="JR567" s="1605"/>
      <c r="JS567" s="1605"/>
      <c r="JT567" s="1605"/>
      <c r="JU567" s="1605"/>
      <c r="JV567" s="1605"/>
      <c r="JW567" s="1605"/>
      <c r="JX567" s="1605"/>
      <c r="JY567" s="1605"/>
      <c r="JZ567" s="1605"/>
      <c r="KA567" s="1605"/>
      <c r="KB567" s="1606"/>
    </row>
    <row r="568" spans="2:288" ht="15" customHeight="1" x14ac:dyDescent="0.25">
      <c r="B568" s="216" t="str">
        <f t="shared" si="46"/>
        <v>Desk 41</v>
      </c>
      <c r="C568" s="218" t="str">
        <v/>
      </c>
      <c r="D568" s="218" t="str">
        <v/>
      </c>
      <c r="E568" s="218" t="str">
        <v/>
      </c>
      <c r="F568" s="218" t="str">
        <v/>
      </c>
      <c r="G568" s="402" t="str">
        <v/>
      </c>
      <c r="H568" s="1605"/>
      <c r="I568" s="1605"/>
      <c r="J568" s="1605"/>
      <c r="K568" s="1605"/>
      <c r="L568" s="1605"/>
      <c r="M568" s="1605"/>
      <c r="N568" s="1605"/>
      <c r="O568" s="1605"/>
      <c r="P568" s="1605"/>
      <c r="Q568" s="1605"/>
      <c r="R568" s="1605"/>
      <c r="S568" s="1605"/>
      <c r="T568" s="1605"/>
      <c r="U568" s="1605"/>
      <c r="V568" s="1605"/>
      <c r="W568" s="1605"/>
      <c r="X568" s="1605"/>
      <c r="Y568" s="1605"/>
      <c r="Z568" s="1605"/>
      <c r="AA568" s="1605"/>
      <c r="AB568" s="1605"/>
      <c r="AC568" s="1605"/>
      <c r="AD568" s="1605"/>
      <c r="AE568" s="1605"/>
      <c r="AF568" s="1605"/>
      <c r="AG568" s="1605"/>
      <c r="AH568" s="1605"/>
      <c r="AI568" s="1605"/>
      <c r="AJ568" s="1605"/>
      <c r="AK568" s="1605"/>
      <c r="AL568" s="1605"/>
      <c r="AM568" s="1605"/>
      <c r="AN568" s="1605"/>
      <c r="AO568" s="1605"/>
      <c r="AP568" s="1605"/>
      <c r="AQ568" s="1605"/>
      <c r="AR568" s="1605"/>
      <c r="AS568" s="1605"/>
      <c r="AT568" s="1605"/>
      <c r="AU568" s="1605"/>
      <c r="AV568" s="1605"/>
      <c r="AW568" s="1605"/>
      <c r="AX568" s="1605"/>
      <c r="AY568" s="1605"/>
      <c r="AZ568" s="1605"/>
      <c r="BA568" s="1605"/>
      <c r="BB568" s="1605"/>
      <c r="BC568" s="1605"/>
      <c r="BD568" s="1605"/>
      <c r="BE568" s="1605"/>
      <c r="BF568" s="1605"/>
      <c r="BG568" s="1605"/>
      <c r="BH568" s="1605"/>
      <c r="BI568" s="1605"/>
      <c r="BJ568" s="1605"/>
      <c r="BK568" s="1605"/>
      <c r="BL568" s="1605"/>
      <c r="BM568" s="1605"/>
      <c r="BN568" s="1605"/>
      <c r="BO568" s="1605"/>
      <c r="BP568" s="1605"/>
      <c r="BQ568" s="1605"/>
      <c r="BR568" s="1605"/>
      <c r="BS568" s="1605"/>
      <c r="BT568" s="1605"/>
      <c r="BU568" s="1605"/>
      <c r="BV568" s="1605"/>
      <c r="BW568" s="1605"/>
      <c r="BX568" s="1605"/>
      <c r="BY568" s="1605"/>
      <c r="BZ568" s="1605"/>
      <c r="CA568" s="1605"/>
      <c r="CB568" s="1605"/>
      <c r="CC568" s="1605"/>
      <c r="CD568" s="1605"/>
      <c r="CE568" s="1605"/>
      <c r="CF568" s="1605"/>
      <c r="CG568" s="1605"/>
      <c r="CH568" s="1605"/>
      <c r="CI568" s="1605"/>
      <c r="CJ568" s="1605"/>
      <c r="CK568" s="1605"/>
      <c r="CL568" s="1605"/>
      <c r="CM568" s="1605"/>
      <c r="CN568" s="1605"/>
      <c r="CO568" s="1605"/>
      <c r="CP568" s="1605"/>
      <c r="CQ568" s="1605"/>
      <c r="CR568" s="1605"/>
      <c r="CS568" s="1605"/>
      <c r="CT568" s="1605"/>
      <c r="CU568" s="1605"/>
      <c r="CV568" s="1605"/>
      <c r="CW568" s="1605"/>
      <c r="CX568" s="1605"/>
      <c r="CY568" s="1605"/>
      <c r="CZ568" s="1605"/>
      <c r="DA568" s="1605"/>
      <c r="DB568" s="1605"/>
      <c r="DC568" s="1605"/>
      <c r="DD568" s="1605"/>
      <c r="DE568" s="1605"/>
      <c r="DF568" s="1605"/>
      <c r="DG568" s="1605"/>
      <c r="DH568" s="1605"/>
      <c r="DI568" s="1605"/>
      <c r="DJ568" s="1605"/>
      <c r="DK568" s="1605"/>
      <c r="DL568" s="1605"/>
      <c r="DM568" s="1605"/>
      <c r="DN568" s="1605"/>
      <c r="DO568" s="1605"/>
      <c r="DP568" s="1605"/>
      <c r="DQ568" s="1605"/>
      <c r="DR568" s="1605"/>
      <c r="DS568" s="1605"/>
      <c r="DT568" s="1605"/>
      <c r="DU568" s="1605"/>
      <c r="DV568" s="1605"/>
      <c r="DW568" s="1605"/>
      <c r="DX568" s="1605"/>
      <c r="DY568" s="1605"/>
      <c r="DZ568" s="1605"/>
      <c r="EA568" s="1605"/>
      <c r="EB568" s="1605"/>
      <c r="EC568" s="1605"/>
      <c r="ED568" s="1605"/>
      <c r="EE568" s="1605"/>
      <c r="EF568" s="1605"/>
      <c r="EG568" s="1605"/>
      <c r="EH568" s="1605"/>
      <c r="EI568" s="1605"/>
      <c r="EJ568" s="1605"/>
      <c r="EK568" s="1605"/>
      <c r="EL568" s="1605"/>
      <c r="EM568" s="1605"/>
      <c r="EN568" s="1605"/>
      <c r="EO568" s="1605"/>
      <c r="EP568" s="1605"/>
      <c r="EQ568" s="1605"/>
      <c r="ER568" s="1605"/>
      <c r="ES568" s="1605"/>
      <c r="ET568" s="1605"/>
      <c r="EU568" s="1605"/>
      <c r="EV568" s="1605"/>
      <c r="EW568" s="1605"/>
      <c r="EX568" s="1605"/>
      <c r="EY568" s="1605"/>
      <c r="EZ568" s="1605"/>
      <c r="FA568" s="1605"/>
      <c r="FB568" s="1605"/>
      <c r="FC568" s="1605"/>
      <c r="FD568" s="1605"/>
      <c r="FE568" s="1605"/>
      <c r="FF568" s="1605"/>
      <c r="FG568" s="1605"/>
      <c r="FH568" s="1605"/>
      <c r="FI568" s="1605"/>
      <c r="FJ568" s="1605"/>
      <c r="FK568" s="1605"/>
      <c r="FL568" s="1605"/>
      <c r="FM568" s="1605"/>
      <c r="FN568" s="1605"/>
      <c r="FO568" s="1605"/>
      <c r="FP568" s="1605"/>
      <c r="FQ568" s="1605"/>
      <c r="FR568" s="1605"/>
      <c r="FS568" s="1605"/>
      <c r="FT568" s="1605"/>
      <c r="FU568" s="1605"/>
      <c r="FV568" s="1605"/>
      <c r="FW568" s="1605"/>
      <c r="FX568" s="1605"/>
      <c r="FY568" s="1605"/>
      <c r="FZ568" s="1605"/>
      <c r="GA568" s="1605"/>
      <c r="GB568" s="1605"/>
      <c r="GC568" s="1605"/>
      <c r="GD568" s="1605"/>
      <c r="GE568" s="1605"/>
      <c r="GF568" s="1605"/>
      <c r="GG568" s="1605"/>
      <c r="GH568" s="1605"/>
      <c r="GI568" s="1605"/>
      <c r="GJ568" s="1605"/>
      <c r="GK568" s="1605"/>
      <c r="GL568" s="1605"/>
      <c r="GM568" s="1605"/>
      <c r="GN568" s="1605"/>
      <c r="GO568" s="1605"/>
      <c r="GP568" s="1605"/>
      <c r="GQ568" s="1605"/>
      <c r="GR568" s="1605"/>
      <c r="GS568" s="1605"/>
      <c r="GT568" s="1605"/>
      <c r="GU568" s="1605"/>
      <c r="GV568" s="1605"/>
      <c r="GW568" s="1605"/>
      <c r="GX568" s="1605"/>
      <c r="GY568" s="1605"/>
      <c r="GZ568" s="1605"/>
      <c r="HA568" s="1605"/>
      <c r="HB568" s="1605"/>
      <c r="HC568" s="1605"/>
      <c r="HD568" s="1605"/>
      <c r="HE568" s="1605"/>
      <c r="HF568" s="1605"/>
      <c r="HG568" s="1605"/>
      <c r="HH568" s="1605"/>
      <c r="HI568" s="1605"/>
      <c r="HJ568" s="1605"/>
      <c r="HK568" s="1605"/>
      <c r="HL568" s="1605"/>
      <c r="HM568" s="1605"/>
      <c r="HN568" s="1605"/>
      <c r="HO568" s="1605"/>
      <c r="HP568" s="1605"/>
      <c r="HQ568" s="1605"/>
      <c r="HR568" s="1605"/>
      <c r="HS568" s="1605"/>
      <c r="HT568" s="1605"/>
      <c r="HU568" s="1605"/>
      <c r="HV568" s="1605"/>
      <c r="HW568" s="1605"/>
      <c r="HX568" s="1605"/>
      <c r="HY568" s="1605"/>
      <c r="HZ568" s="1605"/>
      <c r="IA568" s="1605"/>
      <c r="IB568" s="1605"/>
      <c r="IC568" s="1605"/>
      <c r="ID568" s="1605"/>
      <c r="IE568" s="1605"/>
      <c r="IF568" s="1605"/>
      <c r="IG568" s="1605"/>
      <c r="IH568" s="1605"/>
      <c r="II568" s="1605"/>
      <c r="IJ568" s="1605"/>
      <c r="IK568" s="1605"/>
      <c r="IL568" s="1605"/>
      <c r="IM568" s="1605"/>
      <c r="IN568" s="1605"/>
      <c r="IO568" s="1605"/>
      <c r="IP568" s="1605"/>
      <c r="IQ568" s="1605"/>
      <c r="IR568" s="1605"/>
      <c r="IS568" s="1605"/>
      <c r="IT568" s="1605"/>
      <c r="IU568" s="1605"/>
      <c r="IV568" s="1605"/>
      <c r="IW568" s="1605"/>
      <c r="IX568" s="1605"/>
      <c r="IY568" s="1605"/>
      <c r="IZ568" s="1605"/>
      <c r="JA568" s="1605"/>
      <c r="JB568" s="1605"/>
      <c r="JC568" s="1605"/>
      <c r="JD568" s="1605"/>
      <c r="JE568" s="1605"/>
      <c r="JF568" s="1605"/>
      <c r="JG568" s="1605"/>
      <c r="JH568" s="1605"/>
      <c r="JI568" s="1605"/>
      <c r="JJ568" s="1605"/>
      <c r="JK568" s="1605"/>
      <c r="JL568" s="1605"/>
      <c r="JM568" s="1605"/>
      <c r="JN568" s="1605"/>
      <c r="JO568" s="1605"/>
      <c r="JP568" s="1605"/>
      <c r="JQ568" s="1605"/>
      <c r="JR568" s="1605"/>
      <c r="JS568" s="1605"/>
      <c r="JT568" s="1605"/>
      <c r="JU568" s="1605"/>
      <c r="JV568" s="1605"/>
      <c r="JW568" s="1605"/>
      <c r="JX568" s="1605"/>
      <c r="JY568" s="1605"/>
      <c r="JZ568" s="1605"/>
      <c r="KA568" s="1605"/>
      <c r="KB568" s="1606"/>
    </row>
    <row r="569" spans="2:288" ht="15" customHeight="1" x14ac:dyDescent="0.25">
      <c r="B569" s="216" t="str">
        <f t="shared" si="46"/>
        <v>Desk 42</v>
      </c>
      <c r="C569" s="218" t="str">
        <v/>
      </c>
      <c r="D569" s="218" t="str">
        <v/>
      </c>
      <c r="E569" s="218" t="str">
        <v/>
      </c>
      <c r="F569" s="218" t="str">
        <v/>
      </c>
      <c r="G569" s="402" t="str">
        <v/>
      </c>
      <c r="H569" s="1605"/>
      <c r="I569" s="1605"/>
      <c r="J569" s="1605"/>
      <c r="K569" s="1605"/>
      <c r="L569" s="1605"/>
      <c r="M569" s="1605"/>
      <c r="N569" s="1605"/>
      <c r="O569" s="1605"/>
      <c r="P569" s="1605"/>
      <c r="Q569" s="1605"/>
      <c r="R569" s="1605"/>
      <c r="S569" s="1605"/>
      <c r="T569" s="1605"/>
      <c r="U569" s="1605"/>
      <c r="V569" s="1605"/>
      <c r="W569" s="1605"/>
      <c r="X569" s="1605"/>
      <c r="Y569" s="1605"/>
      <c r="Z569" s="1605"/>
      <c r="AA569" s="1605"/>
      <c r="AB569" s="1605"/>
      <c r="AC569" s="1605"/>
      <c r="AD569" s="1605"/>
      <c r="AE569" s="1605"/>
      <c r="AF569" s="1605"/>
      <c r="AG569" s="1605"/>
      <c r="AH569" s="1605"/>
      <c r="AI569" s="1605"/>
      <c r="AJ569" s="1605"/>
      <c r="AK569" s="1605"/>
      <c r="AL569" s="1605"/>
      <c r="AM569" s="1605"/>
      <c r="AN569" s="1605"/>
      <c r="AO569" s="1605"/>
      <c r="AP569" s="1605"/>
      <c r="AQ569" s="1605"/>
      <c r="AR569" s="1605"/>
      <c r="AS569" s="1605"/>
      <c r="AT569" s="1605"/>
      <c r="AU569" s="1605"/>
      <c r="AV569" s="1605"/>
      <c r="AW569" s="1605"/>
      <c r="AX569" s="1605"/>
      <c r="AY569" s="1605"/>
      <c r="AZ569" s="1605"/>
      <c r="BA569" s="1605"/>
      <c r="BB569" s="1605"/>
      <c r="BC569" s="1605"/>
      <c r="BD569" s="1605"/>
      <c r="BE569" s="1605"/>
      <c r="BF569" s="1605"/>
      <c r="BG569" s="1605"/>
      <c r="BH569" s="1605"/>
      <c r="BI569" s="1605"/>
      <c r="BJ569" s="1605"/>
      <c r="BK569" s="1605"/>
      <c r="BL569" s="1605"/>
      <c r="BM569" s="1605"/>
      <c r="BN569" s="1605"/>
      <c r="BO569" s="1605"/>
      <c r="BP569" s="1605"/>
      <c r="BQ569" s="1605"/>
      <c r="BR569" s="1605"/>
      <c r="BS569" s="1605"/>
      <c r="BT569" s="1605"/>
      <c r="BU569" s="1605"/>
      <c r="BV569" s="1605"/>
      <c r="BW569" s="1605"/>
      <c r="BX569" s="1605"/>
      <c r="BY569" s="1605"/>
      <c r="BZ569" s="1605"/>
      <c r="CA569" s="1605"/>
      <c r="CB569" s="1605"/>
      <c r="CC569" s="1605"/>
      <c r="CD569" s="1605"/>
      <c r="CE569" s="1605"/>
      <c r="CF569" s="1605"/>
      <c r="CG569" s="1605"/>
      <c r="CH569" s="1605"/>
      <c r="CI569" s="1605"/>
      <c r="CJ569" s="1605"/>
      <c r="CK569" s="1605"/>
      <c r="CL569" s="1605"/>
      <c r="CM569" s="1605"/>
      <c r="CN569" s="1605"/>
      <c r="CO569" s="1605"/>
      <c r="CP569" s="1605"/>
      <c r="CQ569" s="1605"/>
      <c r="CR569" s="1605"/>
      <c r="CS569" s="1605"/>
      <c r="CT569" s="1605"/>
      <c r="CU569" s="1605"/>
      <c r="CV569" s="1605"/>
      <c r="CW569" s="1605"/>
      <c r="CX569" s="1605"/>
      <c r="CY569" s="1605"/>
      <c r="CZ569" s="1605"/>
      <c r="DA569" s="1605"/>
      <c r="DB569" s="1605"/>
      <c r="DC569" s="1605"/>
      <c r="DD569" s="1605"/>
      <c r="DE569" s="1605"/>
      <c r="DF569" s="1605"/>
      <c r="DG569" s="1605"/>
      <c r="DH569" s="1605"/>
      <c r="DI569" s="1605"/>
      <c r="DJ569" s="1605"/>
      <c r="DK569" s="1605"/>
      <c r="DL569" s="1605"/>
      <c r="DM569" s="1605"/>
      <c r="DN569" s="1605"/>
      <c r="DO569" s="1605"/>
      <c r="DP569" s="1605"/>
      <c r="DQ569" s="1605"/>
      <c r="DR569" s="1605"/>
      <c r="DS569" s="1605"/>
      <c r="DT569" s="1605"/>
      <c r="DU569" s="1605"/>
      <c r="DV569" s="1605"/>
      <c r="DW569" s="1605"/>
      <c r="DX569" s="1605"/>
      <c r="DY569" s="1605"/>
      <c r="DZ569" s="1605"/>
      <c r="EA569" s="1605"/>
      <c r="EB569" s="1605"/>
      <c r="EC569" s="1605"/>
      <c r="ED569" s="1605"/>
      <c r="EE569" s="1605"/>
      <c r="EF569" s="1605"/>
      <c r="EG569" s="1605"/>
      <c r="EH569" s="1605"/>
      <c r="EI569" s="1605"/>
      <c r="EJ569" s="1605"/>
      <c r="EK569" s="1605"/>
      <c r="EL569" s="1605"/>
      <c r="EM569" s="1605"/>
      <c r="EN569" s="1605"/>
      <c r="EO569" s="1605"/>
      <c r="EP569" s="1605"/>
      <c r="EQ569" s="1605"/>
      <c r="ER569" s="1605"/>
      <c r="ES569" s="1605"/>
      <c r="ET569" s="1605"/>
      <c r="EU569" s="1605"/>
      <c r="EV569" s="1605"/>
      <c r="EW569" s="1605"/>
      <c r="EX569" s="1605"/>
      <c r="EY569" s="1605"/>
      <c r="EZ569" s="1605"/>
      <c r="FA569" s="1605"/>
      <c r="FB569" s="1605"/>
      <c r="FC569" s="1605"/>
      <c r="FD569" s="1605"/>
      <c r="FE569" s="1605"/>
      <c r="FF569" s="1605"/>
      <c r="FG569" s="1605"/>
      <c r="FH569" s="1605"/>
      <c r="FI569" s="1605"/>
      <c r="FJ569" s="1605"/>
      <c r="FK569" s="1605"/>
      <c r="FL569" s="1605"/>
      <c r="FM569" s="1605"/>
      <c r="FN569" s="1605"/>
      <c r="FO569" s="1605"/>
      <c r="FP569" s="1605"/>
      <c r="FQ569" s="1605"/>
      <c r="FR569" s="1605"/>
      <c r="FS569" s="1605"/>
      <c r="FT569" s="1605"/>
      <c r="FU569" s="1605"/>
      <c r="FV569" s="1605"/>
      <c r="FW569" s="1605"/>
      <c r="FX569" s="1605"/>
      <c r="FY569" s="1605"/>
      <c r="FZ569" s="1605"/>
      <c r="GA569" s="1605"/>
      <c r="GB569" s="1605"/>
      <c r="GC569" s="1605"/>
      <c r="GD569" s="1605"/>
      <c r="GE569" s="1605"/>
      <c r="GF569" s="1605"/>
      <c r="GG569" s="1605"/>
      <c r="GH569" s="1605"/>
      <c r="GI569" s="1605"/>
      <c r="GJ569" s="1605"/>
      <c r="GK569" s="1605"/>
      <c r="GL569" s="1605"/>
      <c r="GM569" s="1605"/>
      <c r="GN569" s="1605"/>
      <c r="GO569" s="1605"/>
      <c r="GP569" s="1605"/>
      <c r="GQ569" s="1605"/>
      <c r="GR569" s="1605"/>
      <c r="GS569" s="1605"/>
      <c r="GT569" s="1605"/>
      <c r="GU569" s="1605"/>
      <c r="GV569" s="1605"/>
      <c r="GW569" s="1605"/>
      <c r="GX569" s="1605"/>
      <c r="GY569" s="1605"/>
      <c r="GZ569" s="1605"/>
      <c r="HA569" s="1605"/>
      <c r="HB569" s="1605"/>
      <c r="HC569" s="1605"/>
      <c r="HD569" s="1605"/>
      <c r="HE569" s="1605"/>
      <c r="HF569" s="1605"/>
      <c r="HG569" s="1605"/>
      <c r="HH569" s="1605"/>
      <c r="HI569" s="1605"/>
      <c r="HJ569" s="1605"/>
      <c r="HK569" s="1605"/>
      <c r="HL569" s="1605"/>
      <c r="HM569" s="1605"/>
      <c r="HN569" s="1605"/>
      <c r="HO569" s="1605"/>
      <c r="HP569" s="1605"/>
      <c r="HQ569" s="1605"/>
      <c r="HR569" s="1605"/>
      <c r="HS569" s="1605"/>
      <c r="HT569" s="1605"/>
      <c r="HU569" s="1605"/>
      <c r="HV569" s="1605"/>
      <c r="HW569" s="1605"/>
      <c r="HX569" s="1605"/>
      <c r="HY569" s="1605"/>
      <c r="HZ569" s="1605"/>
      <c r="IA569" s="1605"/>
      <c r="IB569" s="1605"/>
      <c r="IC569" s="1605"/>
      <c r="ID569" s="1605"/>
      <c r="IE569" s="1605"/>
      <c r="IF569" s="1605"/>
      <c r="IG569" s="1605"/>
      <c r="IH569" s="1605"/>
      <c r="II569" s="1605"/>
      <c r="IJ569" s="1605"/>
      <c r="IK569" s="1605"/>
      <c r="IL569" s="1605"/>
      <c r="IM569" s="1605"/>
      <c r="IN569" s="1605"/>
      <c r="IO569" s="1605"/>
      <c r="IP569" s="1605"/>
      <c r="IQ569" s="1605"/>
      <c r="IR569" s="1605"/>
      <c r="IS569" s="1605"/>
      <c r="IT569" s="1605"/>
      <c r="IU569" s="1605"/>
      <c r="IV569" s="1605"/>
      <c r="IW569" s="1605"/>
      <c r="IX569" s="1605"/>
      <c r="IY569" s="1605"/>
      <c r="IZ569" s="1605"/>
      <c r="JA569" s="1605"/>
      <c r="JB569" s="1605"/>
      <c r="JC569" s="1605"/>
      <c r="JD569" s="1605"/>
      <c r="JE569" s="1605"/>
      <c r="JF569" s="1605"/>
      <c r="JG569" s="1605"/>
      <c r="JH569" s="1605"/>
      <c r="JI569" s="1605"/>
      <c r="JJ569" s="1605"/>
      <c r="JK569" s="1605"/>
      <c r="JL569" s="1605"/>
      <c r="JM569" s="1605"/>
      <c r="JN569" s="1605"/>
      <c r="JO569" s="1605"/>
      <c r="JP569" s="1605"/>
      <c r="JQ569" s="1605"/>
      <c r="JR569" s="1605"/>
      <c r="JS569" s="1605"/>
      <c r="JT569" s="1605"/>
      <c r="JU569" s="1605"/>
      <c r="JV569" s="1605"/>
      <c r="JW569" s="1605"/>
      <c r="JX569" s="1605"/>
      <c r="JY569" s="1605"/>
      <c r="JZ569" s="1605"/>
      <c r="KA569" s="1605"/>
      <c r="KB569" s="1606"/>
    </row>
    <row r="570" spans="2:288" ht="15" customHeight="1" x14ac:dyDescent="0.25">
      <c r="B570" s="216" t="str">
        <f t="shared" si="46"/>
        <v>Desk 43</v>
      </c>
      <c r="C570" s="218" t="str">
        <v/>
      </c>
      <c r="D570" s="218" t="str">
        <v/>
      </c>
      <c r="E570" s="218" t="str">
        <v/>
      </c>
      <c r="F570" s="218" t="str">
        <v/>
      </c>
      <c r="G570" s="402" t="str">
        <v/>
      </c>
      <c r="H570" s="1605"/>
      <c r="I570" s="1605"/>
      <c r="J570" s="1605"/>
      <c r="K570" s="1605"/>
      <c r="L570" s="1605"/>
      <c r="M570" s="1605"/>
      <c r="N570" s="1605"/>
      <c r="O570" s="1605"/>
      <c r="P570" s="1605"/>
      <c r="Q570" s="1605"/>
      <c r="R570" s="1605"/>
      <c r="S570" s="1605"/>
      <c r="T570" s="1605"/>
      <c r="U570" s="1605"/>
      <c r="V570" s="1605"/>
      <c r="W570" s="1605"/>
      <c r="X570" s="1605"/>
      <c r="Y570" s="1605"/>
      <c r="Z570" s="1605"/>
      <c r="AA570" s="1605"/>
      <c r="AB570" s="1605"/>
      <c r="AC570" s="1605"/>
      <c r="AD570" s="1605"/>
      <c r="AE570" s="1605"/>
      <c r="AF570" s="1605"/>
      <c r="AG570" s="1605"/>
      <c r="AH570" s="1605"/>
      <c r="AI570" s="1605"/>
      <c r="AJ570" s="1605"/>
      <c r="AK570" s="1605"/>
      <c r="AL570" s="1605"/>
      <c r="AM570" s="1605"/>
      <c r="AN570" s="1605"/>
      <c r="AO570" s="1605"/>
      <c r="AP570" s="1605"/>
      <c r="AQ570" s="1605"/>
      <c r="AR570" s="1605"/>
      <c r="AS570" s="1605"/>
      <c r="AT570" s="1605"/>
      <c r="AU570" s="1605"/>
      <c r="AV570" s="1605"/>
      <c r="AW570" s="1605"/>
      <c r="AX570" s="1605"/>
      <c r="AY570" s="1605"/>
      <c r="AZ570" s="1605"/>
      <c r="BA570" s="1605"/>
      <c r="BB570" s="1605"/>
      <c r="BC570" s="1605"/>
      <c r="BD570" s="1605"/>
      <c r="BE570" s="1605"/>
      <c r="BF570" s="1605"/>
      <c r="BG570" s="1605"/>
      <c r="BH570" s="1605"/>
      <c r="BI570" s="1605"/>
      <c r="BJ570" s="1605"/>
      <c r="BK570" s="1605"/>
      <c r="BL570" s="1605"/>
      <c r="BM570" s="1605"/>
      <c r="BN570" s="1605"/>
      <c r="BO570" s="1605"/>
      <c r="BP570" s="1605"/>
      <c r="BQ570" s="1605"/>
      <c r="BR570" s="1605"/>
      <c r="BS570" s="1605"/>
      <c r="BT570" s="1605"/>
      <c r="BU570" s="1605"/>
      <c r="BV570" s="1605"/>
      <c r="BW570" s="1605"/>
      <c r="BX570" s="1605"/>
      <c r="BY570" s="1605"/>
      <c r="BZ570" s="1605"/>
      <c r="CA570" s="1605"/>
      <c r="CB570" s="1605"/>
      <c r="CC570" s="1605"/>
      <c r="CD570" s="1605"/>
      <c r="CE570" s="1605"/>
      <c r="CF570" s="1605"/>
      <c r="CG570" s="1605"/>
      <c r="CH570" s="1605"/>
      <c r="CI570" s="1605"/>
      <c r="CJ570" s="1605"/>
      <c r="CK570" s="1605"/>
      <c r="CL570" s="1605"/>
      <c r="CM570" s="1605"/>
      <c r="CN570" s="1605"/>
      <c r="CO570" s="1605"/>
      <c r="CP570" s="1605"/>
      <c r="CQ570" s="1605"/>
      <c r="CR570" s="1605"/>
      <c r="CS570" s="1605"/>
      <c r="CT570" s="1605"/>
      <c r="CU570" s="1605"/>
      <c r="CV570" s="1605"/>
      <c r="CW570" s="1605"/>
      <c r="CX570" s="1605"/>
      <c r="CY570" s="1605"/>
      <c r="CZ570" s="1605"/>
      <c r="DA570" s="1605"/>
      <c r="DB570" s="1605"/>
      <c r="DC570" s="1605"/>
      <c r="DD570" s="1605"/>
      <c r="DE570" s="1605"/>
      <c r="DF570" s="1605"/>
      <c r="DG570" s="1605"/>
      <c r="DH570" s="1605"/>
      <c r="DI570" s="1605"/>
      <c r="DJ570" s="1605"/>
      <c r="DK570" s="1605"/>
      <c r="DL570" s="1605"/>
      <c r="DM570" s="1605"/>
      <c r="DN570" s="1605"/>
      <c r="DO570" s="1605"/>
      <c r="DP570" s="1605"/>
      <c r="DQ570" s="1605"/>
      <c r="DR570" s="1605"/>
      <c r="DS570" s="1605"/>
      <c r="DT570" s="1605"/>
      <c r="DU570" s="1605"/>
      <c r="DV570" s="1605"/>
      <c r="DW570" s="1605"/>
      <c r="DX570" s="1605"/>
      <c r="DY570" s="1605"/>
      <c r="DZ570" s="1605"/>
      <c r="EA570" s="1605"/>
      <c r="EB570" s="1605"/>
      <c r="EC570" s="1605"/>
      <c r="ED570" s="1605"/>
      <c r="EE570" s="1605"/>
      <c r="EF570" s="1605"/>
      <c r="EG570" s="1605"/>
      <c r="EH570" s="1605"/>
      <c r="EI570" s="1605"/>
      <c r="EJ570" s="1605"/>
      <c r="EK570" s="1605"/>
      <c r="EL570" s="1605"/>
      <c r="EM570" s="1605"/>
      <c r="EN570" s="1605"/>
      <c r="EO570" s="1605"/>
      <c r="EP570" s="1605"/>
      <c r="EQ570" s="1605"/>
      <c r="ER570" s="1605"/>
      <c r="ES570" s="1605"/>
      <c r="ET570" s="1605"/>
      <c r="EU570" s="1605"/>
      <c r="EV570" s="1605"/>
      <c r="EW570" s="1605"/>
      <c r="EX570" s="1605"/>
      <c r="EY570" s="1605"/>
      <c r="EZ570" s="1605"/>
      <c r="FA570" s="1605"/>
      <c r="FB570" s="1605"/>
      <c r="FC570" s="1605"/>
      <c r="FD570" s="1605"/>
      <c r="FE570" s="1605"/>
      <c r="FF570" s="1605"/>
      <c r="FG570" s="1605"/>
      <c r="FH570" s="1605"/>
      <c r="FI570" s="1605"/>
      <c r="FJ570" s="1605"/>
      <c r="FK570" s="1605"/>
      <c r="FL570" s="1605"/>
      <c r="FM570" s="1605"/>
      <c r="FN570" s="1605"/>
      <c r="FO570" s="1605"/>
      <c r="FP570" s="1605"/>
      <c r="FQ570" s="1605"/>
      <c r="FR570" s="1605"/>
      <c r="FS570" s="1605"/>
      <c r="FT570" s="1605"/>
      <c r="FU570" s="1605"/>
      <c r="FV570" s="1605"/>
      <c r="FW570" s="1605"/>
      <c r="FX570" s="1605"/>
      <c r="FY570" s="1605"/>
      <c r="FZ570" s="1605"/>
      <c r="GA570" s="1605"/>
      <c r="GB570" s="1605"/>
      <c r="GC570" s="1605"/>
      <c r="GD570" s="1605"/>
      <c r="GE570" s="1605"/>
      <c r="GF570" s="1605"/>
      <c r="GG570" s="1605"/>
      <c r="GH570" s="1605"/>
      <c r="GI570" s="1605"/>
      <c r="GJ570" s="1605"/>
      <c r="GK570" s="1605"/>
      <c r="GL570" s="1605"/>
      <c r="GM570" s="1605"/>
      <c r="GN570" s="1605"/>
      <c r="GO570" s="1605"/>
      <c r="GP570" s="1605"/>
      <c r="GQ570" s="1605"/>
      <c r="GR570" s="1605"/>
      <c r="GS570" s="1605"/>
      <c r="GT570" s="1605"/>
      <c r="GU570" s="1605"/>
      <c r="GV570" s="1605"/>
      <c r="GW570" s="1605"/>
      <c r="GX570" s="1605"/>
      <c r="GY570" s="1605"/>
      <c r="GZ570" s="1605"/>
      <c r="HA570" s="1605"/>
      <c r="HB570" s="1605"/>
      <c r="HC570" s="1605"/>
      <c r="HD570" s="1605"/>
      <c r="HE570" s="1605"/>
      <c r="HF570" s="1605"/>
      <c r="HG570" s="1605"/>
      <c r="HH570" s="1605"/>
      <c r="HI570" s="1605"/>
      <c r="HJ570" s="1605"/>
      <c r="HK570" s="1605"/>
      <c r="HL570" s="1605"/>
      <c r="HM570" s="1605"/>
      <c r="HN570" s="1605"/>
      <c r="HO570" s="1605"/>
      <c r="HP570" s="1605"/>
      <c r="HQ570" s="1605"/>
      <c r="HR570" s="1605"/>
      <c r="HS570" s="1605"/>
      <c r="HT570" s="1605"/>
      <c r="HU570" s="1605"/>
      <c r="HV570" s="1605"/>
      <c r="HW570" s="1605"/>
      <c r="HX570" s="1605"/>
      <c r="HY570" s="1605"/>
      <c r="HZ570" s="1605"/>
      <c r="IA570" s="1605"/>
      <c r="IB570" s="1605"/>
      <c r="IC570" s="1605"/>
      <c r="ID570" s="1605"/>
      <c r="IE570" s="1605"/>
      <c r="IF570" s="1605"/>
      <c r="IG570" s="1605"/>
      <c r="IH570" s="1605"/>
      <c r="II570" s="1605"/>
      <c r="IJ570" s="1605"/>
      <c r="IK570" s="1605"/>
      <c r="IL570" s="1605"/>
      <c r="IM570" s="1605"/>
      <c r="IN570" s="1605"/>
      <c r="IO570" s="1605"/>
      <c r="IP570" s="1605"/>
      <c r="IQ570" s="1605"/>
      <c r="IR570" s="1605"/>
      <c r="IS570" s="1605"/>
      <c r="IT570" s="1605"/>
      <c r="IU570" s="1605"/>
      <c r="IV570" s="1605"/>
      <c r="IW570" s="1605"/>
      <c r="IX570" s="1605"/>
      <c r="IY570" s="1605"/>
      <c r="IZ570" s="1605"/>
      <c r="JA570" s="1605"/>
      <c r="JB570" s="1605"/>
      <c r="JC570" s="1605"/>
      <c r="JD570" s="1605"/>
      <c r="JE570" s="1605"/>
      <c r="JF570" s="1605"/>
      <c r="JG570" s="1605"/>
      <c r="JH570" s="1605"/>
      <c r="JI570" s="1605"/>
      <c r="JJ570" s="1605"/>
      <c r="JK570" s="1605"/>
      <c r="JL570" s="1605"/>
      <c r="JM570" s="1605"/>
      <c r="JN570" s="1605"/>
      <c r="JO570" s="1605"/>
      <c r="JP570" s="1605"/>
      <c r="JQ570" s="1605"/>
      <c r="JR570" s="1605"/>
      <c r="JS570" s="1605"/>
      <c r="JT570" s="1605"/>
      <c r="JU570" s="1605"/>
      <c r="JV570" s="1605"/>
      <c r="JW570" s="1605"/>
      <c r="JX570" s="1605"/>
      <c r="JY570" s="1605"/>
      <c r="JZ570" s="1605"/>
      <c r="KA570" s="1605"/>
      <c r="KB570" s="1606"/>
    </row>
    <row r="571" spans="2:288" ht="15" customHeight="1" x14ac:dyDescent="0.25">
      <c r="B571" s="216" t="str">
        <f t="shared" si="46"/>
        <v>Desk 44</v>
      </c>
      <c r="C571" s="218" t="str">
        <v/>
      </c>
      <c r="D571" s="218" t="str">
        <v/>
      </c>
      <c r="E571" s="218" t="str">
        <v/>
      </c>
      <c r="F571" s="218" t="str">
        <v/>
      </c>
      <c r="G571" s="402" t="str">
        <v/>
      </c>
      <c r="H571" s="1605"/>
      <c r="I571" s="1605"/>
      <c r="J571" s="1605"/>
      <c r="K571" s="1605"/>
      <c r="L571" s="1605"/>
      <c r="M571" s="1605"/>
      <c r="N571" s="1605"/>
      <c r="O571" s="1605"/>
      <c r="P571" s="1605"/>
      <c r="Q571" s="1605"/>
      <c r="R571" s="1605"/>
      <c r="S571" s="1605"/>
      <c r="T571" s="1605"/>
      <c r="U571" s="1605"/>
      <c r="V571" s="1605"/>
      <c r="W571" s="1605"/>
      <c r="X571" s="1605"/>
      <c r="Y571" s="1605"/>
      <c r="Z571" s="1605"/>
      <c r="AA571" s="1605"/>
      <c r="AB571" s="1605"/>
      <c r="AC571" s="1605"/>
      <c r="AD571" s="1605"/>
      <c r="AE571" s="1605"/>
      <c r="AF571" s="1605"/>
      <c r="AG571" s="1605"/>
      <c r="AH571" s="1605"/>
      <c r="AI571" s="1605"/>
      <c r="AJ571" s="1605"/>
      <c r="AK571" s="1605"/>
      <c r="AL571" s="1605"/>
      <c r="AM571" s="1605"/>
      <c r="AN571" s="1605"/>
      <c r="AO571" s="1605"/>
      <c r="AP571" s="1605"/>
      <c r="AQ571" s="1605"/>
      <c r="AR571" s="1605"/>
      <c r="AS571" s="1605"/>
      <c r="AT571" s="1605"/>
      <c r="AU571" s="1605"/>
      <c r="AV571" s="1605"/>
      <c r="AW571" s="1605"/>
      <c r="AX571" s="1605"/>
      <c r="AY571" s="1605"/>
      <c r="AZ571" s="1605"/>
      <c r="BA571" s="1605"/>
      <c r="BB571" s="1605"/>
      <c r="BC571" s="1605"/>
      <c r="BD571" s="1605"/>
      <c r="BE571" s="1605"/>
      <c r="BF571" s="1605"/>
      <c r="BG571" s="1605"/>
      <c r="BH571" s="1605"/>
      <c r="BI571" s="1605"/>
      <c r="BJ571" s="1605"/>
      <c r="BK571" s="1605"/>
      <c r="BL571" s="1605"/>
      <c r="BM571" s="1605"/>
      <c r="BN571" s="1605"/>
      <c r="BO571" s="1605"/>
      <c r="BP571" s="1605"/>
      <c r="BQ571" s="1605"/>
      <c r="BR571" s="1605"/>
      <c r="BS571" s="1605"/>
      <c r="BT571" s="1605"/>
      <c r="BU571" s="1605"/>
      <c r="BV571" s="1605"/>
      <c r="BW571" s="1605"/>
      <c r="BX571" s="1605"/>
      <c r="BY571" s="1605"/>
      <c r="BZ571" s="1605"/>
      <c r="CA571" s="1605"/>
      <c r="CB571" s="1605"/>
      <c r="CC571" s="1605"/>
      <c r="CD571" s="1605"/>
      <c r="CE571" s="1605"/>
      <c r="CF571" s="1605"/>
      <c r="CG571" s="1605"/>
      <c r="CH571" s="1605"/>
      <c r="CI571" s="1605"/>
      <c r="CJ571" s="1605"/>
      <c r="CK571" s="1605"/>
      <c r="CL571" s="1605"/>
      <c r="CM571" s="1605"/>
      <c r="CN571" s="1605"/>
      <c r="CO571" s="1605"/>
      <c r="CP571" s="1605"/>
      <c r="CQ571" s="1605"/>
      <c r="CR571" s="1605"/>
      <c r="CS571" s="1605"/>
      <c r="CT571" s="1605"/>
      <c r="CU571" s="1605"/>
      <c r="CV571" s="1605"/>
      <c r="CW571" s="1605"/>
      <c r="CX571" s="1605"/>
      <c r="CY571" s="1605"/>
      <c r="CZ571" s="1605"/>
      <c r="DA571" s="1605"/>
      <c r="DB571" s="1605"/>
      <c r="DC571" s="1605"/>
      <c r="DD571" s="1605"/>
      <c r="DE571" s="1605"/>
      <c r="DF571" s="1605"/>
      <c r="DG571" s="1605"/>
      <c r="DH571" s="1605"/>
      <c r="DI571" s="1605"/>
      <c r="DJ571" s="1605"/>
      <c r="DK571" s="1605"/>
      <c r="DL571" s="1605"/>
      <c r="DM571" s="1605"/>
      <c r="DN571" s="1605"/>
      <c r="DO571" s="1605"/>
      <c r="DP571" s="1605"/>
      <c r="DQ571" s="1605"/>
      <c r="DR571" s="1605"/>
      <c r="DS571" s="1605"/>
      <c r="DT571" s="1605"/>
      <c r="DU571" s="1605"/>
      <c r="DV571" s="1605"/>
      <c r="DW571" s="1605"/>
      <c r="DX571" s="1605"/>
      <c r="DY571" s="1605"/>
      <c r="DZ571" s="1605"/>
      <c r="EA571" s="1605"/>
      <c r="EB571" s="1605"/>
      <c r="EC571" s="1605"/>
      <c r="ED571" s="1605"/>
      <c r="EE571" s="1605"/>
      <c r="EF571" s="1605"/>
      <c r="EG571" s="1605"/>
      <c r="EH571" s="1605"/>
      <c r="EI571" s="1605"/>
      <c r="EJ571" s="1605"/>
      <c r="EK571" s="1605"/>
      <c r="EL571" s="1605"/>
      <c r="EM571" s="1605"/>
      <c r="EN571" s="1605"/>
      <c r="EO571" s="1605"/>
      <c r="EP571" s="1605"/>
      <c r="EQ571" s="1605"/>
      <c r="ER571" s="1605"/>
      <c r="ES571" s="1605"/>
      <c r="ET571" s="1605"/>
      <c r="EU571" s="1605"/>
      <c r="EV571" s="1605"/>
      <c r="EW571" s="1605"/>
      <c r="EX571" s="1605"/>
      <c r="EY571" s="1605"/>
      <c r="EZ571" s="1605"/>
      <c r="FA571" s="1605"/>
      <c r="FB571" s="1605"/>
      <c r="FC571" s="1605"/>
      <c r="FD571" s="1605"/>
      <c r="FE571" s="1605"/>
      <c r="FF571" s="1605"/>
      <c r="FG571" s="1605"/>
      <c r="FH571" s="1605"/>
      <c r="FI571" s="1605"/>
      <c r="FJ571" s="1605"/>
      <c r="FK571" s="1605"/>
      <c r="FL571" s="1605"/>
      <c r="FM571" s="1605"/>
      <c r="FN571" s="1605"/>
      <c r="FO571" s="1605"/>
      <c r="FP571" s="1605"/>
      <c r="FQ571" s="1605"/>
      <c r="FR571" s="1605"/>
      <c r="FS571" s="1605"/>
      <c r="FT571" s="1605"/>
      <c r="FU571" s="1605"/>
      <c r="FV571" s="1605"/>
      <c r="FW571" s="1605"/>
      <c r="FX571" s="1605"/>
      <c r="FY571" s="1605"/>
      <c r="FZ571" s="1605"/>
      <c r="GA571" s="1605"/>
      <c r="GB571" s="1605"/>
      <c r="GC571" s="1605"/>
      <c r="GD571" s="1605"/>
      <c r="GE571" s="1605"/>
      <c r="GF571" s="1605"/>
      <c r="GG571" s="1605"/>
      <c r="GH571" s="1605"/>
      <c r="GI571" s="1605"/>
      <c r="GJ571" s="1605"/>
      <c r="GK571" s="1605"/>
      <c r="GL571" s="1605"/>
      <c r="GM571" s="1605"/>
      <c r="GN571" s="1605"/>
      <c r="GO571" s="1605"/>
      <c r="GP571" s="1605"/>
      <c r="GQ571" s="1605"/>
      <c r="GR571" s="1605"/>
      <c r="GS571" s="1605"/>
      <c r="GT571" s="1605"/>
      <c r="GU571" s="1605"/>
      <c r="GV571" s="1605"/>
      <c r="GW571" s="1605"/>
      <c r="GX571" s="1605"/>
      <c r="GY571" s="1605"/>
      <c r="GZ571" s="1605"/>
      <c r="HA571" s="1605"/>
      <c r="HB571" s="1605"/>
      <c r="HC571" s="1605"/>
      <c r="HD571" s="1605"/>
      <c r="HE571" s="1605"/>
      <c r="HF571" s="1605"/>
      <c r="HG571" s="1605"/>
      <c r="HH571" s="1605"/>
      <c r="HI571" s="1605"/>
      <c r="HJ571" s="1605"/>
      <c r="HK571" s="1605"/>
      <c r="HL571" s="1605"/>
      <c r="HM571" s="1605"/>
      <c r="HN571" s="1605"/>
      <c r="HO571" s="1605"/>
      <c r="HP571" s="1605"/>
      <c r="HQ571" s="1605"/>
      <c r="HR571" s="1605"/>
      <c r="HS571" s="1605"/>
      <c r="HT571" s="1605"/>
      <c r="HU571" s="1605"/>
      <c r="HV571" s="1605"/>
      <c r="HW571" s="1605"/>
      <c r="HX571" s="1605"/>
      <c r="HY571" s="1605"/>
      <c r="HZ571" s="1605"/>
      <c r="IA571" s="1605"/>
      <c r="IB571" s="1605"/>
      <c r="IC571" s="1605"/>
      <c r="ID571" s="1605"/>
      <c r="IE571" s="1605"/>
      <c r="IF571" s="1605"/>
      <c r="IG571" s="1605"/>
      <c r="IH571" s="1605"/>
      <c r="II571" s="1605"/>
      <c r="IJ571" s="1605"/>
      <c r="IK571" s="1605"/>
      <c r="IL571" s="1605"/>
      <c r="IM571" s="1605"/>
      <c r="IN571" s="1605"/>
      <c r="IO571" s="1605"/>
      <c r="IP571" s="1605"/>
      <c r="IQ571" s="1605"/>
      <c r="IR571" s="1605"/>
      <c r="IS571" s="1605"/>
      <c r="IT571" s="1605"/>
      <c r="IU571" s="1605"/>
      <c r="IV571" s="1605"/>
      <c r="IW571" s="1605"/>
      <c r="IX571" s="1605"/>
      <c r="IY571" s="1605"/>
      <c r="IZ571" s="1605"/>
      <c r="JA571" s="1605"/>
      <c r="JB571" s="1605"/>
      <c r="JC571" s="1605"/>
      <c r="JD571" s="1605"/>
      <c r="JE571" s="1605"/>
      <c r="JF571" s="1605"/>
      <c r="JG571" s="1605"/>
      <c r="JH571" s="1605"/>
      <c r="JI571" s="1605"/>
      <c r="JJ571" s="1605"/>
      <c r="JK571" s="1605"/>
      <c r="JL571" s="1605"/>
      <c r="JM571" s="1605"/>
      <c r="JN571" s="1605"/>
      <c r="JO571" s="1605"/>
      <c r="JP571" s="1605"/>
      <c r="JQ571" s="1605"/>
      <c r="JR571" s="1605"/>
      <c r="JS571" s="1605"/>
      <c r="JT571" s="1605"/>
      <c r="JU571" s="1605"/>
      <c r="JV571" s="1605"/>
      <c r="JW571" s="1605"/>
      <c r="JX571" s="1605"/>
      <c r="JY571" s="1605"/>
      <c r="JZ571" s="1605"/>
      <c r="KA571" s="1605"/>
      <c r="KB571" s="1606"/>
    </row>
    <row r="572" spans="2:288" ht="15" customHeight="1" x14ac:dyDescent="0.25">
      <c r="B572" s="216" t="str">
        <f t="shared" si="46"/>
        <v>Desk 45</v>
      </c>
      <c r="C572" s="218" t="str">
        <v/>
      </c>
      <c r="D572" s="218" t="str">
        <v/>
      </c>
      <c r="E572" s="218" t="str">
        <v/>
      </c>
      <c r="F572" s="218" t="str">
        <v/>
      </c>
      <c r="G572" s="402" t="str">
        <v/>
      </c>
      <c r="H572" s="1605"/>
      <c r="I572" s="1605"/>
      <c r="J572" s="1605"/>
      <c r="K572" s="1605"/>
      <c r="L572" s="1605"/>
      <c r="M572" s="1605"/>
      <c r="N572" s="1605"/>
      <c r="O572" s="1605"/>
      <c r="P572" s="1605"/>
      <c r="Q572" s="1605"/>
      <c r="R572" s="1605"/>
      <c r="S572" s="1605"/>
      <c r="T572" s="1605"/>
      <c r="U572" s="1605"/>
      <c r="V572" s="1605"/>
      <c r="W572" s="1605"/>
      <c r="X572" s="1605"/>
      <c r="Y572" s="1605"/>
      <c r="Z572" s="1605"/>
      <c r="AA572" s="1605"/>
      <c r="AB572" s="1605"/>
      <c r="AC572" s="1605"/>
      <c r="AD572" s="1605"/>
      <c r="AE572" s="1605"/>
      <c r="AF572" s="1605"/>
      <c r="AG572" s="1605"/>
      <c r="AH572" s="1605"/>
      <c r="AI572" s="1605"/>
      <c r="AJ572" s="1605"/>
      <c r="AK572" s="1605"/>
      <c r="AL572" s="1605"/>
      <c r="AM572" s="1605"/>
      <c r="AN572" s="1605"/>
      <c r="AO572" s="1605"/>
      <c r="AP572" s="1605"/>
      <c r="AQ572" s="1605"/>
      <c r="AR572" s="1605"/>
      <c r="AS572" s="1605"/>
      <c r="AT572" s="1605"/>
      <c r="AU572" s="1605"/>
      <c r="AV572" s="1605"/>
      <c r="AW572" s="1605"/>
      <c r="AX572" s="1605"/>
      <c r="AY572" s="1605"/>
      <c r="AZ572" s="1605"/>
      <c r="BA572" s="1605"/>
      <c r="BB572" s="1605"/>
      <c r="BC572" s="1605"/>
      <c r="BD572" s="1605"/>
      <c r="BE572" s="1605"/>
      <c r="BF572" s="1605"/>
      <c r="BG572" s="1605"/>
      <c r="BH572" s="1605"/>
      <c r="BI572" s="1605"/>
      <c r="BJ572" s="1605"/>
      <c r="BK572" s="1605"/>
      <c r="BL572" s="1605"/>
      <c r="BM572" s="1605"/>
      <c r="BN572" s="1605"/>
      <c r="BO572" s="1605"/>
      <c r="BP572" s="1605"/>
      <c r="BQ572" s="1605"/>
      <c r="BR572" s="1605"/>
      <c r="BS572" s="1605"/>
      <c r="BT572" s="1605"/>
      <c r="BU572" s="1605"/>
      <c r="BV572" s="1605"/>
      <c r="BW572" s="1605"/>
      <c r="BX572" s="1605"/>
      <c r="BY572" s="1605"/>
      <c r="BZ572" s="1605"/>
      <c r="CA572" s="1605"/>
      <c r="CB572" s="1605"/>
      <c r="CC572" s="1605"/>
      <c r="CD572" s="1605"/>
      <c r="CE572" s="1605"/>
      <c r="CF572" s="1605"/>
      <c r="CG572" s="1605"/>
      <c r="CH572" s="1605"/>
      <c r="CI572" s="1605"/>
      <c r="CJ572" s="1605"/>
      <c r="CK572" s="1605"/>
      <c r="CL572" s="1605"/>
      <c r="CM572" s="1605"/>
      <c r="CN572" s="1605"/>
      <c r="CO572" s="1605"/>
      <c r="CP572" s="1605"/>
      <c r="CQ572" s="1605"/>
      <c r="CR572" s="1605"/>
      <c r="CS572" s="1605"/>
      <c r="CT572" s="1605"/>
      <c r="CU572" s="1605"/>
      <c r="CV572" s="1605"/>
      <c r="CW572" s="1605"/>
      <c r="CX572" s="1605"/>
      <c r="CY572" s="1605"/>
      <c r="CZ572" s="1605"/>
      <c r="DA572" s="1605"/>
      <c r="DB572" s="1605"/>
      <c r="DC572" s="1605"/>
      <c r="DD572" s="1605"/>
      <c r="DE572" s="1605"/>
      <c r="DF572" s="1605"/>
      <c r="DG572" s="1605"/>
      <c r="DH572" s="1605"/>
      <c r="DI572" s="1605"/>
      <c r="DJ572" s="1605"/>
      <c r="DK572" s="1605"/>
      <c r="DL572" s="1605"/>
      <c r="DM572" s="1605"/>
      <c r="DN572" s="1605"/>
      <c r="DO572" s="1605"/>
      <c r="DP572" s="1605"/>
      <c r="DQ572" s="1605"/>
      <c r="DR572" s="1605"/>
      <c r="DS572" s="1605"/>
      <c r="DT572" s="1605"/>
      <c r="DU572" s="1605"/>
      <c r="DV572" s="1605"/>
      <c r="DW572" s="1605"/>
      <c r="DX572" s="1605"/>
      <c r="DY572" s="1605"/>
      <c r="DZ572" s="1605"/>
      <c r="EA572" s="1605"/>
      <c r="EB572" s="1605"/>
      <c r="EC572" s="1605"/>
      <c r="ED572" s="1605"/>
      <c r="EE572" s="1605"/>
      <c r="EF572" s="1605"/>
      <c r="EG572" s="1605"/>
      <c r="EH572" s="1605"/>
      <c r="EI572" s="1605"/>
      <c r="EJ572" s="1605"/>
      <c r="EK572" s="1605"/>
      <c r="EL572" s="1605"/>
      <c r="EM572" s="1605"/>
      <c r="EN572" s="1605"/>
      <c r="EO572" s="1605"/>
      <c r="EP572" s="1605"/>
      <c r="EQ572" s="1605"/>
      <c r="ER572" s="1605"/>
      <c r="ES572" s="1605"/>
      <c r="ET572" s="1605"/>
      <c r="EU572" s="1605"/>
      <c r="EV572" s="1605"/>
      <c r="EW572" s="1605"/>
      <c r="EX572" s="1605"/>
      <c r="EY572" s="1605"/>
      <c r="EZ572" s="1605"/>
      <c r="FA572" s="1605"/>
      <c r="FB572" s="1605"/>
      <c r="FC572" s="1605"/>
      <c r="FD572" s="1605"/>
      <c r="FE572" s="1605"/>
      <c r="FF572" s="1605"/>
      <c r="FG572" s="1605"/>
      <c r="FH572" s="1605"/>
      <c r="FI572" s="1605"/>
      <c r="FJ572" s="1605"/>
      <c r="FK572" s="1605"/>
      <c r="FL572" s="1605"/>
      <c r="FM572" s="1605"/>
      <c r="FN572" s="1605"/>
      <c r="FO572" s="1605"/>
      <c r="FP572" s="1605"/>
      <c r="FQ572" s="1605"/>
      <c r="FR572" s="1605"/>
      <c r="FS572" s="1605"/>
      <c r="FT572" s="1605"/>
      <c r="FU572" s="1605"/>
      <c r="FV572" s="1605"/>
      <c r="FW572" s="1605"/>
      <c r="FX572" s="1605"/>
      <c r="FY572" s="1605"/>
      <c r="FZ572" s="1605"/>
      <c r="GA572" s="1605"/>
      <c r="GB572" s="1605"/>
      <c r="GC572" s="1605"/>
      <c r="GD572" s="1605"/>
      <c r="GE572" s="1605"/>
      <c r="GF572" s="1605"/>
      <c r="GG572" s="1605"/>
      <c r="GH572" s="1605"/>
      <c r="GI572" s="1605"/>
      <c r="GJ572" s="1605"/>
      <c r="GK572" s="1605"/>
      <c r="GL572" s="1605"/>
      <c r="GM572" s="1605"/>
      <c r="GN572" s="1605"/>
      <c r="GO572" s="1605"/>
      <c r="GP572" s="1605"/>
      <c r="GQ572" s="1605"/>
      <c r="GR572" s="1605"/>
      <c r="GS572" s="1605"/>
      <c r="GT572" s="1605"/>
      <c r="GU572" s="1605"/>
      <c r="GV572" s="1605"/>
      <c r="GW572" s="1605"/>
      <c r="GX572" s="1605"/>
      <c r="GY572" s="1605"/>
      <c r="GZ572" s="1605"/>
      <c r="HA572" s="1605"/>
      <c r="HB572" s="1605"/>
      <c r="HC572" s="1605"/>
      <c r="HD572" s="1605"/>
      <c r="HE572" s="1605"/>
      <c r="HF572" s="1605"/>
      <c r="HG572" s="1605"/>
      <c r="HH572" s="1605"/>
      <c r="HI572" s="1605"/>
      <c r="HJ572" s="1605"/>
      <c r="HK572" s="1605"/>
      <c r="HL572" s="1605"/>
      <c r="HM572" s="1605"/>
      <c r="HN572" s="1605"/>
      <c r="HO572" s="1605"/>
      <c r="HP572" s="1605"/>
      <c r="HQ572" s="1605"/>
      <c r="HR572" s="1605"/>
      <c r="HS572" s="1605"/>
      <c r="HT572" s="1605"/>
      <c r="HU572" s="1605"/>
      <c r="HV572" s="1605"/>
      <c r="HW572" s="1605"/>
      <c r="HX572" s="1605"/>
      <c r="HY572" s="1605"/>
      <c r="HZ572" s="1605"/>
      <c r="IA572" s="1605"/>
      <c r="IB572" s="1605"/>
      <c r="IC572" s="1605"/>
      <c r="ID572" s="1605"/>
      <c r="IE572" s="1605"/>
      <c r="IF572" s="1605"/>
      <c r="IG572" s="1605"/>
      <c r="IH572" s="1605"/>
      <c r="II572" s="1605"/>
      <c r="IJ572" s="1605"/>
      <c r="IK572" s="1605"/>
      <c r="IL572" s="1605"/>
      <c r="IM572" s="1605"/>
      <c r="IN572" s="1605"/>
      <c r="IO572" s="1605"/>
      <c r="IP572" s="1605"/>
      <c r="IQ572" s="1605"/>
      <c r="IR572" s="1605"/>
      <c r="IS572" s="1605"/>
      <c r="IT572" s="1605"/>
      <c r="IU572" s="1605"/>
      <c r="IV572" s="1605"/>
      <c r="IW572" s="1605"/>
      <c r="IX572" s="1605"/>
      <c r="IY572" s="1605"/>
      <c r="IZ572" s="1605"/>
      <c r="JA572" s="1605"/>
      <c r="JB572" s="1605"/>
      <c r="JC572" s="1605"/>
      <c r="JD572" s="1605"/>
      <c r="JE572" s="1605"/>
      <c r="JF572" s="1605"/>
      <c r="JG572" s="1605"/>
      <c r="JH572" s="1605"/>
      <c r="JI572" s="1605"/>
      <c r="JJ572" s="1605"/>
      <c r="JK572" s="1605"/>
      <c r="JL572" s="1605"/>
      <c r="JM572" s="1605"/>
      <c r="JN572" s="1605"/>
      <c r="JO572" s="1605"/>
      <c r="JP572" s="1605"/>
      <c r="JQ572" s="1605"/>
      <c r="JR572" s="1605"/>
      <c r="JS572" s="1605"/>
      <c r="JT572" s="1605"/>
      <c r="JU572" s="1605"/>
      <c r="JV572" s="1605"/>
      <c r="JW572" s="1605"/>
      <c r="JX572" s="1605"/>
      <c r="JY572" s="1605"/>
      <c r="JZ572" s="1605"/>
      <c r="KA572" s="1605"/>
      <c r="KB572" s="1606"/>
    </row>
    <row r="573" spans="2:288" ht="15" customHeight="1" x14ac:dyDescent="0.25">
      <c r="B573" s="216" t="str">
        <f t="shared" si="46"/>
        <v>Desk 46</v>
      </c>
      <c r="C573" s="218" t="str">
        <v/>
      </c>
      <c r="D573" s="218" t="str">
        <v/>
      </c>
      <c r="E573" s="218" t="str">
        <v/>
      </c>
      <c r="F573" s="218" t="str">
        <v/>
      </c>
      <c r="G573" s="402" t="str">
        <v/>
      </c>
      <c r="H573" s="1605"/>
      <c r="I573" s="1605"/>
      <c r="J573" s="1605"/>
      <c r="K573" s="1605"/>
      <c r="L573" s="1605"/>
      <c r="M573" s="1605"/>
      <c r="N573" s="1605"/>
      <c r="O573" s="1605"/>
      <c r="P573" s="1605"/>
      <c r="Q573" s="1605"/>
      <c r="R573" s="1605"/>
      <c r="S573" s="1605"/>
      <c r="T573" s="1605"/>
      <c r="U573" s="1605"/>
      <c r="V573" s="1605"/>
      <c r="W573" s="1605"/>
      <c r="X573" s="1605"/>
      <c r="Y573" s="1605"/>
      <c r="Z573" s="1605"/>
      <c r="AA573" s="1605"/>
      <c r="AB573" s="1605"/>
      <c r="AC573" s="1605"/>
      <c r="AD573" s="1605"/>
      <c r="AE573" s="1605"/>
      <c r="AF573" s="1605"/>
      <c r="AG573" s="1605"/>
      <c r="AH573" s="1605"/>
      <c r="AI573" s="1605"/>
      <c r="AJ573" s="1605"/>
      <c r="AK573" s="1605"/>
      <c r="AL573" s="1605"/>
      <c r="AM573" s="1605"/>
      <c r="AN573" s="1605"/>
      <c r="AO573" s="1605"/>
      <c r="AP573" s="1605"/>
      <c r="AQ573" s="1605"/>
      <c r="AR573" s="1605"/>
      <c r="AS573" s="1605"/>
      <c r="AT573" s="1605"/>
      <c r="AU573" s="1605"/>
      <c r="AV573" s="1605"/>
      <c r="AW573" s="1605"/>
      <c r="AX573" s="1605"/>
      <c r="AY573" s="1605"/>
      <c r="AZ573" s="1605"/>
      <c r="BA573" s="1605"/>
      <c r="BB573" s="1605"/>
      <c r="BC573" s="1605"/>
      <c r="BD573" s="1605"/>
      <c r="BE573" s="1605"/>
      <c r="BF573" s="1605"/>
      <c r="BG573" s="1605"/>
      <c r="BH573" s="1605"/>
      <c r="BI573" s="1605"/>
      <c r="BJ573" s="1605"/>
      <c r="BK573" s="1605"/>
      <c r="BL573" s="1605"/>
      <c r="BM573" s="1605"/>
      <c r="BN573" s="1605"/>
      <c r="BO573" s="1605"/>
      <c r="BP573" s="1605"/>
      <c r="BQ573" s="1605"/>
      <c r="BR573" s="1605"/>
      <c r="BS573" s="1605"/>
      <c r="BT573" s="1605"/>
      <c r="BU573" s="1605"/>
      <c r="BV573" s="1605"/>
      <c r="BW573" s="1605"/>
      <c r="BX573" s="1605"/>
      <c r="BY573" s="1605"/>
      <c r="BZ573" s="1605"/>
      <c r="CA573" s="1605"/>
      <c r="CB573" s="1605"/>
      <c r="CC573" s="1605"/>
      <c r="CD573" s="1605"/>
      <c r="CE573" s="1605"/>
      <c r="CF573" s="1605"/>
      <c r="CG573" s="1605"/>
      <c r="CH573" s="1605"/>
      <c r="CI573" s="1605"/>
      <c r="CJ573" s="1605"/>
      <c r="CK573" s="1605"/>
      <c r="CL573" s="1605"/>
      <c r="CM573" s="1605"/>
      <c r="CN573" s="1605"/>
      <c r="CO573" s="1605"/>
      <c r="CP573" s="1605"/>
      <c r="CQ573" s="1605"/>
      <c r="CR573" s="1605"/>
      <c r="CS573" s="1605"/>
      <c r="CT573" s="1605"/>
      <c r="CU573" s="1605"/>
      <c r="CV573" s="1605"/>
      <c r="CW573" s="1605"/>
      <c r="CX573" s="1605"/>
      <c r="CY573" s="1605"/>
      <c r="CZ573" s="1605"/>
      <c r="DA573" s="1605"/>
      <c r="DB573" s="1605"/>
      <c r="DC573" s="1605"/>
      <c r="DD573" s="1605"/>
      <c r="DE573" s="1605"/>
      <c r="DF573" s="1605"/>
      <c r="DG573" s="1605"/>
      <c r="DH573" s="1605"/>
      <c r="DI573" s="1605"/>
      <c r="DJ573" s="1605"/>
      <c r="DK573" s="1605"/>
      <c r="DL573" s="1605"/>
      <c r="DM573" s="1605"/>
      <c r="DN573" s="1605"/>
      <c r="DO573" s="1605"/>
      <c r="DP573" s="1605"/>
      <c r="DQ573" s="1605"/>
      <c r="DR573" s="1605"/>
      <c r="DS573" s="1605"/>
      <c r="DT573" s="1605"/>
      <c r="DU573" s="1605"/>
      <c r="DV573" s="1605"/>
      <c r="DW573" s="1605"/>
      <c r="DX573" s="1605"/>
      <c r="DY573" s="1605"/>
      <c r="DZ573" s="1605"/>
      <c r="EA573" s="1605"/>
      <c r="EB573" s="1605"/>
      <c r="EC573" s="1605"/>
      <c r="ED573" s="1605"/>
      <c r="EE573" s="1605"/>
      <c r="EF573" s="1605"/>
      <c r="EG573" s="1605"/>
      <c r="EH573" s="1605"/>
      <c r="EI573" s="1605"/>
      <c r="EJ573" s="1605"/>
      <c r="EK573" s="1605"/>
      <c r="EL573" s="1605"/>
      <c r="EM573" s="1605"/>
      <c r="EN573" s="1605"/>
      <c r="EO573" s="1605"/>
      <c r="EP573" s="1605"/>
      <c r="EQ573" s="1605"/>
      <c r="ER573" s="1605"/>
      <c r="ES573" s="1605"/>
      <c r="ET573" s="1605"/>
      <c r="EU573" s="1605"/>
      <c r="EV573" s="1605"/>
      <c r="EW573" s="1605"/>
      <c r="EX573" s="1605"/>
      <c r="EY573" s="1605"/>
      <c r="EZ573" s="1605"/>
      <c r="FA573" s="1605"/>
      <c r="FB573" s="1605"/>
      <c r="FC573" s="1605"/>
      <c r="FD573" s="1605"/>
      <c r="FE573" s="1605"/>
      <c r="FF573" s="1605"/>
      <c r="FG573" s="1605"/>
      <c r="FH573" s="1605"/>
      <c r="FI573" s="1605"/>
      <c r="FJ573" s="1605"/>
      <c r="FK573" s="1605"/>
      <c r="FL573" s="1605"/>
      <c r="FM573" s="1605"/>
      <c r="FN573" s="1605"/>
      <c r="FO573" s="1605"/>
      <c r="FP573" s="1605"/>
      <c r="FQ573" s="1605"/>
      <c r="FR573" s="1605"/>
      <c r="FS573" s="1605"/>
      <c r="FT573" s="1605"/>
      <c r="FU573" s="1605"/>
      <c r="FV573" s="1605"/>
      <c r="FW573" s="1605"/>
      <c r="FX573" s="1605"/>
      <c r="FY573" s="1605"/>
      <c r="FZ573" s="1605"/>
      <c r="GA573" s="1605"/>
      <c r="GB573" s="1605"/>
      <c r="GC573" s="1605"/>
      <c r="GD573" s="1605"/>
      <c r="GE573" s="1605"/>
      <c r="GF573" s="1605"/>
      <c r="GG573" s="1605"/>
      <c r="GH573" s="1605"/>
      <c r="GI573" s="1605"/>
      <c r="GJ573" s="1605"/>
      <c r="GK573" s="1605"/>
      <c r="GL573" s="1605"/>
      <c r="GM573" s="1605"/>
      <c r="GN573" s="1605"/>
      <c r="GO573" s="1605"/>
      <c r="GP573" s="1605"/>
      <c r="GQ573" s="1605"/>
      <c r="GR573" s="1605"/>
      <c r="GS573" s="1605"/>
      <c r="GT573" s="1605"/>
      <c r="GU573" s="1605"/>
      <c r="GV573" s="1605"/>
      <c r="GW573" s="1605"/>
      <c r="GX573" s="1605"/>
      <c r="GY573" s="1605"/>
      <c r="GZ573" s="1605"/>
      <c r="HA573" s="1605"/>
      <c r="HB573" s="1605"/>
      <c r="HC573" s="1605"/>
      <c r="HD573" s="1605"/>
      <c r="HE573" s="1605"/>
      <c r="HF573" s="1605"/>
      <c r="HG573" s="1605"/>
      <c r="HH573" s="1605"/>
      <c r="HI573" s="1605"/>
      <c r="HJ573" s="1605"/>
      <c r="HK573" s="1605"/>
      <c r="HL573" s="1605"/>
      <c r="HM573" s="1605"/>
      <c r="HN573" s="1605"/>
      <c r="HO573" s="1605"/>
      <c r="HP573" s="1605"/>
      <c r="HQ573" s="1605"/>
      <c r="HR573" s="1605"/>
      <c r="HS573" s="1605"/>
      <c r="HT573" s="1605"/>
      <c r="HU573" s="1605"/>
      <c r="HV573" s="1605"/>
      <c r="HW573" s="1605"/>
      <c r="HX573" s="1605"/>
      <c r="HY573" s="1605"/>
      <c r="HZ573" s="1605"/>
      <c r="IA573" s="1605"/>
      <c r="IB573" s="1605"/>
      <c r="IC573" s="1605"/>
      <c r="ID573" s="1605"/>
      <c r="IE573" s="1605"/>
      <c r="IF573" s="1605"/>
      <c r="IG573" s="1605"/>
      <c r="IH573" s="1605"/>
      <c r="II573" s="1605"/>
      <c r="IJ573" s="1605"/>
      <c r="IK573" s="1605"/>
      <c r="IL573" s="1605"/>
      <c r="IM573" s="1605"/>
      <c r="IN573" s="1605"/>
      <c r="IO573" s="1605"/>
      <c r="IP573" s="1605"/>
      <c r="IQ573" s="1605"/>
      <c r="IR573" s="1605"/>
      <c r="IS573" s="1605"/>
      <c r="IT573" s="1605"/>
      <c r="IU573" s="1605"/>
      <c r="IV573" s="1605"/>
      <c r="IW573" s="1605"/>
      <c r="IX573" s="1605"/>
      <c r="IY573" s="1605"/>
      <c r="IZ573" s="1605"/>
      <c r="JA573" s="1605"/>
      <c r="JB573" s="1605"/>
      <c r="JC573" s="1605"/>
      <c r="JD573" s="1605"/>
      <c r="JE573" s="1605"/>
      <c r="JF573" s="1605"/>
      <c r="JG573" s="1605"/>
      <c r="JH573" s="1605"/>
      <c r="JI573" s="1605"/>
      <c r="JJ573" s="1605"/>
      <c r="JK573" s="1605"/>
      <c r="JL573" s="1605"/>
      <c r="JM573" s="1605"/>
      <c r="JN573" s="1605"/>
      <c r="JO573" s="1605"/>
      <c r="JP573" s="1605"/>
      <c r="JQ573" s="1605"/>
      <c r="JR573" s="1605"/>
      <c r="JS573" s="1605"/>
      <c r="JT573" s="1605"/>
      <c r="JU573" s="1605"/>
      <c r="JV573" s="1605"/>
      <c r="JW573" s="1605"/>
      <c r="JX573" s="1605"/>
      <c r="JY573" s="1605"/>
      <c r="JZ573" s="1605"/>
      <c r="KA573" s="1605"/>
      <c r="KB573" s="1606"/>
    </row>
    <row r="574" spans="2:288" ht="15" customHeight="1" x14ac:dyDescent="0.25">
      <c r="B574" s="216" t="str">
        <f t="shared" si="46"/>
        <v>Desk 47</v>
      </c>
      <c r="C574" s="218" t="str">
        <v/>
      </c>
      <c r="D574" s="218" t="str">
        <v/>
      </c>
      <c r="E574" s="218" t="str">
        <v/>
      </c>
      <c r="F574" s="218" t="str">
        <v/>
      </c>
      <c r="G574" s="402" t="str">
        <v/>
      </c>
      <c r="H574" s="1605"/>
      <c r="I574" s="1605"/>
      <c r="J574" s="1605"/>
      <c r="K574" s="1605"/>
      <c r="L574" s="1605"/>
      <c r="M574" s="1605"/>
      <c r="N574" s="1605"/>
      <c r="O574" s="1605"/>
      <c r="P574" s="1605"/>
      <c r="Q574" s="1605"/>
      <c r="R574" s="1605"/>
      <c r="S574" s="1605"/>
      <c r="T574" s="1605"/>
      <c r="U574" s="1605"/>
      <c r="V574" s="1605"/>
      <c r="W574" s="1605"/>
      <c r="X574" s="1605"/>
      <c r="Y574" s="1605"/>
      <c r="Z574" s="1605"/>
      <c r="AA574" s="1605"/>
      <c r="AB574" s="1605"/>
      <c r="AC574" s="1605"/>
      <c r="AD574" s="1605"/>
      <c r="AE574" s="1605"/>
      <c r="AF574" s="1605"/>
      <c r="AG574" s="1605"/>
      <c r="AH574" s="1605"/>
      <c r="AI574" s="1605"/>
      <c r="AJ574" s="1605"/>
      <c r="AK574" s="1605"/>
      <c r="AL574" s="1605"/>
      <c r="AM574" s="1605"/>
      <c r="AN574" s="1605"/>
      <c r="AO574" s="1605"/>
      <c r="AP574" s="1605"/>
      <c r="AQ574" s="1605"/>
      <c r="AR574" s="1605"/>
      <c r="AS574" s="1605"/>
      <c r="AT574" s="1605"/>
      <c r="AU574" s="1605"/>
      <c r="AV574" s="1605"/>
      <c r="AW574" s="1605"/>
      <c r="AX574" s="1605"/>
      <c r="AY574" s="1605"/>
      <c r="AZ574" s="1605"/>
      <c r="BA574" s="1605"/>
      <c r="BB574" s="1605"/>
      <c r="BC574" s="1605"/>
      <c r="BD574" s="1605"/>
      <c r="BE574" s="1605"/>
      <c r="BF574" s="1605"/>
      <c r="BG574" s="1605"/>
      <c r="BH574" s="1605"/>
      <c r="BI574" s="1605"/>
      <c r="BJ574" s="1605"/>
      <c r="BK574" s="1605"/>
      <c r="BL574" s="1605"/>
      <c r="BM574" s="1605"/>
      <c r="BN574" s="1605"/>
      <c r="BO574" s="1605"/>
      <c r="BP574" s="1605"/>
      <c r="BQ574" s="1605"/>
      <c r="BR574" s="1605"/>
      <c r="BS574" s="1605"/>
      <c r="BT574" s="1605"/>
      <c r="BU574" s="1605"/>
      <c r="BV574" s="1605"/>
      <c r="BW574" s="1605"/>
      <c r="BX574" s="1605"/>
      <c r="BY574" s="1605"/>
      <c r="BZ574" s="1605"/>
      <c r="CA574" s="1605"/>
      <c r="CB574" s="1605"/>
      <c r="CC574" s="1605"/>
      <c r="CD574" s="1605"/>
      <c r="CE574" s="1605"/>
      <c r="CF574" s="1605"/>
      <c r="CG574" s="1605"/>
      <c r="CH574" s="1605"/>
      <c r="CI574" s="1605"/>
      <c r="CJ574" s="1605"/>
      <c r="CK574" s="1605"/>
      <c r="CL574" s="1605"/>
      <c r="CM574" s="1605"/>
      <c r="CN574" s="1605"/>
      <c r="CO574" s="1605"/>
      <c r="CP574" s="1605"/>
      <c r="CQ574" s="1605"/>
      <c r="CR574" s="1605"/>
      <c r="CS574" s="1605"/>
      <c r="CT574" s="1605"/>
      <c r="CU574" s="1605"/>
      <c r="CV574" s="1605"/>
      <c r="CW574" s="1605"/>
      <c r="CX574" s="1605"/>
      <c r="CY574" s="1605"/>
      <c r="CZ574" s="1605"/>
      <c r="DA574" s="1605"/>
      <c r="DB574" s="1605"/>
      <c r="DC574" s="1605"/>
      <c r="DD574" s="1605"/>
      <c r="DE574" s="1605"/>
      <c r="DF574" s="1605"/>
      <c r="DG574" s="1605"/>
      <c r="DH574" s="1605"/>
      <c r="DI574" s="1605"/>
      <c r="DJ574" s="1605"/>
      <c r="DK574" s="1605"/>
      <c r="DL574" s="1605"/>
      <c r="DM574" s="1605"/>
      <c r="DN574" s="1605"/>
      <c r="DO574" s="1605"/>
      <c r="DP574" s="1605"/>
      <c r="DQ574" s="1605"/>
      <c r="DR574" s="1605"/>
      <c r="DS574" s="1605"/>
      <c r="DT574" s="1605"/>
      <c r="DU574" s="1605"/>
      <c r="DV574" s="1605"/>
      <c r="DW574" s="1605"/>
      <c r="DX574" s="1605"/>
      <c r="DY574" s="1605"/>
      <c r="DZ574" s="1605"/>
      <c r="EA574" s="1605"/>
      <c r="EB574" s="1605"/>
      <c r="EC574" s="1605"/>
      <c r="ED574" s="1605"/>
      <c r="EE574" s="1605"/>
      <c r="EF574" s="1605"/>
      <c r="EG574" s="1605"/>
      <c r="EH574" s="1605"/>
      <c r="EI574" s="1605"/>
      <c r="EJ574" s="1605"/>
      <c r="EK574" s="1605"/>
      <c r="EL574" s="1605"/>
      <c r="EM574" s="1605"/>
      <c r="EN574" s="1605"/>
      <c r="EO574" s="1605"/>
      <c r="EP574" s="1605"/>
      <c r="EQ574" s="1605"/>
      <c r="ER574" s="1605"/>
      <c r="ES574" s="1605"/>
      <c r="ET574" s="1605"/>
      <c r="EU574" s="1605"/>
      <c r="EV574" s="1605"/>
      <c r="EW574" s="1605"/>
      <c r="EX574" s="1605"/>
      <c r="EY574" s="1605"/>
      <c r="EZ574" s="1605"/>
      <c r="FA574" s="1605"/>
      <c r="FB574" s="1605"/>
      <c r="FC574" s="1605"/>
      <c r="FD574" s="1605"/>
      <c r="FE574" s="1605"/>
      <c r="FF574" s="1605"/>
      <c r="FG574" s="1605"/>
      <c r="FH574" s="1605"/>
      <c r="FI574" s="1605"/>
      <c r="FJ574" s="1605"/>
      <c r="FK574" s="1605"/>
      <c r="FL574" s="1605"/>
      <c r="FM574" s="1605"/>
      <c r="FN574" s="1605"/>
      <c r="FO574" s="1605"/>
      <c r="FP574" s="1605"/>
      <c r="FQ574" s="1605"/>
      <c r="FR574" s="1605"/>
      <c r="FS574" s="1605"/>
      <c r="FT574" s="1605"/>
      <c r="FU574" s="1605"/>
      <c r="FV574" s="1605"/>
      <c r="FW574" s="1605"/>
      <c r="FX574" s="1605"/>
      <c r="FY574" s="1605"/>
      <c r="FZ574" s="1605"/>
      <c r="GA574" s="1605"/>
      <c r="GB574" s="1605"/>
      <c r="GC574" s="1605"/>
      <c r="GD574" s="1605"/>
      <c r="GE574" s="1605"/>
      <c r="GF574" s="1605"/>
      <c r="GG574" s="1605"/>
      <c r="GH574" s="1605"/>
      <c r="GI574" s="1605"/>
      <c r="GJ574" s="1605"/>
      <c r="GK574" s="1605"/>
      <c r="GL574" s="1605"/>
      <c r="GM574" s="1605"/>
      <c r="GN574" s="1605"/>
      <c r="GO574" s="1605"/>
      <c r="GP574" s="1605"/>
      <c r="GQ574" s="1605"/>
      <c r="GR574" s="1605"/>
      <c r="GS574" s="1605"/>
      <c r="GT574" s="1605"/>
      <c r="GU574" s="1605"/>
      <c r="GV574" s="1605"/>
      <c r="GW574" s="1605"/>
      <c r="GX574" s="1605"/>
      <c r="GY574" s="1605"/>
      <c r="GZ574" s="1605"/>
      <c r="HA574" s="1605"/>
      <c r="HB574" s="1605"/>
      <c r="HC574" s="1605"/>
      <c r="HD574" s="1605"/>
      <c r="HE574" s="1605"/>
      <c r="HF574" s="1605"/>
      <c r="HG574" s="1605"/>
      <c r="HH574" s="1605"/>
      <c r="HI574" s="1605"/>
      <c r="HJ574" s="1605"/>
      <c r="HK574" s="1605"/>
      <c r="HL574" s="1605"/>
      <c r="HM574" s="1605"/>
      <c r="HN574" s="1605"/>
      <c r="HO574" s="1605"/>
      <c r="HP574" s="1605"/>
      <c r="HQ574" s="1605"/>
      <c r="HR574" s="1605"/>
      <c r="HS574" s="1605"/>
      <c r="HT574" s="1605"/>
      <c r="HU574" s="1605"/>
      <c r="HV574" s="1605"/>
      <c r="HW574" s="1605"/>
      <c r="HX574" s="1605"/>
      <c r="HY574" s="1605"/>
      <c r="HZ574" s="1605"/>
      <c r="IA574" s="1605"/>
      <c r="IB574" s="1605"/>
      <c r="IC574" s="1605"/>
      <c r="ID574" s="1605"/>
      <c r="IE574" s="1605"/>
      <c r="IF574" s="1605"/>
      <c r="IG574" s="1605"/>
      <c r="IH574" s="1605"/>
      <c r="II574" s="1605"/>
      <c r="IJ574" s="1605"/>
      <c r="IK574" s="1605"/>
      <c r="IL574" s="1605"/>
      <c r="IM574" s="1605"/>
      <c r="IN574" s="1605"/>
      <c r="IO574" s="1605"/>
      <c r="IP574" s="1605"/>
      <c r="IQ574" s="1605"/>
      <c r="IR574" s="1605"/>
      <c r="IS574" s="1605"/>
      <c r="IT574" s="1605"/>
      <c r="IU574" s="1605"/>
      <c r="IV574" s="1605"/>
      <c r="IW574" s="1605"/>
      <c r="IX574" s="1605"/>
      <c r="IY574" s="1605"/>
      <c r="IZ574" s="1605"/>
      <c r="JA574" s="1605"/>
      <c r="JB574" s="1605"/>
      <c r="JC574" s="1605"/>
      <c r="JD574" s="1605"/>
      <c r="JE574" s="1605"/>
      <c r="JF574" s="1605"/>
      <c r="JG574" s="1605"/>
      <c r="JH574" s="1605"/>
      <c r="JI574" s="1605"/>
      <c r="JJ574" s="1605"/>
      <c r="JK574" s="1605"/>
      <c r="JL574" s="1605"/>
      <c r="JM574" s="1605"/>
      <c r="JN574" s="1605"/>
      <c r="JO574" s="1605"/>
      <c r="JP574" s="1605"/>
      <c r="JQ574" s="1605"/>
      <c r="JR574" s="1605"/>
      <c r="JS574" s="1605"/>
      <c r="JT574" s="1605"/>
      <c r="JU574" s="1605"/>
      <c r="JV574" s="1605"/>
      <c r="JW574" s="1605"/>
      <c r="JX574" s="1605"/>
      <c r="JY574" s="1605"/>
      <c r="JZ574" s="1605"/>
      <c r="KA574" s="1605"/>
      <c r="KB574" s="1606"/>
    </row>
    <row r="575" spans="2:288" ht="15" customHeight="1" x14ac:dyDescent="0.25">
      <c r="B575" s="216" t="str">
        <f t="shared" si="46"/>
        <v>Desk 48</v>
      </c>
      <c r="C575" s="218" t="str">
        <v/>
      </c>
      <c r="D575" s="218" t="str">
        <v/>
      </c>
      <c r="E575" s="218" t="str">
        <v/>
      </c>
      <c r="F575" s="218" t="str">
        <v/>
      </c>
      <c r="G575" s="402" t="str">
        <v/>
      </c>
      <c r="H575" s="1605"/>
      <c r="I575" s="1605"/>
      <c r="J575" s="1605"/>
      <c r="K575" s="1605"/>
      <c r="L575" s="1605"/>
      <c r="M575" s="1605"/>
      <c r="N575" s="1605"/>
      <c r="O575" s="1605"/>
      <c r="P575" s="1605"/>
      <c r="Q575" s="1605"/>
      <c r="R575" s="1605"/>
      <c r="S575" s="1605"/>
      <c r="T575" s="1605"/>
      <c r="U575" s="1605"/>
      <c r="V575" s="1605"/>
      <c r="W575" s="1605"/>
      <c r="X575" s="1605"/>
      <c r="Y575" s="1605"/>
      <c r="Z575" s="1605"/>
      <c r="AA575" s="1605"/>
      <c r="AB575" s="1605"/>
      <c r="AC575" s="1605"/>
      <c r="AD575" s="1605"/>
      <c r="AE575" s="1605"/>
      <c r="AF575" s="1605"/>
      <c r="AG575" s="1605"/>
      <c r="AH575" s="1605"/>
      <c r="AI575" s="1605"/>
      <c r="AJ575" s="1605"/>
      <c r="AK575" s="1605"/>
      <c r="AL575" s="1605"/>
      <c r="AM575" s="1605"/>
      <c r="AN575" s="1605"/>
      <c r="AO575" s="1605"/>
      <c r="AP575" s="1605"/>
      <c r="AQ575" s="1605"/>
      <c r="AR575" s="1605"/>
      <c r="AS575" s="1605"/>
      <c r="AT575" s="1605"/>
      <c r="AU575" s="1605"/>
      <c r="AV575" s="1605"/>
      <c r="AW575" s="1605"/>
      <c r="AX575" s="1605"/>
      <c r="AY575" s="1605"/>
      <c r="AZ575" s="1605"/>
      <c r="BA575" s="1605"/>
      <c r="BB575" s="1605"/>
      <c r="BC575" s="1605"/>
      <c r="BD575" s="1605"/>
      <c r="BE575" s="1605"/>
      <c r="BF575" s="1605"/>
      <c r="BG575" s="1605"/>
      <c r="BH575" s="1605"/>
      <c r="BI575" s="1605"/>
      <c r="BJ575" s="1605"/>
      <c r="BK575" s="1605"/>
      <c r="BL575" s="1605"/>
      <c r="BM575" s="1605"/>
      <c r="BN575" s="1605"/>
      <c r="BO575" s="1605"/>
      <c r="BP575" s="1605"/>
      <c r="BQ575" s="1605"/>
      <c r="BR575" s="1605"/>
      <c r="BS575" s="1605"/>
      <c r="BT575" s="1605"/>
      <c r="BU575" s="1605"/>
      <c r="BV575" s="1605"/>
      <c r="BW575" s="1605"/>
      <c r="BX575" s="1605"/>
      <c r="BY575" s="1605"/>
      <c r="BZ575" s="1605"/>
      <c r="CA575" s="1605"/>
      <c r="CB575" s="1605"/>
      <c r="CC575" s="1605"/>
      <c r="CD575" s="1605"/>
      <c r="CE575" s="1605"/>
      <c r="CF575" s="1605"/>
      <c r="CG575" s="1605"/>
      <c r="CH575" s="1605"/>
      <c r="CI575" s="1605"/>
      <c r="CJ575" s="1605"/>
      <c r="CK575" s="1605"/>
      <c r="CL575" s="1605"/>
      <c r="CM575" s="1605"/>
      <c r="CN575" s="1605"/>
      <c r="CO575" s="1605"/>
      <c r="CP575" s="1605"/>
      <c r="CQ575" s="1605"/>
      <c r="CR575" s="1605"/>
      <c r="CS575" s="1605"/>
      <c r="CT575" s="1605"/>
      <c r="CU575" s="1605"/>
      <c r="CV575" s="1605"/>
      <c r="CW575" s="1605"/>
      <c r="CX575" s="1605"/>
      <c r="CY575" s="1605"/>
      <c r="CZ575" s="1605"/>
      <c r="DA575" s="1605"/>
      <c r="DB575" s="1605"/>
      <c r="DC575" s="1605"/>
      <c r="DD575" s="1605"/>
      <c r="DE575" s="1605"/>
      <c r="DF575" s="1605"/>
      <c r="DG575" s="1605"/>
      <c r="DH575" s="1605"/>
      <c r="DI575" s="1605"/>
      <c r="DJ575" s="1605"/>
      <c r="DK575" s="1605"/>
      <c r="DL575" s="1605"/>
      <c r="DM575" s="1605"/>
      <c r="DN575" s="1605"/>
      <c r="DO575" s="1605"/>
      <c r="DP575" s="1605"/>
      <c r="DQ575" s="1605"/>
      <c r="DR575" s="1605"/>
      <c r="DS575" s="1605"/>
      <c r="DT575" s="1605"/>
      <c r="DU575" s="1605"/>
      <c r="DV575" s="1605"/>
      <c r="DW575" s="1605"/>
      <c r="DX575" s="1605"/>
      <c r="DY575" s="1605"/>
      <c r="DZ575" s="1605"/>
      <c r="EA575" s="1605"/>
      <c r="EB575" s="1605"/>
      <c r="EC575" s="1605"/>
      <c r="ED575" s="1605"/>
      <c r="EE575" s="1605"/>
      <c r="EF575" s="1605"/>
      <c r="EG575" s="1605"/>
      <c r="EH575" s="1605"/>
      <c r="EI575" s="1605"/>
      <c r="EJ575" s="1605"/>
      <c r="EK575" s="1605"/>
      <c r="EL575" s="1605"/>
      <c r="EM575" s="1605"/>
      <c r="EN575" s="1605"/>
      <c r="EO575" s="1605"/>
      <c r="EP575" s="1605"/>
      <c r="EQ575" s="1605"/>
      <c r="ER575" s="1605"/>
      <c r="ES575" s="1605"/>
      <c r="ET575" s="1605"/>
      <c r="EU575" s="1605"/>
      <c r="EV575" s="1605"/>
      <c r="EW575" s="1605"/>
      <c r="EX575" s="1605"/>
      <c r="EY575" s="1605"/>
      <c r="EZ575" s="1605"/>
      <c r="FA575" s="1605"/>
      <c r="FB575" s="1605"/>
      <c r="FC575" s="1605"/>
      <c r="FD575" s="1605"/>
      <c r="FE575" s="1605"/>
      <c r="FF575" s="1605"/>
      <c r="FG575" s="1605"/>
      <c r="FH575" s="1605"/>
      <c r="FI575" s="1605"/>
      <c r="FJ575" s="1605"/>
      <c r="FK575" s="1605"/>
      <c r="FL575" s="1605"/>
      <c r="FM575" s="1605"/>
      <c r="FN575" s="1605"/>
      <c r="FO575" s="1605"/>
      <c r="FP575" s="1605"/>
      <c r="FQ575" s="1605"/>
      <c r="FR575" s="1605"/>
      <c r="FS575" s="1605"/>
      <c r="FT575" s="1605"/>
      <c r="FU575" s="1605"/>
      <c r="FV575" s="1605"/>
      <c r="FW575" s="1605"/>
      <c r="FX575" s="1605"/>
      <c r="FY575" s="1605"/>
      <c r="FZ575" s="1605"/>
      <c r="GA575" s="1605"/>
      <c r="GB575" s="1605"/>
      <c r="GC575" s="1605"/>
      <c r="GD575" s="1605"/>
      <c r="GE575" s="1605"/>
      <c r="GF575" s="1605"/>
      <c r="GG575" s="1605"/>
      <c r="GH575" s="1605"/>
      <c r="GI575" s="1605"/>
      <c r="GJ575" s="1605"/>
      <c r="GK575" s="1605"/>
      <c r="GL575" s="1605"/>
      <c r="GM575" s="1605"/>
      <c r="GN575" s="1605"/>
      <c r="GO575" s="1605"/>
      <c r="GP575" s="1605"/>
      <c r="GQ575" s="1605"/>
      <c r="GR575" s="1605"/>
      <c r="GS575" s="1605"/>
      <c r="GT575" s="1605"/>
      <c r="GU575" s="1605"/>
      <c r="GV575" s="1605"/>
      <c r="GW575" s="1605"/>
      <c r="GX575" s="1605"/>
      <c r="GY575" s="1605"/>
      <c r="GZ575" s="1605"/>
      <c r="HA575" s="1605"/>
      <c r="HB575" s="1605"/>
      <c r="HC575" s="1605"/>
      <c r="HD575" s="1605"/>
      <c r="HE575" s="1605"/>
      <c r="HF575" s="1605"/>
      <c r="HG575" s="1605"/>
      <c r="HH575" s="1605"/>
      <c r="HI575" s="1605"/>
      <c r="HJ575" s="1605"/>
      <c r="HK575" s="1605"/>
      <c r="HL575" s="1605"/>
      <c r="HM575" s="1605"/>
      <c r="HN575" s="1605"/>
      <c r="HO575" s="1605"/>
      <c r="HP575" s="1605"/>
      <c r="HQ575" s="1605"/>
      <c r="HR575" s="1605"/>
      <c r="HS575" s="1605"/>
      <c r="HT575" s="1605"/>
      <c r="HU575" s="1605"/>
      <c r="HV575" s="1605"/>
      <c r="HW575" s="1605"/>
      <c r="HX575" s="1605"/>
      <c r="HY575" s="1605"/>
      <c r="HZ575" s="1605"/>
      <c r="IA575" s="1605"/>
      <c r="IB575" s="1605"/>
      <c r="IC575" s="1605"/>
      <c r="ID575" s="1605"/>
      <c r="IE575" s="1605"/>
      <c r="IF575" s="1605"/>
      <c r="IG575" s="1605"/>
      <c r="IH575" s="1605"/>
      <c r="II575" s="1605"/>
      <c r="IJ575" s="1605"/>
      <c r="IK575" s="1605"/>
      <c r="IL575" s="1605"/>
      <c r="IM575" s="1605"/>
      <c r="IN575" s="1605"/>
      <c r="IO575" s="1605"/>
      <c r="IP575" s="1605"/>
      <c r="IQ575" s="1605"/>
      <c r="IR575" s="1605"/>
      <c r="IS575" s="1605"/>
      <c r="IT575" s="1605"/>
      <c r="IU575" s="1605"/>
      <c r="IV575" s="1605"/>
      <c r="IW575" s="1605"/>
      <c r="IX575" s="1605"/>
      <c r="IY575" s="1605"/>
      <c r="IZ575" s="1605"/>
      <c r="JA575" s="1605"/>
      <c r="JB575" s="1605"/>
      <c r="JC575" s="1605"/>
      <c r="JD575" s="1605"/>
      <c r="JE575" s="1605"/>
      <c r="JF575" s="1605"/>
      <c r="JG575" s="1605"/>
      <c r="JH575" s="1605"/>
      <c r="JI575" s="1605"/>
      <c r="JJ575" s="1605"/>
      <c r="JK575" s="1605"/>
      <c r="JL575" s="1605"/>
      <c r="JM575" s="1605"/>
      <c r="JN575" s="1605"/>
      <c r="JO575" s="1605"/>
      <c r="JP575" s="1605"/>
      <c r="JQ575" s="1605"/>
      <c r="JR575" s="1605"/>
      <c r="JS575" s="1605"/>
      <c r="JT575" s="1605"/>
      <c r="JU575" s="1605"/>
      <c r="JV575" s="1605"/>
      <c r="JW575" s="1605"/>
      <c r="JX575" s="1605"/>
      <c r="JY575" s="1605"/>
      <c r="JZ575" s="1605"/>
      <c r="KA575" s="1605"/>
      <c r="KB575" s="1606"/>
    </row>
    <row r="576" spans="2:288" ht="15" customHeight="1" x14ac:dyDescent="0.25">
      <c r="B576" s="216" t="str">
        <f t="shared" si="46"/>
        <v>Desk 49</v>
      </c>
      <c r="C576" s="218" t="str">
        <v/>
      </c>
      <c r="D576" s="218" t="str">
        <v/>
      </c>
      <c r="E576" s="218" t="str">
        <v/>
      </c>
      <c r="F576" s="218" t="str">
        <v/>
      </c>
      <c r="G576" s="402" t="str">
        <v/>
      </c>
      <c r="H576" s="1605"/>
      <c r="I576" s="1605"/>
      <c r="J576" s="1605"/>
      <c r="K576" s="1605"/>
      <c r="L576" s="1605"/>
      <c r="M576" s="1605"/>
      <c r="N576" s="1605"/>
      <c r="O576" s="1605"/>
      <c r="P576" s="1605"/>
      <c r="Q576" s="1605"/>
      <c r="R576" s="1605"/>
      <c r="S576" s="1605"/>
      <c r="T576" s="1605"/>
      <c r="U576" s="1605"/>
      <c r="V576" s="1605"/>
      <c r="W576" s="1605"/>
      <c r="X576" s="1605"/>
      <c r="Y576" s="1605"/>
      <c r="Z576" s="1605"/>
      <c r="AA576" s="1605"/>
      <c r="AB576" s="1605"/>
      <c r="AC576" s="1605"/>
      <c r="AD576" s="1605"/>
      <c r="AE576" s="1605"/>
      <c r="AF576" s="1605"/>
      <c r="AG576" s="1605"/>
      <c r="AH576" s="1605"/>
      <c r="AI576" s="1605"/>
      <c r="AJ576" s="1605"/>
      <c r="AK576" s="1605"/>
      <c r="AL576" s="1605"/>
      <c r="AM576" s="1605"/>
      <c r="AN576" s="1605"/>
      <c r="AO576" s="1605"/>
      <c r="AP576" s="1605"/>
      <c r="AQ576" s="1605"/>
      <c r="AR576" s="1605"/>
      <c r="AS576" s="1605"/>
      <c r="AT576" s="1605"/>
      <c r="AU576" s="1605"/>
      <c r="AV576" s="1605"/>
      <c r="AW576" s="1605"/>
      <c r="AX576" s="1605"/>
      <c r="AY576" s="1605"/>
      <c r="AZ576" s="1605"/>
      <c r="BA576" s="1605"/>
      <c r="BB576" s="1605"/>
      <c r="BC576" s="1605"/>
      <c r="BD576" s="1605"/>
      <c r="BE576" s="1605"/>
      <c r="BF576" s="1605"/>
      <c r="BG576" s="1605"/>
      <c r="BH576" s="1605"/>
      <c r="BI576" s="1605"/>
      <c r="BJ576" s="1605"/>
      <c r="BK576" s="1605"/>
      <c r="BL576" s="1605"/>
      <c r="BM576" s="1605"/>
      <c r="BN576" s="1605"/>
      <c r="BO576" s="1605"/>
      <c r="BP576" s="1605"/>
      <c r="BQ576" s="1605"/>
      <c r="BR576" s="1605"/>
      <c r="BS576" s="1605"/>
      <c r="BT576" s="1605"/>
      <c r="BU576" s="1605"/>
      <c r="BV576" s="1605"/>
      <c r="BW576" s="1605"/>
      <c r="BX576" s="1605"/>
      <c r="BY576" s="1605"/>
      <c r="BZ576" s="1605"/>
      <c r="CA576" s="1605"/>
      <c r="CB576" s="1605"/>
      <c r="CC576" s="1605"/>
      <c r="CD576" s="1605"/>
      <c r="CE576" s="1605"/>
      <c r="CF576" s="1605"/>
      <c r="CG576" s="1605"/>
      <c r="CH576" s="1605"/>
      <c r="CI576" s="1605"/>
      <c r="CJ576" s="1605"/>
      <c r="CK576" s="1605"/>
      <c r="CL576" s="1605"/>
      <c r="CM576" s="1605"/>
      <c r="CN576" s="1605"/>
      <c r="CO576" s="1605"/>
      <c r="CP576" s="1605"/>
      <c r="CQ576" s="1605"/>
      <c r="CR576" s="1605"/>
      <c r="CS576" s="1605"/>
      <c r="CT576" s="1605"/>
      <c r="CU576" s="1605"/>
      <c r="CV576" s="1605"/>
      <c r="CW576" s="1605"/>
      <c r="CX576" s="1605"/>
      <c r="CY576" s="1605"/>
      <c r="CZ576" s="1605"/>
      <c r="DA576" s="1605"/>
      <c r="DB576" s="1605"/>
      <c r="DC576" s="1605"/>
      <c r="DD576" s="1605"/>
      <c r="DE576" s="1605"/>
      <c r="DF576" s="1605"/>
      <c r="DG576" s="1605"/>
      <c r="DH576" s="1605"/>
      <c r="DI576" s="1605"/>
      <c r="DJ576" s="1605"/>
      <c r="DK576" s="1605"/>
      <c r="DL576" s="1605"/>
      <c r="DM576" s="1605"/>
      <c r="DN576" s="1605"/>
      <c r="DO576" s="1605"/>
      <c r="DP576" s="1605"/>
      <c r="DQ576" s="1605"/>
      <c r="DR576" s="1605"/>
      <c r="DS576" s="1605"/>
      <c r="DT576" s="1605"/>
      <c r="DU576" s="1605"/>
      <c r="DV576" s="1605"/>
      <c r="DW576" s="1605"/>
      <c r="DX576" s="1605"/>
      <c r="DY576" s="1605"/>
      <c r="DZ576" s="1605"/>
      <c r="EA576" s="1605"/>
      <c r="EB576" s="1605"/>
      <c r="EC576" s="1605"/>
      <c r="ED576" s="1605"/>
      <c r="EE576" s="1605"/>
      <c r="EF576" s="1605"/>
      <c r="EG576" s="1605"/>
      <c r="EH576" s="1605"/>
      <c r="EI576" s="1605"/>
      <c r="EJ576" s="1605"/>
      <c r="EK576" s="1605"/>
      <c r="EL576" s="1605"/>
      <c r="EM576" s="1605"/>
      <c r="EN576" s="1605"/>
      <c r="EO576" s="1605"/>
      <c r="EP576" s="1605"/>
      <c r="EQ576" s="1605"/>
      <c r="ER576" s="1605"/>
      <c r="ES576" s="1605"/>
      <c r="ET576" s="1605"/>
      <c r="EU576" s="1605"/>
      <c r="EV576" s="1605"/>
      <c r="EW576" s="1605"/>
      <c r="EX576" s="1605"/>
      <c r="EY576" s="1605"/>
      <c r="EZ576" s="1605"/>
      <c r="FA576" s="1605"/>
      <c r="FB576" s="1605"/>
      <c r="FC576" s="1605"/>
      <c r="FD576" s="1605"/>
      <c r="FE576" s="1605"/>
      <c r="FF576" s="1605"/>
      <c r="FG576" s="1605"/>
      <c r="FH576" s="1605"/>
      <c r="FI576" s="1605"/>
      <c r="FJ576" s="1605"/>
      <c r="FK576" s="1605"/>
      <c r="FL576" s="1605"/>
      <c r="FM576" s="1605"/>
      <c r="FN576" s="1605"/>
      <c r="FO576" s="1605"/>
      <c r="FP576" s="1605"/>
      <c r="FQ576" s="1605"/>
      <c r="FR576" s="1605"/>
      <c r="FS576" s="1605"/>
      <c r="FT576" s="1605"/>
      <c r="FU576" s="1605"/>
      <c r="FV576" s="1605"/>
      <c r="FW576" s="1605"/>
      <c r="FX576" s="1605"/>
      <c r="FY576" s="1605"/>
      <c r="FZ576" s="1605"/>
      <c r="GA576" s="1605"/>
      <c r="GB576" s="1605"/>
      <c r="GC576" s="1605"/>
      <c r="GD576" s="1605"/>
      <c r="GE576" s="1605"/>
      <c r="GF576" s="1605"/>
      <c r="GG576" s="1605"/>
      <c r="GH576" s="1605"/>
      <c r="GI576" s="1605"/>
      <c r="GJ576" s="1605"/>
      <c r="GK576" s="1605"/>
      <c r="GL576" s="1605"/>
      <c r="GM576" s="1605"/>
      <c r="GN576" s="1605"/>
      <c r="GO576" s="1605"/>
      <c r="GP576" s="1605"/>
      <c r="GQ576" s="1605"/>
      <c r="GR576" s="1605"/>
      <c r="GS576" s="1605"/>
      <c r="GT576" s="1605"/>
      <c r="GU576" s="1605"/>
      <c r="GV576" s="1605"/>
      <c r="GW576" s="1605"/>
      <c r="GX576" s="1605"/>
      <c r="GY576" s="1605"/>
      <c r="GZ576" s="1605"/>
      <c r="HA576" s="1605"/>
      <c r="HB576" s="1605"/>
      <c r="HC576" s="1605"/>
      <c r="HD576" s="1605"/>
      <c r="HE576" s="1605"/>
      <c r="HF576" s="1605"/>
      <c r="HG576" s="1605"/>
      <c r="HH576" s="1605"/>
      <c r="HI576" s="1605"/>
      <c r="HJ576" s="1605"/>
      <c r="HK576" s="1605"/>
      <c r="HL576" s="1605"/>
      <c r="HM576" s="1605"/>
      <c r="HN576" s="1605"/>
      <c r="HO576" s="1605"/>
      <c r="HP576" s="1605"/>
      <c r="HQ576" s="1605"/>
      <c r="HR576" s="1605"/>
      <c r="HS576" s="1605"/>
      <c r="HT576" s="1605"/>
      <c r="HU576" s="1605"/>
      <c r="HV576" s="1605"/>
      <c r="HW576" s="1605"/>
      <c r="HX576" s="1605"/>
      <c r="HY576" s="1605"/>
      <c r="HZ576" s="1605"/>
      <c r="IA576" s="1605"/>
      <c r="IB576" s="1605"/>
      <c r="IC576" s="1605"/>
      <c r="ID576" s="1605"/>
      <c r="IE576" s="1605"/>
      <c r="IF576" s="1605"/>
      <c r="IG576" s="1605"/>
      <c r="IH576" s="1605"/>
      <c r="II576" s="1605"/>
      <c r="IJ576" s="1605"/>
      <c r="IK576" s="1605"/>
      <c r="IL576" s="1605"/>
      <c r="IM576" s="1605"/>
      <c r="IN576" s="1605"/>
      <c r="IO576" s="1605"/>
      <c r="IP576" s="1605"/>
      <c r="IQ576" s="1605"/>
      <c r="IR576" s="1605"/>
      <c r="IS576" s="1605"/>
      <c r="IT576" s="1605"/>
      <c r="IU576" s="1605"/>
      <c r="IV576" s="1605"/>
      <c r="IW576" s="1605"/>
      <c r="IX576" s="1605"/>
      <c r="IY576" s="1605"/>
      <c r="IZ576" s="1605"/>
      <c r="JA576" s="1605"/>
      <c r="JB576" s="1605"/>
      <c r="JC576" s="1605"/>
      <c r="JD576" s="1605"/>
      <c r="JE576" s="1605"/>
      <c r="JF576" s="1605"/>
      <c r="JG576" s="1605"/>
      <c r="JH576" s="1605"/>
      <c r="JI576" s="1605"/>
      <c r="JJ576" s="1605"/>
      <c r="JK576" s="1605"/>
      <c r="JL576" s="1605"/>
      <c r="JM576" s="1605"/>
      <c r="JN576" s="1605"/>
      <c r="JO576" s="1605"/>
      <c r="JP576" s="1605"/>
      <c r="JQ576" s="1605"/>
      <c r="JR576" s="1605"/>
      <c r="JS576" s="1605"/>
      <c r="JT576" s="1605"/>
      <c r="JU576" s="1605"/>
      <c r="JV576" s="1605"/>
      <c r="JW576" s="1605"/>
      <c r="JX576" s="1605"/>
      <c r="JY576" s="1605"/>
      <c r="JZ576" s="1605"/>
      <c r="KA576" s="1605"/>
      <c r="KB576" s="1606"/>
    </row>
    <row r="577" spans="2:288" ht="15" customHeight="1" x14ac:dyDescent="0.25">
      <c r="B577" s="216" t="str">
        <f t="shared" si="46"/>
        <v>Desk 50</v>
      </c>
      <c r="C577" s="218" t="str">
        <v/>
      </c>
      <c r="D577" s="218" t="str">
        <v/>
      </c>
      <c r="E577" s="218" t="str">
        <v/>
      </c>
      <c r="F577" s="218" t="str">
        <v/>
      </c>
      <c r="G577" s="402" t="str">
        <v/>
      </c>
      <c r="H577" s="1605"/>
      <c r="I577" s="1605"/>
      <c r="J577" s="1605"/>
      <c r="K577" s="1605"/>
      <c r="L577" s="1605"/>
      <c r="M577" s="1605"/>
      <c r="N577" s="1605"/>
      <c r="O577" s="1605"/>
      <c r="P577" s="1605"/>
      <c r="Q577" s="1605"/>
      <c r="R577" s="1605"/>
      <c r="S577" s="1605"/>
      <c r="T577" s="1605"/>
      <c r="U577" s="1605"/>
      <c r="V577" s="1605"/>
      <c r="W577" s="1605"/>
      <c r="X577" s="1605"/>
      <c r="Y577" s="1605"/>
      <c r="Z577" s="1605"/>
      <c r="AA577" s="1605"/>
      <c r="AB577" s="1605"/>
      <c r="AC577" s="1605"/>
      <c r="AD577" s="1605"/>
      <c r="AE577" s="1605"/>
      <c r="AF577" s="1605"/>
      <c r="AG577" s="1605"/>
      <c r="AH577" s="1605"/>
      <c r="AI577" s="1605"/>
      <c r="AJ577" s="1605"/>
      <c r="AK577" s="1605"/>
      <c r="AL577" s="1605"/>
      <c r="AM577" s="1605"/>
      <c r="AN577" s="1605"/>
      <c r="AO577" s="1605"/>
      <c r="AP577" s="1605"/>
      <c r="AQ577" s="1605"/>
      <c r="AR577" s="1605"/>
      <c r="AS577" s="1605"/>
      <c r="AT577" s="1605"/>
      <c r="AU577" s="1605"/>
      <c r="AV577" s="1605"/>
      <c r="AW577" s="1605"/>
      <c r="AX577" s="1605"/>
      <c r="AY577" s="1605"/>
      <c r="AZ577" s="1605"/>
      <c r="BA577" s="1605"/>
      <c r="BB577" s="1605"/>
      <c r="BC577" s="1605"/>
      <c r="BD577" s="1605"/>
      <c r="BE577" s="1605"/>
      <c r="BF577" s="1605"/>
      <c r="BG577" s="1605"/>
      <c r="BH577" s="1605"/>
      <c r="BI577" s="1605"/>
      <c r="BJ577" s="1605"/>
      <c r="BK577" s="1605"/>
      <c r="BL577" s="1605"/>
      <c r="BM577" s="1605"/>
      <c r="BN577" s="1605"/>
      <c r="BO577" s="1605"/>
      <c r="BP577" s="1605"/>
      <c r="BQ577" s="1605"/>
      <c r="BR577" s="1605"/>
      <c r="BS577" s="1605"/>
      <c r="BT577" s="1605"/>
      <c r="BU577" s="1605"/>
      <c r="BV577" s="1605"/>
      <c r="BW577" s="1605"/>
      <c r="BX577" s="1605"/>
      <c r="BY577" s="1605"/>
      <c r="BZ577" s="1605"/>
      <c r="CA577" s="1605"/>
      <c r="CB577" s="1605"/>
      <c r="CC577" s="1605"/>
      <c r="CD577" s="1605"/>
      <c r="CE577" s="1605"/>
      <c r="CF577" s="1605"/>
      <c r="CG577" s="1605"/>
      <c r="CH577" s="1605"/>
      <c r="CI577" s="1605"/>
      <c r="CJ577" s="1605"/>
      <c r="CK577" s="1605"/>
      <c r="CL577" s="1605"/>
      <c r="CM577" s="1605"/>
      <c r="CN577" s="1605"/>
      <c r="CO577" s="1605"/>
      <c r="CP577" s="1605"/>
      <c r="CQ577" s="1605"/>
      <c r="CR577" s="1605"/>
      <c r="CS577" s="1605"/>
      <c r="CT577" s="1605"/>
      <c r="CU577" s="1605"/>
      <c r="CV577" s="1605"/>
      <c r="CW577" s="1605"/>
      <c r="CX577" s="1605"/>
      <c r="CY577" s="1605"/>
      <c r="CZ577" s="1605"/>
      <c r="DA577" s="1605"/>
      <c r="DB577" s="1605"/>
      <c r="DC577" s="1605"/>
      <c r="DD577" s="1605"/>
      <c r="DE577" s="1605"/>
      <c r="DF577" s="1605"/>
      <c r="DG577" s="1605"/>
      <c r="DH577" s="1605"/>
      <c r="DI577" s="1605"/>
      <c r="DJ577" s="1605"/>
      <c r="DK577" s="1605"/>
      <c r="DL577" s="1605"/>
      <c r="DM577" s="1605"/>
      <c r="DN577" s="1605"/>
      <c r="DO577" s="1605"/>
      <c r="DP577" s="1605"/>
      <c r="DQ577" s="1605"/>
      <c r="DR577" s="1605"/>
      <c r="DS577" s="1605"/>
      <c r="DT577" s="1605"/>
      <c r="DU577" s="1605"/>
      <c r="DV577" s="1605"/>
      <c r="DW577" s="1605"/>
      <c r="DX577" s="1605"/>
      <c r="DY577" s="1605"/>
      <c r="DZ577" s="1605"/>
      <c r="EA577" s="1605"/>
      <c r="EB577" s="1605"/>
      <c r="EC577" s="1605"/>
      <c r="ED577" s="1605"/>
      <c r="EE577" s="1605"/>
      <c r="EF577" s="1605"/>
      <c r="EG577" s="1605"/>
      <c r="EH577" s="1605"/>
      <c r="EI577" s="1605"/>
      <c r="EJ577" s="1605"/>
      <c r="EK577" s="1605"/>
      <c r="EL577" s="1605"/>
      <c r="EM577" s="1605"/>
      <c r="EN577" s="1605"/>
      <c r="EO577" s="1605"/>
      <c r="EP577" s="1605"/>
      <c r="EQ577" s="1605"/>
      <c r="ER577" s="1605"/>
      <c r="ES577" s="1605"/>
      <c r="ET577" s="1605"/>
      <c r="EU577" s="1605"/>
      <c r="EV577" s="1605"/>
      <c r="EW577" s="1605"/>
      <c r="EX577" s="1605"/>
      <c r="EY577" s="1605"/>
      <c r="EZ577" s="1605"/>
      <c r="FA577" s="1605"/>
      <c r="FB577" s="1605"/>
      <c r="FC577" s="1605"/>
      <c r="FD577" s="1605"/>
      <c r="FE577" s="1605"/>
      <c r="FF577" s="1605"/>
      <c r="FG577" s="1605"/>
      <c r="FH577" s="1605"/>
      <c r="FI577" s="1605"/>
      <c r="FJ577" s="1605"/>
      <c r="FK577" s="1605"/>
      <c r="FL577" s="1605"/>
      <c r="FM577" s="1605"/>
      <c r="FN577" s="1605"/>
      <c r="FO577" s="1605"/>
      <c r="FP577" s="1605"/>
      <c r="FQ577" s="1605"/>
      <c r="FR577" s="1605"/>
      <c r="FS577" s="1605"/>
      <c r="FT577" s="1605"/>
      <c r="FU577" s="1605"/>
      <c r="FV577" s="1605"/>
      <c r="FW577" s="1605"/>
      <c r="FX577" s="1605"/>
      <c r="FY577" s="1605"/>
      <c r="FZ577" s="1605"/>
      <c r="GA577" s="1605"/>
      <c r="GB577" s="1605"/>
      <c r="GC577" s="1605"/>
      <c r="GD577" s="1605"/>
      <c r="GE577" s="1605"/>
      <c r="GF577" s="1605"/>
      <c r="GG577" s="1605"/>
      <c r="GH577" s="1605"/>
      <c r="GI577" s="1605"/>
      <c r="GJ577" s="1605"/>
      <c r="GK577" s="1605"/>
      <c r="GL577" s="1605"/>
      <c r="GM577" s="1605"/>
      <c r="GN577" s="1605"/>
      <c r="GO577" s="1605"/>
      <c r="GP577" s="1605"/>
      <c r="GQ577" s="1605"/>
      <c r="GR577" s="1605"/>
      <c r="GS577" s="1605"/>
      <c r="GT577" s="1605"/>
      <c r="GU577" s="1605"/>
      <c r="GV577" s="1605"/>
      <c r="GW577" s="1605"/>
      <c r="GX577" s="1605"/>
      <c r="GY577" s="1605"/>
      <c r="GZ577" s="1605"/>
      <c r="HA577" s="1605"/>
      <c r="HB577" s="1605"/>
      <c r="HC577" s="1605"/>
      <c r="HD577" s="1605"/>
      <c r="HE577" s="1605"/>
      <c r="HF577" s="1605"/>
      <c r="HG577" s="1605"/>
      <c r="HH577" s="1605"/>
      <c r="HI577" s="1605"/>
      <c r="HJ577" s="1605"/>
      <c r="HK577" s="1605"/>
      <c r="HL577" s="1605"/>
      <c r="HM577" s="1605"/>
      <c r="HN577" s="1605"/>
      <c r="HO577" s="1605"/>
      <c r="HP577" s="1605"/>
      <c r="HQ577" s="1605"/>
      <c r="HR577" s="1605"/>
      <c r="HS577" s="1605"/>
      <c r="HT577" s="1605"/>
      <c r="HU577" s="1605"/>
      <c r="HV577" s="1605"/>
      <c r="HW577" s="1605"/>
      <c r="HX577" s="1605"/>
      <c r="HY577" s="1605"/>
      <c r="HZ577" s="1605"/>
      <c r="IA577" s="1605"/>
      <c r="IB577" s="1605"/>
      <c r="IC577" s="1605"/>
      <c r="ID577" s="1605"/>
      <c r="IE577" s="1605"/>
      <c r="IF577" s="1605"/>
      <c r="IG577" s="1605"/>
      <c r="IH577" s="1605"/>
      <c r="II577" s="1605"/>
      <c r="IJ577" s="1605"/>
      <c r="IK577" s="1605"/>
      <c r="IL577" s="1605"/>
      <c r="IM577" s="1605"/>
      <c r="IN577" s="1605"/>
      <c r="IO577" s="1605"/>
      <c r="IP577" s="1605"/>
      <c r="IQ577" s="1605"/>
      <c r="IR577" s="1605"/>
      <c r="IS577" s="1605"/>
      <c r="IT577" s="1605"/>
      <c r="IU577" s="1605"/>
      <c r="IV577" s="1605"/>
      <c r="IW577" s="1605"/>
      <c r="IX577" s="1605"/>
      <c r="IY577" s="1605"/>
      <c r="IZ577" s="1605"/>
      <c r="JA577" s="1605"/>
      <c r="JB577" s="1605"/>
      <c r="JC577" s="1605"/>
      <c r="JD577" s="1605"/>
      <c r="JE577" s="1605"/>
      <c r="JF577" s="1605"/>
      <c r="JG577" s="1605"/>
      <c r="JH577" s="1605"/>
      <c r="JI577" s="1605"/>
      <c r="JJ577" s="1605"/>
      <c r="JK577" s="1605"/>
      <c r="JL577" s="1605"/>
      <c r="JM577" s="1605"/>
      <c r="JN577" s="1605"/>
      <c r="JO577" s="1605"/>
      <c r="JP577" s="1605"/>
      <c r="JQ577" s="1605"/>
      <c r="JR577" s="1605"/>
      <c r="JS577" s="1605"/>
      <c r="JT577" s="1605"/>
      <c r="JU577" s="1605"/>
      <c r="JV577" s="1605"/>
      <c r="JW577" s="1605"/>
      <c r="JX577" s="1605"/>
      <c r="JY577" s="1605"/>
      <c r="JZ577" s="1605"/>
      <c r="KA577" s="1605"/>
      <c r="KB577" s="1606"/>
    </row>
    <row r="578" spans="2:288" ht="15" customHeight="1" x14ac:dyDescent="0.25">
      <c r="B578" s="216" t="str">
        <f t="shared" si="46"/>
        <v>Desk 51</v>
      </c>
      <c r="C578" s="218" t="str">
        <v/>
      </c>
      <c r="D578" s="218" t="str">
        <v/>
      </c>
      <c r="E578" s="218" t="str">
        <v/>
      </c>
      <c r="F578" s="218" t="str">
        <v/>
      </c>
      <c r="G578" s="402" t="str">
        <v/>
      </c>
      <c r="H578" s="1605"/>
      <c r="I578" s="1605"/>
      <c r="J578" s="1605"/>
      <c r="K578" s="1605"/>
      <c r="L578" s="1605"/>
      <c r="M578" s="1605"/>
      <c r="N578" s="1605"/>
      <c r="O578" s="1605"/>
      <c r="P578" s="1605"/>
      <c r="Q578" s="1605"/>
      <c r="R578" s="1605"/>
      <c r="S578" s="1605"/>
      <c r="T578" s="1605"/>
      <c r="U578" s="1605"/>
      <c r="V578" s="1605"/>
      <c r="W578" s="1605"/>
      <c r="X578" s="1605"/>
      <c r="Y578" s="1605"/>
      <c r="Z578" s="1605"/>
      <c r="AA578" s="1605"/>
      <c r="AB578" s="1605"/>
      <c r="AC578" s="1605"/>
      <c r="AD578" s="1605"/>
      <c r="AE578" s="1605"/>
      <c r="AF578" s="1605"/>
      <c r="AG578" s="1605"/>
      <c r="AH578" s="1605"/>
      <c r="AI578" s="1605"/>
      <c r="AJ578" s="1605"/>
      <c r="AK578" s="1605"/>
      <c r="AL578" s="1605"/>
      <c r="AM578" s="1605"/>
      <c r="AN578" s="1605"/>
      <c r="AO578" s="1605"/>
      <c r="AP578" s="1605"/>
      <c r="AQ578" s="1605"/>
      <c r="AR578" s="1605"/>
      <c r="AS578" s="1605"/>
      <c r="AT578" s="1605"/>
      <c r="AU578" s="1605"/>
      <c r="AV578" s="1605"/>
      <c r="AW578" s="1605"/>
      <c r="AX578" s="1605"/>
      <c r="AY578" s="1605"/>
      <c r="AZ578" s="1605"/>
      <c r="BA578" s="1605"/>
      <c r="BB578" s="1605"/>
      <c r="BC578" s="1605"/>
      <c r="BD578" s="1605"/>
      <c r="BE578" s="1605"/>
      <c r="BF578" s="1605"/>
      <c r="BG578" s="1605"/>
      <c r="BH578" s="1605"/>
      <c r="BI578" s="1605"/>
      <c r="BJ578" s="1605"/>
      <c r="BK578" s="1605"/>
      <c r="BL578" s="1605"/>
      <c r="BM578" s="1605"/>
      <c r="BN578" s="1605"/>
      <c r="BO578" s="1605"/>
      <c r="BP578" s="1605"/>
      <c r="BQ578" s="1605"/>
      <c r="BR578" s="1605"/>
      <c r="BS578" s="1605"/>
      <c r="BT578" s="1605"/>
      <c r="BU578" s="1605"/>
      <c r="BV578" s="1605"/>
      <c r="BW578" s="1605"/>
      <c r="BX578" s="1605"/>
      <c r="BY578" s="1605"/>
      <c r="BZ578" s="1605"/>
      <c r="CA578" s="1605"/>
      <c r="CB578" s="1605"/>
      <c r="CC578" s="1605"/>
      <c r="CD578" s="1605"/>
      <c r="CE578" s="1605"/>
      <c r="CF578" s="1605"/>
      <c r="CG578" s="1605"/>
      <c r="CH578" s="1605"/>
      <c r="CI578" s="1605"/>
      <c r="CJ578" s="1605"/>
      <c r="CK578" s="1605"/>
      <c r="CL578" s="1605"/>
      <c r="CM578" s="1605"/>
      <c r="CN578" s="1605"/>
      <c r="CO578" s="1605"/>
      <c r="CP578" s="1605"/>
      <c r="CQ578" s="1605"/>
      <c r="CR578" s="1605"/>
      <c r="CS578" s="1605"/>
      <c r="CT578" s="1605"/>
      <c r="CU578" s="1605"/>
      <c r="CV578" s="1605"/>
      <c r="CW578" s="1605"/>
      <c r="CX578" s="1605"/>
      <c r="CY578" s="1605"/>
      <c r="CZ578" s="1605"/>
      <c r="DA578" s="1605"/>
      <c r="DB578" s="1605"/>
      <c r="DC578" s="1605"/>
      <c r="DD578" s="1605"/>
      <c r="DE578" s="1605"/>
      <c r="DF578" s="1605"/>
      <c r="DG578" s="1605"/>
      <c r="DH578" s="1605"/>
      <c r="DI578" s="1605"/>
      <c r="DJ578" s="1605"/>
      <c r="DK578" s="1605"/>
      <c r="DL578" s="1605"/>
      <c r="DM578" s="1605"/>
      <c r="DN578" s="1605"/>
      <c r="DO578" s="1605"/>
      <c r="DP578" s="1605"/>
      <c r="DQ578" s="1605"/>
      <c r="DR578" s="1605"/>
      <c r="DS578" s="1605"/>
      <c r="DT578" s="1605"/>
      <c r="DU578" s="1605"/>
      <c r="DV578" s="1605"/>
      <c r="DW578" s="1605"/>
      <c r="DX578" s="1605"/>
      <c r="DY578" s="1605"/>
      <c r="DZ578" s="1605"/>
      <c r="EA578" s="1605"/>
      <c r="EB578" s="1605"/>
      <c r="EC578" s="1605"/>
      <c r="ED578" s="1605"/>
      <c r="EE578" s="1605"/>
      <c r="EF578" s="1605"/>
      <c r="EG578" s="1605"/>
      <c r="EH578" s="1605"/>
      <c r="EI578" s="1605"/>
      <c r="EJ578" s="1605"/>
      <c r="EK578" s="1605"/>
      <c r="EL578" s="1605"/>
      <c r="EM578" s="1605"/>
      <c r="EN578" s="1605"/>
      <c r="EO578" s="1605"/>
      <c r="EP578" s="1605"/>
      <c r="EQ578" s="1605"/>
      <c r="ER578" s="1605"/>
      <c r="ES578" s="1605"/>
      <c r="ET578" s="1605"/>
      <c r="EU578" s="1605"/>
      <c r="EV578" s="1605"/>
      <c r="EW578" s="1605"/>
      <c r="EX578" s="1605"/>
      <c r="EY578" s="1605"/>
      <c r="EZ578" s="1605"/>
      <c r="FA578" s="1605"/>
      <c r="FB578" s="1605"/>
      <c r="FC578" s="1605"/>
      <c r="FD578" s="1605"/>
      <c r="FE578" s="1605"/>
      <c r="FF578" s="1605"/>
      <c r="FG578" s="1605"/>
      <c r="FH578" s="1605"/>
      <c r="FI578" s="1605"/>
      <c r="FJ578" s="1605"/>
      <c r="FK578" s="1605"/>
      <c r="FL578" s="1605"/>
      <c r="FM578" s="1605"/>
      <c r="FN578" s="1605"/>
      <c r="FO578" s="1605"/>
      <c r="FP578" s="1605"/>
      <c r="FQ578" s="1605"/>
      <c r="FR578" s="1605"/>
      <c r="FS578" s="1605"/>
      <c r="FT578" s="1605"/>
      <c r="FU578" s="1605"/>
      <c r="FV578" s="1605"/>
      <c r="FW578" s="1605"/>
      <c r="FX578" s="1605"/>
      <c r="FY578" s="1605"/>
      <c r="FZ578" s="1605"/>
      <c r="GA578" s="1605"/>
      <c r="GB578" s="1605"/>
      <c r="GC578" s="1605"/>
      <c r="GD578" s="1605"/>
      <c r="GE578" s="1605"/>
      <c r="GF578" s="1605"/>
      <c r="GG578" s="1605"/>
      <c r="GH578" s="1605"/>
      <c r="GI578" s="1605"/>
      <c r="GJ578" s="1605"/>
      <c r="GK578" s="1605"/>
      <c r="GL578" s="1605"/>
      <c r="GM578" s="1605"/>
      <c r="GN578" s="1605"/>
      <c r="GO578" s="1605"/>
      <c r="GP578" s="1605"/>
      <c r="GQ578" s="1605"/>
      <c r="GR578" s="1605"/>
      <c r="GS578" s="1605"/>
      <c r="GT578" s="1605"/>
      <c r="GU578" s="1605"/>
      <c r="GV578" s="1605"/>
      <c r="GW578" s="1605"/>
      <c r="GX578" s="1605"/>
      <c r="GY578" s="1605"/>
      <c r="GZ578" s="1605"/>
      <c r="HA578" s="1605"/>
      <c r="HB578" s="1605"/>
      <c r="HC578" s="1605"/>
      <c r="HD578" s="1605"/>
      <c r="HE578" s="1605"/>
      <c r="HF578" s="1605"/>
      <c r="HG578" s="1605"/>
      <c r="HH578" s="1605"/>
      <c r="HI578" s="1605"/>
      <c r="HJ578" s="1605"/>
      <c r="HK578" s="1605"/>
      <c r="HL578" s="1605"/>
      <c r="HM578" s="1605"/>
      <c r="HN578" s="1605"/>
      <c r="HO578" s="1605"/>
      <c r="HP578" s="1605"/>
      <c r="HQ578" s="1605"/>
      <c r="HR578" s="1605"/>
      <c r="HS578" s="1605"/>
      <c r="HT578" s="1605"/>
      <c r="HU578" s="1605"/>
      <c r="HV578" s="1605"/>
      <c r="HW578" s="1605"/>
      <c r="HX578" s="1605"/>
      <c r="HY578" s="1605"/>
      <c r="HZ578" s="1605"/>
      <c r="IA578" s="1605"/>
      <c r="IB578" s="1605"/>
      <c r="IC578" s="1605"/>
      <c r="ID578" s="1605"/>
      <c r="IE578" s="1605"/>
      <c r="IF578" s="1605"/>
      <c r="IG578" s="1605"/>
      <c r="IH578" s="1605"/>
      <c r="II578" s="1605"/>
      <c r="IJ578" s="1605"/>
      <c r="IK578" s="1605"/>
      <c r="IL578" s="1605"/>
      <c r="IM578" s="1605"/>
      <c r="IN578" s="1605"/>
      <c r="IO578" s="1605"/>
      <c r="IP578" s="1605"/>
      <c r="IQ578" s="1605"/>
      <c r="IR578" s="1605"/>
      <c r="IS578" s="1605"/>
      <c r="IT578" s="1605"/>
      <c r="IU578" s="1605"/>
      <c r="IV578" s="1605"/>
      <c r="IW578" s="1605"/>
      <c r="IX578" s="1605"/>
      <c r="IY578" s="1605"/>
      <c r="IZ578" s="1605"/>
      <c r="JA578" s="1605"/>
      <c r="JB578" s="1605"/>
      <c r="JC578" s="1605"/>
      <c r="JD578" s="1605"/>
      <c r="JE578" s="1605"/>
      <c r="JF578" s="1605"/>
      <c r="JG578" s="1605"/>
      <c r="JH578" s="1605"/>
      <c r="JI578" s="1605"/>
      <c r="JJ578" s="1605"/>
      <c r="JK578" s="1605"/>
      <c r="JL578" s="1605"/>
      <c r="JM578" s="1605"/>
      <c r="JN578" s="1605"/>
      <c r="JO578" s="1605"/>
      <c r="JP578" s="1605"/>
      <c r="JQ578" s="1605"/>
      <c r="JR578" s="1605"/>
      <c r="JS578" s="1605"/>
      <c r="JT578" s="1605"/>
      <c r="JU578" s="1605"/>
      <c r="JV578" s="1605"/>
      <c r="JW578" s="1605"/>
      <c r="JX578" s="1605"/>
      <c r="JY578" s="1605"/>
      <c r="JZ578" s="1605"/>
      <c r="KA578" s="1605"/>
      <c r="KB578" s="1606"/>
    </row>
    <row r="579" spans="2:288" ht="15" customHeight="1" x14ac:dyDescent="0.25">
      <c r="B579" s="216" t="str">
        <f t="shared" si="46"/>
        <v>Desk 52</v>
      </c>
      <c r="C579" s="218" t="str">
        <v/>
      </c>
      <c r="D579" s="218" t="str">
        <v/>
      </c>
      <c r="E579" s="218" t="str">
        <v/>
      </c>
      <c r="F579" s="218" t="str">
        <v/>
      </c>
      <c r="G579" s="402" t="str">
        <v/>
      </c>
      <c r="H579" s="1605"/>
      <c r="I579" s="1605"/>
      <c r="J579" s="1605"/>
      <c r="K579" s="1605"/>
      <c r="L579" s="1605"/>
      <c r="M579" s="1605"/>
      <c r="N579" s="1605"/>
      <c r="O579" s="1605"/>
      <c r="P579" s="1605"/>
      <c r="Q579" s="1605"/>
      <c r="R579" s="1605"/>
      <c r="S579" s="1605"/>
      <c r="T579" s="1605"/>
      <c r="U579" s="1605"/>
      <c r="V579" s="1605"/>
      <c r="W579" s="1605"/>
      <c r="X579" s="1605"/>
      <c r="Y579" s="1605"/>
      <c r="Z579" s="1605"/>
      <c r="AA579" s="1605"/>
      <c r="AB579" s="1605"/>
      <c r="AC579" s="1605"/>
      <c r="AD579" s="1605"/>
      <c r="AE579" s="1605"/>
      <c r="AF579" s="1605"/>
      <c r="AG579" s="1605"/>
      <c r="AH579" s="1605"/>
      <c r="AI579" s="1605"/>
      <c r="AJ579" s="1605"/>
      <c r="AK579" s="1605"/>
      <c r="AL579" s="1605"/>
      <c r="AM579" s="1605"/>
      <c r="AN579" s="1605"/>
      <c r="AO579" s="1605"/>
      <c r="AP579" s="1605"/>
      <c r="AQ579" s="1605"/>
      <c r="AR579" s="1605"/>
      <c r="AS579" s="1605"/>
      <c r="AT579" s="1605"/>
      <c r="AU579" s="1605"/>
      <c r="AV579" s="1605"/>
      <c r="AW579" s="1605"/>
      <c r="AX579" s="1605"/>
      <c r="AY579" s="1605"/>
      <c r="AZ579" s="1605"/>
      <c r="BA579" s="1605"/>
      <c r="BB579" s="1605"/>
      <c r="BC579" s="1605"/>
      <c r="BD579" s="1605"/>
      <c r="BE579" s="1605"/>
      <c r="BF579" s="1605"/>
      <c r="BG579" s="1605"/>
      <c r="BH579" s="1605"/>
      <c r="BI579" s="1605"/>
      <c r="BJ579" s="1605"/>
      <c r="BK579" s="1605"/>
      <c r="BL579" s="1605"/>
      <c r="BM579" s="1605"/>
      <c r="BN579" s="1605"/>
      <c r="BO579" s="1605"/>
      <c r="BP579" s="1605"/>
      <c r="BQ579" s="1605"/>
      <c r="BR579" s="1605"/>
      <c r="BS579" s="1605"/>
      <c r="BT579" s="1605"/>
      <c r="BU579" s="1605"/>
      <c r="BV579" s="1605"/>
      <c r="BW579" s="1605"/>
      <c r="BX579" s="1605"/>
      <c r="BY579" s="1605"/>
      <c r="BZ579" s="1605"/>
      <c r="CA579" s="1605"/>
      <c r="CB579" s="1605"/>
      <c r="CC579" s="1605"/>
      <c r="CD579" s="1605"/>
      <c r="CE579" s="1605"/>
      <c r="CF579" s="1605"/>
      <c r="CG579" s="1605"/>
      <c r="CH579" s="1605"/>
      <c r="CI579" s="1605"/>
      <c r="CJ579" s="1605"/>
      <c r="CK579" s="1605"/>
      <c r="CL579" s="1605"/>
      <c r="CM579" s="1605"/>
      <c r="CN579" s="1605"/>
      <c r="CO579" s="1605"/>
      <c r="CP579" s="1605"/>
      <c r="CQ579" s="1605"/>
      <c r="CR579" s="1605"/>
      <c r="CS579" s="1605"/>
      <c r="CT579" s="1605"/>
      <c r="CU579" s="1605"/>
      <c r="CV579" s="1605"/>
      <c r="CW579" s="1605"/>
      <c r="CX579" s="1605"/>
      <c r="CY579" s="1605"/>
      <c r="CZ579" s="1605"/>
      <c r="DA579" s="1605"/>
      <c r="DB579" s="1605"/>
      <c r="DC579" s="1605"/>
      <c r="DD579" s="1605"/>
      <c r="DE579" s="1605"/>
      <c r="DF579" s="1605"/>
      <c r="DG579" s="1605"/>
      <c r="DH579" s="1605"/>
      <c r="DI579" s="1605"/>
      <c r="DJ579" s="1605"/>
      <c r="DK579" s="1605"/>
      <c r="DL579" s="1605"/>
      <c r="DM579" s="1605"/>
      <c r="DN579" s="1605"/>
      <c r="DO579" s="1605"/>
      <c r="DP579" s="1605"/>
      <c r="DQ579" s="1605"/>
      <c r="DR579" s="1605"/>
      <c r="DS579" s="1605"/>
      <c r="DT579" s="1605"/>
      <c r="DU579" s="1605"/>
      <c r="DV579" s="1605"/>
      <c r="DW579" s="1605"/>
      <c r="DX579" s="1605"/>
      <c r="DY579" s="1605"/>
      <c r="DZ579" s="1605"/>
      <c r="EA579" s="1605"/>
      <c r="EB579" s="1605"/>
      <c r="EC579" s="1605"/>
      <c r="ED579" s="1605"/>
      <c r="EE579" s="1605"/>
      <c r="EF579" s="1605"/>
      <c r="EG579" s="1605"/>
      <c r="EH579" s="1605"/>
      <c r="EI579" s="1605"/>
      <c r="EJ579" s="1605"/>
      <c r="EK579" s="1605"/>
      <c r="EL579" s="1605"/>
      <c r="EM579" s="1605"/>
      <c r="EN579" s="1605"/>
      <c r="EO579" s="1605"/>
      <c r="EP579" s="1605"/>
      <c r="EQ579" s="1605"/>
      <c r="ER579" s="1605"/>
      <c r="ES579" s="1605"/>
      <c r="ET579" s="1605"/>
      <c r="EU579" s="1605"/>
      <c r="EV579" s="1605"/>
      <c r="EW579" s="1605"/>
      <c r="EX579" s="1605"/>
      <c r="EY579" s="1605"/>
      <c r="EZ579" s="1605"/>
      <c r="FA579" s="1605"/>
      <c r="FB579" s="1605"/>
      <c r="FC579" s="1605"/>
      <c r="FD579" s="1605"/>
      <c r="FE579" s="1605"/>
      <c r="FF579" s="1605"/>
      <c r="FG579" s="1605"/>
      <c r="FH579" s="1605"/>
      <c r="FI579" s="1605"/>
      <c r="FJ579" s="1605"/>
      <c r="FK579" s="1605"/>
      <c r="FL579" s="1605"/>
      <c r="FM579" s="1605"/>
      <c r="FN579" s="1605"/>
      <c r="FO579" s="1605"/>
      <c r="FP579" s="1605"/>
      <c r="FQ579" s="1605"/>
      <c r="FR579" s="1605"/>
      <c r="FS579" s="1605"/>
      <c r="FT579" s="1605"/>
      <c r="FU579" s="1605"/>
      <c r="FV579" s="1605"/>
      <c r="FW579" s="1605"/>
      <c r="FX579" s="1605"/>
      <c r="FY579" s="1605"/>
      <c r="FZ579" s="1605"/>
      <c r="GA579" s="1605"/>
      <c r="GB579" s="1605"/>
      <c r="GC579" s="1605"/>
      <c r="GD579" s="1605"/>
      <c r="GE579" s="1605"/>
      <c r="GF579" s="1605"/>
      <c r="GG579" s="1605"/>
      <c r="GH579" s="1605"/>
      <c r="GI579" s="1605"/>
      <c r="GJ579" s="1605"/>
      <c r="GK579" s="1605"/>
      <c r="GL579" s="1605"/>
      <c r="GM579" s="1605"/>
      <c r="GN579" s="1605"/>
      <c r="GO579" s="1605"/>
      <c r="GP579" s="1605"/>
      <c r="GQ579" s="1605"/>
      <c r="GR579" s="1605"/>
      <c r="GS579" s="1605"/>
      <c r="GT579" s="1605"/>
      <c r="GU579" s="1605"/>
      <c r="GV579" s="1605"/>
      <c r="GW579" s="1605"/>
      <c r="GX579" s="1605"/>
      <c r="GY579" s="1605"/>
      <c r="GZ579" s="1605"/>
      <c r="HA579" s="1605"/>
      <c r="HB579" s="1605"/>
      <c r="HC579" s="1605"/>
      <c r="HD579" s="1605"/>
      <c r="HE579" s="1605"/>
      <c r="HF579" s="1605"/>
      <c r="HG579" s="1605"/>
      <c r="HH579" s="1605"/>
      <c r="HI579" s="1605"/>
      <c r="HJ579" s="1605"/>
      <c r="HK579" s="1605"/>
      <c r="HL579" s="1605"/>
      <c r="HM579" s="1605"/>
      <c r="HN579" s="1605"/>
      <c r="HO579" s="1605"/>
      <c r="HP579" s="1605"/>
      <c r="HQ579" s="1605"/>
      <c r="HR579" s="1605"/>
      <c r="HS579" s="1605"/>
      <c r="HT579" s="1605"/>
      <c r="HU579" s="1605"/>
      <c r="HV579" s="1605"/>
      <c r="HW579" s="1605"/>
      <c r="HX579" s="1605"/>
      <c r="HY579" s="1605"/>
      <c r="HZ579" s="1605"/>
      <c r="IA579" s="1605"/>
      <c r="IB579" s="1605"/>
      <c r="IC579" s="1605"/>
      <c r="ID579" s="1605"/>
      <c r="IE579" s="1605"/>
      <c r="IF579" s="1605"/>
      <c r="IG579" s="1605"/>
      <c r="IH579" s="1605"/>
      <c r="II579" s="1605"/>
      <c r="IJ579" s="1605"/>
      <c r="IK579" s="1605"/>
      <c r="IL579" s="1605"/>
      <c r="IM579" s="1605"/>
      <c r="IN579" s="1605"/>
      <c r="IO579" s="1605"/>
      <c r="IP579" s="1605"/>
      <c r="IQ579" s="1605"/>
      <c r="IR579" s="1605"/>
      <c r="IS579" s="1605"/>
      <c r="IT579" s="1605"/>
      <c r="IU579" s="1605"/>
      <c r="IV579" s="1605"/>
      <c r="IW579" s="1605"/>
      <c r="IX579" s="1605"/>
      <c r="IY579" s="1605"/>
      <c r="IZ579" s="1605"/>
      <c r="JA579" s="1605"/>
      <c r="JB579" s="1605"/>
      <c r="JC579" s="1605"/>
      <c r="JD579" s="1605"/>
      <c r="JE579" s="1605"/>
      <c r="JF579" s="1605"/>
      <c r="JG579" s="1605"/>
      <c r="JH579" s="1605"/>
      <c r="JI579" s="1605"/>
      <c r="JJ579" s="1605"/>
      <c r="JK579" s="1605"/>
      <c r="JL579" s="1605"/>
      <c r="JM579" s="1605"/>
      <c r="JN579" s="1605"/>
      <c r="JO579" s="1605"/>
      <c r="JP579" s="1605"/>
      <c r="JQ579" s="1605"/>
      <c r="JR579" s="1605"/>
      <c r="JS579" s="1605"/>
      <c r="JT579" s="1605"/>
      <c r="JU579" s="1605"/>
      <c r="JV579" s="1605"/>
      <c r="JW579" s="1605"/>
      <c r="JX579" s="1605"/>
      <c r="JY579" s="1605"/>
      <c r="JZ579" s="1605"/>
      <c r="KA579" s="1605"/>
      <c r="KB579" s="1606"/>
    </row>
    <row r="580" spans="2:288" ht="15" customHeight="1" x14ac:dyDescent="0.25">
      <c r="B580" s="216" t="str">
        <f t="shared" si="46"/>
        <v>Desk 53</v>
      </c>
      <c r="C580" s="218" t="str">
        <v/>
      </c>
      <c r="D580" s="218" t="str">
        <v/>
      </c>
      <c r="E580" s="218" t="str">
        <v/>
      </c>
      <c r="F580" s="218" t="str">
        <v/>
      </c>
      <c r="G580" s="402" t="str">
        <v/>
      </c>
      <c r="H580" s="1605"/>
      <c r="I580" s="1605"/>
      <c r="J580" s="1605"/>
      <c r="K580" s="1605"/>
      <c r="L580" s="1605"/>
      <c r="M580" s="1605"/>
      <c r="N580" s="1605"/>
      <c r="O580" s="1605"/>
      <c r="P580" s="1605"/>
      <c r="Q580" s="1605"/>
      <c r="R580" s="1605"/>
      <c r="S580" s="1605"/>
      <c r="T580" s="1605"/>
      <c r="U580" s="1605"/>
      <c r="V580" s="1605"/>
      <c r="W580" s="1605"/>
      <c r="X580" s="1605"/>
      <c r="Y580" s="1605"/>
      <c r="Z580" s="1605"/>
      <c r="AA580" s="1605"/>
      <c r="AB580" s="1605"/>
      <c r="AC580" s="1605"/>
      <c r="AD580" s="1605"/>
      <c r="AE580" s="1605"/>
      <c r="AF580" s="1605"/>
      <c r="AG580" s="1605"/>
      <c r="AH580" s="1605"/>
      <c r="AI580" s="1605"/>
      <c r="AJ580" s="1605"/>
      <c r="AK580" s="1605"/>
      <c r="AL580" s="1605"/>
      <c r="AM580" s="1605"/>
      <c r="AN580" s="1605"/>
      <c r="AO580" s="1605"/>
      <c r="AP580" s="1605"/>
      <c r="AQ580" s="1605"/>
      <c r="AR580" s="1605"/>
      <c r="AS580" s="1605"/>
      <c r="AT580" s="1605"/>
      <c r="AU580" s="1605"/>
      <c r="AV580" s="1605"/>
      <c r="AW580" s="1605"/>
      <c r="AX580" s="1605"/>
      <c r="AY580" s="1605"/>
      <c r="AZ580" s="1605"/>
      <c r="BA580" s="1605"/>
      <c r="BB580" s="1605"/>
      <c r="BC580" s="1605"/>
      <c r="BD580" s="1605"/>
      <c r="BE580" s="1605"/>
      <c r="BF580" s="1605"/>
      <c r="BG580" s="1605"/>
      <c r="BH580" s="1605"/>
      <c r="BI580" s="1605"/>
      <c r="BJ580" s="1605"/>
      <c r="BK580" s="1605"/>
      <c r="BL580" s="1605"/>
      <c r="BM580" s="1605"/>
      <c r="BN580" s="1605"/>
      <c r="BO580" s="1605"/>
      <c r="BP580" s="1605"/>
      <c r="BQ580" s="1605"/>
      <c r="BR580" s="1605"/>
      <c r="BS580" s="1605"/>
      <c r="BT580" s="1605"/>
      <c r="BU580" s="1605"/>
      <c r="BV580" s="1605"/>
      <c r="BW580" s="1605"/>
      <c r="BX580" s="1605"/>
      <c r="BY580" s="1605"/>
      <c r="BZ580" s="1605"/>
      <c r="CA580" s="1605"/>
      <c r="CB580" s="1605"/>
      <c r="CC580" s="1605"/>
      <c r="CD580" s="1605"/>
      <c r="CE580" s="1605"/>
      <c r="CF580" s="1605"/>
      <c r="CG580" s="1605"/>
      <c r="CH580" s="1605"/>
      <c r="CI580" s="1605"/>
      <c r="CJ580" s="1605"/>
      <c r="CK580" s="1605"/>
      <c r="CL580" s="1605"/>
      <c r="CM580" s="1605"/>
      <c r="CN580" s="1605"/>
      <c r="CO580" s="1605"/>
      <c r="CP580" s="1605"/>
      <c r="CQ580" s="1605"/>
      <c r="CR580" s="1605"/>
      <c r="CS580" s="1605"/>
      <c r="CT580" s="1605"/>
      <c r="CU580" s="1605"/>
      <c r="CV580" s="1605"/>
      <c r="CW580" s="1605"/>
      <c r="CX580" s="1605"/>
      <c r="CY580" s="1605"/>
      <c r="CZ580" s="1605"/>
      <c r="DA580" s="1605"/>
      <c r="DB580" s="1605"/>
      <c r="DC580" s="1605"/>
      <c r="DD580" s="1605"/>
      <c r="DE580" s="1605"/>
      <c r="DF580" s="1605"/>
      <c r="DG580" s="1605"/>
      <c r="DH580" s="1605"/>
      <c r="DI580" s="1605"/>
      <c r="DJ580" s="1605"/>
      <c r="DK580" s="1605"/>
      <c r="DL580" s="1605"/>
      <c r="DM580" s="1605"/>
      <c r="DN580" s="1605"/>
      <c r="DO580" s="1605"/>
      <c r="DP580" s="1605"/>
      <c r="DQ580" s="1605"/>
      <c r="DR580" s="1605"/>
      <c r="DS580" s="1605"/>
      <c r="DT580" s="1605"/>
      <c r="DU580" s="1605"/>
      <c r="DV580" s="1605"/>
      <c r="DW580" s="1605"/>
      <c r="DX580" s="1605"/>
      <c r="DY580" s="1605"/>
      <c r="DZ580" s="1605"/>
      <c r="EA580" s="1605"/>
      <c r="EB580" s="1605"/>
      <c r="EC580" s="1605"/>
      <c r="ED580" s="1605"/>
      <c r="EE580" s="1605"/>
      <c r="EF580" s="1605"/>
      <c r="EG580" s="1605"/>
      <c r="EH580" s="1605"/>
      <c r="EI580" s="1605"/>
      <c r="EJ580" s="1605"/>
      <c r="EK580" s="1605"/>
      <c r="EL580" s="1605"/>
      <c r="EM580" s="1605"/>
      <c r="EN580" s="1605"/>
      <c r="EO580" s="1605"/>
      <c r="EP580" s="1605"/>
      <c r="EQ580" s="1605"/>
      <c r="ER580" s="1605"/>
      <c r="ES580" s="1605"/>
      <c r="ET580" s="1605"/>
      <c r="EU580" s="1605"/>
      <c r="EV580" s="1605"/>
      <c r="EW580" s="1605"/>
      <c r="EX580" s="1605"/>
      <c r="EY580" s="1605"/>
      <c r="EZ580" s="1605"/>
      <c r="FA580" s="1605"/>
      <c r="FB580" s="1605"/>
      <c r="FC580" s="1605"/>
      <c r="FD580" s="1605"/>
      <c r="FE580" s="1605"/>
      <c r="FF580" s="1605"/>
      <c r="FG580" s="1605"/>
      <c r="FH580" s="1605"/>
      <c r="FI580" s="1605"/>
      <c r="FJ580" s="1605"/>
      <c r="FK580" s="1605"/>
      <c r="FL580" s="1605"/>
      <c r="FM580" s="1605"/>
      <c r="FN580" s="1605"/>
      <c r="FO580" s="1605"/>
      <c r="FP580" s="1605"/>
      <c r="FQ580" s="1605"/>
      <c r="FR580" s="1605"/>
      <c r="FS580" s="1605"/>
      <c r="FT580" s="1605"/>
      <c r="FU580" s="1605"/>
      <c r="FV580" s="1605"/>
      <c r="FW580" s="1605"/>
      <c r="FX580" s="1605"/>
      <c r="FY580" s="1605"/>
      <c r="FZ580" s="1605"/>
      <c r="GA580" s="1605"/>
      <c r="GB580" s="1605"/>
      <c r="GC580" s="1605"/>
      <c r="GD580" s="1605"/>
      <c r="GE580" s="1605"/>
      <c r="GF580" s="1605"/>
      <c r="GG580" s="1605"/>
      <c r="GH580" s="1605"/>
      <c r="GI580" s="1605"/>
      <c r="GJ580" s="1605"/>
      <c r="GK580" s="1605"/>
      <c r="GL580" s="1605"/>
      <c r="GM580" s="1605"/>
      <c r="GN580" s="1605"/>
      <c r="GO580" s="1605"/>
      <c r="GP580" s="1605"/>
      <c r="GQ580" s="1605"/>
      <c r="GR580" s="1605"/>
      <c r="GS580" s="1605"/>
      <c r="GT580" s="1605"/>
      <c r="GU580" s="1605"/>
      <c r="GV580" s="1605"/>
      <c r="GW580" s="1605"/>
      <c r="GX580" s="1605"/>
      <c r="GY580" s="1605"/>
      <c r="GZ580" s="1605"/>
      <c r="HA580" s="1605"/>
      <c r="HB580" s="1605"/>
      <c r="HC580" s="1605"/>
      <c r="HD580" s="1605"/>
      <c r="HE580" s="1605"/>
      <c r="HF580" s="1605"/>
      <c r="HG580" s="1605"/>
      <c r="HH580" s="1605"/>
      <c r="HI580" s="1605"/>
      <c r="HJ580" s="1605"/>
      <c r="HK580" s="1605"/>
      <c r="HL580" s="1605"/>
      <c r="HM580" s="1605"/>
      <c r="HN580" s="1605"/>
      <c r="HO580" s="1605"/>
      <c r="HP580" s="1605"/>
      <c r="HQ580" s="1605"/>
      <c r="HR580" s="1605"/>
      <c r="HS580" s="1605"/>
      <c r="HT580" s="1605"/>
      <c r="HU580" s="1605"/>
      <c r="HV580" s="1605"/>
      <c r="HW580" s="1605"/>
      <c r="HX580" s="1605"/>
      <c r="HY580" s="1605"/>
      <c r="HZ580" s="1605"/>
      <c r="IA580" s="1605"/>
      <c r="IB580" s="1605"/>
      <c r="IC580" s="1605"/>
      <c r="ID580" s="1605"/>
      <c r="IE580" s="1605"/>
      <c r="IF580" s="1605"/>
      <c r="IG580" s="1605"/>
      <c r="IH580" s="1605"/>
      <c r="II580" s="1605"/>
      <c r="IJ580" s="1605"/>
      <c r="IK580" s="1605"/>
      <c r="IL580" s="1605"/>
      <c r="IM580" s="1605"/>
      <c r="IN580" s="1605"/>
      <c r="IO580" s="1605"/>
      <c r="IP580" s="1605"/>
      <c r="IQ580" s="1605"/>
      <c r="IR580" s="1605"/>
      <c r="IS580" s="1605"/>
      <c r="IT580" s="1605"/>
      <c r="IU580" s="1605"/>
      <c r="IV580" s="1605"/>
      <c r="IW580" s="1605"/>
      <c r="IX580" s="1605"/>
      <c r="IY580" s="1605"/>
      <c r="IZ580" s="1605"/>
      <c r="JA580" s="1605"/>
      <c r="JB580" s="1605"/>
      <c r="JC580" s="1605"/>
      <c r="JD580" s="1605"/>
      <c r="JE580" s="1605"/>
      <c r="JF580" s="1605"/>
      <c r="JG580" s="1605"/>
      <c r="JH580" s="1605"/>
      <c r="JI580" s="1605"/>
      <c r="JJ580" s="1605"/>
      <c r="JK580" s="1605"/>
      <c r="JL580" s="1605"/>
      <c r="JM580" s="1605"/>
      <c r="JN580" s="1605"/>
      <c r="JO580" s="1605"/>
      <c r="JP580" s="1605"/>
      <c r="JQ580" s="1605"/>
      <c r="JR580" s="1605"/>
      <c r="JS580" s="1605"/>
      <c r="JT580" s="1605"/>
      <c r="JU580" s="1605"/>
      <c r="JV580" s="1605"/>
      <c r="JW580" s="1605"/>
      <c r="JX580" s="1605"/>
      <c r="JY580" s="1605"/>
      <c r="JZ580" s="1605"/>
      <c r="KA580" s="1605"/>
      <c r="KB580" s="1606"/>
    </row>
    <row r="581" spans="2:288" ht="15" customHeight="1" x14ac:dyDescent="0.25">
      <c r="B581" s="216" t="str">
        <f t="shared" si="46"/>
        <v>Desk 54</v>
      </c>
      <c r="C581" s="218" t="str">
        <v/>
      </c>
      <c r="D581" s="218" t="str">
        <v/>
      </c>
      <c r="E581" s="218" t="str">
        <v/>
      </c>
      <c r="F581" s="218" t="str">
        <v/>
      </c>
      <c r="G581" s="402" t="str">
        <v/>
      </c>
      <c r="H581" s="1605"/>
      <c r="I581" s="1605"/>
      <c r="J581" s="1605"/>
      <c r="K581" s="1605"/>
      <c r="L581" s="1605"/>
      <c r="M581" s="1605"/>
      <c r="N581" s="1605"/>
      <c r="O581" s="1605"/>
      <c r="P581" s="1605"/>
      <c r="Q581" s="1605"/>
      <c r="R581" s="1605"/>
      <c r="S581" s="1605"/>
      <c r="T581" s="1605"/>
      <c r="U581" s="1605"/>
      <c r="V581" s="1605"/>
      <c r="W581" s="1605"/>
      <c r="X581" s="1605"/>
      <c r="Y581" s="1605"/>
      <c r="Z581" s="1605"/>
      <c r="AA581" s="1605"/>
      <c r="AB581" s="1605"/>
      <c r="AC581" s="1605"/>
      <c r="AD581" s="1605"/>
      <c r="AE581" s="1605"/>
      <c r="AF581" s="1605"/>
      <c r="AG581" s="1605"/>
      <c r="AH581" s="1605"/>
      <c r="AI581" s="1605"/>
      <c r="AJ581" s="1605"/>
      <c r="AK581" s="1605"/>
      <c r="AL581" s="1605"/>
      <c r="AM581" s="1605"/>
      <c r="AN581" s="1605"/>
      <c r="AO581" s="1605"/>
      <c r="AP581" s="1605"/>
      <c r="AQ581" s="1605"/>
      <c r="AR581" s="1605"/>
      <c r="AS581" s="1605"/>
      <c r="AT581" s="1605"/>
      <c r="AU581" s="1605"/>
      <c r="AV581" s="1605"/>
      <c r="AW581" s="1605"/>
      <c r="AX581" s="1605"/>
      <c r="AY581" s="1605"/>
      <c r="AZ581" s="1605"/>
      <c r="BA581" s="1605"/>
      <c r="BB581" s="1605"/>
      <c r="BC581" s="1605"/>
      <c r="BD581" s="1605"/>
      <c r="BE581" s="1605"/>
      <c r="BF581" s="1605"/>
      <c r="BG581" s="1605"/>
      <c r="BH581" s="1605"/>
      <c r="BI581" s="1605"/>
      <c r="BJ581" s="1605"/>
      <c r="BK581" s="1605"/>
      <c r="BL581" s="1605"/>
      <c r="BM581" s="1605"/>
      <c r="BN581" s="1605"/>
      <c r="BO581" s="1605"/>
      <c r="BP581" s="1605"/>
      <c r="BQ581" s="1605"/>
      <c r="BR581" s="1605"/>
      <c r="BS581" s="1605"/>
      <c r="BT581" s="1605"/>
      <c r="BU581" s="1605"/>
      <c r="BV581" s="1605"/>
      <c r="BW581" s="1605"/>
      <c r="BX581" s="1605"/>
      <c r="BY581" s="1605"/>
      <c r="BZ581" s="1605"/>
      <c r="CA581" s="1605"/>
      <c r="CB581" s="1605"/>
      <c r="CC581" s="1605"/>
      <c r="CD581" s="1605"/>
      <c r="CE581" s="1605"/>
      <c r="CF581" s="1605"/>
      <c r="CG581" s="1605"/>
      <c r="CH581" s="1605"/>
      <c r="CI581" s="1605"/>
      <c r="CJ581" s="1605"/>
      <c r="CK581" s="1605"/>
      <c r="CL581" s="1605"/>
      <c r="CM581" s="1605"/>
      <c r="CN581" s="1605"/>
      <c r="CO581" s="1605"/>
      <c r="CP581" s="1605"/>
      <c r="CQ581" s="1605"/>
      <c r="CR581" s="1605"/>
      <c r="CS581" s="1605"/>
      <c r="CT581" s="1605"/>
      <c r="CU581" s="1605"/>
      <c r="CV581" s="1605"/>
      <c r="CW581" s="1605"/>
      <c r="CX581" s="1605"/>
      <c r="CY581" s="1605"/>
      <c r="CZ581" s="1605"/>
      <c r="DA581" s="1605"/>
      <c r="DB581" s="1605"/>
      <c r="DC581" s="1605"/>
      <c r="DD581" s="1605"/>
      <c r="DE581" s="1605"/>
      <c r="DF581" s="1605"/>
      <c r="DG581" s="1605"/>
      <c r="DH581" s="1605"/>
      <c r="DI581" s="1605"/>
      <c r="DJ581" s="1605"/>
      <c r="DK581" s="1605"/>
      <c r="DL581" s="1605"/>
      <c r="DM581" s="1605"/>
      <c r="DN581" s="1605"/>
      <c r="DO581" s="1605"/>
      <c r="DP581" s="1605"/>
      <c r="DQ581" s="1605"/>
      <c r="DR581" s="1605"/>
      <c r="DS581" s="1605"/>
      <c r="DT581" s="1605"/>
      <c r="DU581" s="1605"/>
      <c r="DV581" s="1605"/>
      <c r="DW581" s="1605"/>
      <c r="DX581" s="1605"/>
      <c r="DY581" s="1605"/>
      <c r="DZ581" s="1605"/>
      <c r="EA581" s="1605"/>
      <c r="EB581" s="1605"/>
      <c r="EC581" s="1605"/>
      <c r="ED581" s="1605"/>
      <c r="EE581" s="1605"/>
      <c r="EF581" s="1605"/>
      <c r="EG581" s="1605"/>
      <c r="EH581" s="1605"/>
      <c r="EI581" s="1605"/>
      <c r="EJ581" s="1605"/>
      <c r="EK581" s="1605"/>
      <c r="EL581" s="1605"/>
      <c r="EM581" s="1605"/>
      <c r="EN581" s="1605"/>
      <c r="EO581" s="1605"/>
      <c r="EP581" s="1605"/>
      <c r="EQ581" s="1605"/>
      <c r="ER581" s="1605"/>
      <c r="ES581" s="1605"/>
      <c r="ET581" s="1605"/>
      <c r="EU581" s="1605"/>
      <c r="EV581" s="1605"/>
      <c r="EW581" s="1605"/>
      <c r="EX581" s="1605"/>
      <c r="EY581" s="1605"/>
      <c r="EZ581" s="1605"/>
      <c r="FA581" s="1605"/>
      <c r="FB581" s="1605"/>
      <c r="FC581" s="1605"/>
      <c r="FD581" s="1605"/>
      <c r="FE581" s="1605"/>
      <c r="FF581" s="1605"/>
      <c r="FG581" s="1605"/>
      <c r="FH581" s="1605"/>
      <c r="FI581" s="1605"/>
      <c r="FJ581" s="1605"/>
      <c r="FK581" s="1605"/>
      <c r="FL581" s="1605"/>
      <c r="FM581" s="1605"/>
      <c r="FN581" s="1605"/>
      <c r="FO581" s="1605"/>
      <c r="FP581" s="1605"/>
      <c r="FQ581" s="1605"/>
      <c r="FR581" s="1605"/>
      <c r="FS581" s="1605"/>
      <c r="FT581" s="1605"/>
      <c r="FU581" s="1605"/>
      <c r="FV581" s="1605"/>
      <c r="FW581" s="1605"/>
      <c r="FX581" s="1605"/>
      <c r="FY581" s="1605"/>
      <c r="FZ581" s="1605"/>
      <c r="GA581" s="1605"/>
      <c r="GB581" s="1605"/>
      <c r="GC581" s="1605"/>
      <c r="GD581" s="1605"/>
      <c r="GE581" s="1605"/>
      <c r="GF581" s="1605"/>
      <c r="GG581" s="1605"/>
      <c r="GH581" s="1605"/>
      <c r="GI581" s="1605"/>
      <c r="GJ581" s="1605"/>
      <c r="GK581" s="1605"/>
      <c r="GL581" s="1605"/>
      <c r="GM581" s="1605"/>
      <c r="GN581" s="1605"/>
      <c r="GO581" s="1605"/>
      <c r="GP581" s="1605"/>
      <c r="GQ581" s="1605"/>
      <c r="GR581" s="1605"/>
      <c r="GS581" s="1605"/>
      <c r="GT581" s="1605"/>
      <c r="GU581" s="1605"/>
      <c r="GV581" s="1605"/>
      <c r="GW581" s="1605"/>
      <c r="GX581" s="1605"/>
      <c r="GY581" s="1605"/>
      <c r="GZ581" s="1605"/>
      <c r="HA581" s="1605"/>
      <c r="HB581" s="1605"/>
      <c r="HC581" s="1605"/>
      <c r="HD581" s="1605"/>
      <c r="HE581" s="1605"/>
      <c r="HF581" s="1605"/>
      <c r="HG581" s="1605"/>
      <c r="HH581" s="1605"/>
      <c r="HI581" s="1605"/>
      <c r="HJ581" s="1605"/>
      <c r="HK581" s="1605"/>
      <c r="HL581" s="1605"/>
      <c r="HM581" s="1605"/>
      <c r="HN581" s="1605"/>
      <c r="HO581" s="1605"/>
      <c r="HP581" s="1605"/>
      <c r="HQ581" s="1605"/>
      <c r="HR581" s="1605"/>
      <c r="HS581" s="1605"/>
      <c r="HT581" s="1605"/>
      <c r="HU581" s="1605"/>
      <c r="HV581" s="1605"/>
      <c r="HW581" s="1605"/>
      <c r="HX581" s="1605"/>
      <c r="HY581" s="1605"/>
      <c r="HZ581" s="1605"/>
      <c r="IA581" s="1605"/>
      <c r="IB581" s="1605"/>
      <c r="IC581" s="1605"/>
      <c r="ID581" s="1605"/>
      <c r="IE581" s="1605"/>
      <c r="IF581" s="1605"/>
      <c r="IG581" s="1605"/>
      <c r="IH581" s="1605"/>
      <c r="II581" s="1605"/>
      <c r="IJ581" s="1605"/>
      <c r="IK581" s="1605"/>
      <c r="IL581" s="1605"/>
      <c r="IM581" s="1605"/>
      <c r="IN581" s="1605"/>
      <c r="IO581" s="1605"/>
      <c r="IP581" s="1605"/>
      <c r="IQ581" s="1605"/>
      <c r="IR581" s="1605"/>
      <c r="IS581" s="1605"/>
      <c r="IT581" s="1605"/>
      <c r="IU581" s="1605"/>
      <c r="IV581" s="1605"/>
      <c r="IW581" s="1605"/>
      <c r="IX581" s="1605"/>
      <c r="IY581" s="1605"/>
      <c r="IZ581" s="1605"/>
      <c r="JA581" s="1605"/>
      <c r="JB581" s="1605"/>
      <c r="JC581" s="1605"/>
      <c r="JD581" s="1605"/>
      <c r="JE581" s="1605"/>
      <c r="JF581" s="1605"/>
      <c r="JG581" s="1605"/>
      <c r="JH581" s="1605"/>
      <c r="JI581" s="1605"/>
      <c r="JJ581" s="1605"/>
      <c r="JK581" s="1605"/>
      <c r="JL581" s="1605"/>
      <c r="JM581" s="1605"/>
      <c r="JN581" s="1605"/>
      <c r="JO581" s="1605"/>
      <c r="JP581" s="1605"/>
      <c r="JQ581" s="1605"/>
      <c r="JR581" s="1605"/>
      <c r="JS581" s="1605"/>
      <c r="JT581" s="1605"/>
      <c r="JU581" s="1605"/>
      <c r="JV581" s="1605"/>
      <c r="JW581" s="1605"/>
      <c r="JX581" s="1605"/>
      <c r="JY581" s="1605"/>
      <c r="JZ581" s="1605"/>
      <c r="KA581" s="1605"/>
      <c r="KB581" s="1606"/>
    </row>
    <row r="582" spans="2:288" ht="15" customHeight="1" x14ac:dyDescent="0.25">
      <c r="B582" s="216" t="str">
        <f t="shared" si="46"/>
        <v>Desk 55</v>
      </c>
      <c r="C582" s="218" t="str">
        <v/>
      </c>
      <c r="D582" s="218" t="str">
        <v/>
      </c>
      <c r="E582" s="218" t="str">
        <v/>
      </c>
      <c r="F582" s="218" t="str">
        <v/>
      </c>
      <c r="G582" s="402" t="str">
        <v/>
      </c>
      <c r="H582" s="1605"/>
      <c r="I582" s="1605"/>
      <c r="J582" s="1605"/>
      <c r="K582" s="1605"/>
      <c r="L582" s="1605"/>
      <c r="M582" s="1605"/>
      <c r="N582" s="1605"/>
      <c r="O582" s="1605"/>
      <c r="P582" s="1605"/>
      <c r="Q582" s="1605"/>
      <c r="R582" s="1605"/>
      <c r="S582" s="1605"/>
      <c r="T582" s="1605"/>
      <c r="U582" s="1605"/>
      <c r="V582" s="1605"/>
      <c r="W582" s="1605"/>
      <c r="X582" s="1605"/>
      <c r="Y582" s="1605"/>
      <c r="Z582" s="1605"/>
      <c r="AA582" s="1605"/>
      <c r="AB582" s="1605"/>
      <c r="AC582" s="1605"/>
      <c r="AD582" s="1605"/>
      <c r="AE582" s="1605"/>
      <c r="AF582" s="1605"/>
      <c r="AG582" s="1605"/>
      <c r="AH582" s="1605"/>
      <c r="AI582" s="1605"/>
      <c r="AJ582" s="1605"/>
      <c r="AK582" s="1605"/>
      <c r="AL582" s="1605"/>
      <c r="AM582" s="1605"/>
      <c r="AN582" s="1605"/>
      <c r="AO582" s="1605"/>
      <c r="AP582" s="1605"/>
      <c r="AQ582" s="1605"/>
      <c r="AR582" s="1605"/>
      <c r="AS582" s="1605"/>
      <c r="AT582" s="1605"/>
      <c r="AU582" s="1605"/>
      <c r="AV582" s="1605"/>
      <c r="AW582" s="1605"/>
      <c r="AX582" s="1605"/>
      <c r="AY582" s="1605"/>
      <c r="AZ582" s="1605"/>
      <c r="BA582" s="1605"/>
      <c r="BB582" s="1605"/>
      <c r="BC582" s="1605"/>
      <c r="BD582" s="1605"/>
      <c r="BE582" s="1605"/>
      <c r="BF582" s="1605"/>
      <c r="BG582" s="1605"/>
      <c r="BH582" s="1605"/>
      <c r="BI582" s="1605"/>
      <c r="BJ582" s="1605"/>
      <c r="BK582" s="1605"/>
      <c r="BL582" s="1605"/>
      <c r="BM582" s="1605"/>
      <c r="BN582" s="1605"/>
      <c r="BO582" s="1605"/>
      <c r="BP582" s="1605"/>
      <c r="BQ582" s="1605"/>
      <c r="BR582" s="1605"/>
      <c r="BS582" s="1605"/>
      <c r="BT582" s="1605"/>
      <c r="BU582" s="1605"/>
      <c r="BV582" s="1605"/>
      <c r="BW582" s="1605"/>
      <c r="BX582" s="1605"/>
      <c r="BY582" s="1605"/>
      <c r="BZ582" s="1605"/>
      <c r="CA582" s="1605"/>
      <c r="CB582" s="1605"/>
      <c r="CC582" s="1605"/>
      <c r="CD582" s="1605"/>
      <c r="CE582" s="1605"/>
      <c r="CF582" s="1605"/>
      <c r="CG582" s="1605"/>
      <c r="CH582" s="1605"/>
      <c r="CI582" s="1605"/>
      <c r="CJ582" s="1605"/>
      <c r="CK582" s="1605"/>
      <c r="CL582" s="1605"/>
      <c r="CM582" s="1605"/>
      <c r="CN582" s="1605"/>
      <c r="CO582" s="1605"/>
      <c r="CP582" s="1605"/>
      <c r="CQ582" s="1605"/>
      <c r="CR582" s="1605"/>
      <c r="CS582" s="1605"/>
      <c r="CT582" s="1605"/>
      <c r="CU582" s="1605"/>
      <c r="CV582" s="1605"/>
      <c r="CW582" s="1605"/>
      <c r="CX582" s="1605"/>
      <c r="CY582" s="1605"/>
      <c r="CZ582" s="1605"/>
      <c r="DA582" s="1605"/>
      <c r="DB582" s="1605"/>
      <c r="DC582" s="1605"/>
      <c r="DD582" s="1605"/>
      <c r="DE582" s="1605"/>
      <c r="DF582" s="1605"/>
      <c r="DG582" s="1605"/>
      <c r="DH582" s="1605"/>
      <c r="DI582" s="1605"/>
      <c r="DJ582" s="1605"/>
      <c r="DK582" s="1605"/>
      <c r="DL582" s="1605"/>
      <c r="DM582" s="1605"/>
      <c r="DN582" s="1605"/>
      <c r="DO582" s="1605"/>
      <c r="DP582" s="1605"/>
      <c r="DQ582" s="1605"/>
      <c r="DR582" s="1605"/>
      <c r="DS582" s="1605"/>
      <c r="DT582" s="1605"/>
      <c r="DU582" s="1605"/>
      <c r="DV582" s="1605"/>
      <c r="DW582" s="1605"/>
      <c r="DX582" s="1605"/>
      <c r="DY582" s="1605"/>
      <c r="DZ582" s="1605"/>
      <c r="EA582" s="1605"/>
      <c r="EB582" s="1605"/>
      <c r="EC582" s="1605"/>
      <c r="ED582" s="1605"/>
      <c r="EE582" s="1605"/>
      <c r="EF582" s="1605"/>
      <c r="EG582" s="1605"/>
      <c r="EH582" s="1605"/>
      <c r="EI582" s="1605"/>
      <c r="EJ582" s="1605"/>
      <c r="EK582" s="1605"/>
      <c r="EL582" s="1605"/>
      <c r="EM582" s="1605"/>
      <c r="EN582" s="1605"/>
      <c r="EO582" s="1605"/>
      <c r="EP582" s="1605"/>
      <c r="EQ582" s="1605"/>
      <c r="ER582" s="1605"/>
      <c r="ES582" s="1605"/>
      <c r="ET582" s="1605"/>
      <c r="EU582" s="1605"/>
      <c r="EV582" s="1605"/>
      <c r="EW582" s="1605"/>
      <c r="EX582" s="1605"/>
      <c r="EY582" s="1605"/>
      <c r="EZ582" s="1605"/>
      <c r="FA582" s="1605"/>
      <c r="FB582" s="1605"/>
      <c r="FC582" s="1605"/>
      <c r="FD582" s="1605"/>
      <c r="FE582" s="1605"/>
      <c r="FF582" s="1605"/>
      <c r="FG582" s="1605"/>
      <c r="FH582" s="1605"/>
      <c r="FI582" s="1605"/>
      <c r="FJ582" s="1605"/>
      <c r="FK582" s="1605"/>
      <c r="FL582" s="1605"/>
      <c r="FM582" s="1605"/>
      <c r="FN582" s="1605"/>
      <c r="FO582" s="1605"/>
      <c r="FP582" s="1605"/>
      <c r="FQ582" s="1605"/>
      <c r="FR582" s="1605"/>
      <c r="FS582" s="1605"/>
      <c r="FT582" s="1605"/>
      <c r="FU582" s="1605"/>
      <c r="FV582" s="1605"/>
      <c r="FW582" s="1605"/>
      <c r="FX582" s="1605"/>
      <c r="FY582" s="1605"/>
      <c r="FZ582" s="1605"/>
      <c r="GA582" s="1605"/>
      <c r="GB582" s="1605"/>
      <c r="GC582" s="1605"/>
      <c r="GD582" s="1605"/>
      <c r="GE582" s="1605"/>
      <c r="GF582" s="1605"/>
      <c r="GG582" s="1605"/>
      <c r="GH582" s="1605"/>
      <c r="GI582" s="1605"/>
      <c r="GJ582" s="1605"/>
      <c r="GK582" s="1605"/>
      <c r="GL582" s="1605"/>
      <c r="GM582" s="1605"/>
      <c r="GN582" s="1605"/>
      <c r="GO582" s="1605"/>
      <c r="GP582" s="1605"/>
      <c r="GQ582" s="1605"/>
      <c r="GR582" s="1605"/>
      <c r="GS582" s="1605"/>
      <c r="GT582" s="1605"/>
      <c r="GU582" s="1605"/>
      <c r="GV582" s="1605"/>
      <c r="GW582" s="1605"/>
      <c r="GX582" s="1605"/>
      <c r="GY582" s="1605"/>
      <c r="GZ582" s="1605"/>
      <c r="HA582" s="1605"/>
      <c r="HB582" s="1605"/>
      <c r="HC582" s="1605"/>
      <c r="HD582" s="1605"/>
      <c r="HE582" s="1605"/>
      <c r="HF582" s="1605"/>
      <c r="HG582" s="1605"/>
      <c r="HH582" s="1605"/>
      <c r="HI582" s="1605"/>
      <c r="HJ582" s="1605"/>
      <c r="HK582" s="1605"/>
      <c r="HL582" s="1605"/>
      <c r="HM582" s="1605"/>
      <c r="HN582" s="1605"/>
      <c r="HO582" s="1605"/>
      <c r="HP582" s="1605"/>
      <c r="HQ582" s="1605"/>
      <c r="HR582" s="1605"/>
      <c r="HS582" s="1605"/>
      <c r="HT582" s="1605"/>
      <c r="HU582" s="1605"/>
      <c r="HV582" s="1605"/>
      <c r="HW582" s="1605"/>
      <c r="HX582" s="1605"/>
      <c r="HY582" s="1605"/>
      <c r="HZ582" s="1605"/>
      <c r="IA582" s="1605"/>
      <c r="IB582" s="1605"/>
      <c r="IC582" s="1605"/>
      <c r="ID582" s="1605"/>
      <c r="IE582" s="1605"/>
      <c r="IF582" s="1605"/>
      <c r="IG582" s="1605"/>
      <c r="IH582" s="1605"/>
      <c r="II582" s="1605"/>
      <c r="IJ582" s="1605"/>
      <c r="IK582" s="1605"/>
      <c r="IL582" s="1605"/>
      <c r="IM582" s="1605"/>
      <c r="IN582" s="1605"/>
      <c r="IO582" s="1605"/>
      <c r="IP582" s="1605"/>
      <c r="IQ582" s="1605"/>
      <c r="IR582" s="1605"/>
      <c r="IS582" s="1605"/>
      <c r="IT582" s="1605"/>
      <c r="IU582" s="1605"/>
      <c r="IV582" s="1605"/>
      <c r="IW582" s="1605"/>
      <c r="IX582" s="1605"/>
      <c r="IY582" s="1605"/>
      <c r="IZ582" s="1605"/>
      <c r="JA582" s="1605"/>
      <c r="JB582" s="1605"/>
      <c r="JC582" s="1605"/>
      <c r="JD582" s="1605"/>
      <c r="JE582" s="1605"/>
      <c r="JF582" s="1605"/>
      <c r="JG582" s="1605"/>
      <c r="JH582" s="1605"/>
      <c r="JI582" s="1605"/>
      <c r="JJ582" s="1605"/>
      <c r="JK582" s="1605"/>
      <c r="JL582" s="1605"/>
      <c r="JM582" s="1605"/>
      <c r="JN582" s="1605"/>
      <c r="JO582" s="1605"/>
      <c r="JP582" s="1605"/>
      <c r="JQ582" s="1605"/>
      <c r="JR582" s="1605"/>
      <c r="JS582" s="1605"/>
      <c r="JT582" s="1605"/>
      <c r="JU582" s="1605"/>
      <c r="JV582" s="1605"/>
      <c r="JW582" s="1605"/>
      <c r="JX582" s="1605"/>
      <c r="JY582" s="1605"/>
      <c r="JZ582" s="1605"/>
      <c r="KA582" s="1605"/>
      <c r="KB582" s="1606"/>
    </row>
    <row r="583" spans="2:288" ht="15" customHeight="1" x14ac:dyDescent="0.25">
      <c r="B583" s="216" t="str">
        <f t="shared" si="46"/>
        <v>Desk 56</v>
      </c>
      <c r="C583" s="218" t="str">
        <v/>
      </c>
      <c r="D583" s="218" t="str">
        <v/>
      </c>
      <c r="E583" s="218" t="str">
        <v/>
      </c>
      <c r="F583" s="218" t="str">
        <v/>
      </c>
      <c r="G583" s="402" t="str">
        <v/>
      </c>
      <c r="H583" s="1605"/>
      <c r="I583" s="1605"/>
      <c r="J583" s="1605"/>
      <c r="K583" s="1605"/>
      <c r="L583" s="1605"/>
      <c r="M583" s="1605"/>
      <c r="N583" s="1605"/>
      <c r="O583" s="1605"/>
      <c r="P583" s="1605"/>
      <c r="Q583" s="1605"/>
      <c r="R583" s="1605"/>
      <c r="S583" s="1605"/>
      <c r="T583" s="1605"/>
      <c r="U583" s="1605"/>
      <c r="V583" s="1605"/>
      <c r="W583" s="1605"/>
      <c r="X583" s="1605"/>
      <c r="Y583" s="1605"/>
      <c r="Z583" s="1605"/>
      <c r="AA583" s="1605"/>
      <c r="AB583" s="1605"/>
      <c r="AC583" s="1605"/>
      <c r="AD583" s="1605"/>
      <c r="AE583" s="1605"/>
      <c r="AF583" s="1605"/>
      <c r="AG583" s="1605"/>
      <c r="AH583" s="1605"/>
      <c r="AI583" s="1605"/>
      <c r="AJ583" s="1605"/>
      <c r="AK583" s="1605"/>
      <c r="AL583" s="1605"/>
      <c r="AM583" s="1605"/>
      <c r="AN583" s="1605"/>
      <c r="AO583" s="1605"/>
      <c r="AP583" s="1605"/>
      <c r="AQ583" s="1605"/>
      <c r="AR583" s="1605"/>
      <c r="AS583" s="1605"/>
      <c r="AT583" s="1605"/>
      <c r="AU583" s="1605"/>
      <c r="AV583" s="1605"/>
      <c r="AW583" s="1605"/>
      <c r="AX583" s="1605"/>
      <c r="AY583" s="1605"/>
      <c r="AZ583" s="1605"/>
      <c r="BA583" s="1605"/>
      <c r="BB583" s="1605"/>
      <c r="BC583" s="1605"/>
      <c r="BD583" s="1605"/>
      <c r="BE583" s="1605"/>
      <c r="BF583" s="1605"/>
      <c r="BG583" s="1605"/>
      <c r="BH583" s="1605"/>
      <c r="BI583" s="1605"/>
      <c r="BJ583" s="1605"/>
      <c r="BK583" s="1605"/>
      <c r="BL583" s="1605"/>
      <c r="BM583" s="1605"/>
      <c r="BN583" s="1605"/>
      <c r="BO583" s="1605"/>
      <c r="BP583" s="1605"/>
      <c r="BQ583" s="1605"/>
      <c r="BR583" s="1605"/>
      <c r="BS583" s="1605"/>
      <c r="BT583" s="1605"/>
      <c r="BU583" s="1605"/>
      <c r="BV583" s="1605"/>
      <c r="BW583" s="1605"/>
      <c r="BX583" s="1605"/>
      <c r="BY583" s="1605"/>
      <c r="BZ583" s="1605"/>
      <c r="CA583" s="1605"/>
      <c r="CB583" s="1605"/>
      <c r="CC583" s="1605"/>
      <c r="CD583" s="1605"/>
      <c r="CE583" s="1605"/>
      <c r="CF583" s="1605"/>
      <c r="CG583" s="1605"/>
      <c r="CH583" s="1605"/>
      <c r="CI583" s="1605"/>
      <c r="CJ583" s="1605"/>
      <c r="CK583" s="1605"/>
      <c r="CL583" s="1605"/>
      <c r="CM583" s="1605"/>
      <c r="CN583" s="1605"/>
      <c r="CO583" s="1605"/>
      <c r="CP583" s="1605"/>
      <c r="CQ583" s="1605"/>
      <c r="CR583" s="1605"/>
      <c r="CS583" s="1605"/>
      <c r="CT583" s="1605"/>
      <c r="CU583" s="1605"/>
      <c r="CV583" s="1605"/>
      <c r="CW583" s="1605"/>
      <c r="CX583" s="1605"/>
      <c r="CY583" s="1605"/>
      <c r="CZ583" s="1605"/>
      <c r="DA583" s="1605"/>
      <c r="DB583" s="1605"/>
      <c r="DC583" s="1605"/>
      <c r="DD583" s="1605"/>
      <c r="DE583" s="1605"/>
      <c r="DF583" s="1605"/>
      <c r="DG583" s="1605"/>
      <c r="DH583" s="1605"/>
      <c r="DI583" s="1605"/>
      <c r="DJ583" s="1605"/>
      <c r="DK583" s="1605"/>
      <c r="DL583" s="1605"/>
      <c r="DM583" s="1605"/>
      <c r="DN583" s="1605"/>
      <c r="DO583" s="1605"/>
      <c r="DP583" s="1605"/>
      <c r="DQ583" s="1605"/>
      <c r="DR583" s="1605"/>
      <c r="DS583" s="1605"/>
      <c r="DT583" s="1605"/>
      <c r="DU583" s="1605"/>
      <c r="DV583" s="1605"/>
      <c r="DW583" s="1605"/>
      <c r="DX583" s="1605"/>
      <c r="DY583" s="1605"/>
      <c r="DZ583" s="1605"/>
      <c r="EA583" s="1605"/>
      <c r="EB583" s="1605"/>
      <c r="EC583" s="1605"/>
      <c r="ED583" s="1605"/>
      <c r="EE583" s="1605"/>
      <c r="EF583" s="1605"/>
      <c r="EG583" s="1605"/>
      <c r="EH583" s="1605"/>
      <c r="EI583" s="1605"/>
      <c r="EJ583" s="1605"/>
      <c r="EK583" s="1605"/>
      <c r="EL583" s="1605"/>
      <c r="EM583" s="1605"/>
      <c r="EN583" s="1605"/>
      <c r="EO583" s="1605"/>
      <c r="EP583" s="1605"/>
      <c r="EQ583" s="1605"/>
      <c r="ER583" s="1605"/>
      <c r="ES583" s="1605"/>
      <c r="ET583" s="1605"/>
      <c r="EU583" s="1605"/>
      <c r="EV583" s="1605"/>
      <c r="EW583" s="1605"/>
      <c r="EX583" s="1605"/>
      <c r="EY583" s="1605"/>
      <c r="EZ583" s="1605"/>
      <c r="FA583" s="1605"/>
      <c r="FB583" s="1605"/>
      <c r="FC583" s="1605"/>
      <c r="FD583" s="1605"/>
      <c r="FE583" s="1605"/>
      <c r="FF583" s="1605"/>
      <c r="FG583" s="1605"/>
      <c r="FH583" s="1605"/>
      <c r="FI583" s="1605"/>
      <c r="FJ583" s="1605"/>
      <c r="FK583" s="1605"/>
      <c r="FL583" s="1605"/>
      <c r="FM583" s="1605"/>
      <c r="FN583" s="1605"/>
      <c r="FO583" s="1605"/>
      <c r="FP583" s="1605"/>
      <c r="FQ583" s="1605"/>
      <c r="FR583" s="1605"/>
      <c r="FS583" s="1605"/>
      <c r="FT583" s="1605"/>
      <c r="FU583" s="1605"/>
      <c r="FV583" s="1605"/>
      <c r="FW583" s="1605"/>
      <c r="FX583" s="1605"/>
      <c r="FY583" s="1605"/>
      <c r="FZ583" s="1605"/>
      <c r="GA583" s="1605"/>
      <c r="GB583" s="1605"/>
      <c r="GC583" s="1605"/>
      <c r="GD583" s="1605"/>
      <c r="GE583" s="1605"/>
      <c r="GF583" s="1605"/>
      <c r="GG583" s="1605"/>
      <c r="GH583" s="1605"/>
      <c r="GI583" s="1605"/>
      <c r="GJ583" s="1605"/>
      <c r="GK583" s="1605"/>
      <c r="GL583" s="1605"/>
      <c r="GM583" s="1605"/>
      <c r="GN583" s="1605"/>
      <c r="GO583" s="1605"/>
      <c r="GP583" s="1605"/>
      <c r="GQ583" s="1605"/>
      <c r="GR583" s="1605"/>
      <c r="GS583" s="1605"/>
      <c r="GT583" s="1605"/>
      <c r="GU583" s="1605"/>
      <c r="GV583" s="1605"/>
      <c r="GW583" s="1605"/>
      <c r="GX583" s="1605"/>
      <c r="GY583" s="1605"/>
      <c r="GZ583" s="1605"/>
      <c r="HA583" s="1605"/>
      <c r="HB583" s="1605"/>
      <c r="HC583" s="1605"/>
      <c r="HD583" s="1605"/>
      <c r="HE583" s="1605"/>
      <c r="HF583" s="1605"/>
      <c r="HG583" s="1605"/>
      <c r="HH583" s="1605"/>
      <c r="HI583" s="1605"/>
      <c r="HJ583" s="1605"/>
      <c r="HK583" s="1605"/>
      <c r="HL583" s="1605"/>
      <c r="HM583" s="1605"/>
      <c r="HN583" s="1605"/>
      <c r="HO583" s="1605"/>
      <c r="HP583" s="1605"/>
      <c r="HQ583" s="1605"/>
      <c r="HR583" s="1605"/>
      <c r="HS583" s="1605"/>
      <c r="HT583" s="1605"/>
      <c r="HU583" s="1605"/>
      <c r="HV583" s="1605"/>
      <c r="HW583" s="1605"/>
      <c r="HX583" s="1605"/>
      <c r="HY583" s="1605"/>
      <c r="HZ583" s="1605"/>
      <c r="IA583" s="1605"/>
      <c r="IB583" s="1605"/>
      <c r="IC583" s="1605"/>
      <c r="ID583" s="1605"/>
      <c r="IE583" s="1605"/>
      <c r="IF583" s="1605"/>
      <c r="IG583" s="1605"/>
      <c r="IH583" s="1605"/>
      <c r="II583" s="1605"/>
      <c r="IJ583" s="1605"/>
      <c r="IK583" s="1605"/>
      <c r="IL583" s="1605"/>
      <c r="IM583" s="1605"/>
      <c r="IN583" s="1605"/>
      <c r="IO583" s="1605"/>
      <c r="IP583" s="1605"/>
      <c r="IQ583" s="1605"/>
      <c r="IR583" s="1605"/>
      <c r="IS583" s="1605"/>
      <c r="IT583" s="1605"/>
      <c r="IU583" s="1605"/>
      <c r="IV583" s="1605"/>
      <c r="IW583" s="1605"/>
      <c r="IX583" s="1605"/>
      <c r="IY583" s="1605"/>
      <c r="IZ583" s="1605"/>
      <c r="JA583" s="1605"/>
      <c r="JB583" s="1605"/>
      <c r="JC583" s="1605"/>
      <c r="JD583" s="1605"/>
      <c r="JE583" s="1605"/>
      <c r="JF583" s="1605"/>
      <c r="JG583" s="1605"/>
      <c r="JH583" s="1605"/>
      <c r="JI583" s="1605"/>
      <c r="JJ583" s="1605"/>
      <c r="JK583" s="1605"/>
      <c r="JL583" s="1605"/>
      <c r="JM583" s="1605"/>
      <c r="JN583" s="1605"/>
      <c r="JO583" s="1605"/>
      <c r="JP583" s="1605"/>
      <c r="JQ583" s="1605"/>
      <c r="JR583" s="1605"/>
      <c r="JS583" s="1605"/>
      <c r="JT583" s="1605"/>
      <c r="JU583" s="1605"/>
      <c r="JV583" s="1605"/>
      <c r="JW583" s="1605"/>
      <c r="JX583" s="1605"/>
      <c r="JY583" s="1605"/>
      <c r="JZ583" s="1605"/>
      <c r="KA583" s="1605"/>
      <c r="KB583" s="1606"/>
    </row>
    <row r="584" spans="2:288" ht="15" customHeight="1" x14ac:dyDescent="0.25">
      <c r="B584" s="216" t="str">
        <f t="shared" si="46"/>
        <v>Desk 57</v>
      </c>
      <c r="C584" s="218" t="str">
        <v/>
      </c>
      <c r="D584" s="218" t="str">
        <v/>
      </c>
      <c r="E584" s="218" t="str">
        <v/>
      </c>
      <c r="F584" s="218" t="str">
        <v/>
      </c>
      <c r="G584" s="402" t="str">
        <v/>
      </c>
      <c r="H584" s="1605"/>
      <c r="I584" s="1605"/>
      <c r="J584" s="1605"/>
      <c r="K584" s="1605"/>
      <c r="L584" s="1605"/>
      <c r="M584" s="1605"/>
      <c r="N584" s="1605"/>
      <c r="O584" s="1605"/>
      <c r="P584" s="1605"/>
      <c r="Q584" s="1605"/>
      <c r="R584" s="1605"/>
      <c r="S584" s="1605"/>
      <c r="T584" s="1605"/>
      <c r="U584" s="1605"/>
      <c r="V584" s="1605"/>
      <c r="W584" s="1605"/>
      <c r="X584" s="1605"/>
      <c r="Y584" s="1605"/>
      <c r="Z584" s="1605"/>
      <c r="AA584" s="1605"/>
      <c r="AB584" s="1605"/>
      <c r="AC584" s="1605"/>
      <c r="AD584" s="1605"/>
      <c r="AE584" s="1605"/>
      <c r="AF584" s="1605"/>
      <c r="AG584" s="1605"/>
      <c r="AH584" s="1605"/>
      <c r="AI584" s="1605"/>
      <c r="AJ584" s="1605"/>
      <c r="AK584" s="1605"/>
      <c r="AL584" s="1605"/>
      <c r="AM584" s="1605"/>
      <c r="AN584" s="1605"/>
      <c r="AO584" s="1605"/>
      <c r="AP584" s="1605"/>
      <c r="AQ584" s="1605"/>
      <c r="AR584" s="1605"/>
      <c r="AS584" s="1605"/>
      <c r="AT584" s="1605"/>
      <c r="AU584" s="1605"/>
      <c r="AV584" s="1605"/>
      <c r="AW584" s="1605"/>
      <c r="AX584" s="1605"/>
      <c r="AY584" s="1605"/>
      <c r="AZ584" s="1605"/>
      <c r="BA584" s="1605"/>
      <c r="BB584" s="1605"/>
      <c r="BC584" s="1605"/>
      <c r="BD584" s="1605"/>
      <c r="BE584" s="1605"/>
      <c r="BF584" s="1605"/>
      <c r="BG584" s="1605"/>
      <c r="BH584" s="1605"/>
      <c r="BI584" s="1605"/>
      <c r="BJ584" s="1605"/>
      <c r="BK584" s="1605"/>
      <c r="BL584" s="1605"/>
      <c r="BM584" s="1605"/>
      <c r="BN584" s="1605"/>
      <c r="BO584" s="1605"/>
      <c r="BP584" s="1605"/>
      <c r="BQ584" s="1605"/>
      <c r="BR584" s="1605"/>
      <c r="BS584" s="1605"/>
      <c r="BT584" s="1605"/>
      <c r="BU584" s="1605"/>
      <c r="BV584" s="1605"/>
      <c r="BW584" s="1605"/>
      <c r="BX584" s="1605"/>
      <c r="BY584" s="1605"/>
      <c r="BZ584" s="1605"/>
      <c r="CA584" s="1605"/>
      <c r="CB584" s="1605"/>
      <c r="CC584" s="1605"/>
      <c r="CD584" s="1605"/>
      <c r="CE584" s="1605"/>
      <c r="CF584" s="1605"/>
      <c r="CG584" s="1605"/>
      <c r="CH584" s="1605"/>
      <c r="CI584" s="1605"/>
      <c r="CJ584" s="1605"/>
      <c r="CK584" s="1605"/>
      <c r="CL584" s="1605"/>
      <c r="CM584" s="1605"/>
      <c r="CN584" s="1605"/>
      <c r="CO584" s="1605"/>
      <c r="CP584" s="1605"/>
      <c r="CQ584" s="1605"/>
      <c r="CR584" s="1605"/>
      <c r="CS584" s="1605"/>
      <c r="CT584" s="1605"/>
      <c r="CU584" s="1605"/>
      <c r="CV584" s="1605"/>
      <c r="CW584" s="1605"/>
      <c r="CX584" s="1605"/>
      <c r="CY584" s="1605"/>
      <c r="CZ584" s="1605"/>
      <c r="DA584" s="1605"/>
      <c r="DB584" s="1605"/>
      <c r="DC584" s="1605"/>
      <c r="DD584" s="1605"/>
      <c r="DE584" s="1605"/>
      <c r="DF584" s="1605"/>
      <c r="DG584" s="1605"/>
      <c r="DH584" s="1605"/>
      <c r="DI584" s="1605"/>
      <c r="DJ584" s="1605"/>
      <c r="DK584" s="1605"/>
      <c r="DL584" s="1605"/>
      <c r="DM584" s="1605"/>
      <c r="DN584" s="1605"/>
      <c r="DO584" s="1605"/>
      <c r="DP584" s="1605"/>
      <c r="DQ584" s="1605"/>
      <c r="DR584" s="1605"/>
      <c r="DS584" s="1605"/>
      <c r="DT584" s="1605"/>
      <c r="DU584" s="1605"/>
      <c r="DV584" s="1605"/>
      <c r="DW584" s="1605"/>
      <c r="DX584" s="1605"/>
      <c r="DY584" s="1605"/>
      <c r="DZ584" s="1605"/>
      <c r="EA584" s="1605"/>
      <c r="EB584" s="1605"/>
      <c r="EC584" s="1605"/>
      <c r="ED584" s="1605"/>
      <c r="EE584" s="1605"/>
      <c r="EF584" s="1605"/>
      <c r="EG584" s="1605"/>
      <c r="EH584" s="1605"/>
      <c r="EI584" s="1605"/>
      <c r="EJ584" s="1605"/>
      <c r="EK584" s="1605"/>
      <c r="EL584" s="1605"/>
      <c r="EM584" s="1605"/>
      <c r="EN584" s="1605"/>
      <c r="EO584" s="1605"/>
      <c r="EP584" s="1605"/>
      <c r="EQ584" s="1605"/>
      <c r="ER584" s="1605"/>
      <c r="ES584" s="1605"/>
      <c r="ET584" s="1605"/>
      <c r="EU584" s="1605"/>
      <c r="EV584" s="1605"/>
      <c r="EW584" s="1605"/>
      <c r="EX584" s="1605"/>
      <c r="EY584" s="1605"/>
      <c r="EZ584" s="1605"/>
      <c r="FA584" s="1605"/>
      <c r="FB584" s="1605"/>
      <c r="FC584" s="1605"/>
      <c r="FD584" s="1605"/>
      <c r="FE584" s="1605"/>
      <c r="FF584" s="1605"/>
      <c r="FG584" s="1605"/>
      <c r="FH584" s="1605"/>
      <c r="FI584" s="1605"/>
      <c r="FJ584" s="1605"/>
      <c r="FK584" s="1605"/>
      <c r="FL584" s="1605"/>
      <c r="FM584" s="1605"/>
      <c r="FN584" s="1605"/>
      <c r="FO584" s="1605"/>
      <c r="FP584" s="1605"/>
      <c r="FQ584" s="1605"/>
      <c r="FR584" s="1605"/>
      <c r="FS584" s="1605"/>
      <c r="FT584" s="1605"/>
      <c r="FU584" s="1605"/>
      <c r="FV584" s="1605"/>
      <c r="FW584" s="1605"/>
      <c r="FX584" s="1605"/>
      <c r="FY584" s="1605"/>
      <c r="FZ584" s="1605"/>
      <c r="GA584" s="1605"/>
      <c r="GB584" s="1605"/>
      <c r="GC584" s="1605"/>
      <c r="GD584" s="1605"/>
      <c r="GE584" s="1605"/>
      <c r="GF584" s="1605"/>
      <c r="GG584" s="1605"/>
      <c r="GH584" s="1605"/>
      <c r="GI584" s="1605"/>
      <c r="GJ584" s="1605"/>
      <c r="GK584" s="1605"/>
      <c r="GL584" s="1605"/>
      <c r="GM584" s="1605"/>
      <c r="GN584" s="1605"/>
      <c r="GO584" s="1605"/>
      <c r="GP584" s="1605"/>
      <c r="GQ584" s="1605"/>
      <c r="GR584" s="1605"/>
      <c r="GS584" s="1605"/>
      <c r="GT584" s="1605"/>
      <c r="GU584" s="1605"/>
      <c r="GV584" s="1605"/>
      <c r="GW584" s="1605"/>
      <c r="GX584" s="1605"/>
      <c r="GY584" s="1605"/>
      <c r="GZ584" s="1605"/>
      <c r="HA584" s="1605"/>
      <c r="HB584" s="1605"/>
      <c r="HC584" s="1605"/>
      <c r="HD584" s="1605"/>
      <c r="HE584" s="1605"/>
      <c r="HF584" s="1605"/>
      <c r="HG584" s="1605"/>
      <c r="HH584" s="1605"/>
      <c r="HI584" s="1605"/>
      <c r="HJ584" s="1605"/>
      <c r="HK584" s="1605"/>
      <c r="HL584" s="1605"/>
      <c r="HM584" s="1605"/>
      <c r="HN584" s="1605"/>
      <c r="HO584" s="1605"/>
      <c r="HP584" s="1605"/>
      <c r="HQ584" s="1605"/>
      <c r="HR584" s="1605"/>
      <c r="HS584" s="1605"/>
      <c r="HT584" s="1605"/>
      <c r="HU584" s="1605"/>
      <c r="HV584" s="1605"/>
      <c r="HW584" s="1605"/>
      <c r="HX584" s="1605"/>
      <c r="HY584" s="1605"/>
      <c r="HZ584" s="1605"/>
      <c r="IA584" s="1605"/>
      <c r="IB584" s="1605"/>
      <c r="IC584" s="1605"/>
      <c r="ID584" s="1605"/>
      <c r="IE584" s="1605"/>
      <c r="IF584" s="1605"/>
      <c r="IG584" s="1605"/>
      <c r="IH584" s="1605"/>
      <c r="II584" s="1605"/>
      <c r="IJ584" s="1605"/>
      <c r="IK584" s="1605"/>
      <c r="IL584" s="1605"/>
      <c r="IM584" s="1605"/>
      <c r="IN584" s="1605"/>
      <c r="IO584" s="1605"/>
      <c r="IP584" s="1605"/>
      <c r="IQ584" s="1605"/>
      <c r="IR584" s="1605"/>
      <c r="IS584" s="1605"/>
      <c r="IT584" s="1605"/>
      <c r="IU584" s="1605"/>
      <c r="IV584" s="1605"/>
      <c r="IW584" s="1605"/>
      <c r="IX584" s="1605"/>
      <c r="IY584" s="1605"/>
      <c r="IZ584" s="1605"/>
      <c r="JA584" s="1605"/>
      <c r="JB584" s="1605"/>
      <c r="JC584" s="1605"/>
      <c r="JD584" s="1605"/>
      <c r="JE584" s="1605"/>
      <c r="JF584" s="1605"/>
      <c r="JG584" s="1605"/>
      <c r="JH584" s="1605"/>
      <c r="JI584" s="1605"/>
      <c r="JJ584" s="1605"/>
      <c r="JK584" s="1605"/>
      <c r="JL584" s="1605"/>
      <c r="JM584" s="1605"/>
      <c r="JN584" s="1605"/>
      <c r="JO584" s="1605"/>
      <c r="JP584" s="1605"/>
      <c r="JQ584" s="1605"/>
      <c r="JR584" s="1605"/>
      <c r="JS584" s="1605"/>
      <c r="JT584" s="1605"/>
      <c r="JU584" s="1605"/>
      <c r="JV584" s="1605"/>
      <c r="JW584" s="1605"/>
      <c r="JX584" s="1605"/>
      <c r="JY584" s="1605"/>
      <c r="JZ584" s="1605"/>
      <c r="KA584" s="1605"/>
      <c r="KB584" s="1606"/>
    </row>
    <row r="585" spans="2:288" ht="15" customHeight="1" x14ac:dyDescent="0.25">
      <c r="B585" s="216" t="str">
        <f t="shared" si="46"/>
        <v>Desk 58</v>
      </c>
      <c r="C585" s="218" t="str">
        <v/>
      </c>
      <c r="D585" s="218" t="str">
        <v/>
      </c>
      <c r="E585" s="218" t="str">
        <v/>
      </c>
      <c r="F585" s="218" t="str">
        <v/>
      </c>
      <c r="G585" s="402" t="str">
        <v/>
      </c>
      <c r="H585" s="1605"/>
      <c r="I585" s="1605"/>
      <c r="J585" s="1605"/>
      <c r="K585" s="1605"/>
      <c r="L585" s="1605"/>
      <c r="M585" s="1605"/>
      <c r="N585" s="1605"/>
      <c r="O585" s="1605"/>
      <c r="P585" s="1605"/>
      <c r="Q585" s="1605"/>
      <c r="R585" s="1605"/>
      <c r="S585" s="1605"/>
      <c r="T585" s="1605"/>
      <c r="U585" s="1605"/>
      <c r="V585" s="1605"/>
      <c r="W585" s="1605"/>
      <c r="X585" s="1605"/>
      <c r="Y585" s="1605"/>
      <c r="Z585" s="1605"/>
      <c r="AA585" s="1605"/>
      <c r="AB585" s="1605"/>
      <c r="AC585" s="1605"/>
      <c r="AD585" s="1605"/>
      <c r="AE585" s="1605"/>
      <c r="AF585" s="1605"/>
      <c r="AG585" s="1605"/>
      <c r="AH585" s="1605"/>
      <c r="AI585" s="1605"/>
      <c r="AJ585" s="1605"/>
      <c r="AK585" s="1605"/>
      <c r="AL585" s="1605"/>
      <c r="AM585" s="1605"/>
      <c r="AN585" s="1605"/>
      <c r="AO585" s="1605"/>
      <c r="AP585" s="1605"/>
      <c r="AQ585" s="1605"/>
      <c r="AR585" s="1605"/>
      <c r="AS585" s="1605"/>
      <c r="AT585" s="1605"/>
      <c r="AU585" s="1605"/>
      <c r="AV585" s="1605"/>
      <c r="AW585" s="1605"/>
      <c r="AX585" s="1605"/>
      <c r="AY585" s="1605"/>
      <c r="AZ585" s="1605"/>
      <c r="BA585" s="1605"/>
      <c r="BB585" s="1605"/>
      <c r="BC585" s="1605"/>
      <c r="BD585" s="1605"/>
      <c r="BE585" s="1605"/>
      <c r="BF585" s="1605"/>
      <c r="BG585" s="1605"/>
      <c r="BH585" s="1605"/>
      <c r="BI585" s="1605"/>
      <c r="BJ585" s="1605"/>
      <c r="BK585" s="1605"/>
      <c r="BL585" s="1605"/>
      <c r="BM585" s="1605"/>
      <c r="BN585" s="1605"/>
      <c r="BO585" s="1605"/>
      <c r="BP585" s="1605"/>
      <c r="BQ585" s="1605"/>
      <c r="BR585" s="1605"/>
      <c r="BS585" s="1605"/>
      <c r="BT585" s="1605"/>
      <c r="BU585" s="1605"/>
      <c r="BV585" s="1605"/>
      <c r="BW585" s="1605"/>
      <c r="BX585" s="1605"/>
      <c r="BY585" s="1605"/>
      <c r="BZ585" s="1605"/>
      <c r="CA585" s="1605"/>
      <c r="CB585" s="1605"/>
      <c r="CC585" s="1605"/>
      <c r="CD585" s="1605"/>
      <c r="CE585" s="1605"/>
      <c r="CF585" s="1605"/>
      <c r="CG585" s="1605"/>
      <c r="CH585" s="1605"/>
      <c r="CI585" s="1605"/>
      <c r="CJ585" s="1605"/>
      <c r="CK585" s="1605"/>
      <c r="CL585" s="1605"/>
      <c r="CM585" s="1605"/>
      <c r="CN585" s="1605"/>
      <c r="CO585" s="1605"/>
      <c r="CP585" s="1605"/>
      <c r="CQ585" s="1605"/>
      <c r="CR585" s="1605"/>
      <c r="CS585" s="1605"/>
      <c r="CT585" s="1605"/>
      <c r="CU585" s="1605"/>
      <c r="CV585" s="1605"/>
      <c r="CW585" s="1605"/>
      <c r="CX585" s="1605"/>
      <c r="CY585" s="1605"/>
      <c r="CZ585" s="1605"/>
      <c r="DA585" s="1605"/>
      <c r="DB585" s="1605"/>
      <c r="DC585" s="1605"/>
      <c r="DD585" s="1605"/>
      <c r="DE585" s="1605"/>
      <c r="DF585" s="1605"/>
      <c r="DG585" s="1605"/>
      <c r="DH585" s="1605"/>
      <c r="DI585" s="1605"/>
      <c r="DJ585" s="1605"/>
      <c r="DK585" s="1605"/>
      <c r="DL585" s="1605"/>
      <c r="DM585" s="1605"/>
      <c r="DN585" s="1605"/>
      <c r="DO585" s="1605"/>
      <c r="DP585" s="1605"/>
      <c r="DQ585" s="1605"/>
      <c r="DR585" s="1605"/>
      <c r="DS585" s="1605"/>
      <c r="DT585" s="1605"/>
      <c r="DU585" s="1605"/>
      <c r="DV585" s="1605"/>
      <c r="DW585" s="1605"/>
      <c r="DX585" s="1605"/>
      <c r="DY585" s="1605"/>
      <c r="DZ585" s="1605"/>
      <c r="EA585" s="1605"/>
      <c r="EB585" s="1605"/>
      <c r="EC585" s="1605"/>
      <c r="ED585" s="1605"/>
      <c r="EE585" s="1605"/>
      <c r="EF585" s="1605"/>
      <c r="EG585" s="1605"/>
      <c r="EH585" s="1605"/>
      <c r="EI585" s="1605"/>
      <c r="EJ585" s="1605"/>
      <c r="EK585" s="1605"/>
      <c r="EL585" s="1605"/>
      <c r="EM585" s="1605"/>
      <c r="EN585" s="1605"/>
      <c r="EO585" s="1605"/>
      <c r="EP585" s="1605"/>
      <c r="EQ585" s="1605"/>
      <c r="ER585" s="1605"/>
      <c r="ES585" s="1605"/>
      <c r="ET585" s="1605"/>
      <c r="EU585" s="1605"/>
      <c r="EV585" s="1605"/>
      <c r="EW585" s="1605"/>
      <c r="EX585" s="1605"/>
      <c r="EY585" s="1605"/>
      <c r="EZ585" s="1605"/>
      <c r="FA585" s="1605"/>
      <c r="FB585" s="1605"/>
      <c r="FC585" s="1605"/>
      <c r="FD585" s="1605"/>
      <c r="FE585" s="1605"/>
      <c r="FF585" s="1605"/>
      <c r="FG585" s="1605"/>
      <c r="FH585" s="1605"/>
      <c r="FI585" s="1605"/>
      <c r="FJ585" s="1605"/>
      <c r="FK585" s="1605"/>
      <c r="FL585" s="1605"/>
      <c r="FM585" s="1605"/>
      <c r="FN585" s="1605"/>
      <c r="FO585" s="1605"/>
      <c r="FP585" s="1605"/>
      <c r="FQ585" s="1605"/>
      <c r="FR585" s="1605"/>
      <c r="FS585" s="1605"/>
      <c r="FT585" s="1605"/>
      <c r="FU585" s="1605"/>
      <c r="FV585" s="1605"/>
      <c r="FW585" s="1605"/>
      <c r="FX585" s="1605"/>
      <c r="FY585" s="1605"/>
      <c r="FZ585" s="1605"/>
      <c r="GA585" s="1605"/>
      <c r="GB585" s="1605"/>
      <c r="GC585" s="1605"/>
      <c r="GD585" s="1605"/>
      <c r="GE585" s="1605"/>
      <c r="GF585" s="1605"/>
      <c r="GG585" s="1605"/>
      <c r="GH585" s="1605"/>
      <c r="GI585" s="1605"/>
      <c r="GJ585" s="1605"/>
      <c r="GK585" s="1605"/>
      <c r="GL585" s="1605"/>
      <c r="GM585" s="1605"/>
      <c r="GN585" s="1605"/>
      <c r="GO585" s="1605"/>
      <c r="GP585" s="1605"/>
      <c r="GQ585" s="1605"/>
      <c r="GR585" s="1605"/>
      <c r="GS585" s="1605"/>
      <c r="GT585" s="1605"/>
      <c r="GU585" s="1605"/>
      <c r="GV585" s="1605"/>
      <c r="GW585" s="1605"/>
      <c r="GX585" s="1605"/>
      <c r="GY585" s="1605"/>
      <c r="GZ585" s="1605"/>
      <c r="HA585" s="1605"/>
      <c r="HB585" s="1605"/>
      <c r="HC585" s="1605"/>
      <c r="HD585" s="1605"/>
      <c r="HE585" s="1605"/>
      <c r="HF585" s="1605"/>
      <c r="HG585" s="1605"/>
      <c r="HH585" s="1605"/>
      <c r="HI585" s="1605"/>
      <c r="HJ585" s="1605"/>
      <c r="HK585" s="1605"/>
      <c r="HL585" s="1605"/>
      <c r="HM585" s="1605"/>
      <c r="HN585" s="1605"/>
      <c r="HO585" s="1605"/>
      <c r="HP585" s="1605"/>
      <c r="HQ585" s="1605"/>
      <c r="HR585" s="1605"/>
      <c r="HS585" s="1605"/>
      <c r="HT585" s="1605"/>
      <c r="HU585" s="1605"/>
      <c r="HV585" s="1605"/>
      <c r="HW585" s="1605"/>
      <c r="HX585" s="1605"/>
      <c r="HY585" s="1605"/>
      <c r="HZ585" s="1605"/>
      <c r="IA585" s="1605"/>
      <c r="IB585" s="1605"/>
      <c r="IC585" s="1605"/>
      <c r="ID585" s="1605"/>
      <c r="IE585" s="1605"/>
      <c r="IF585" s="1605"/>
      <c r="IG585" s="1605"/>
      <c r="IH585" s="1605"/>
      <c r="II585" s="1605"/>
      <c r="IJ585" s="1605"/>
      <c r="IK585" s="1605"/>
      <c r="IL585" s="1605"/>
      <c r="IM585" s="1605"/>
      <c r="IN585" s="1605"/>
      <c r="IO585" s="1605"/>
      <c r="IP585" s="1605"/>
      <c r="IQ585" s="1605"/>
      <c r="IR585" s="1605"/>
      <c r="IS585" s="1605"/>
      <c r="IT585" s="1605"/>
      <c r="IU585" s="1605"/>
      <c r="IV585" s="1605"/>
      <c r="IW585" s="1605"/>
      <c r="IX585" s="1605"/>
      <c r="IY585" s="1605"/>
      <c r="IZ585" s="1605"/>
      <c r="JA585" s="1605"/>
      <c r="JB585" s="1605"/>
      <c r="JC585" s="1605"/>
      <c r="JD585" s="1605"/>
      <c r="JE585" s="1605"/>
      <c r="JF585" s="1605"/>
      <c r="JG585" s="1605"/>
      <c r="JH585" s="1605"/>
      <c r="JI585" s="1605"/>
      <c r="JJ585" s="1605"/>
      <c r="JK585" s="1605"/>
      <c r="JL585" s="1605"/>
      <c r="JM585" s="1605"/>
      <c r="JN585" s="1605"/>
      <c r="JO585" s="1605"/>
      <c r="JP585" s="1605"/>
      <c r="JQ585" s="1605"/>
      <c r="JR585" s="1605"/>
      <c r="JS585" s="1605"/>
      <c r="JT585" s="1605"/>
      <c r="JU585" s="1605"/>
      <c r="JV585" s="1605"/>
      <c r="JW585" s="1605"/>
      <c r="JX585" s="1605"/>
      <c r="JY585" s="1605"/>
      <c r="JZ585" s="1605"/>
      <c r="KA585" s="1605"/>
      <c r="KB585" s="1606"/>
    </row>
    <row r="586" spans="2:288" ht="15" customHeight="1" x14ac:dyDescent="0.25">
      <c r="B586" s="216" t="str">
        <f t="shared" si="46"/>
        <v>Desk 59</v>
      </c>
      <c r="C586" s="218" t="str">
        <v/>
      </c>
      <c r="D586" s="218" t="str">
        <v/>
      </c>
      <c r="E586" s="218" t="str">
        <v/>
      </c>
      <c r="F586" s="218" t="str">
        <v/>
      </c>
      <c r="G586" s="402" t="str">
        <v/>
      </c>
      <c r="H586" s="1605"/>
      <c r="I586" s="1605"/>
      <c r="J586" s="1605"/>
      <c r="K586" s="1605"/>
      <c r="L586" s="1605"/>
      <c r="M586" s="1605"/>
      <c r="N586" s="1605"/>
      <c r="O586" s="1605"/>
      <c r="P586" s="1605"/>
      <c r="Q586" s="1605"/>
      <c r="R586" s="1605"/>
      <c r="S586" s="1605"/>
      <c r="T586" s="1605"/>
      <c r="U586" s="1605"/>
      <c r="V586" s="1605"/>
      <c r="W586" s="1605"/>
      <c r="X586" s="1605"/>
      <c r="Y586" s="1605"/>
      <c r="Z586" s="1605"/>
      <c r="AA586" s="1605"/>
      <c r="AB586" s="1605"/>
      <c r="AC586" s="1605"/>
      <c r="AD586" s="1605"/>
      <c r="AE586" s="1605"/>
      <c r="AF586" s="1605"/>
      <c r="AG586" s="1605"/>
      <c r="AH586" s="1605"/>
      <c r="AI586" s="1605"/>
      <c r="AJ586" s="1605"/>
      <c r="AK586" s="1605"/>
      <c r="AL586" s="1605"/>
      <c r="AM586" s="1605"/>
      <c r="AN586" s="1605"/>
      <c r="AO586" s="1605"/>
      <c r="AP586" s="1605"/>
      <c r="AQ586" s="1605"/>
      <c r="AR586" s="1605"/>
      <c r="AS586" s="1605"/>
      <c r="AT586" s="1605"/>
      <c r="AU586" s="1605"/>
      <c r="AV586" s="1605"/>
      <c r="AW586" s="1605"/>
      <c r="AX586" s="1605"/>
      <c r="AY586" s="1605"/>
      <c r="AZ586" s="1605"/>
      <c r="BA586" s="1605"/>
      <c r="BB586" s="1605"/>
      <c r="BC586" s="1605"/>
      <c r="BD586" s="1605"/>
      <c r="BE586" s="1605"/>
      <c r="BF586" s="1605"/>
      <c r="BG586" s="1605"/>
      <c r="BH586" s="1605"/>
      <c r="BI586" s="1605"/>
      <c r="BJ586" s="1605"/>
      <c r="BK586" s="1605"/>
      <c r="BL586" s="1605"/>
      <c r="BM586" s="1605"/>
      <c r="BN586" s="1605"/>
      <c r="BO586" s="1605"/>
      <c r="BP586" s="1605"/>
      <c r="BQ586" s="1605"/>
      <c r="BR586" s="1605"/>
      <c r="BS586" s="1605"/>
      <c r="BT586" s="1605"/>
      <c r="BU586" s="1605"/>
      <c r="BV586" s="1605"/>
      <c r="BW586" s="1605"/>
      <c r="BX586" s="1605"/>
      <c r="BY586" s="1605"/>
      <c r="BZ586" s="1605"/>
      <c r="CA586" s="1605"/>
      <c r="CB586" s="1605"/>
      <c r="CC586" s="1605"/>
      <c r="CD586" s="1605"/>
      <c r="CE586" s="1605"/>
      <c r="CF586" s="1605"/>
      <c r="CG586" s="1605"/>
      <c r="CH586" s="1605"/>
      <c r="CI586" s="1605"/>
      <c r="CJ586" s="1605"/>
      <c r="CK586" s="1605"/>
      <c r="CL586" s="1605"/>
      <c r="CM586" s="1605"/>
      <c r="CN586" s="1605"/>
      <c r="CO586" s="1605"/>
      <c r="CP586" s="1605"/>
      <c r="CQ586" s="1605"/>
      <c r="CR586" s="1605"/>
      <c r="CS586" s="1605"/>
      <c r="CT586" s="1605"/>
      <c r="CU586" s="1605"/>
      <c r="CV586" s="1605"/>
      <c r="CW586" s="1605"/>
      <c r="CX586" s="1605"/>
      <c r="CY586" s="1605"/>
      <c r="CZ586" s="1605"/>
      <c r="DA586" s="1605"/>
      <c r="DB586" s="1605"/>
      <c r="DC586" s="1605"/>
      <c r="DD586" s="1605"/>
      <c r="DE586" s="1605"/>
      <c r="DF586" s="1605"/>
      <c r="DG586" s="1605"/>
      <c r="DH586" s="1605"/>
      <c r="DI586" s="1605"/>
      <c r="DJ586" s="1605"/>
      <c r="DK586" s="1605"/>
      <c r="DL586" s="1605"/>
      <c r="DM586" s="1605"/>
      <c r="DN586" s="1605"/>
      <c r="DO586" s="1605"/>
      <c r="DP586" s="1605"/>
      <c r="DQ586" s="1605"/>
      <c r="DR586" s="1605"/>
      <c r="DS586" s="1605"/>
      <c r="DT586" s="1605"/>
      <c r="DU586" s="1605"/>
      <c r="DV586" s="1605"/>
      <c r="DW586" s="1605"/>
      <c r="DX586" s="1605"/>
      <c r="DY586" s="1605"/>
      <c r="DZ586" s="1605"/>
      <c r="EA586" s="1605"/>
      <c r="EB586" s="1605"/>
      <c r="EC586" s="1605"/>
      <c r="ED586" s="1605"/>
      <c r="EE586" s="1605"/>
      <c r="EF586" s="1605"/>
      <c r="EG586" s="1605"/>
      <c r="EH586" s="1605"/>
      <c r="EI586" s="1605"/>
      <c r="EJ586" s="1605"/>
      <c r="EK586" s="1605"/>
      <c r="EL586" s="1605"/>
      <c r="EM586" s="1605"/>
      <c r="EN586" s="1605"/>
      <c r="EO586" s="1605"/>
      <c r="EP586" s="1605"/>
      <c r="EQ586" s="1605"/>
      <c r="ER586" s="1605"/>
      <c r="ES586" s="1605"/>
      <c r="ET586" s="1605"/>
      <c r="EU586" s="1605"/>
      <c r="EV586" s="1605"/>
      <c r="EW586" s="1605"/>
      <c r="EX586" s="1605"/>
      <c r="EY586" s="1605"/>
      <c r="EZ586" s="1605"/>
      <c r="FA586" s="1605"/>
      <c r="FB586" s="1605"/>
      <c r="FC586" s="1605"/>
      <c r="FD586" s="1605"/>
      <c r="FE586" s="1605"/>
      <c r="FF586" s="1605"/>
      <c r="FG586" s="1605"/>
      <c r="FH586" s="1605"/>
      <c r="FI586" s="1605"/>
      <c r="FJ586" s="1605"/>
      <c r="FK586" s="1605"/>
      <c r="FL586" s="1605"/>
      <c r="FM586" s="1605"/>
      <c r="FN586" s="1605"/>
      <c r="FO586" s="1605"/>
      <c r="FP586" s="1605"/>
      <c r="FQ586" s="1605"/>
      <c r="FR586" s="1605"/>
      <c r="FS586" s="1605"/>
      <c r="FT586" s="1605"/>
      <c r="FU586" s="1605"/>
      <c r="FV586" s="1605"/>
      <c r="FW586" s="1605"/>
      <c r="FX586" s="1605"/>
      <c r="FY586" s="1605"/>
      <c r="FZ586" s="1605"/>
      <c r="GA586" s="1605"/>
      <c r="GB586" s="1605"/>
      <c r="GC586" s="1605"/>
      <c r="GD586" s="1605"/>
      <c r="GE586" s="1605"/>
      <c r="GF586" s="1605"/>
      <c r="GG586" s="1605"/>
      <c r="GH586" s="1605"/>
      <c r="GI586" s="1605"/>
      <c r="GJ586" s="1605"/>
      <c r="GK586" s="1605"/>
      <c r="GL586" s="1605"/>
      <c r="GM586" s="1605"/>
      <c r="GN586" s="1605"/>
      <c r="GO586" s="1605"/>
      <c r="GP586" s="1605"/>
      <c r="GQ586" s="1605"/>
      <c r="GR586" s="1605"/>
      <c r="GS586" s="1605"/>
      <c r="GT586" s="1605"/>
      <c r="GU586" s="1605"/>
      <c r="GV586" s="1605"/>
      <c r="GW586" s="1605"/>
      <c r="GX586" s="1605"/>
      <c r="GY586" s="1605"/>
      <c r="GZ586" s="1605"/>
      <c r="HA586" s="1605"/>
      <c r="HB586" s="1605"/>
      <c r="HC586" s="1605"/>
      <c r="HD586" s="1605"/>
      <c r="HE586" s="1605"/>
      <c r="HF586" s="1605"/>
      <c r="HG586" s="1605"/>
      <c r="HH586" s="1605"/>
      <c r="HI586" s="1605"/>
      <c r="HJ586" s="1605"/>
      <c r="HK586" s="1605"/>
      <c r="HL586" s="1605"/>
      <c r="HM586" s="1605"/>
      <c r="HN586" s="1605"/>
      <c r="HO586" s="1605"/>
      <c r="HP586" s="1605"/>
      <c r="HQ586" s="1605"/>
      <c r="HR586" s="1605"/>
      <c r="HS586" s="1605"/>
      <c r="HT586" s="1605"/>
      <c r="HU586" s="1605"/>
      <c r="HV586" s="1605"/>
      <c r="HW586" s="1605"/>
      <c r="HX586" s="1605"/>
      <c r="HY586" s="1605"/>
      <c r="HZ586" s="1605"/>
      <c r="IA586" s="1605"/>
      <c r="IB586" s="1605"/>
      <c r="IC586" s="1605"/>
      <c r="ID586" s="1605"/>
      <c r="IE586" s="1605"/>
      <c r="IF586" s="1605"/>
      <c r="IG586" s="1605"/>
      <c r="IH586" s="1605"/>
      <c r="II586" s="1605"/>
      <c r="IJ586" s="1605"/>
      <c r="IK586" s="1605"/>
      <c r="IL586" s="1605"/>
      <c r="IM586" s="1605"/>
      <c r="IN586" s="1605"/>
      <c r="IO586" s="1605"/>
      <c r="IP586" s="1605"/>
      <c r="IQ586" s="1605"/>
      <c r="IR586" s="1605"/>
      <c r="IS586" s="1605"/>
      <c r="IT586" s="1605"/>
      <c r="IU586" s="1605"/>
      <c r="IV586" s="1605"/>
      <c r="IW586" s="1605"/>
      <c r="IX586" s="1605"/>
      <c r="IY586" s="1605"/>
      <c r="IZ586" s="1605"/>
      <c r="JA586" s="1605"/>
      <c r="JB586" s="1605"/>
      <c r="JC586" s="1605"/>
      <c r="JD586" s="1605"/>
      <c r="JE586" s="1605"/>
      <c r="JF586" s="1605"/>
      <c r="JG586" s="1605"/>
      <c r="JH586" s="1605"/>
      <c r="JI586" s="1605"/>
      <c r="JJ586" s="1605"/>
      <c r="JK586" s="1605"/>
      <c r="JL586" s="1605"/>
      <c r="JM586" s="1605"/>
      <c r="JN586" s="1605"/>
      <c r="JO586" s="1605"/>
      <c r="JP586" s="1605"/>
      <c r="JQ586" s="1605"/>
      <c r="JR586" s="1605"/>
      <c r="JS586" s="1605"/>
      <c r="JT586" s="1605"/>
      <c r="JU586" s="1605"/>
      <c r="JV586" s="1605"/>
      <c r="JW586" s="1605"/>
      <c r="JX586" s="1605"/>
      <c r="JY586" s="1605"/>
      <c r="JZ586" s="1605"/>
      <c r="KA586" s="1605"/>
      <c r="KB586" s="1606"/>
    </row>
    <row r="587" spans="2:288" ht="15" customHeight="1" x14ac:dyDescent="0.25">
      <c r="B587" s="216" t="str">
        <f t="shared" si="46"/>
        <v>Desk 60</v>
      </c>
      <c r="C587" s="218" t="str">
        <v/>
      </c>
      <c r="D587" s="218" t="str">
        <v/>
      </c>
      <c r="E587" s="218" t="str">
        <v/>
      </c>
      <c r="F587" s="218" t="str">
        <v/>
      </c>
      <c r="G587" s="402" t="str">
        <v/>
      </c>
      <c r="H587" s="1605"/>
      <c r="I587" s="1605"/>
      <c r="J587" s="1605"/>
      <c r="K587" s="1605"/>
      <c r="L587" s="1605"/>
      <c r="M587" s="1605"/>
      <c r="N587" s="1605"/>
      <c r="O587" s="1605"/>
      <c r="P587" s="1605"/>
      <c r="Q587" s="1605"/>
      <c r="R587" s="1605"/>
      <c r="S587" s="1605"/>
      <c r="T587" s="1605"/>
      <c r="U587" s="1605"/>
      <c r="V587" s="1605"/>
      <c r="W587" s="1605"/>
      <c r="X587" s="1605"/>
      <c r="Y587" s="1605"/>
      <c r="Z587" s="1605"/>
      <c r="AA587" s="1605"/>
      <c r="AB587" s="1605"/>
      <c r="AC587" s="1605"/>
      <c r="AD587" s="1605"/>
      <c r="AE587" s="1605"/>
      <c r="AF587" s="1605"/>
      <c r="AG587" s="1605"/>
      <c r="AH587" s="1605"/>
      <c r="AI587" s="1605"/>
      <c r="AJ587" s="1605"/>
      <c r="AK587" s="1605"/>
      <c r="AL587" s="1605"/>
      <c r="AM587" s="1605"/>
      <c r="AN587" s="1605"/>
      <c r="AO587" s="1605"/>
      <c r="AP587" s="1605"/>
      <c r="AQ587" s="1605"/>
      <c r="AR587" s="1605"/>
      <c r="AS587" s="1605"/>
      <c r="AT587" s="1605"/>
      <c r="AU587" s="1605"/>
      <c r="AV587" s="1605"/>
      <c r="AW587" s="1605"/>
      <c r="AX587" s="1605"/>
      <c r="AY587" s="1605"/>
      <c r="AZ587" s="1605"/>
      <c r="BA587" s="1605"/>
      <c r="BB587" s="1605"/>
      <c r="BC587" s="1605"/>
      <c r="BD587" s="1605"/>
      <c r="BE587" s="1605"/>
      <c r="BF587" s="1605"/>
      <c r="BG587" s="1605"/>
      <c r="BH587" s="1605"/>
      <c r="BI587" s="1605"/>
      <c r="BJ587" s="1605"/>
      <c r="BK587" s="1605"/>
      <c r="BL587" s="1605"/>
      <c r="BM587" s="1605"/>
      <c r="BN587" s="1605"/>
      <c r="BO587" s="1605"/>
      <c r="BP587" s="1605"/>
      <c r="BQ587" s="1605"/>
      <c r="BR587" s="1605"/>
      <c r="BS587" s="1605"/>
      <c r="BT587" s="1605"/>
      <c r="BU587" s="1605"/>
      <c r="BV587" s="1605"/>
      <c r="BW587" s="1605"/>
      <c r="BX587" s="1605"/>
      <c r="BY587" s="1605"/>
      <c r="BZ587" s="1605"/>
      <c r="CA587" s="1605"/>
      <c r="CB587" s="1605"/>
      <c r="CC587" s="1605"/>
      <c r="CD587" s="1605"/>
      <c r="CE587" s="1605"/>
      <c r="CF587" s="1605"/>
      <c r="CG587" s="1605"/>
      <c r="CH587" s="1605"/>
      <c r="CI587" s="1605"/>
      <c r="CJ587" s="1605"/>
      <c r="CK587" s="1605"/>
      <c r="CL587" s="1605"/>
      <c r="CM587" s="1605"/>
      <c r="CN587" s="1605"/>
      <c r="CO587" s="1605"/>
      <c r="CP587" s="1605"/>
      <c r="CQ587" s="1605"/>
      <c r="CR587" s="1605"/>
      <c r="CS587" s="1605"/>
      <c r="CT587" s="1605"/>
      <c r="CU587" s="1605"/>
      <c r="CV587" s="1605"/>
      <c r="CW587" s="1605"/>
      <c r="CX587" s="1605"/>
      <c r="CY587" s="1605"/>
      <c r="CZ587" s="1605"/>
      <c r="DA587" s="1605"/>
      <c r="DB587" s="1605"/>
      <c r="DC587" s="1605"/>
      <c r="DD587" s="1605"/>
      <c r="DE587" s="1605"/>
      <c r="DF587" s="1605"/>
      <c r="DG587" s="1605"/>
      <c r="DH587" s="1605"/>
      <c r="DI587" s="1605"/>
      <c r="DJ587" s="1605"/>
      <c r="DK587" s="1605"/>
      <c r="DL587" s="1605"/>
      <c r="DM587" s="1605"/>
      <c r="DN587" s="1605"/>
      <c r="DO587" s="1605"/>
      <c r="DP587" s="1605"/>
      <c r="DQ587" s="1605"/>
      <c r="DR587" s="1605"/>
      <c r="DS587" s="1605"/>
      <c r="DT587" s="1605"/>
      <c r="DU587" s="1605"/>
      <c r="DV587" s="1605"/>
      <c r="DW587" s="1605"/>
      <c r="DX587" s="1605"/>
      <c r="DY587" s="1605"/>
      <c r="DZ587" s="1605"/>
      <c r="EA587" s="1605"/>
      <c r="EB587" s="1605"/>
      <c r="EC587" s="1605"/>
      <c r="ED587" s="1605"/>
      <c r="EE587" s="1605"/>
      <c r="EF587" s="1605"/>
      <c r="EG587" s="1605"/>
      <c r="EH587" s="1605"/>
      <c r="EI587" s="1605"/>
      <c r="EJ587" s="1605"/>
      <c r="EK587" s="1605"/>
      <c r="EL587" s="1605"/>
      <c r="EM587" s="1605"/>
      <c r="EN587" s="1605"/>
      <c r="EO587" s="1605"/>
      <c r="EP587" s="1605"/>
      <c r="EQ587" s="1605"/>
      <c r="ER587" s="1605"/>
      <c r="ES587" s="1605"/>
      <c r="ET587" s="1605"/>
      <c r="EU587" s="1605"/>
      <c r="EV587" s="1605"/>
      <c r="EW587" s="1605"/>
      <c r="EX587" s="1605"/>
      <c r="EY587" s="1605"/>
      <c r="EZ587" s="1605"/>
      <c r="FA587" s="1605"/>
      <c r="FB587" s="1605"/>
      <c r="FC587" s="1605"/>
      <c r="FD587" s="1605"/>
      <c r="FE587" s="1605"/>
      <c r="FF587" s="1605"/>
      <c r="FG587" s="1605"/>
      <c r="FH587" s="1605"/>
      <c r="FI587" s="1605"/>
      <c r="FJ587" s="1605"/>
      <c r="FK587" s="1605"/>
      <c r="FL587" s="1605"/>
      <c r="FM587" s="1605"/>
      <c r="FN587" s="1605"/>
      <c r="FO587" s="1605"/>
      <c r="FP587" s="1605"/>
      <c r="FQ587" s="1605"/>
      <c r="FR587" s="1605"/>
      <c r="FS587" s="1605"/>
      <c r="FT587" s="1605"/>
      <c r="FU587" s="1605"/>
      <c r="FV587" s="1605"/>
      <c r="FW587" s="1605"/>
      <c r="FX587" s="1605"/>
      <c r="FY587" s="1605"/>
      <c r="FZ587" s="1605"/>
      <c r="GA587" s="1605"/>
      <c r="GB587" s="1605"/>
      <c r="GC587" s="1605"/>
      <c r="GD587" s="1605"/>
      <c r="GE587" s="1605"/>
      <c r="GF587" s="1605"/>
      <c r="GG587" s="1605"/>
      <c r="GH587" s="1605"/>
      <c r="GI587" s="1605"/>
      <c r="GJ587" s="1605"/>
      <c r="GK587" s="1605"/>
      <c r="GL587" s="1605"/>
      <c r="GM587" s="1605"/>
      <c r="GN587" s="1605"/>
      <c r="GO587" s="1605"/>
      <c r="GP587" s="1605"/>
      <c r="GQ587" s="1605"/>
      <c r="GR587" s="1605"/>
      <c r="GS587" s="1605"/>
      <c r="GT587" s="1605"/>
      <c r="GU587" s="1605"/>
      <c r="GV587" s="1605"/>
      <c r="GW587" s="1605"/>
      <c r="GX587" s="1605"/>
      <c r="GY587" s="1605"/>
      <c r="GZ587" s="1605"/>
      <c r="HA587" s="1605"/>
      <c r="HB587" s="1605"/>
      <c r="HC587" s="1605"/>
      <c r="HD587" s="1605"/>
      <c r="HE587" s="1605"/>
      <c r="HF587" s="1605"/>
      <c r="HG587" s="1605"/>
      <c r="HH587" s="1605"/>
      <c r="HI587" s="1605"/>
      <c r="HJ587" s="1605"/>
      <c r="HK587" s="1605"/>
      <c r="HL587" s="1605"/>
      <c r="HM587" s="1605"/>
      <c r="HN587" s="1605"/>
      <c r="HO587" s="1605"/>
      <c r="HP587" s="1605"/>
      <c r="HQ587" s="1605"/>
      <c r="HR587" s="1605"/>
      <c r="HS587" s="1605"/>
      <c r="HT587" s="1605"/>
      <c r="HU587" s="1605"/>
      <c r="HV587" s="1605"/>
      <c r="HW587" s="1605"/>
      <c r="HX587" s="1605"/>
      <c r="HY587" s="1605"/>
      <c r="HZ587" s="1605"/>
      <c r="IA587" s="1605"/>
      <c r="IB587" s="1605"/>
      <c r="IC587" s="1605"/>
      <c r="ID587" s="1605"/>
      <c r="IE587" s="1605"/>
      <c r="IF587" s="1605"/>
      <c r="IG587" s="1605"/>
      <c r="IH587" s="1605"/>
      <c r="II587" s="1605"/>
      <c r="IJ587" s="1605"/>
      <c r="IK587" s="1605"/>
      <c r="IL587" s="1605"/>
      <c r="IM587" s="1605"/>
      <c r="IN587" s="1605"/>
      <c r="IO587" s="1605"/>
      <c r="IP587" s="1605"/>
      <c r="IQ587" s="1605"/>
      <c r="IR587" s="1605"/>
      <c r="IS587" s="1605"/>
      <c r="IT587" s="1605"/>
      <c r="IU587" s="1605"/>
      <c r="IV587" s="1605"/>
      <c r="IW587" s="1605"/>
      <c r="IX587" s="1605"/>
      <c r="IY587" s="1605"/>
      <c r="IZ587" s="1605"/>
      <c r="JA587" s="1605"/>
      <c r="JB587" s="1605"/>
      <c r="JC587" s="1605"/>
      <c r="JD587" s="1605"/>
      <c r="JE587" s="1605"/>
      <c r="JF587" s="1605"/>
      <c r="JG587" s="1605"/>
      <c r="JH587" s="1605"/>
      <c r="JI587" s="1605"/>
      <c r="JJ587" s="1605"/>
      <c r="JK587" s="1605"/>
      <c r="JL587" s="1605"/>
      <c r="JM587" s="1605"/>
      <c r="JN587" s="1605"/>
      <c r="JO587" s="1605"/>
      <c r="JP587" s="1605"/>
      <c r="JQ587" s="1605"/>
      <c r="JR587" s="1605"/>
      <c r="JS587" s="1605"/>
      <c r="JT587" s="1605"/>
      <c r="JU587" s="1605"/>
      <c r="JV587" s="1605"/>
      <c r="JW587" s="1605"/>
      <c r="JX587" s="1605"/>
      <c r="JY587" s="1605"/>
      <c r="JZ587" s="1605"/>
      <c r="KA587" s="1605"/>
      <c r="KB587" s="1606"/>
    </row>
    <row r="588" spans="2:288" ht="15" customHeight="1" x14ac:dyDescent="0.25">
      <c r="B588" s="216" t="str">
        <f t="shared" si="46"/>
        <v>Desk 61</v>
      </c>
      <c r="C588" s="218" t="str">
        <v/>
      </c>
      <c r="D588" s="218" t="str">
        <v/>
      </c>
      <c r="E588" s="218" t="str">
        <v/>
      </c>
      <c r="F588" s="218" t="str">
        <v/>
      </c>
      <c r="G588" s="402" t="str">
        <v/>
      </c>
      <c r="H588" s="1605"/>
      <c r="I588" s="1605"/>
      <c r="J588" s="1605"/>
      <c r="K588" s="1605"/>
      <c r="L588" s="1605"/>
      <c r="M588" s="1605"/>
      <c r="N588" s="1605"/>
      <c r="O588" s="1605"/>
      <c r="P588" s="1605"/>
      <c r="Q588" s="1605"/>
      <c r="R588" s="1605"/>
      <c r="S588" s="1605"/>
      <c r="T588" s="1605"/>
      <c r="U588" s="1605"/>
      <c r="V588" s="1605"/>
      <c r="W588" s="1605"/>
      <c r="X588" s="1605"/>
      <c r="Y588" s="1605"/>
      <c r="Z588" s="1605"/>
      <c r="AA588" s="1605"/>
      <c r="AB588" s="1605"/>
      <c r="AC588" s="1605"/>
      <c r="AD588" s="1605"/>
      <c r="AE588" s="1605"/>
      <c r="AF588" s="1605"/>
      <c r="AG588" s="1605"/>
      <c r="AH588" s="1605"/>
      <c r="AI588" s="1605"/>
      <c r="AJ588" s="1605"/>
      <c r="AK588" s="1605"/>
      <c r="AL588" s="1605"/>
      <c r="AM588" s="1605"/>
      <c r="AN588" s="1605"/>
      <c r="AO588" s="1605"/>
      <c r="AP588" s="1605"/>
      <c r="AQ588" s="1605"/>
      <c r="AR588" s="1605"/>
      <c r="AS588" s="1605"/>
      <c r="AT588" s="1605"/>
      <c r="AU588" s="1605"/>
      <c r="AV588" s="1605"/>
      <c r="AW588" s="1605"/>
      <c r="AX588" s="1605"/>
      <c r="AY588" s="1605"/>
      <c r="AZ588" s="1605"/>
      <c r="BA588" s="1605"/>
      <c r="BB588" s="1605"/>
      <c r="BC588" s="1605"/>
      <c r="BD588" s="1605"/>
      <c r="BE588" s="1605"/>
      <c r="BF588" s="1605"/>
      <c r="BG588" s="1605"/>
      <c r="BH588" s="1605"/>
      <c r="BI588" s="1605"/>
      <c r="BJ588" s="1605"/>
      <c r="BK588" s="1605"/>
      <c r="BL588" s="1605"/>
      <c r="BM588" s="1605"/>
      <c r="BN588" s="1605"/>
      <c r="BO588" s="1605"/>
      <c r="BP588" s="1605"/>
      <c r="BQ588" s="1605"/>
      <c r="BR588" s="1605"/>
      <c r="BS588" s="1605"/>
      <c r="BT588" s="1605"/>
      <c r="BU588" s="1605"/>
      <c r="BV588" s="1605"/>
      <c r="BW588" s="1605"/>
      <c r="BX588" s="1605"/>
      <c r="BY588" s="1605"/>
      <c r="BZ588" s="1605"/>
      <c r="CA588" s="1605"/>
      <c r="CB588" s="1605"/>
      <c r="CC588" s="1605"/>
      <c r="CD588" s="1605"/>
      <c r="CE588" s="1605"/>
      <c r="CF588" s="1605"/>
      <c r="CG588" s="1605"/>
      <c r="CH588" s="1605"/>
      <c r="CI588" s="1605"/>
      <c r="CJ588" s="1605"/>
      <c r="CK588" s="1605"/>
      <c r="CL588" s="1605"/>
      <c r="CM588" s="1605"/>
      <c r="CN588" s="1605"/>
      <c r="CO588" s="1605"/>
      <c r="CP588" s="1605"/>
      <c r="CQ588" s="1605"/>
      <c r="CR588" s="1605"/>
      <c r="CS588" s="1605"/>
      <c r="CT588" s="1605"/>
      <c r="CU588" s="1605"/>
      <c r="CV588" s="1605"/>
      <c r="CW588" s="1605"/>
      <c r="CX588" s="1605"/>
      <c r="CY588" s="1605"/>
      <c r="CZ588" s="1605"/>
      <c r="DA588" s="1605"/>
      <c r="DB588" s="1605"/>
      <c r="DC588" s="1605"/>
      <c r="DD588" s="1605"/>
      <c r="DE588" s="1605"/>
      <c r="DF588" s="1605"/>
      <c r="DG588" s="1605"/>
      <c r="DH588" s="1605"/>
      <c r="DI588" s="1605"/>
      <c r="DJ588" s="1605"/>
      <c r="DK588" s="1605"/>
      <c r="DL588" s="1605"/>
      <c r="DM588" s="1605"/>
      <c r="DN588" s="1605"/>
      <c r="DO588" s="1605"/>
      <c r="DP588" s="1605"/>
      <c r="DQ588" s="1605"/>
      <c r="DR588" s="1605"/>
      <c r="DS588" s="1605"/>
      <c r="DT588" s="1605"/>
      <c r="DU588" s="1605"/>
      <c r="DV588" s="1605"/>
      <c r="DW588" s="1605"/>
      <c r="DX588" s="1605"/>
      <c r="DY588" s="1605"/>
      <c r="DZ588" s="1605"/>
      <c r="EA588" s="1605"/>
      <c r="EB588" s="1605"/>
      <c r="EC588" s="1605"/>
      <c r="ED588" s="1605"/>
      <c r="EE588" s="1605"/>
      <c r="EF588" s="1605"/>
      <c r="EG588" s="1605"/>
      <c r="EH588" s="1605"/>
      <c r="EI588" s="1605"/>
      <c r="EJ588" s="1605"/>
      <c r="EK588" s="1605"/>
      <c r="EL588" s="1605"/>
      <c r="EM588" s="1605"/>
      <c r="EN588" s="1605"/>
      <c r="EO588" s="1605"/>
      <c r="EP588" s="1605"/>
      <c r="EQ588" s="1605"/>
      <c r="ER588" s="1605"/>
      <c r="ES588" s="1605"/>
      <c r="ET588" s="1605"/>
      <c r="EU588" s="1605"/>
      <c r="EV588" s="1605"/>
      <c r="EW588" s="1605"/>
      <c r="EX588" s="1605"/>
      <c r="EY588" s="1605"/>
      <c r="EZ588" s="1605"/>
      <c r="FA588" s="1605"/>
      <c r="FB588" s="1605"/>
      <c r="FC588" s="1605"/>
      <c r="FD588" s="1605"/>
      <c r="FE588" s="1605"/>
      <c r="FF588" s="1605"/>
      <c r="FG588" s="1605"/>
      <c r="FH588" s="1605"/>
      <c r="FI588" s="1605"/>
      <c r="FJ588" s="1605"/>
      <c r="FK588" s="1605"/>
      <c r="FL588" s="1605"/>
      <c r="FM588" s="1605"/>
      <c r="FN588" s="1605"/>
      <c r="FO588" s="1605"/>
      <c r="FP588" s="1605"/>
      <c r="FQ588" s="1605"/>
      <c r="FR588" s="1605"/>
      <c r="FS588" s="1605"/>
      <c r="FT588" s="1605"/>
      <c r="FU588" s="1605"/>
      <c r="FV588" s="1605"/>
      <c r="FW588" s="1605"/>
      <c r="FX588" s="1605"/>
      <c r="FY588" s="1605"/>
      <c r="FZ588" s="1605"/>
      <c r="GA588" s="1605"/>
      <c r="GB588" s="1605"/>
      <c r="GC588" s="1605"/>
      <c r="GD588" s="1605"/>
      <c r="GE588" s="1605"/>
      <c r="GF588" s="1605"/>
      <c r="GG588" s="1605"/>
      <c r="GH588" s="1605"/>
      <c r="GI588" s="1605"/>
      <c r="GJ588" s="1605"/>
      <c r="GK588" s="1605"/>
      <c r="GL588" s="1605"/>
      <c r="GM588" s="1605"/>
      <c r="GN588" s="1605"/>
      <c r="GO588" s="1605"/>
      <c r="GP588" s="1605"/>
      <c r="GQ588" s="1605"/>
      <c r="GR588" s="1605"/>
      <c r="GS588" s="1605"/>
      <c r="GT588" s="1605"/>
      <c r="GU588" s="1605"/>
      <c r="GV588" s="1605"/>
      <c r="GW588" s="1605"/>
      <c r="GX588" s="1605"/>
      <c r="GY588" s="1605"/>
      <c r="GZ588" s="1605"/>
      <c r="HA588" s="1605"/>
      <c r="HB588" s="1605"/>
      <c r="HC588" s="1605"/>
      <c r="HD588" s="1605"/>
      <c r="HE588" s="1605"/>
      <c r="HF588" s="1605"/>
      <c r="HG588" s="1605"/>
      <c r="HH588" s="1605"/>
      <c r="HI588" s="1605"/>
      <c r="HJ588" s="1605"/>
      <c r="HK588" s="1605"/>
      <c r="HL588" s="1605"/>
      <c r="HM588" s="1605"/>
      <c r="HN588" s="1605"/>
      <c r="HO588" s="1605"/>
      <c r="HP588" s="1605"/>
      <c r="HQ588" s="1605"/>
      <c r="HR588" s="1605"/>
      <c r="HS588" s="1605"/>
      <c r="HT588" s="1605"/>
      <c r="HU588" s="1605"/>
      <c r="HV588" s="1605"/>
      <c r="HW588" s="1605"/>
      <c r="HX588" s="1605"/>
      <c r="HY588" s="1605"/>
      <c r="HZ588" s="1605"/>
      <c r="IA588" s="1605"/>
      <c r="IB588" s="1605"/>
      <c r="IC588" s="1605"/>
      <c r="ID588" s="1605"/>
      <c r="IE588" s="1605"/>
      <c r="IF588" s="1605"/>
      <c r="IG588" s="1605"/>
      <c r="IH588" s="1605"/>
      <c r="II588" s="1605"/>
      <c r="IJ588" s="1605"/>
      <c r="IK588" s="1605"/>
      <c r="IL588" s="1605"/>
      <c r="IM588" s="1605"/>
      <c r="IN588" s="1605"/>
      <c r="IO588" s="1605"/>
      <c r="IP588" s="1605"/>
      <c r="IQ588" s="1605"/>
      <c r="IR588" s="1605"/>
      <c r="IS588" s="1605"/>
      <c r="IT588" s="1605"/>
      <c r="IU588" s="1605"/>
      <c r="IV588" s="1605"/>
      <c r="IW588" s="1605"/>
      <c r="IX588" s="1605"/>
      <c r="IY588" s="1605"/>
      <c r="IZ588" s="1605"/>
      <c r="JA588" s="1605"/>
      <c r="JB588" s="1605"/>
      <c r="JC588" s="1605"/>
      <c r="JD588" s="1605"/>
      <c r="JE588" s="1605"/>
      <c r="JF588" s="1605"/>
      <c r="JG588" s="1605"/>
      <c r="JH588" s="1605"/>
      <c r="JI588" s="1605"/>
      <c r="JJ588" s="1605"/>
      <c r="JK588" s="1605"/>
      <c r="JL588" s="1605"/>
      <c r="JM588" s="1605"/>
      <c r="JN588" s="1605"/>
      <c r="JO588" s="1605"/>
      <c r="JP588" s="1605"/>
      <c r="JQ588" s="1605"/>
      <c r="JR588" s="1605"/>
      <c r="JS588" s="1605"/>
      <c r="JT588" s="1605"/>
      <c r="JU588" s="1605"/>
      <c r="JV588" s="1605"/>
      <c r="JW588" s="1605"/>
      <c r="JX588" s="1605"/>
      <c r="JY588" s="1605"/>
      <c r="JZ588" s="1605"/>
      <c r="KA588" s="1605"/>
      <c r="KB588" s="1606"/>
    </row>
    <row r="589" spans="2:288" ht="15" customHeight="1" x14ac:dyDescent="0.25">
      <c r="B589" s="216" t="str">
        <f t="shared" si="46"/>
        <v>Desk 62</v>
      </c>
      <c r="C589" s="218" t="str">
        <v/>
      </c>
      <c r="D589" s="218" t="str">
        <v/>
      </c>
      <c r="E589" s="218" t="str">
        <v/>
      </c>
      <c r="F589" s="218" t="str">
        <v/>
      </c>
      <c r="G589" s="402" t="str">
        <v/>
      </c>
      <c r="H589" s="1605"/>
      <c r="I589" s="1605"/>
      <c r="J589" s="1605"/>
      <c r="K589" s="1605"/>
      <c r="L589" s="1605"/>
      <c r="M589" s="1605"/>
      <c r="N589" s="1605"/>
      <c r="O589" s="1605"/>
      <c r="P589" s="1605"/>
      <c r="Q589" s="1605"/>
      <c r="R589" s="1605"/>
      <c r="S589" s="1605"/>
      <c r="T589" s="1605"/>
      <c r="U589" s="1605"/>
      <c r="V589" s="1605"/>
      <c r="W589" s="1605"/>
      <c r="X589" s="1605"/>
      <c r="Y589" s="1605"/>
      <c r="Z589" s="1605"/>
      <c r="AA589" s="1605"/>
      <c r="AB589" s="1605"/>
      <c r="AC589" s="1605"/>
      <c r="AD589" s="1605"/>
      <c r="AE589" s="1605"/>
      <c r="AF589" s="1605"/>
      <c r="AG589" s="1605"/>
      <c r="AH589" s="1605"/>
      <c r="AI589" s="1605"/>
      <c r="AJ589" s="1605"/>
      <c r="AK589" s="1605"/>
      <c r="AL589" s="1605"/>
      <c r="AM589" s="1605"/>
      <c r="AN589" s="1605"/>
      <c r="AO589" s="1605"/>
      <c r="AP589" s="1605"/>
      <c r="AQ589" s="1605"/>
      <c r="AR589" s="1605"/>
      <c r="AS589" s="1605"/>
      <c r="AT589" s="1605"/>
      <c r="AU589" s="1605"/>
      <c r="AV589" s="1605"/>
      <c r="AW589" s="1605"/>
      <c r="AX589" s="1605"/>
      <c r="AY589" s="1605"/>
      <c r="AZ589" s="1605"/>
      <c r="BA589" s="1605"/>
      <c r="BB589" s="1605"/>
      <c r="BC589" s="1605"/>
      <c r="BD589" s="1605"/>
      <c r="BE589" s="1605"/>
      <c r="BF589" s="1605"/>
      <c r="BG589" s="1605"/>
      <c r="BH589" s="1605"/>
      <c r="BI589" s="1605"/>
      <c r="BJ589" s="1605"/>
      <c r="BK589" s="1605"/>
      <c r="BL589" s="1605"/>
      <c r="BM589" s="1605"/>
      <c r="BN589" s="1605"/>
      <c r="BO589" s="1605"/>
      <c r="BP589" s="1605"/>
      <c r="BQ589" s="1605"/>
      <c r="BR589" s="1605"/>
      <c r="BS589" s="1605"/>
      <c r="BT589" s="1605"/>
      <c r="BU589" s="1605"/>
      <c r="BV589" s="1605"/>
      <c r="BW589" s="1605"/>
      <c r="BX589" s="1605"/>
      <c r="BY589" s="1605"/>
      <c r="BZ589" s="1605"/>
      <c r="CA589" s="1605"/>
      <c r="CB589" s="1605"/>
      <c r="CC589" s="1605"/>
      <c r="CD589" s="1605"/>
      <c r="CE589" s="1605"/>
      <c r="CF589" s="1605"/>
      <c r="CG589" s="1605"/>
      <c r="CH589" s="1605"/>
      <c r="CI589" s="1605"/>
      <c r="CJ589" s="1605"/>
      <c r="CK589" s="1605"/>
      <c r="CL589" s="1605"/>
      <c r="CM589" s="1605"/>
      <c r="CN589" s="1605"/>
      <c r="CO589" s="1605"/>
      <c r="CP589" s="1605"/>
      <c r="CQ589" s="1605"/>
      <c r="CR589" s="1605"/>
      <c r="CS589" s="1605"/>
      <c r="CT589" s="1605"/>
      <c r="CU589" s="1605"/>
      <c r="CV589" s="1605"/>
      <c r="CW589" s="1605"/>
      <c r="CX589" s="1605"/>
      <c r="CY589" s="1605"/>
      <c r="CZ589" s="1605"/>
      <c r="DA589" s="1605"/>
      <c r="DB589" s="1605"/>
      <c r="DC589" s="1605"/>
      <c r="DD589" s="1605"/>
      <c r="DE589" s="1605"/>
      <c r="DF589" s="1605"/>
      <c r="DG589" s="1605"/>
      <c r="DH589" s="1605"/>
      <c r="DI589" s="1605"/>
      <c r="DJ589" s="1605"/>
      <c r="DK589" s="1605"/>
      <c r="DL589" s="1605"/>
      <c r="DM589" s="1605"/>
      <c r="DN589" s="1605"/>
      <c r="DO589" s="1605"/>
      <c r="DP589" s="1605"/>
      <c r="DQ589" s="1605"/>
      <c r="DR589" s="1605"/>
      <c r="DS589" s="1605"/>
      <c r="DT589" s="1605"/>
      <c r="DU589" s="1605"/>
      <c r="DV589" s="1605"/>
      <c r="DW589" s="1605"/>
      <c r="DX589" s="1605"/>
      <c r="DY589" s="1605"/>
      <c r="DZ589" s="1605"/>
      <c r="EA589" s="1605"/>
      <c r="EB589" s="1605"/>
      <c r="EC589" s="1605"/>
      <c r="ED589" s="1605"/>
      <c r="EE589" s="1605"/>
      <c r="EF589" s="1605"/>
      <c r="EG589" s="1605"/>
      <c r="EH589" s="1605"/>
      <c r="EI589" s="1605"/>
      <c r="EJ589" s="1605"/>
      <c r="EK589" s="1605"/>
      <c r="EL589" s="1605"/>
      <c r="EM589" s="1605"/>
      <c r="EN589" s="1605"/>
      <c r="EO589" s="1605"/>
      <c r="EP589" s="1605"/>
      <c r="EQ589" s="1605"/>
      <c r="ER589" s="1605"/>
      <c r="ES589" s="1605"/>
      <c r="ET589" s="1605"/>
      <c r="EU589" s="1605"/>
      <c r="EV589" s="1605"/>
      <c r="EW589" s="1605"/>
      <c r="EX589" s="1605"/>
      <c r="EY589" s="1605"/>
      <c r="EZ589" s="1605"/>
      <c r="FA589" s="1605"/>
      <c r="FB589" s="1605"/>
      <c r="FC589" s="1605"/>
      <c r="FD589" s="1605"/>
      <c r="FE589" s="1605"/>
      <c r="FF589" s="1605"/>
      <c r="FG589" s="1605"/>
      <c r="FH589" s="1605"/>
      <c r="FI589" s="1605"/>
      <c r="FJ589" s="1605"/>
      <c r="FK589" s="1605"/>
      <c r="FL589" s="1605"/>
      <c r="FM589" s="1605"/>
      <c r="FN589" s="1605"/>
      <c r="FO589" s="1605"/>
      <c r="FP589" s="1605"/>
      <c r="FQ589" s="1605"/>
      <c r="FR589" s="1605"/>
      <c r="FS589" s="1605"/>
      <c r="FT589" s="1605"/>
      <c r="FU589" s="1605"/>
      <c r="FV589" s="1605"/>
      <c r="FW589" s="1605"/>
      <c r="FX589" s="1605"/>
      <c r="FY589" s="1605"/>
      <c r="FZ589" s="1605"/>
      <c r="GA589" s="1605"/>
      <c r="GB589" s="1605"/>
      <c r="GC589" s="1605"/>
      <c r="GD589" s="1605"/>
      <c r="GE589" s="1605"/>
      <c r="GF589" s="1605"/>
      <c r="GG589" s="1605"/>
      <c r="GH589" s="1605"/>
      <c r="GI589" s="1605"/>
      <c r="GJ589" s="1605"/>
      <c r="GK589" s="1605"/>
      <c r="GL589" s="1605"/>
      <c r="GM589" s="1605"/>
      <c r="GN589" s="1605"/>
      <c r="GO589" s="1605"/>
      <c r="GP589" s="1605"/>
      <c r="GQ589" s="1605"/>
      <c r="GR589" s="1605"/>
      <c r="GS589" s="1605"/>
      <c r="GT589" s="1605"/>
      <c r="GU589" s="1605"/>
      <c r="GV589" s="1605"/>
      <c r="GW589" s="1605"/>
      <c r="GX589" s="1605"/>
      <c r="GY589" s="1605"/>
      <c r="GZ589" s="1605"/>
      <c r="HA589" s="1605"/>
      <c r="HB589" s="1605"/>
      <c r="HC589" s="1605"/>
      <c r="HD589" s="1605"/>
      <c r="HE589" s="1605"/>
      <c r="HF589" s="1605"/>
      <c r="HG589" s="1605"/>
      <c r="HH589" s="1605"/>
      <c r="HI589" s="1605"/>
      <c r="HJ589" s="1605"/>
      <c r="HK589" s="1605"/>
      <c r="HL589" s="1605"/>
      <c r="HM589" s="1605"/>
      <c r="HN589" s="1605"/>
      <c r="HO589" s="1605"/>
      <c r="HP589" s="1605"/>
      <c r="HQ589" s="1605"/>
      <c r="HR589" s="1605"/>
      <c r="HS589" s="1605"/>
      <c r="HT589" s="1605"/>
      <c r="HU589" s="1605"/>
      <c r="HV589" s="1605"/>
      <c r="HW589" s="1605"/>
      <c r="HX589" s="1605"/>
      <c r="HY589" s="1605"/>
      <c r="HZ589" s="1605"/>
      <c r="IA589" s="1605"/>
      <c r="IB589" s="1605"/>
      <c r="IC589" s="1605"/>
      <c r="ID589" s="1605"/>
      <c r="IE589" s="1605"/>
      <c r="IF589" s="1605"/>
      <c r="IG589" s="1605"/>
      <c r="IH589" s="1605"/>
      <c r="II589" s="1605"/>
      <c r="IJ589" s="1605"/>
      <c r="IK589" s="1605"/>
      <c r="IL589" s="1605"/>
      <c r="IM589" s="1605"/>
      <c r="IN589" s="1605"/>
      <c r="IO589" s="1605"/>
      <c r="IP589" s="1605"/>
      <c r="IQ589" s="1605"/>
      <c r="IR589" s="1605"/>
      <c r="IS589" s="1605"/>
      <c r="IT589" s="1605"/>
      <c r="IU589" s="1605"/>
      <c r="IV589" s="1605"/>
      <c r="IW589" s="1605"/>
      <c r="IX589" s="1605"/>
      <c r="IY589" s="1605"/>
      <c r="IZ589" s="1605"/>
      <c r="JA589" s="1605"/>
      <c r="JB589" s="1605"/>
      <c r="JC589" s="1605"/>
      <c r="JD589" s="1605"/>
      <c r="JE589" s="1605"/>
      <c r="JF589" s="1605"/>
      <c r="JG589" s="1605"/>
      <c r="JH589" s="1605"/>
      <c r="JI589" s="1605"/>
      <c r="JJ589" s="1605"/>
      <c r="JK589" s="1605"/>
      <c r="JL589" s="1605"/>
      <c r="JM589" s="1605"/>
      <c r="JN589" s="1605"/>
      <c r="JO589" s="1605"/>
      <c r="JP589" s="1605"/>
      <c r="JQ589" s="1605"/>
      <c r="JR589" s="1605"/>
      <c r="JS589" s="1605"/>
      <c r="JT589" s="1605"/>
      <c r="JU589" s="1605"/>
      <c r="JV589" s="1605"/>
      <c r="JW589" s="1605"/>
      <c r="JX589" s="1605"/>
      <c r="JY589" s="1605"/>
      <c r="JZ589" s="1605"/>
      <c r="KA589" s="1605"/>
      <c r="KB589" s="1606"/>
    </row>
    <row r="590" spans="2:288" ht="15" customHeight="1" x14ac:dyDescent="0.25">
      <c r="B590" s="216" t="str">
        <f t="shared" si="46"/>
        <v>Desk 63</v>
      </c>
      <c r="C590" s="218" t="str">
        <v/>
      </c>
      <c r="D590" s="218" t="str">
        <v/>
      </c>
      <c r="E590" s="218" t="str">
        <v/>
      </c>
      <c r="F590" s="218" t="str">
        <v/>
      </c>
      <c r="G590" s="402" t="str">
        <v/>
      </c>
      <c r="H590" s="1605"/>
      <c r="I590" s="1605"/>
      <c r="J590" s="1605"/>
      <c r="K590" s="1605"/>
      <c r="L590" s="1605"/>
      <c r="M590" s="1605"/>
      <c r="N590" s="1605"/>
      <c r="O590" s="1605"/>
      <c r="P590" s="1605"/>
      <c r="Q590" s="1605"/>
      <c r="R590" s="1605"/>
      <c r="S590" s="1605"/>
      <c r="T590" s="1605"/>
      <c r="U590" s="1605"/>
      <c r="V590" s="1605"/>
      <c r="W590" s="1605"/>
      <c r="X590" s="1605"/>
      <c r="Y590" s="1605"/>
      <c r="Z590" s="1605"/>
      <c r="AA590" s="1605"/>
      <c r="AB590" s="1605"/>
      <c r="AC590" s="1605"/>
      <c r="AD590" s="1605"/>
      <c r="AE590" s="1605"/>
      <c r="AF590" s="1605"/>
      <c r="AG590" s="1605"/>
      <c r="AH590" s="1605"/>
      <c r="AI590" s="1605"/>
      <c r="AJ590" s="1605"/>
      <c r="AK590" s="1605"/>
      <c r="AL590" s="1605"/>
      <c r="AM590" s="1605"/>
      <c r="AN590" s="1605"/>
      <c r="AO590" s="1605"/>
      <c r="AP590" s="1605"/>
      <c r="AQ590" s="1605"/>
      <c r="AR590" s="1605"/>
      <c r="AS590" s="1605"/>
      <c r="AT590" s="1605"/>
      <c r="AU590" s="1605"/>
      <c r="AV590" s="1605"/>
      <c r="AW590" s="1605"/>
      <c r="AX590" s="1605"/>
      <c r="AY590" s="1605"/>
      <c r="AZ590" s="1605"/>
      <c r="BA590" s="1605"/>
      <c r="BB590" s="1605"/>
      <c r="BC590" s="1605"/>
      <c r="BD590" s="1605"/>
      <c r="BE590" s="1605"/>
      <c r="BF590" s="1605"/>
      <c r="BG590" s="1605"/>
      <c r="BH590" s="1605"/>
      <c r="BI590" s="1605"/>
      <c r="BJ590" s="1605"/>
      <c r="BK590" s="1605"/>
      <c r="BL590" s="1605"/>
      <c r="BM590" s="1605"/>
      <c r="BN590" s="1605"/>
      <c r="BO590" s="1605"/>
      <c r="BP590" s="1605"/>
      <c r="BQ590" s="1605"/>
      <c r="BR590" s="1605"/>
      <c r="BS590" s="1605"/>
      <c r="BT590" s="1605"/>
      <c r="BU590" s="1605"/>
      <c r="BV590" s="1605"/>
      <c r="BW590" s="1605"/>
      <c r="BX590" s="1605"/>
      <c r="BY590" s="1605"/>
      <c r="BZ590" s="1605"/>
      <c r="CA590" s="1605"/>
      <c r="CB590" s="1605"/>
      <c r="CC590" s="1605"/>
      <c r="CD590" s="1605"/>
      <c r="CE590" s="1605"/>
      <c r="CF590" s="1605"/>
      <c r="CG590" s="1605"/>
      <c r="CH590" s="1605"/>
      <c r="CI590" s="1605"/>
      <c r="CJ590" s="1605"/>
      <c r="CK590" s="1605"/>
      <c r="CL590" s="1605"/>
      <c r="CM590" s="1605"/>
      <c r="CN590" s="1605"/>
      <c r="CO590" s="1605"/>
      <c r="CP590" s="1605"/>
      <c r="CQ590" s="1605"/>
      <c r="CR590" s="1605"/>
      <c r="CS590" s="1605"/>
      <c r="CT590" s="1605"/>
      <c r="CU590" s="1605"/>
      <c r="CV590" s="1605"/>
      <c r="CW590" s="1605"/>
      <c r="CX590" s="1605"/>
      <c r="CY590" s="1605"/>
      <c r="CZ590" s="1605"/>
      <c r="DA590" s="1605"/>
      <c r="DB590" s="1605"/>
      <c r="DC590" s="1605"/>
      <c r="DD590" s="1605"/>
      <c r="DE590" s="1605"/>
      <c r="DF590" s="1605"/>
      <c r="DG590" s="1605"/>
      <c r="DH590" s="1605"/>
      <c r="DI590" s="1605"/>
      <c r="DJ590" s="1605"/>
      <c r="DK590" s="1605"/>
      <c r="DL590" s="1605"/>
      <c r="DM590" s="1605"/>
      <c r="DN590" s="1605"/>
      <c r="DO590" s="1605"/>
      <c r="DP590" s="1605"/>
      <c r="DQ590" s="1605"/>
      <c r="DR590" s="1605"/>
      <c r="DS590" s="1605"/>
      <c r="DT590" s="1605"/>
      <c r="DU590" s="1605"/>
      <c r="DV590" s="1605"/>
      <c r="DW590" s="1605"/>
      <c r="DX590" s="1605"/>
      <c r="DY590" s="1605"/>
      <c r="DZ590" s="1605"/>
      <c r="EA590" s="1605"/>
      <c r="EB590" s="1605"/>
      <c r="EC590" s="1605"/>
      <c r="ED590" s="1605"/>
      <c r="EE590" s="1605"/>
      <c r="EF590" s="1605"/>
      <c r="EG590" s="1605"/>
      <c r="EH590" s="1605"/>
      <c r="EI590" s="1605"/>
      <c r="EJ590" s="1605"/>
      <c r="EK590" s="1605"/>
      <c r="EL590" s="1605"/>
      <c r="EM590" s="1605"/>
      <c r="EN590" s="1605"/>
      <c r="EO590" s="1605"/>
      <c r="EP590" s="1605"/>
      <c r="EQ590" s="1605"/>
      <c r="ER590" s="1605"/>
      <c r="ES590" s="1605"/>
      <c r="ET590" s="1605"/>
      <c r="EU590" s="1605"/>
      <c r="EV590" s="1605"/>
      <c r="EW590" s="1605"/>
      <c r="EX590" s="1605"/>
      <c r="EY590" s="1605"/>
      <c r="EZ590" s="1605"/>
      <c r="FA590" s="1605"/>
      <c r="FB590" s="1605"/>
      <c r="FC590" s="1605"/>
      <c r="FD590" s="1605"/>
      <c r="FE590" s="1605"/>
      <c r="FF590" s="1605"/>
      <c r="FG590" s="1605"/>
      <c r="FH590" s="1605"/>
      <c r="FI590" s="1605"/>
      <c r="FJ590" s="1605"/>
      <c r="FK590" s="1605"/>
      <c r="FL590" s="1605"/>
      <c r="FM590" s="1605"/>
      <c r="FN590" s="1605"/>
      <c r="FO590" s="1605"/>
      <c r="FP590" s="1605"/>
      <c r="FQ590" s="1605"/>
      <c r="FR590" s="1605"/>
      <c r="FS590" s="1605"/>
      <c r="FT590" s="1605"/>
      <c r="FU590" s="1605"/>
      <c r="FV590" s="1605"/>
      <c r="FW590" s="1605"/>
      <c r="FX590" s="1605"/>
      <c r="FY590" s="1605"/>
      <c r="FZ590" s="1605"/>
      <c r="GA590" s="1605"/>
      <c r="GB590" s="1605"/>
      <c r="GC590" s="1605"/>
      <c r="GD590" s="1605"/>
      <c r="GE590" s="1605"/>
      <c r="GF590" s="1605"/>
      <c r="GG590" s="1605"/>
      <c r="GH590" s="1605"/>
      <c r="GI590" s="1605"/>
      <c r="GJ590" s="1605"/>
      <c r="GK590" s="1605"/>
      <c r="GL590" s="1605"/>
      <c r="GM590" s="1605"/>
      <c r="GN590" s="1605"/>
      <c r="GO590" s="1605"/>
      <c r="GP590" s="1605"/>
      <c r="GQ590" s="1605"/>
      <c r="GR590" s="1605"/>
      <c r="GS590" s="1605"/>
      <c r="GT590" s="1605"/>
      <c r="GU590" s="1605"/>
      <c r="GV590" s="1605"/>
      <c r="GW590" s="1605"/>
      <c r="GX590" s="1605"/>
      <c r="GY590" s="1605"/>
      <c r="GZ590" s="1605"/>
      <c r="HA590" s="1605"/>
      <c r="HB590" s="1605"/>
      <c r="HC590" s="1605"/>
      <c r="HD590" s="1605"/>
      <c r="HE590" s="1605"/>
      <c r="HF590" s="1605"/>
      <c r="HG590" s="1605"/>
      <c r="HH590" s="1605"/>
      <c r="HI590" s="1605"/>
      <c r="HJ590" s="1605"/>
      <c r="HK590" s="1605"/>
      <c r="HL590" s="1605"/>
      <c r="HM590" s="1605"/>
      <c r="HN590" s="1605"/>
      <c r="HO590" s="1605"/>
      <c r="HP590" s="1605"/>
      <c r="HQ590" s="1605"/>
      <c r="HR590" s="1605"/>
      <c r="HS590" s="1605"/>
      <c r="HT590" s="1605"/>
      <c r="HU590" s="1605"/>
      <c r="HV590" s="1605"/>
      <c r="HW590" s="1605"/>
      <c r="HX590" s="1605"/>
      <c r="HY590" s="1605"/>
      <c r="HZ590" s="1605"/>
      <c r="IA590" s="1605"/>
      <c r="IB590" s="1605"/>
      <c r="IC590" s="1605"/>
      <c r="ID590" s="1605"/>
      <c r="IE590" s="1605"/>
      <c r="IF590" s="1605"/>
      <c r="IG590" s="1605"/>
      <c r="IH590" s="1605"/>
      <c r="II590" s="1605"/>
      <c r="IJ590" s="1605"/>
      <c r="IK590" s="1605"/>
      <c r="IL590" s="1605"/>
      <c r="IM590" s="1605"/>
      <c r="IN590" s="1605"/>
      <c r="IO590" s="1605"/>
      <c r="IP590" s="1605"/>
      <c r="IQ590" s="1605"/>
      <c r="IR590" s="1605"/>
      <c r="IS590" s="1605"/>
      <c r="IT590" s="1605"/>
      <c r="IU590" s="1605"/>
      <c r="IV590" s="1605"/>
      <c r="IW590" s="1605"/>
      <c r="IX590" s="1605"/>
      <c r="IY590" s="1605"/>
      <c r="IZ590" s="1605"/>
      <c r="JA590" s="1605"/>
      <c r="JB590" s="1605"/>
      <c r="JC590" s="1605"/>
      <c r="JD590" s="1605"/>
      <c r="JE590" s="1605"/>
      <c r="JF590" s="1605"/>
      <c r="JG590" s="1605"/>
      <c r="JH590" s="1605"/>
      <c r="JI590" s="1605"/>
      <c r="JJ590" s="1605"/>
      <c r="JK590" s="1605"/>
      <c r="JL590" s="1605"/>
      <c r="JM590" s="1605"/>
      <c r="JN590" s="1605"/>
      <c r="JO590" s="1605"/>
      <c r="JP590" s="1605"/>
      <c r="JQ590" s="1605"/>
      <c r="JR590" s="1605"/>
      <c r="JS590" s="1605"/>
      <c r="JT590" s="1605"/>
      <c r="JU590" s="1605"/>
      <c r="JV590" s="1605"/>
      <c r="JW590" s="1605"/>
      <c r="JX590" s="1605"/>
      <c r="JY590" s="1605"/>
      <c r="JZ590" s="1605"/>
      <c r="KA590" s="1605"/>
      <c r="KB590" s="1606"/>
    </row>
    <row r="591" spans="2:288" ht="15" customHeight="1" x14ac:dyDescent="0.25">
      <c r="B591" s="216" t="str">
        <f t="shared" si="46"/>
        <v>Desk 64</v>
      </c>
      <c r="C591" s="218" t="str">
        <v/>
      </c>
      <c r="D591" s="218" t="str">
        <v/>
      </c>
      <c r="E591" s="218" t="str">
        <v/>
      </c>
      <c r="F591" s="218" t="str">
        <v/>
      </c>
      <c r="G591" s="402" t="str">
        <v/>
      </c>
      <c r="H591" s="1605"/>
      <c r="I591" s="1605"/>
      <c r="J591" s="1605"/>
      <c r="K591" s="1605"/>
      <c r="L591" s="1605"/>
      <c r="M591" s="1605"/>
      <c r="N591" s="1605"/>
      <c r="O591" s="1605"/>
      <c r="P591" s="1605"/>
      <c r="Q591" s="1605"/>
      <c r="R591" s="1605"/>
      <c r="S591" s="1605"/>
      <c r="T591" s="1605"/>
      <c r="U591" s="1605"/>
      <c r="V591" s="1605"/>
      <c r="W591" s="1605"/>
      <c r="X591" s="1605"/>
      <c r="Y591" s="1605"/>
      <c r="Z591" s="1605"/>
      <c r="AA591" s="1605"/>
      <c r="AB591" s="1605"/>
      <c r="AC591" s="1605"/>
      <c r="AD591" s="1605"/>
      <c r="AE591" s="1605"/>
      <c r="AF591" s="1605"/>
      <c r="AG591" s="1605"/>
      <c r="AH591" s="1605"/>
      <c r="AI591" s="1605"/>
      <c r="AJ591" s="1605"/>
      <c r="AK591" s="1605"/>
      <c r="AL591" s="1605"/>
      <c r="AM591" s="1605"/>
      <c r="AN591" s="1605"/>
      <c r="AO591" s="1605"/>
      <c r="AP591" s="1605"/>
      <c r="AQ591" s="1605"/>
      <c r="AR591" s="1605"/>
      <c r="AS591" s="1605"/>
      <c r="AT591" s="1605"/>
      <c r="AU591" s="1605"/>
      <c r="AV591" s="1605"/>
      <c r="AW591" s="1605"/>
      <c r="AX591" s="1605"/>
      <c r="AY591" s="1605"/>
      <c r="AZ591" s="1605"/>
      <c r="BA591" s="1605"/>
      <c r="BB591" s="1605"/>
      <c r="BC591" s="1605"/>
      <c r="BD591" s="1605"/>
      <c r="BE591" s="1605"/>
      <c r="BF591" s="1605"/>
      <c r="BG591" s="1605"/>
      <c r="BH591" s="1605"/>
      <c r="BI591" s="1605"/>
      <c r="BJ591" s="1605"/>
      <c r="BK591" s="1605"/>
      <c r="BL591" s="1605"/>
      <c r="BM591" s="1605"/>
      <c r="BN591" s="1605"/>
      <c r="BO591" s="1605"/>
      <c r="BP591" s="1605"/>
      <c r="BQ591" s="1605"/>
      <c r="BR591" s="1605"/>
      <c r="BS591" s="1605"/>
      <c r="BT591" s="1605"/>
      <c r="BU591" s="1605"/>
      <c r="BV591" s="1605"/>
      <c r="BW591" s="1605"/>
      <c r="BX591" s="1605"/>
      <c r="BY591" s="1605"/>
      <c r="BZ591" s="1605"/>
      <c r="CA591" s="1605"/>
      <c r="CB591" s="1605"/>
      <c r="CC591" s="1605"/>
      <c r="CD591" s="1605"/>
      <c r="CE591" s="1605"/>
      <c r="CF591" s="1605"/>
      <c r="CG591" s="1605"/>
      <c r="CH591" s="1605"/>
      <c r="CI591" s="1605"/>
      <c r="CJ591" s="1605"/>
      <c r="CK591" s="1605"/>
      <c r="CL591" s="1605"/>
      <c r="CM591" s="1605"/>
      <c r="CN591" s="1605"/>
      <c r="CO591" s="1605"/>
      <c r="CP591" s="1605"/>
      <c r="CQ591" s="1605"/>
      <c r="CR591" s="1605"/>
      <c r="CS591" s="1605"/>
      <c r="CT591" s="1605"/>
      <c r="CU591" s="1605"/>
      <c r="CV591" s="1605"/>
      <c r="CW591" s="1605"/>
      <c r="CX591" s="1605"/>
      <c r="CY591" s="1605"/>
      <c r="CZ591" s="1605"/>
      <c r="DA591" s="1605"/>
      <c r="DB591" s="1605"/>
      <c r="DC591" s="1605"/>
      <c r="DD591" s="1605"/>
      <c r="DE591" s="1605"/>
      <c r="DF591" s="1605"/>
      <c r="DG591" s="1605"/>
      <c r="DH591" s="1605"/>
      <c r="DI591" s="1605"/>
      <c r="DJ591" s="1605"/>
      <c r="DK591" s="1605"/>
      <c r="DL591" s="1605"/>
      <c r="DM591" s="1605"/>
      <c r="DN591" s="1605"/>
      <c r="DO591" s="1605"/>
      <c r="DP591" s="1605"/>
      <c r="DQ591" s="1605"/>
      <c r="DR591" s="1605"/>
      <c r="DS591" s="1605"/>
      <c r="DT591" s="1605"/>
      <c r="DU591" s="1605"/>
      <c r="DV591" s="1605"/>
      <c r="DW591" s="1605"/>
      <c r="DX591" s="1605"/>
      <c r="DY591" s="1605"/>
      <c r="DZ591" s="1605"/>
      <c r="EA591" s="1605"/>
      <c r="EB591" s="1605"/>
      <c r="EC591" s="1605"/>
      <c r="ED591" s="1605"/>
      <c r="EE591" s="1605"/>
      <c r="EF591" s="1605"/>
      <c r="EG591" s="1605"/>
      <c r="EH591" s="1605"/>
      <c r="EI591" s="1605"/>
      <c r="EJ591" s="1605"/>
      <c r="EK591" s="1605"/>
      <c r="EL591" s="1605"/>
      <c r="EM591" s="1605"/>
      <c r="EN591" s="1605"/>
      <c r="EO591" s="1605"/>
      <c r="EP591" s="1605"/>
      <c r="EQ591" s="1605"/>
      <c r="ER591" s="1605"/>
      <c r="ES591" s="1605"/>
      <c r="ET591" s="1605"/>
      <c r="EU591" s="1605"/>
      <c r="EV591" s="1605"/>
      <c r="EW591" s="1605"/>
      <c r="EX591" s="1605"/>
      <c r="EY591" s="1605"/>
      <c r="EZ591" s="1605"/>
      <c r="FA591" s="1605"/>
      <c r="FB591" s="1605"/>
      <c r="FC591" s="1605"/>
      <c r="FD591" s="1605"/>
      <c r="FE591" s="1605"/>
      <c r="FF591" s="1605"/>
      <c r="FG591" s="1605"/>
      <c r="FH591" s="1605"/>
      <c r="FI591" s="1605"/>
      <c r="FJ591" s="1605"/>
      <c r="FK591" s="1605"/>
      <c r="FL591" s="1605"/>
      <c r="FM591" s="1605"/>
      <c r="FN591" s="1605"/>
      <c r="FO591" s="1605"/>
      <c r="FP591" s="1605"/>
      <c r="FQ591" s="1605"/>
      <c r="FR591" s="1605"/>
      <c r="FS591" s="1605"/>
      <c r="FT591" s="1605"/>
      <c r="FU591" s="1605"/>
      <c r="FV591" s="1605"/>
      <c r="FW591" s="1605"/>
      <c r="FX591" s="1605"/>
      <c r="FY591" s="1605"/>
      <c r="FZ591" s="1605"/>
      <c r="GA591" s="1605"/>
      <c r="GB591" s="1605"/>
      <c r="GC591" s="1605"/>
      <c r="GD591" s="1605"/>
      <c r="GE591" s="1605"/>
      <c r="GF591" s="1605"/>
      <c r="GG591" s="1605"/>
      <c r="GH591" s="1605"/>
      <c r="GI591" s="1605"/>
      <c r="GJ591" s="1605"/>
      <c r="GK591" s="1605"/>
      <c r="GL591" s="1605"/>
      <c r="GM591" s="1605"/>
      <c r="GN591" s="1605"/>
      <c r="GO591" s="1605"/>
      <c r="GP591" s="1605"/>
      <c r="GQ591" s="1605"/>
      <c r="GR591" s="1605"/>
      <c r="GS591" s="1605"/>
      <c r="GT591" s="1605"/>
      <c r="GU591" s="1605"/>
      <c r="GV591" s="1605"/>
      <c r="GW591" s="1605"/>
      <c r="GX591" s="1605"/>
      <c r="GY591" s="1605"/>
      <c r="GZ591" s="1605"/>
      <c r="HA591" s="1605"/>
      <c r="HB591" s="1605"/>
      <c r="HC591" s="1605"/>
      <c r="HD591" s="1605"/>
      <c r="HE591" s="1605"/>
      <c r="HF591" s="1605"/>
      <c r="HG591" s="1605"/>
      <c r="HH591" s="1605"/>
      <c r="HI591" s="1605"/>
      <c r="HJ591" s="1605"/>
      <c r="HK591" s="1605"/>
      <c r="HL591" s="1605"/>
      <c r="HM591" s="1605"/>
      <c r="HN591" s="1605"/>
      <c r="HO591" s="1605"/>
      <c r="HP591" s="1605"/>
      <c r="HQ591" s="1605"/>
      <c r="HR591" s="1605"/>
      <c r="HS591" s="1605"/>
      <c r="HT591" s="1605"/>
      <c r="HU591" s="1605"/>
      <c r="HV591" s="1605"/>
      <c r="HW591" s="1605"/>
      <c r="HX591" s="1605"/>
      <c r="HY591" s="1605"/>
      <c r="HZ591" s="1605"/>
      <c r="IA591" s="1605"/>
      <c r="IB591" s="1605"/>
      <c r="IC591" s="1605"/>
      <c r="ID591" s="1605"/>
      <c r="IE591" s="1605"/>
      <c r="IF591" s="1605"/>
      <c r="IG591" s="1605"/>
      <c r="IH591" s="1605"/>
      <c r="II591" s="1605"/>
      <c r="IJ591" s="1605"/>
      <c r="IK591" s="1605"/>
      <c r="IL591" s="1605"/>
      <c r="IM591" s="1605"/>
      <c r="IN591" s="1605"/>
      <c r="IO591" s="1605"/>
      <c r="IP591" s="1605"/>
      <c r="IQ591" s="1605"/>
      <c r="IR591" s="1605"/>
      <c r="IS591" s="1605"/>
      <c r="IT591" s="1605"/>
      <c r="IU591" s="1605"/>
      <c r="IV591" s="1605"/>
      <c r="IW591" s="1605"/>
      <c r="IX591" s="1605"/>
      <c r="IY591" s="1605"/>
      <c r="IZ591" s="1605"/>
      <c r="JA591" s="1605"/>
      <c r="JB591" s="1605"/>
      <c r="JC591" s="1605"/>
      <c r="JD591" s="1605"/>
      <c r="JE591" s="1605"/>
      <c r="JF591" s="1605"/>
      <c r="JG591" s="1605"/>
      <c r="JH591" s="1605"/>
      <c r="JI591" s="1605"/>
      <c r="JJ591" s="1605"/>
      <c r="JK591" s="1605"/>
      <c r="JL591" s="1605"/>
      <c r="JM591" s="1605"/>
      <c r="JN591" s="1605"/>
      <c r="JO591" s="1605"/>
      <c r="JP591" s="1605"/>
      <c r="JQ591" s="1605"/>
      <c r="JR591" s="1605"/>
      <c r="JS591" s="1605"/>
      <c r="JT591" s="1605"/>
      <c r="JU591" s="1605"/>
      <c r="JV591" s="1605"/>
      <c r="JW591" s="1605"/>
      <c r="JX591" s="1605"/>
      <c r="JY591" s="1605"/>
      <c r="JZ591" s="1605"/>
      <c r="KA591" s="1605"/>
      <c r="KB591" s="1606"/>
    </row>
    <row r="592" spans="2:288" ht="15" customHeight="1" x14ac:dyDescent="0.25">
      <c r="B592" s="216" t="str">
        <f t="shared" si="46"/>
        <v>Desk 65</v>
      </c>
      <c r="C592" s="218" t="str">
        <v/>
      </c>
      <c r="D592" s="218" t="str">
        <v/>
      </c>
      <c r="E592" s="218" t="str">
        <v/>
      </c>
      <c r="F592" s="218" t="str">
        <v/>
      </c>
      <c r="G592" s="402" t="str">
        <v/>
      </c>
      <c r="H592" s="1605"/>
      <c r="I592" s="1605"/>
      <c r="J592" s="1605"/>
      <c r="K592" s="1605"/>
      <c r="L592" s="1605"/>
      <c r="M592" s="1605"/>
      <c r="N592" s="1605"/>
      <c r="O592" s="1605"/>
      <c r="P592" s="1605"/>
      <c r="Q592" s="1605"/>
      <c r="R592" s="1605"/>
      <c r="S592" s="1605"/>
      <c r="T592" s="1605"/>
      <c r="U592" s="1605"/>
      <c r="V592" s="1605"/>
      <c r="W592" s="1605"/>
      <c r="X592" s="1605"/>
      <c r="Y592" s="1605"/>
      <c r="Z592" s="1605"/>
      <c r="AA592" s="1605"/>
      <c r="AB592" s="1605"/>
      <c r="AC592" s="1605"/>
      <c r="AD592" s="1605"/>
      <c r="AE592" s="1605"/>
      <c r="AF592" s="1605"/>
      <c r="AG592" s="1605"/>
      <c r="AH592" s="1605"/>
      <c r="AI592" s="1605"/>
      <c r="AJ592" s="1605"/>
      <c r="AK592" s="1605"/>
      <c r="AL592" s="1605"/>
      <c r="AM592" s="1605"/>
      <c r="AN592" s="1605"/>
      <c r="AO592" s="1605"/>
      <c r="AP592" s="1605"/>
      <c r="AQ592" s="1605"/>
      <c r="AR592" s="1605"/>
      <c r="AS592" s="1605"/>
      <c r="AT592" s="1605"/>
      <c r="AU592" s="1605"/>
      <c r="AV592" s="1605"/>
      <c r="AW592" s="1605"/>
      <c r="AX592" s="1605"/>
      <c r="AY592" s="1605"/>
      <c r="AZ592" s="1605"/>
      <c r="BA592" s="1605"/>
      <c r="BB592" s="1605"/>
      <c r="BC592" s="1605"/>
      <c r="BD592" s="1605"/>
      <c r="BE592" s="1605"/>
      <c r="BF592" s="1605"/>
      <c r="BG592" s="1605"/>
      <c r="BH592" s="1605"/>
      <c r="BI592" s="1605"/>
      <c r="BJ592" s="1605"/>
      <c r="BK592" s="1605"/>
      <c r="BL592" s="1605"/>
      <c r="BM592" s="1605"/>
      <c r="BN592" s="1605"/>
      <c r="BO592" s="1605"/>
      <c r="BP592" s="1605"/>
      <c r="BQ592" s="1605"/>
      <c r="BR592" s="1605"/>
      <c r="BS592" s="1605"/>
      <c r="BT592" s="1605"/>
      <c r="BU592" s="1605"/>
      <c r="BV592" s="1605"/>
      <c r="BW592" s="1605"/>
      <c r="BX592" s="1605"/>
      <c r="BY592" s="1605"/>
      <c r="BZ592" s="1605"/>
      <c r="CA592" s="1605"/>
      <c r="CB592" s="1605"/>
      <c r="CC592" s="1605"/>
      <c r="CD592" s="1605"/>
      <c r="CE592" s="1605"/>
      <c r="CF592" s="1605"/>
      <c r="CG592" s="1605"/>
      <c r="CH592" s="1605"/>
      <c r="CI592" s="1605"/>
      <c r="CJ592" s="1605"/>
      <c r="CK592" s="1605"/>
      <c r="CL592" s="1605"/>
      <c r="CM592" s="1605"/>
      <c r="CN592" s="1605"/>
      <c r="CO592" s="1605"/>
      <c r="CP592" s="1605"/>
      <c r="CQ592" s="1605"/>
      <c r="CR592" s="1605"/>
      <c r="CS592" s="1605"/>
      <c r="CT592" s="1605"/>
      <c r="CU592" s="1605"/>
      <c r="CV592" s="1605"/>
      <c r="CW592" s="1605"/>
      <c r="CX592" s="1605"/>
      <c r="CY592" s="1605"/>
      <c r="CZ592" s="1605"/>
      <c r="DA592" s="1605"/>
      <c r="DB592" s="1605"/>
      <c r="DC592" s="1605"/>
      <c r="DD592" s="1605"/>
      <c r="DE592" s="1605"/>
      <c r="DF592" s="1605"/>
      <c r="DG592" s="1605"/>
      <c r="DH592" s="1605"/>
      <c r="DI592" s="1605"/>
      <c r="DJ592" s="1605"/>
      <c r="DK592" s="1605"/>
      <c r="DL592" s="1605"/>
      <c r="DM592" s="1605"/>
      <c r="DN592" s="1605"/>
      <c r="DO592" s="1605"/>
      <c r="DP592" s="1605"/>
      <c r="DQ592" s="1605"/>
      <c r="DR592" s="1605"/>
      <c r="DS592" s="1605"/>
      <c r="DT592" s="1605"/>
      <c r="DU592" s="1605"/>
      <c r="DV592" s="1605"/>
      <c r="DW592" s="1605"/>
      <c r="DX592" s="1605"/>
      <c r="DY592" s="1605"/>
      <c r="DZ592" s="1605"/>
      <c r="EA592" s="1605"/>
      <c r="EB592" s="1605"/>
      <c r="EC592" s="1605"/>
      <c r="ED592" s="1605"/>
      <c r="EE592" s="1605"/>
      <c r="EF592" s="1605"/>
      <c r="EG592" s="1605"/>
      <c r="EH592" s="1605"/>
      <c r="EI592" s="1605"/>
      <c r="EJ592" s="1605"/>
      <c r="EK592" s="1605"/>
      <c r="EL592" s="1605"/>
      <c r="EM592" s="1605"/>
      <c r="EN592" s="1605"/>
      <c r="EO592" s="1605"/>
      <c r="EP592" s="1605"/>
      <c r="EQ592" s="1605"/>
      <c r="ER592" s="1605"/>
      <c r="ES592" s="1605"/>
      <c r="ET592" s="1605"/>
      <c r="EU592" s="1605"/>
      <c r="EV592" s="1605"/>
      <c r="EW592" s="1605"/>
      <c r="EX592" s="1605"/>
      <c r="EY592" s="1605"/>
      <c r="EZ592" s="1605"/>
      <c r="FA592" s="1605"/>
      <c r="FB592" s="1605"/>
      <c r="FC592" s="1605"/>
      <c r="FD592" s="1605"/>
      <c r="FE592" s="1605"/>
      <c r="FF592" s="1605"/>
      <c r="FG592" s="1605"/>
      <c r="FH592" s="1605"/>
      <c r="FI592" s="1605"/>
      <c r="FJ592" s="1605"/>
      <c r="FK592" s="1605"/>
      <c r="FL592" s="1605"/>
      <c r="FM592" s="1605"/>
      <c r="FN592" s="1605"/>
      <c r="FO592" s="1605"/>
      <c r="FP592" s="1605"/>
      <c r="FQ592" s="1605"/>
      <c r="FR592" s="1605"/>
      <c r="FS592" s="1605"/>
      <c r="FT592" s="1605"/>
      <c r="FU592" s="1605"/>
      <c r="FV592" s="1605"/>
      <c r="FW592" s="1605"/>
      <c r="FX592" s="1605"/>
      <c r="FY592" s="1605"/>
      <c r="FZ592" s="1605"/>
      <c r="GA592" s="1605"/>
      <c r="GB592" s="1605"/>
      <c r="GC592" s="1605"/>
      <c r="GD592" s="1605"/>
      <c r="GE592" s="1605"/>
      <c r="GF592" s="1605"/>
      <c r="GG592" s="1605"/>
      <c r="GH592" s="1605"/>
      <c r="GI592" s="1605"/>
      <c r="GJ592" s="1605"/>
      <c r="GK592" s="1605"/>
      <c r="GL592" s="1605"/>
      <c r="GM592" s="1605"/>
      <c r="GN592" s="1605"/>
      <c r="GO592" s="1605"/>
      <c r="GP592" s="1605"/>
      <c r="GQ592" s="1605"/>
      <c r="GR592" s="1605"/>
      <c r="GS592" s="1605"/>
      <c r="GT592" s="1605"/>
      <c r="GU592" s="1605"/>
      <c r="GV592" s="1605"/>
      <c r="GW592" s="1605"/>
      <c r="GX592" s="1605"/>
      <c r="GY592" s="1605"/>
      <c r="GZ592" s="1605"/>
      <c r="HA592" s="1605"/>
      <c r="HB592" s="1605"/>
      <c r="HC592" s="1605"/>
      <c r="HD592" s="1605"/>
      <c r="HE592" s="1605"/>
      <c r="HF592" s="1605"/>
      <c r="HG592" s="1605"/>
      <c r="HH592" s="1605"/>
      <c r="HI592" s="1605"/>
      <c r="HJ592" s="1605"/>
      <c r="HK592" s="1605"/>
      <c r="HL592" s="1605"/>
      <c r="HM592" s="1605"/>
      <c r="HN592" s="1605"/>
      <c r="HO592" s="1605"/>
      <c r="HP592" s="1605"/>
      <c r="HQ592" s="1605"/>
      <c r="HR592" s="1605"/>
      <c r="HS592" s="1605"/>
      <c r="HT592" s="1605"/>
      <c r="HU592" s="1605"/>
      <c r="HV592" s="1605"/>
      <c r="HW592" s="1605"/>
      <c r="HX592" s="1605"/>
      <c r="HY592" s="1605"/>
      <c r="HZ592" s="1605"/>
      <c r="IA592" s="1605"/>
      <c r="IB592" s="1605"/>
      <c r="IC592" s="1605"/>
      <c r="ID592" s="1605"/>
      <c r="IE592" s="1605"/>
      <c r="IF592" s="1605"/>
      <c r="IG592" s="1605"/>
      <c r="IH592" s="1605"/>
      <c r="II592" s="1605"/>
      <c r="IJ592" s="1605"/>
      <c r="IK592" s="1605"/>
      <c r="IL592" s="1605"/>
      <c r="IM592" s="1605"/>
      <c r="IN592" s="1605"/>
      <c r="IO592" s="1605"/>
      <c r="IP592" s="1605"/>
      <c r="IQ592" s="1605"/>
      <c r="IR592" s="1605"/>
      <c r="IS592" s="1605"/>
      <c r="IT592" s="1605"/>
      <c r="IU592" s="1605"/>
      <c r="IV592" s="1605"/>
      <c r="IW592" s="1605"/>
      <c r="IX592" s="1605"/>
      <c r="IY592" s="1605"/>
      <c r="IZ592" s="1605"/>
      <c r="JA592" s="1605"/>
      <c r="JB592" s="1605"/>
      <c r="JC592" s="1605"/>
      <c r="JD592" s="1605"/>
      <c r="JE592" s="1605"/>
      <c r="JF592" s="1605"/>
      <c r="JG592" s="1605"/>
      <c r="JH592" s="1605"/>
      <c r="JI592" s="1605"/>
      <c r="JJ592" s="1605"/>
      <c r="JK592" s="1605"/>
      <c r="JL592" s="1605"/>
      <c r="JM592" s="1605"/>
      <c r="JN592" s="1605"/>
      <c r="JO592" s="1605"/>
      <c r="JP592" s="1605"/>
      <c r="JQ592" s="1605"/>
      <c r="JR592" s="1605"/>
      <c r="JS592" s="1605"/>
      <c r="JT592" s="1605"/>
      <c r="JU592" s="1605"/>
      <c r="JV592" s="1605"/>
      <c r="JW592" s="1605"/>
      <c r="JX592" s="1605"/>
      <c r="JY592" s="1605"/>
      <c r="JZ592" s="1605"/>
      <c r="KA592" s="1605"/>
      <c r="KB592" s="1606"/>
    </row>
    <row r="593" spans="2:288" ht="15" customHeight="1" x14ac:dyDescent="0.25">
      <c r="B593" s="216" t="str">
        <f t="shared" ref="B593:B624" si="47">B179</f>
        <v>Desk 66</v>
      </c>
      <c r="C593" s="218" t="str">
        <v/>
      </c>
      <c r="D593" s="218" t="str">
        <v/>
      </c>
      <c r="E593" s="218" t="str">
        <v/>
      </c>
      <c r="F593" s="218" t="str">
        <v/>
      </c>
      <c r="G593" s="402" t="str">
        <v/>
      </c>
      <c r="H593" s="1605"/>
      <c r="I593" s="1605"/>
      <c r="J593" s="1605"/>
      <c r="K593" s="1605"/>
      <c r="L593" s="1605"/>
      <c r="M593" s="1605"/>
      <c r="N593" s="1605"/>
      <c r="O593" s="1605"/>
      <c r="P593" s="1605"/>
      <c r="Q593" s="1605"/>
      <c r="R593" s="1605"/>
      <c r="S593" s="1605"/>
      <c r="T593" s="1605"/>
      <c r="U593" s="1605"/>
      <c r="V593" s="1605"/>
      <c r="W593" s="1605"/>
      <c r="X593" s="1605"/>
      <c r="Y593" s="1605"/>
      <c r="Z593" s="1605"/>
      <c r="AA593" s="1605"/>
      <c r="AB593" s="1605"/>
      <c r="AC593" s="1605"/>
      <c r="AD593" s="1605"/>
      <c r="AE593" s="1605"/>
      <c r="AF593" s="1605"/>
      <c r="AG593" s="1605"/>
      <c r="AH593" s="1605"/>
      <c r="AI593" s="1605"/>
      <c r="AJ593" s="1605"/>
      <c r="AK593" s="1605"/>
      <c r="AL593" s="1605"/>
      <c r="AM593" s="1605"/>
      <c r="AN593" s="1605"/>
      <c r="AO593" s="1605"/>
      <c r="AP593" s="1605"/>
      <c r="AQ593" s="1605"/>
      <c r="AR593" s="1605"/>
      <c r="AS593" s="1605"/>
      <c r="AT593" s="1605"/>
      <c r="AU593" s="1605"/>
      <c r="AV593" s="1605"/>
      <c r="AW593" s="1605"/>
      <c r="AX593" s="1605"/>
      <c r="AY593" s="1605"/>
      <c r="AZ593" s="1605"/>
      <c r="BA593" s="1605"/>
      <c r="BB593" s="1605"/>
      <c r="BC593" s="1605"/>
      <c r="BD593" s="1605"/>
      <c r="BE593" s="1605"/>
      <c r="BF593" s="1605"/>
      <c r="BG593" s="1605"/>
      <c r="BH593" s="1605"/>
      <c r="BI593" s="1605"/>
      <c r="BJ593" s="1605"/>
      <c r="BK593" s="1605"/>
      <c r="BL593" s="1605"/>
      <c r="BM593" s="1605"/>
      <c r="BN593" s="1605"/>
      <c r="BO593" s="1605"/>
      <c r="BP593" s="1605"/>
      <c r="BQ593" s="1605"/>
      <c r="BR593" s="1605"/>
      <c r="BS593" s="1605"/>
      <c r="BT593" s="1605"/>
      <c r="BU593" s="1605"/>
      <c r="BV593" s="1605"/>
      <c r="BW593" s="1605"/>
      <c r="BX593" s="1605"/>
      <c r="BY593" s="1605"/>
      <c r="BZ593" s="1605"/>
      <c r="CA593" s="1605"/>
      <c r="CB593" s="1605"/>
      <c r="CC593" s="1605"/>
      <c r="CD593" s="1605"/>
      <c r="CE593" s="1605"/>
      <c r="CF593" s="1605"/>
      <c r="CG593" s="1605"/>
      <c r="CH593" s="1605"/>
      <c r="CI593" s="1605"/>
      <c r="CJ593" s="1605"/>
      <c r="CK593" s="1605"/>
      <c r="CL593" s="1605"/>
      <c r="CM593" s="1605"/>
      <c r="CN593" s="1605"/>
      <c r="CO593" s="1605"/>
      <c r="CP593" s="1605"/>
      <c r="CQ593" s="1605"/>
      <c r="CR593" s="1605"/>
      <c r="CS593" s="1605"/>
      <c r="CT593" s="1605"/>
      <c r="CU593" s="1605"/>
      <c r="CV593" s="1605"/>
      <c r="CW593" s="1605"/>
      <c r="CX593" s="1605"/>
      <c r="CY593" s="1605"/>
      <c r="CZ593" s="1605"/>
      <c r="DA593" s="1605"/>
      <c r="DB593" s="1605"/>
      <c r="DC593" s="1605"/>
      <c r="DD593" s="1605"/>
      <c r="DE593" s="1605"/>
      <c r="DF593" s="1605"/>
      <c r="DG593" s="1605"/>
      <c r="DH593" s="1605"/>
      <c r="DI593" s="1605"/>
      <c r="DJ593" s="1605"/>
      <c r="DK593" s="1605"/>
      <c r="DL593" s="1605"/>
      <c r="DM593" s="1605"/>
      <c r="DN593" s="1605"/>
      <c r="DO593" s="1605"/>
      <c r="DP593" s="1605"/>
      <c r="DQ593" s="1605"/>
      <c r="DR593" s="1605"/>
      <c r="DS593" s="1605"/>
      <c r="DT593" s="1605"/>
      <c r="DU593" s="1605"/>
      <c r="DV593" s="1605"/>
      <c r="DW593" s="1605"/>
      <c r="DX593" s="1605"/>
      <c r="DY593" s="1605"/>
      <c r="DZ593" s="1605"/>
      <c r="EA593" s="1605"/>
      <c r="EB593" s="1605"/>
      <c r="EC593" s="1605"/>
      <c r="ED593" s="1605"/>
      <c r="EE593" s="1605"/>
      <c r="EF593" s="1605"/>
      <c r="EG593" s="1605"/>
      <c r="EH593" s="1605"/>
      <c r="EI593" s="1605"/>
      <c r="EJ593" s="1605"/>
      <c r="EK593" s="1605"/>
      <c r="EL593" s="1605"/>
      <c r="EM593" s="1605"/>
      <c r="EN593" s="1605"/>
      <c r="EO593" s="1605"/>
      <c r="EP593" s="1605"/>
      <c r="EQ593" s="1605"/>
      <c r="ER593" s="1605"/>
      <c r="ES593" s="1605"/>
      <c r="ET593" s="1605"/>
      <c r="EU593" s="1605"/>
      <c r="EV593" s="1605"/>
      <c r="EW593" s="1605"/>
      <c r="EX593" s="1605"/>
      <c r="EY593" s="1605"/>
      <c r="EZ593" s="1605"/>
      <c r="FA593" s="1605"/>
      <c r="FB593" s="1605"/>
      <c r="FC593" s="1605"/>
      <c r="FD593" s="1605"/>
      <c r="FE593" s="1605"/>
      <c r="FF593" s="1605"/>
      <c r="FG593" s="1605"/>
      <c r="FH593" s="1605"/>
      <c r="FI593" s="1605"/>
      <c r="FJ593" s="1605"/>
      <c r="FK593" s="1605"/>
      <c r="FL593" s="1605"/>
      <c r="FM593" s="1605"/>
      <c r="FN593" s="1605"/>
      <c r="FO593" s="1605"/>
      <c r="FP593" s="1605"/>
      <c r="FQ593" s="1605"/>
      <c r="FR593" s="1605"/>
      <c r="FS593" s="1605"/>
      <c r="FT593" s="1605"/>
      <c r="FU593" s="1605"/>
      <c r="FV593" s="1605"/>
      <c r="FW593" s="1605"/>
      <c r="FX593" s="1605"/>
      <c r="FY593" s="1605"/>
      <c r="FZ593" s="1605"/>
      <c r="GA593" s="1605"/>
      <c r="GB593" s="1605"/>
      <c r="GC593" s="1605"/>
      <c r="GD593" s="1605"/>
      <c r="GE593" s="1605"/>
      <c r="GF593" s="1605"/>
      <c r="GG593" s="1605"/>
      <c r="GH593" s="1605"/>
      <c r="GI593" s="1605"/>
      <c r="GJ593" s="1605"/>
      <c r="GK593" s="1605"/>
      <c r="GL593" s="1605"/>
      <c r="GM593" s="1605"/>
      <c r="GN593" s="1605"/>
      <c r="GO593" s="1605"/>
      <c r="GP593" s="1605"/>
      <c r="GQ593" s="1605"/>
      <c r="GR593" s="1605"/>
      <c r="GS593" s="1605"/>
      <c r="GT593" s="1605"/>
      <c r="GU593" s="1605"/>
      <c r="GV593" s="1605"/>
      <c r="GW593" s="1605"/>
      <c r="GX593" s="1605"/>
      <c r="GY593" s="1605"/>
      <c r="GZ593" s="1605"/>
      <c r="HA593" s="1605"/>
      <c r="HB593" s="1605"/>
      <c r="HC593" s="1605"/>
      <c r="HD593" s="1605"/>
      <c r="HE593" s="1605"/>
      <c r="HF593" s="1605"/>
      <c r="HG593" s="1605"/>
      <c r="HH593" s="1605"/>
      <c r="HI593" s="1605"/>
      <c r="HJ593" s="1605"/>
      <c r="HK593" s="1605"/>
      <c r="HL593" s="1605"/>
      <c r="HM593" s="1605"/>
      <c r="HN593" s="1605"/>
      <c r="HO593" s="1605"/>
      <c r="HP593" s="1605"/>
      <c r="HQ593" s="1605"/>
      <c r="HR593" s="1605"/>
      <c r="HS593" s="1605"/>
      <c r="HT593" s="1605"/>
      <c r="HU593" s="1605"/>
      <c r="HV593" s="1605"/>
      <c r="HW593" s="1605"/>
      <c r="HX593" s="1605"/>
      <c r="HY593" s="1605"/>
      <c r="HZ593" s="1605"/>
      <c r="IA593" s="1605"/>
      <c r="IB593" s="1605"/>
      <c r="IC593" s="1605"/>
      <c r="ID593" s="1605"/>
      <c r="IE593" s="1605"/>
      <c r="IF593" s="1605"/>
      <c r="IG593" s="1605"/>
      <c r="IH593" s="1605"/>
      <c r="II593" s="1605"/>
      <c r="IJ593" s="1605"/>
      <c r="IK593" s="1605"/>
      <c r="IL593" s="1605"/>
      <c r="IM593" s="1605"/>
      <c r="IN593" s="1605"/>
      <c r="IO593" s="1605"/>
      <c r="IP593" s="1605"/>
      <c r="IQ593" s="1605"/>
      <c r="IR593" s="1605"/>
      <c r="IS593" s="1605"/>
      <c r="IT593" s="1605"/>
      <c r="IU593" s="1605"/>
      <c r="IV593" s="1605"/>
      <c r="IW593" s="1605"/>
      <c r="IX593" s="1605"/>
      <c r="IY593" s="1605"/>
      <c r="IZ593" s="1605"/>
      <c r="JA593" s="1605"/>
      <c r="JB593" s="1605"/>
      <c r="JC593" s="1605"/>
      <c r="JD593" s="1605"/>
      <c r="JE593" s="1605"/>
      <c r="JF593" s="1605"/>
      <c r="JG593" s="1605"/>
      <c r="JH593" s="1605"/>
      <c r="JI593" s="1605"/>
      <c r="JJ593" s="1605"/>
      <c r="JK593" s="1605"/>
      <c r="JL593" s="1605"/>
      <c r="JM593" s="1605"/>
      <c r="JN593" s="1605"/>
      <c r="JO593" s="1605"/>
      <c r="JP593" s="1605"/>
      <c r="JQ593" s="1605"/>
      <c r="JR593" s="1605"/>
      <c r="JS593" s="1605"/>
      <c r="JT593" s="1605"/>
      <c r="JU593" s="1605"/>
      <c r="JV593" s="1605"/>
      <c r="JW593" s="1605"/>
      <c r="JX593" s="1605"/>
      <c r="JY593" s="1605"/>
      <c r="JZ593" s="1605"/>
      <c r="KA593" s="1605"/>
      <c r="KB593" s="1606"/>
    </row>
    <row r="594" spans="2:288" ht="15" customHeight="1" x14ac:dyDescent="0.25">
      <c r="B594" s="216" t="str">
        <f t="shared" si="47"/>
        <v>Desk 67</v>
      </c>
      <c r="C594" s="218" t="str">
        <v/>
      </c>
      <c r="D594" s="218" t="str">
        <v/>
      </c>
      <c r="E594" s="218" t="str">
        <v/>
      </c>
      <c r="F594" s="218" t="str">
        <v/>
      </c>
      <c r="G594" s="402" t="str">
        <v/>
      </c>
      <c r="H594" s="1605"/>
      <c r="I594" s="1605"/>
      <c r="J594" s="1605"/>
      <c r="K594" s="1605"/>
      <c r="L594" s="1605"/>
      <c r="M594" s="1605"/>
      <c r="N594" s="1605"/>
      <c r="O594" s="1605"/>
      <c r="P594" s="1605"/>
      <c r="Q594" s="1605"/>
      <c r="R594" s="1605"/>
      <c r="S594" s="1605"/>
      <c r="T594" s="1605"/>
      <c r="U594" s="1605"/>
      <c r="V594" s="1605"/>
      <c r="W594" s="1605"/>
      <c r="X594" s="1605"/>
      <c r="Y594" s="1605"/>
      <c r="Z594" s="1605"/>
      <c r="AA594" s="1605"/>
      <c r="AB594" s="1605"/>
      <c r="AC594" s="1605"/>
      <c r="AD594" s="1605"/>
      <c r="AE594" s="1605"/>
      <c r="AF594" s="1605"/>
      <c r="AG594" s="1605"/>
      <c r="AH594" s="1605"/>
      <c r="AI594" s="1605"/>
      <c r="AJ594" s="1605"/>
      <c r="AK594" s="1605"/>
      <c r="AL594" s="1605"/>
      <c r="AM594" s="1605"/>
      <c r="AN594" s="1605"/>
      <c r="AO594" s="1605"/>
      <c r="AP594" s="1605"/>
      <c r="AQ594" s="1605"/>
      <c r="AR594" s="1605"/>
      <c r="AS594" s="1605"/>
      <c r="AT594" s="1605"/>
      <c r="AU594" s="1605"/>
      <c r="AV594" s="1605"/>
      <c r="AW594" s="1605"/>
      <c r="AX594" s="1605"/>
      <c r="AY594" s="1605"/>
      <c r="AZ594" s="1605"/>
      <c r="BA594" s="1605"/>
      <c r="BB594" s="1605"/>
      <c r="BC594" s="1605"/>
      <c r="BD594" s="1605"/>
      <c r="BE594" s="1605"/>
      <c r="BF594" s="1605"/>
      <c r="BG594" s="1605"/>
      <c r="BH594" s="1605"/>
      <c r="BI594" s="1605"/>
      <c r="BJ594" s="1605"/>
      <c r="BK594" s="1605"/>
      <c r="BL594" s="1605"/>
      <c r="BM594" s="1605"/>
      <c r="BN594" s="1605"/>
      <c r="BO594" s="1605"/>
      <c r="BP594" s="1605"/>
      <c r="BQ594" s="1605"/>
      <c r="BR594" s="1605"/>
      <c r="BS594" s="1605"/>
      <c r="BT594" s="1605"/>
      <c r="BU594" s="1605"/>
      <c r="BV594" s="1605"/>
      <c r="BW594" s="1605"/>
      <c r="BX594" s="1605"/>
      <c r="BY594" s="1605"/>
      <c r="BZ594" s="1605"/>
      <c r="CA594" s="1605"/>
      <c r="CB594" s="1605"/>
      <c r="CC594" s="1605"/>
      <c r="CD594" s="1605"/>
      <c r="CE594" s="1605"/>
      <c r="CF594" s="1605"/>
      <c r="CG594" s="1605"/>
      <c r="CH594" s="1605"/>
      <c r="CI594" s="1605"/>
      <c r="CJ594" s="1605"/>
      <c r="CK594" s="1605"/>
      <c r="CL594" s="1605"/>
      <c r="CM594" s="1605"/>
      <c r="CN594" s="1605"/>
      <c r="CO594" s="1605"/>
      <c r="CP594" s="1605"/>
      <c r="CQ594" s="1605"/>
      <c r="CR594" s="1605"/>
      <c r="CS594" s="1605"/>
      <c r="CT594" s="1605"/>
      <c r="CU594" s="1605"/>
      <c r="CV594" s="1605"/>
      <c r="CW594" s="1605"/>
      <c r="CX594" s="1605"/>
      <c r="CY594" s="1605"/>
      <c r="CZ594" s="1605"/>
      <c r="DA594" s="1605"/>
      <c r="DB594" s="1605"/>
      <c r="DC594" s="1605"/>
      <c r="DD594" s="1605"/>
      <c r="DE594" s="1605"/>
      <c r="DF594" s="1605"/>
      <c r="DG594" s="1605"/>
      <c r="DH594" s="1605"/>
      <c r="DI594" s="1605"/>
      <c r="DJ594" s="1605"/>
      <c r="DK594" s="1605"/>
      <c r="DL594" s="1605"/>
      <c r="DM594" s="1605"/>
      <c r="DN594" s="1605"/>
      <c r="DO594" s="1605"/>
      <c r="DP594" s="1605"/>
      <c r="DQ594" s="1605"/>
      <c r="DR594" s="1605"/>
      <c r="DS594" s="1605"/>
      <c r="DT594" s="1605"/>
      <c r="DU594" s="1605"/>
      <c r="DV594" s="1605"/>
      <c r="DW594" s="1605"/>
      <c r="DX594" s="1605"/>
      <c r="DY594" s="1605"/>
      <c r="DZ594" s="1605"/>
      <c r="EA594" s="1605"/>
      <c r="EB594" s="1605"/>
      <c r="EC594" s="1605"/>
      <c r="ED594" s="1605"/>
      <c r="EE594" s="1605"/>
      <c r="EF594" s="1605"/>
      <c r="EG594" s="1605"/>
      <c r="EH594" s="1605"/>
      <c r="EI594" s="1605"/>
      <c r="EJ594" s="1605"/>
      <c r="EK594" s="1605"/>
      <c r="EL594" s="1605"/>
      <c r="EM594" s="1605"/>
      <c r="EN594" s="1605"/>
      <c r="EO594" s="1605"/>
      <c r="EP594" s="1605"/>
      <c r="EQ594" s="1605"/>
      <c r="ER594" s="1605"/>
      <c r="ES594" s="1605"/>
      <c r="ET594" s="1605"/>
      <c r="EU594" s="1605"/>
      <c r="EV594" s="1605"/>
      <c r="EW594" s="1605"/>
      <c r="EX594" s="1605"/>
      <c r="EY594" s="1605"/>
      <c r="EZ594" s="1605"/>
      <c r="FA594" s="1605"/>
      <c r="FB594" s="1605"/>
      <c r="FC594" s="1605"/>
      <c r="FD594" s="1605"/>
      <c r="FE594" s="1605"/>
      <c r="FF594" s="1605"/>
      <c r="FG594" s="1605"/>
      <c r="FH594" s="1605"/>
      <c r="FI594" s="1605"/>
      <c r="FJ594" s="1605"/>
      <c r="FK594" s="1605"/>
      <c r="FL594" s="1605"/>
      <c r="FM594" s="1605"/>
      <c r="FN594" s="1605"/>
      <c r="FO594" s="1605"/>
      <c r="FP594" s="1605"/>
      <c r="FQ594" s="1605"/>
      <c r="FR594" s="1605"/>
      <c r="FS594" s="1605"/>
      <c r="FT594" s="1605"/>
      <c r="FU594" s="1605"/>
      <c r="FV594" s="1605"/>
      <c r="FW594" s="1605"/>
      <c r="FX594" s="1605"/>
      <c r="FY594" s="1605"/>
      <c r="FZ594" s="1605"/>
      <c r="GA594" s="1605"/>
      <c r="GB594" s="1605"/>
      <c r="GC594" s="1605"/>
      <c r="GD594" s="1605"/>
      <c r="GE594" s="1605"/>
      <c r="GF594" s="1605"/>
      <c r="GG594" s="1605"/>
      <c r="GH594" s="1605"/>
      <c r="GI594" s="1605"/>
      <c r="GJ594" s="1605"/>
      <c r="GK594" s="1605"/>
      <c r="GL594" s="1605"/>
      <c r="GM594" s="1605"/>
      <c r="GN594" s="1605"/>
      <c r="GO594" s="1605"/>
      <c r="GP594" s="1605"/>
      <c r="GQ594" s="1605"/>
      <c r="GR594" s="1605"/>
      <c r="GS594" s="1605"/>
      <c r="GT594" s="1605"/>
      <c r="GU594" s="1605"/>
      <c r="GV594" s="1605"/>
      <c r="GW594" s="1605"/>
      <c r="GX594" s="1605"/>
      <c r="GY594" s="1605"/>
      <c r="GZ594" s="1605"/>
      <c r="HA594" s="1605"/>
      <c r="HB594" s="1605"/>
      <c r="HC594" s="1605"/>
      <c r="HD594" s="1605"/>
      <c r="HE594" s="1605"/>
      <c r="HF594" s="1605"/>
      <c r="HG594" s="1605"/>
      <c r="HH594" s="1605"/>
      <c r="HI594" s="1605"/>
      <c r="HJ594" s="1605"/>
      <c r="HK594" s="1605"/>
      <c r="HL594" s="1605"/>
      <c r="HM594" s="1605"/>
      <c r="HN594" s="1605"/>
      <c r="HO594" s="1605"/>
      <c r="HP594" s="1605"/>
      <c r="HQ594" s="1605"/>
      <c r="HR594" s="1605"/>
      <c r="HS594" s="1605"/>
      <c r="HT594" s="1605"/>
      <c r="HU594" s="1605"/>
      <c r="HV594" s="1605"/>
      <c r="HW594" s="1605"/>
      <c r="HX594" s="1605"/>
      <c r="HY594" s="1605"/>
      <c r="HZ594" s="1605"/>
      <c r="IA594" s="1605"/>
      <c r="IB594" s="1605"/>
      <c r="IC594" s="1605"/>
      <c r="ID594" s="1605"/>
      <c r="IE594" s="1605"/>
      <c r="IF594" s="1605"/>
      <c r="IG594" s="1605"/>
      <c r="IH594" s="1605"/>
      <c r="II594" s="1605"/>
      <c r="IJ594" s="1605"/>
      <c r="IK594" s="1605"/>
      <c r="IL594" s="1605"/>
      <c r="IM594" s="1605"/>
      <c r="IN594" s="1605"/>
      <c r="IO594" s="1605"/>
      <c r="IP594" s="1605"/>
      <c r="IQ594" s="1605"/>
      <c r="IR594" s="1605"/>
      <c r="IS594" s="1605"/>
      <c r="IT594" s="1605"/>
      <c r="IU594" s="1605"/>
      <c r="IV594" s="1605"/>
      <c r="IW594" s="1605"/>
      <c r="IX594" s="1605"/>
      <c r="IY594" s="1605"/>
      <c r="IZ594" s="1605"/>
      <c r="JA594" s="1605"/>
      <c r="JB594" s="1605"/>
      <c r="JC594" s="1605"/>
      <c r="JD594" s="1605"/>
      <c r="JE594" s="1605"/>
      <c r="JF594" s="1605"/>
      <c r="JG594" s="1605"/>
      <c r="JH594" s="1605"/>
      <c r="JI594" s="1605"/>
      <c r="JJ594" s="1605"/>
      <c r="JK594" s="1605"/>
      <c r="JL594" s="1605"/>
      <c r="JM594" s="1605"/>
      <c r="JN594" s="1605"/>
      <c r="JO594" s="1605"/>
      <c r="JP594" s="1605"/>
      <c r="JQ594" s="1605"/>
      <c r="JR594" s="1605"/>
      <c r="JS594" s="1605"/>
      <c r="JT594" s="1605"/>
      <c r="JU594" s="1605"/>
      <c r="JV594" s="1605"/>
      <c r="JW594" s="1605"/>
      <c r="JX594" s="1605"/>
      <c r="JY594" s="1605"/>
      <c r="JZ594" s="1605"/>
      <c r="KA594" s="1605"/>
      <c r="KB594" s="1606"/>
    </row>
    <row r="595" spans="2:288" ht="15" customHeight="1" x14ac:dyDescent="0.25">
      <c r="B595" s="216" t="str">
        <f t="shared" si="47"/>
        <v>Desk 68</v>
      </c>
      <c r="C595" s="218" t="str">
        <v/>
      </c>
      <c r="D595" s="218" t="str">
        <v/>
      </c>
      <c r="E595" s="218" t="str">
        <v/>
      </c>
      <c r="F595" s="218" t="str">
        <v/>
      </c>
      <c r="G595" s="402" t="str">
        <v/>
      </c>
      <c r="H595" s="1605"/>
      <c r="I595" s="1605"/>
      <c r="J595" s="1605"/>
      <c r="K595" s="1605"/>
      <c r="L595" s="1605"/>
      <c r="M595" s="1605"/>
      <c r="N595" s="1605"/>
      <c r="O595" s="1605"/>
      <c r="P595" s="1605"/>
      <c r="Q595" s="1605"/>
      <c r="R595" s="1605"/>
      <c r="S595" s="1605"/>
      <c r="T595" s="1605"/>
      <c r="U595" s="1605"/>
      <c r="V595" s="1605"/>
      <c r="W595" s="1605"/>
      <c r="X595" s="1605"/>
      <c r="Y595" s="1605"/>
      <c r="Z595" s="1605"/>
      <c r="AA595" s="1605"/>
      <c r="AB595" s="1605"/>
      <c r="AC595" s="1605"/>
      <c r="AD595" s="1605"/>
      <c r="AE595" s="1605"/>
      <c r="AF595" s="1605"/>
      <c r="AG595" s="1605"/>
      <c r="AH595" s="1605"/>
      <c r="AI595" s="1605"/>
      <c r="AJ595" s="1605"/>
      <c r="AK595" s="1605"/>
      <c r="AL595" s="1605"/>
      <c r="AM595" s="1605"/>
      <c r="AN595" s="1605"/>
      <c r="AO595" s="1605"/>
      <c r="AP595" s="1605"/>
      <c r="AQ595" s="1605"/>
      <c r="AR595" s="1605"/>
      <c r="AS595" s="1605"/>
      <c r="AT595" s="1605"/>
      <c r="AU595" s="1605"/>
      <c r="AV595" s="1605"/>
      <c r="AW595" s="1605"/>
      <c r="AX595" s="1605"/>
      <c r="AY595" s="1605"/>
      <c r="AZ595" s="1605"/>
      <c r="BA595" s="1605"/>
      <c r="BB595" s="1605"/>
      <c r="BC595" s="1605"/>
      <c r="BD595" s="1605"/>
      <c r="BE595" s="1605"/>
      <c r="BF595" s="1605"/>
      <c r="BG595" s="1605"/>
      <c r="BH595" s="1605"/>
      <c r="BI595" s="1605"/>
      <c r="BJ595" s="1605"/>
      <c r="BK595" s="1605"/>
      <c r="BL595" s="1605"/>
      <c r="BM595" s="1605"/>
      <c r="BN595" s="1605"/>
      <c r="BO595" s="1605"/>
      <c r="BP595" s="1605"/>
      <c r="BQ595" s="1605"/>
      <c r="BR595" s="1605"/>
      <c r="BS595" s="1605"/>
      <c r="BT595" s="1605"/>
      <c r="BU595" s="1605"/>
      <c r="BV595" s="1605"/>
      <c r="BW595" s="1605"/>
      <c r="BX595" s="1605"/>
      <c r="BY595" s="1605"/>
      <c r="BZ595" s="1605"/>
      <c r="CA595" s="1605"/>
      <c r="CB595" s="1605"/>
      <c r="CC595" s="1605"/>
      <c r="CD595" s="1605"/>
      <c r="CE595" s="1605"/>
      <c r="CF595" s="1605"/>
      <c r="CG595" s="1605"/>
      <c r="CH595" s="1605"/>
      <c r="CI595" s="1605"/>
      <c r="CJ595" s="1605"/>
      <c r="CK595" s="1605"/>
      <c r="CL595" s="1605"/>
      <c r="CM595" s="1605"/>
      <c r="CN595" s="1605"/>
      <c r="CO595" s="1605"/>
      <c r="CP595" s="1605"/>
      <c r="CQ595" s="1605"/>
      <c r="CR595" s="1605"/>
      <c r="CS595" s="1605"/>
      <c r="CT595" s="1605"/>
      <c r="CU595" s="1605"/>
      <c r="CV595" s="1605"/>
      <c r="CW595" s="1605"/>
      <c r="CX595" s="1605"/>
      <c r="CY595" s="1605"/>
      <c r="CZ595" s="1605"/>
      <c r="DA595" s="1605"/>
      <c r="DB595" s="1605"/>
      <c r="DC595" s="1605"/>
      <c r="DD595" s="1605"/>
      <c r="DE595" s="1605"/>
      <c r="DF595" s="1605"/>
      <c r="DG595" s="1605"/>
      <c r="DH595" s="1605"/>
      <c r="DI595" s="1605"/>
      <c r="DJ595" s="1605"/>
      <c r="DK595" s="1605"/>
      <c r="DL595" s="1605"/>
      <c r="DM595" s="1605"/>
      <c r="DN595" s="1605"/>
      <c r="DO595" s="1605"/>
      <c r="DP595" s="1605"/>
      <c r="DQ595" s="1605"/>
      <c r="DR595" s="1605"/>
      <c r="DS595" s="1605"/>
      <c r="DT595" s="1605"/>
      <c r="DU595" s="1605"/>
      <c r="DV595" s="1605"/>
      <c r="DW595" s="1605"/>
      <c r="DX595" s="1605"/>
      <c r="DY595" s="1605"/>
      <c r="DZ595" s="1605"/>
      <c r="EA595" s="1605"/>
      <c r="EB595" s="1605"/>
      <c r="EC595" s="1605"/>
      <c r="ED595" s="1605"/>
      <c r="EE595" s="1605"/>
      <c r="EF595" s="1605"/>
      <c r="EG595" s="1605"/>
      <c r="EH595" s="1605"/>
      <c r="EI595" s="1605"/>
      <c r="EJ595" s="1605"/>
      <c r="EK595" s="1605"/>
      <c r="EL595" s="1605"/>
      <c r="EM595" s="1605"/>
      <c r="EN595" s="1605"/>
      <c r="EO595" s="1605"/>
      <c r="EP595" s="1605"/>
      <c r="EQ595" s="1605"/>
      <c r="ER595" s="1605"/>
      <c r="ES595" s="1605"/>
      <c r="ET595" s="1605"/>
      <c r="EU595" s="1605"/>
      <c r="EV595" s="1605"/>
      <c r="EW595" s="1605"/>
      <c r="EX595" s="1605"/>
      <c r="EY595" s="1605"/>
      <c r="EZ595" s="1605"/>
      <c r="FA595" s="1605"/>
      <c r="FB595" s="1605"/>
      <c r="FC595" s="1605"/>
      <c r="FD595" s="1605"/>
      <c r="FE595" s="1605"/>
      <c r="FF595" s="1605"/>
      <c r="FG595" s="1605"/>
      <c r="FH595" s="1605"/>
      <c r="FI595" s="1605"/>
      <c r="FJ595" s="1605"/>
      <c r="FK595" s="1605"/>
      <c r="FL595" s="1605"/>
      <c r="FM595" s="1605"/>
      <c r="FN595" s="1605"/>
      <c r="FO595" s="1605"/>
      <c r="FP595" s="1605"/>
      <c r="FQ595" s="1605"/>
      <c r="FR595" s="1605"/>
      <c r="FS595" s="1605"/>
      <c r="FT595" s="1605"/>
      <c r="FU595" s="1605"/>
      <c r="FV595" s="1605"/>
      <c r="FW595" s="1605"/>
      <c r="FX595" s="1605"/>
      <c r="FY595" s="1605"/>
      <c r="FZ595" s="1605"/>
      <c r="GA595" s="1605"/>
      <c r="GB595" s="1605"/>
      <c r="GC595" s="1605"/>
      <c r="GD595" s="1605"/>
      <c r="GE595" s="1605"/>
      <c r="GF595" s="1605"/>
      <c r="GG595" s="1605"/>
      <c r="GH595" s="1605"/>
      <c r="GI595" s="1605"/>
      <c r="GJ595" s="1605"/>
      <c r="GK595" s="1605"/>
      <c r="GL595" s="1605"/>
      <c r="GM595" s="1605"/>
      <c r="GN595" s="1605"/>
      <c r="GO595" s="1605"/>
      <c r="GP595" s="1605"/>
      <c r="GQ595" s="1605"/>
      <c r="GR595" s="1605"/>
      <c r="GS595" s="1605"/>
      <c r="GT595" s="1605"/>
      <c r="GU595" s="1605"/>
      <c r="GV595" s="1605"/>
      <c r="GW595" s="1605"/>
      <c r="GX595" s="1605"/>
      <c r="GY595" s="1605"/>
      <c r="GZ595" s="1605"/>
      <c r="HA595" s="1605"/>
      <c r="HB595" s="1605"/>
      <c r="HC595" s="1605"/>
      <c r="HD595" s="1605"/>
      <c r="HE595" s="1605"/>
      <c r="HF595" s="1605"/>
      <c r="HG595" s="1605"/>
      <c r="HH595" s="1605"/>
      <c r="HI595" s="1605"/>
      <c r="HJ595" s="1605"/>
      <c r="HK595" s="1605"/>
      <c r="HL595" s="1605"/>
      <c r="HM595" s="1605"/>
      <c r="HN595" s="1605"/>
      <c r="HO595" s="1605"/>
      <c r="HP595" s="1605"/>
      <c r="HQ595" s="1605"/>
      <c r="HR595" s="1605"/>
      <c r="HS595" s="1605"/>
      <c r="HT595" s="1605"/>
      <c r="HU595" s="1605"/>
      <c r="HV595" s="1605"/>
      <c r="HW595" s="1605"/>
      <c r="HX595" s="1605"/>
      <c r="HY595" s="1605"/>
      <c r="HZ595" s="1605"/>
      <c r="IA595" s="1605"/>
      <c r="IB595" s="1605"/>
      <c r="IC595" s="1605"/>
      <c r="ID595" s="1605"/>
      <c r="IE595" s="1605"/>
      <c r="IF595" s="1605"/>
      <c r="IG595" s="1605"/>
      <c r="IH595" s="1605"/>
      <c r="II595" s="1605"/>
      <c r="IJ595" s="1605"/>
      <c r="IK595" s="1605"/>
      <c r="IL595" s="1605"/>
      <c r="IM595" s="1605"/>
      <c r="IN595" s="1605"/>
      <c r="IO595" s="1605"/>
      <c r="IP595" s="1605"/>
      <c r="IQ595" s="1605"/>
      <c r="IR595" s="1605"/>
      <c r="IS595" s="1605"/>
      <c r="IT595" s="1605"/>
      <c r="IU595" s="1605"/>
      <c r="IV595" s="1605"/>
      <c r="IW595" s="1605"/>
      <c r="IX595" s="1605"/>
      <c r="IY595" s="1605"/>
      <c r="IZ595" s="1605"/>
      <c r="JA595" s="1605"/>
      <c r="JB595" s="1605"/>
      <c r="JC595" s="1605"/>
      <c r="JD595" s="1605"/>
      <c r="JE595" s="1605"/>
      <c r="JF595" s="1605"/>
      <c r="JG595" s="1605"/>
      <c r="JH595" s="1605"/>
      <c r="JI595" s="1605"/>
      <c r="JJ595" s="1605"/>
      <c r="JK595" s="1605"/>
      <c r="JL595" s="1605"/>
      <c r="JM595" s="1605"/>
      <c r="JN595" s="1605"/>
      <c r="JO595" s="1605"/>
      <c r="JP595" s="1605"/>
      <c r="JQ595" s="1605"/>
      <c r="JR595" s="1605"/>
      <c r="JS595" s="1605"/>
      <c r="JT595" s="1605"/>
      <c r="JU595" s="1605"/>
      <c r="JV595" s="1605"/>
      <c r="JW595" s="1605"/>
      <c r="JX595" s="1605"/>
      <c r="JY595" s="1605"/>
      <c r="JZ595" s="1605"/>
      <c r="KA595" s="1605"/>
      <c r="KB595" s="1606"/>
    </row>
    <row r="596" spans="2:288" ht="15" customHeight="1" x14ac:dyDescent="0.25">
      <c r="B596" s="216" t="str">
        <f t="shared" si="47"/>
        <v>Desk 69</v>
      </c>
      <c r="C596" s="218" t="str">
        <v/>
      </c>
      <c r="D596" s="218" t="str">
        <v/>
      </c>
      <c r="E596" s="218" t="str">
        <v/>
      </c>
      <c r="F596" s="218" t="str">
        <v/>
      </c>
      <c r="G596" s="402" t="str">
        <v/>
      </c>
      <c r="H596" s="1605"/>
      <c r="I596" s="1605"/>
      <c r="J596" s="1605"/>
      <c r="K596" s="1605"/>
      <c r="L596" s="1605"/>
      <c r="M596" s="1605"/>
      <c r="N596" s="1605"/>
      <c r="O596" s="1605"/>
      <c r="P596" s="1605"/>
      <c r="Q596" s="1605"/>
      <c r="R596" s="1605"/>
      <c r="S596" s="1605"/>
      <c r="T596" s="1605"/>
      <c r="U596" s="1605"/>
      <c r="V596" s="1605"/>
      <c r="W596" s="1605"/>
      <c r="X596" s="1605"/>
      <c r="Y596" s="1605"/>
      <c r="Z596" s="1605"/>
      <c r="AA596" s="1605"/>
      <c r="AB596" s="1605"/>
      <c r="AC596" s="1605"/>
      <c r="AD596" s="1605"/>
      <c r="AE596" s="1605"/>
      <c r="AF596" s="1605"/>
      <c r="AG596" s="1605"/>
      <c r="AH596" s="1605"/>
      <c r="AI596" s="1605"/>
      <c r="AJ596" s="1605"/>
      <c r="AK596" s="1605"/>
      <c r="AL596" s="1605"/>
      <c r="AM596" s="1605"/>
      <c r="AN596" s="1605"/>
      <c r="AO596" s="1605"/>
      <c r="AP596" s="1605"/>
      <c r="AQ596" s="1605"/>
      <c r="AR596" s="1605"/>
      <c r="AS596" s="1605"/>
      <c r="AT596" s="1605"/>
      <c r="AU596" s="1605"/>
      <c r="AV596" s="1605"/>
      <c r="AW596" s="1605"/>
      <c r="AX596" s="1605"/>
      <c r="AY596" s="1605"/>
      <c r="AZ596" s="1605"/>
      <c r="BA596" s="1605"/>
      <c r="BB596" s="1605"/>
      <c r="BC596" s="1605"/>
      <c r="BD596" s="1605"/>
      <c r="BE596" s="1605"/>
      <c r="BF596" s="1605"/>
      <c r="BG596" s="1605"/>
      <c r="BH596" s="1605"/>
      <c r="BI596" s="1605"/>
      <c r="BJ596" s="1605"/>
      <c r="BK596" s="1605"/>
      <c r="BL596" s="1605"/>
      <c r="BM596" s="1605"/>
      <c r="BN596" s="1605"/>
      <c r="BO596" s="1605"/>
      <c r="BP596" s="1605"/>
      <c r="BQ596" s="1605"/>
      <c r="BR596" s="1605"/>
      <c r="BS596" s="1605"/>
      <c r="BT596" s="1605"/>
      <c r="BU596" s="1605"/>
      <c r="BV596" s="1605"/>
      <c r="BW596" s="1605"/>
      <c r="BX596" s="1605"/>
      <c r="BY596" s="1605"/>
      <c r="BZ596" s="1605"/>
      <c r="CA596" s="1605"/>
      <c r="CB596" s="1605"/>
      <c r="CC596" s="1605"/>
      <c r="CD596" s="1605"/>
      <c r="CE596" s="1605"/>
      <c r="CF596" s="1605"/>
      <c r="CG596" s="1605"/>
      <c r="CH596" s="1605"/>
      <c r="CI596" s="1605"/>
      <c r="CJ596" s="1605"/>
      <c r="CK596" s="1605"/>
      <c r="CL596" s="1605"/>
      <c r="CM596" s="1605"/>
      <c r="CN596" s="1605"/>
      <c r="CO596" s="1605"/>
      <c r="CP596" s="1605"/>
      <c r="CQ596" s="1605"/>
      <c r="CR596" s="1605"/>
      <c r="CS596" s="1605"/>
      <c r="CT596" s="1605"/>
      <c r="CU596" s="1605"/>
      <c r="CV596" s="1605"/>
      <c r="CW596" s="1605"/>
      <c r="CX596" s="1605"/>
      <c r="CY596" s="1605"/>
      <c r="CZ596" s="1605"/>
      <c r="DA596" s="1605"/>
      <c r="DB596" s="1605"/>
      <c r="DC596" s="1605"/>
      <c r="DD596" s="1605"/>
      <c r="DE596" s="1605"/>
      <c r="DF596" s="1605"/>
      <c r="DG596" s="1605"/>
      <c r="DH596" s="1605"/>
      <c r="DI596" s="1605"/>
      <c r="DJ596" s="1605"/>
      <c r="DK596" s="1605"/>
      <c r="DL596" s="1605"/>
      <c r="DM596" s="1605"/>
      <c r="DN596" s="1605"/>
      <c r="DO596" s="1605"/>
      <c r="DP596" s="1605"/>
      <c r="DQ596" s="1605"/>
      <c r="DR596" s="1605"/>
      <c r="DS596" s="1605"/>
      <c r="DT596" s="1605"/>
      <c r="DU596" s="1605"/>
      <c r="DV596" s="1605"/>
      <c r="DW596" s="1605"/>
      <c r="DX596" s="1605"/>
      <c r="DY596" s="1605"/>
      <c r="DZ596" s="1605"/>
      <c r="EA596" s="1605"/>
      <c r="EB596" s="1605"/>
      <c r="EC596" s="1605"/>
      <c r="ED596" s="1605"/>
      <c r="EE596" s="1605"/>
      <c r="EF596" s="1605"/>
      <c r="EG596" s="1605"/>
      <c r="EH596" s="1605"/>
      <c r="EI596" s="1605"/>
      <c r="EJ596" s="1605"/>
      <c r="EK596" s="1605"/>
      <c r="EL596" s="1605"/>
      <c r="EM596" s="1605"/>
      <c r="EN596" s="1605"/>
      <c r="EO596" s="1605"/>
      <c r="EP596" s="1605"/>
      <c r="EQ596" s="1605"/>
      <c r="ER596" s="1605"/>
      <c r="ES596" s="1605"/>
      <c r="ET596" s="1605"/>
      <c r="EU596" s="1605"/>
      <c r="EV596" s="1605"/>
      <c r="EW596" s="1605"/>
      <c r="EX596" s="1605"/>
      <c r="EY596" s="1605"/>
      <c r="EZ596" s="1605"/>
      <c r="FA596" s="1605"/>
      <c r="FB596" s="1605"/>
      <c r="FC596" s="1605"/>
      <c r="FD596" s="1605"/>
      <c r="FE596" s="1605"/>
      <c r="FF596" s="1605"/>
      <c r="FG596" s="1605"/>
      <c r="FH596" s="1605"/>
      <c r="FI596" s="1605"/>
      <c r="FJ596" s="1605"/>
      <c r="FK596" s="1605"/>
      <c r="FL596" s="1605"/>
      <c r="FM596" s="1605"/>
      <c r="FN596" s="1605"/>
      <c r="FO596" s="1605"/>
      <c r="FP596" s="1605"/>
      <c r="FQ596" s="1605"/>
      <c r="FR596" s="1605"/>
      <c r="FS596" s="1605"/>
      <c r="FT596" s="1605"/>
      <c r="FU596" s="1605"/>
      <c r="FV596" s="1605"/>
      <c r="FW596" s="1605"/>
      <c r="FX596" s="1605"/>
      <c r="FY596" s="1605"/>
      <c r="FZ596" s="1605"/>
      <c r="GA596" s="1605"/>
      <c r="GB596" s="1605"/>
      <c r="GC596" s="1605"/>
      <c r="GD596" s="1605"/>
      <c r="GE596" s="1605"/>
      <c r="GF596" s="1605"/>
      <c r="GG596" s="1605"/>
      <c r="GH596" s="1605"/>
      <c r="GI596" s="1605"/>
      <c r="GJ596" s="1605"/>
      <c r="GK596" s="1605"/>
      <c r="GL596" s="1605"/>
      <c r="GM596" s="1605"/>
      <c r="GN596" s="1605"/>
      <c r="GO596" s="1605"/>
      <c r="GP596" s="1605"/>
      <c r="GQ596" s="1605"/>
      <c r="GR596" s="1605"/>
      <c r="GS596" s="1605"/>
      <c r="GT596" s="1605"/>
      <c r="GU596" s="1605"/>
      <c r="GV596" s="1605"/>
      <c r="GW596" s="1605"/>
      <c r="GX596" s="1605"/>
      <c r="GY596" s="1605"/>
      <c r="GZ596" s="1605"/>
      <c r="HA596" s="1605"/>
      <c r="HB596" s="1605"/>
      <c r="HC596" s="1605"/>
      <c r="HD596" s="1605"/>
      <c r="HE596" s="1605"/>
      <c r="HF596" s="1605"/>
      <c r="HG596" s="1605"/>
      <c r="HH596" s="1605"/>
      <c r="HI596" s="1605"/>
      <c r="HJ596" s="1605"/>
      <c r="HK596" s="1605"/>
      <c r="HL596" s="1605"/>
      <c r="HM596" s="1605"/>
      <c r="HN596" s="1605"/>
      <c r="HO596" s="1605"/>
      <c r="HP596" s="1605"/>
      <c r="HQ596" s="1605"/>
      <c r="HR596" s="1605"/>
      <c r="HS596" s="1605"/>
      <c r="HT596" s="1605"/>
      <c r="HU596" s="1605"/>
      <c r="HV596" s="1605"/>
      <c r="HW596" s="1605"/>
      <c r="HX596" s="1605"/>
      <c r="HY596" s="1605"/>
      <c r="HZ596" s="1605"/>
      <c r="IA596" s="1605"/>
      <c r="IB596" s="1605"/>
      <c r="IC596" s="1605"/>
      <c r="ID596" s="1605"/>
      <c r="IE596" s="1605"/>
      <c r="IF596" s="1605"/>
      <c r="IG596" s="1605"/>
      <c r="IH596" s="1605"/>
      <c r="II596" s="1605"/>
      <c r="IJ596" s="1605"/>
      <c r="IK596" s="1605"/>
      <c r="IL596" s="1605"/>
      <c r="IM596" s="1605"/>
      <c r="IN596" s="1605"/>
      <c r="IO596" s="1605"/>
      <c r="IP596" s="1605"/>
      <c r="IQ596" s="1605"/>
      <c r="IR596" s="1605"/>
      <c r="IS596" s="1605"/>
      <c r="IT596" s="1605"/>
      <c r="IU596" s="1605"/>
      <c r="IV596" s="1605"/>
      <c r="IW596" s="1605"/>
      <c r="IX596" s="1605"/>
      <c r="IY596" s="1605"/>
      <c r="IZ596" s="1605"/>
      <c r="JA596" s="1605"/>
      <c r="JB596" s="1605"/>
      <c r="JC596" s="1605"/>
      <c r="JD596" s="1605"/>
      <c r="JE596" s="1605"/>
      <c r="JF596" s="1605"/>
      <c r="JG596" s="1605"/>
      <c r="JH596" s="1605"/>
      <c r="JI596" s="1605"/>
      <c r="JJ596" s="1605"/>
      <c r="JK596" s="1605"/>
      <c r="JL596" s="1605"/>
      <c r="JM596" s="1605"/>
      <c r="JN596" s="1605"/>
      <c r="JO596" s="1605"/>
      <c r="JP596" s="1605"/>
      <c r="JQ596" s="1605"/>
      <c r="JR596" s="1605"/>
      <c r="JS596" s="1605"/>
      <c r="JT596" s="1605"/>
      <c r="JU596" s="1605"/>
      <c r="JV596" s="1605"/>
      <c r="JW596" s="1605"/>
      <c r="JX596" s="1605"/>
      <c r="JY596" s="1605"/>
      <c r="JZ596" s="1605"/>
      <c r="KA596" s="1605"/>
      <c r="KB596" s="1606"/>
    </row>
    <row r="597" spans="2:288" ht="15" customHeight="1" x14ac:dyDescent="0.25">
      <c r="B597" s="216" t="str">
        <f t="shared" si="47"/>
        <v>Desk 70</v>
      </c>
      <c r="C597" s="218" t="str">
        <v/>
      </c>
      <c r="D597" s="218" t="str">
        <v/>
      </c>
      <c r="E597" s="218" t="str">
        <v/>
      </c>
      <c r="F597" s="218" t="str">
        <v/>
      </c>
      <c r="G597" s="402" t="str">
        <v/>
      </c>
      <c r="H597" s="1605"/>
      <c r="I597" s="1605"/>
      <c r="J597" s="1605"/>
      <c r="K597" s="1605"/>
      <c r="L597" s="1605"/>
      <c r="M597" s="1605"/>
      <c r="N597" s="1605"/>
      <c r="O597" s="1605"/>
      <c r="P597" s="1605"/>
      <c r="Q597" s="1605"/>
      <c r="R597" s="1605"/>
      <c r="S597" s="1605"/>
      <c r="T597" s="1605"/>
      <c r="U597" s="1605"/>
      <c r="V597" s="1605"/>
      <c r="W597" s="1605"/>
      <c r="X597" s="1605"/>
      <c r="Y597" s="1605"/>
      <c r="Z597" s="1605"/>
      <c r="AA597" s="1605"/>
      <c r="AB597" s="1605"/>
      <c r="AC597" s="1605"/>
      <c r="AD597" s="1605"/>
      <c r="AE597" s="1605"/>
      <c r="AF597" s="1605"/>
      <c r="AG597" s="1605"/>
      <c r="AH597" s="1605"/>
      <c r="AI597" s="1605"/>
      <c r="AJ597" s="1605"/>
      <c r="AK597" s="1605"/>
      <c r="AL597" s="1605"/>
      <c r="AM597" s="1605"/>
      <c r="AN597" s="1605"/>
      <c r="AO597" s="1605"/>
      <c r="AP597" s="1605"/>
      <c r="AQ597" s="1605"/>
      <c r="AR597" s="1605"/>
      <c r="AS597" s="1605"/>
      <c r="AT597" s="1605"/>
      <c r="AU597" s="1605"/>
      <c r="AV597" s="1605"/>
      <c r="AW597" s="1605"/>
      <c r="AX597" s="1605"/>
      <c r="AY597" s="1605"/>
      <c r="AZ597" s="1605"/>
      <c r="BA597" s="1605"/>
      <c r="BB597" s="1605"/>
      <c r="BC597" s="1605"/>
      <c r="BD597" s="1605"/>
      <c r="BE597" s="1605"/>
      <c r="BF597" s="1605"/>
      <c r="BG597" s="1605"/>
      <c r="BH597" s="1605"/>
      <c r="BI597" s="1605"/>
      <c r="BJ597" s="1605"/>
      <c r="BK597" s="1605"/>
      <c r="BL597" s="1605"/>
      <c r="BM597" s="1605"/>
      <c r="BN597" s="1605"/>
      <c r="BO597" s="1605"/>
      <c r="BP597" s="1605"/>
      <c r="BQ597" s="1605"/>
      <c r="BR597" s="1605"/>
      <c r="BS597" s="1605"/>
      <c r="BT597" s="1605"/>
      <c r="BU597" s="1605"/>
      <c r="BV597" s="1605"/>
      <c r="BW597" s="1605"/>
      <c r="BX597" s="1605"/>
      <c r="BY597" s="1605"/>
      <c r="BZ597" s="1605"/>
      <c r="CA597" s="1605"/>
      <c r="CB597" s="1605"/>
      <c r="CC597" s="1605"/>
      <c r="CD597" s="1605"/>
      <c r="CE597" s="1605"/>
      <c r="CF597" s="1605"/>
      <c r="CG597" s="1605"/>
      <c r="CH597" s="1605"/>
      <c r="CI597" s="1605"/>
      <c r="CJ597" s="1605"/>
      <c r="CK597" s="1605"/>
      <c r="CL597" s="1605"/>
      <c r="CM597" s="1605"/>
      <c r="CN597" s="1605"/>
      <c r="CO597" s="1605"/>
      <c r="CP597" s="1605"/>
      <c r="CQ597" s="1605"/>
      <c r="CR597" s="1605"/>
      <c r="CS597" s="1605"/>
      <c r="CT597" s="1605"/>
      <c r="CU597" s="1605"/>
      <c r="CV597" s="1605"/>
      <c r="CW597" s="1605"/>
      <c r="CX597" s="1605"/>
      <c r="CY597" s="1605"/>
      <c r="CZ597" s="1605"/>
      <c r="DA597" s="1605"/>
      <c r="DB597" s="1605"/>
      <c r="DC597" s="1605"/>
      <c r="DD597" s="1605"/>
      <c r="DE597" s="1605"/>
      <c r="DF597" s="1605"/>
      <c r="DG597" s="1605"/>
      <c r="DH597" s="1605"/>
      <c r="DI597" s="1605"/>
      <c r="DJ597" s="1605"/>
      <c r="DK597" s="1605"/>
      <c r="DL597" s="1605"/>
      <c r="DM597" s="1605"/>
      <c r="DN597" s="1605"/>
      <c r="DO597" s="1605"/>
      <c r="DP597" s="1605"/>
      <c r="DQ597" s="1605"/>
      <c r="DR597" s="1605"/>
      <c r="DS597" s="1605"/>
      <c r="DT597" s="1605"/>
      <c r="DU597" s="1605"/>
      <c r="DV597" s="1605"/>
      <c r="DW597" s="1605"/>
      <c r="DX597" s="1605"/>
      <c r="DY597" s="1605"/>
      <c r="DZ597" s="1605"/>
      <c r="EA597" s="1605"/>
      <c r="EB597" s="1605"/>
      <c r="EC597" s="1605"/>
      <c r="ED597" s="1605"/>
      <c r="EE597" s="1605"/>
      <c r="EF597" s="1605"/>
      <c r="EG597" s="1605"/>
      <c r="EH597" s="1605"/>
      <c r="EI597" s="1605"/>
      <c r="EJ597" s="1605"/>
      <c r="EK597" s="1605"/>
      <c r="EL597" s="1605"/>
      <c r="EM597" s="1605"/>
      <c r="EN597" s="1605"/>
      <c r="EO597" s="1605"/>
      <c r="EP597" s="1605"/>
      <c r="EQ597" s="1605"/>
      <c r="ER597" s="1605"/>
      <c r="ES597" s="1605"/>
      <c r="ET597" s="1605"/>
      <c r="EU597" s="1605"/>
      <c r="EV597" s="1605"/>
      <c r="EW597" s="1605"/>
      <c r="EX597" s="1605"/>
      <c r="EY597" s="1605"/>
      <c r="EZ597" s="1605"/>
      <c r="FA597" s="1605"/>
      <c r="FB597" s="1605"/>
      <c r="FC597" s="1605"/>
      <c r="FD597" s="1605"/>
      <c r="FE597" s="1605"/>
      <c r="FF597" s="1605"/>
      <c r="FG597" s="1605"/>
      <c r="FH597" s="1605"/>
      <c r="FI597" s="1605"/>
      <c r="FJ597" s="1605"/>
      <c r="FK597" s="1605"/>
      <c r="FL597" s="1605"/>
      <c r="FM597" s="1605"/>
      <c r="FN597" s="1605"/>
      <c r="FO597" s="1605"/>
      <c r="FP597" s="1605"/>
      <c r="FQ597" s="1605"/>
      <c r="FR597" s="1605"/>
      <c r="FS597" s="1605"/>
      <c r="FT597" s="1605"/>
      <c r="FU597" s="1605"/>
      <c r="FV597" s="1605"/>
      <c r="FW597" s="1605"/>
      <c r="FX597" s="1605"/>
      <c r="FY597" s="1605"/>
      <c r="FZ597" s="1605"/>
      <c r="GA597" s="1605"/>
      <c r="GB597" s="1605"/>
      <c r="GC597" s="1605"/>
      <c r="GD597" s="1605"/>
      <c r="GE597" s="1605"/>
      <c r="GF597" s="1605"/>
      <c r="GG597" s="1605"/>
      <c r="GH597" s="1605"/>
      <c r="GI597" s="1605"/>
      <c r="GJ597" s="1605"/>
      <c r="GK597" s="1605"/>
      <c r="GL597" s="1605"/>
      <c r="GM597" s="1605"/>
      <c r="GN597" s="1605"/>
      <c r="GO597" s="1605"/>
      <c r="GP597" s="1605"/>
      <c r="GQ597" s="1605"/>
      <c r="GR597" s="1605"/>
      <c r="GS597" s="1605"/>
      <c r="GT597" s="1605"/>
      <c r="GU597" s="1605"/>
      <c r="GV597" s="1605"/>
      <c r="GW597" s="1605"/>
      <c r="GX597" s="1605"/>
      <c r="GY597" s="1605"/>
      <c r="GZ597" s="1605"/>
      <c r="HA597" s="1605"/>
      <c r="HB597" s="1605"/>
      <c r="HC597" s="1605"/>
      <c r="HD597" s="1605"/>
      <c r="HE597" s="1605"/>
      <c r="HF597" s="1605"/>
      <c r="HG597" s="1605"/>
      <c r="HH597" s="1605"/>
      <c r="HI597" s="1605"/>
      <c r="HJ597" s="1605"/>
      <c r="HK597" s="1605"/>
      <c r="HL597" s="1605"/>
      <c r="HM597" s="1605"/>
      <c r="HN597" s="1605"/>
      <c r="HO597" s="1605"/>
      <c r="HP597" s="1605"/>
      <c r="HQ597" s="1605"/>
      <c r="HR597" s="1605"/>
      <c r="HS597" s="1605"/>
      <c r="HT597" s="1605"/>
      <c r="HU597" s="1605"/>
      <c r="HV597" s="1605"/>
      <c r="HW597" s="1605"/>
      <c r="HX597" s="1605"/>
      <c r="HY597" s="1605"/>
      <c r="HZ597" s="1605"/>
      <c r="IA597" s="1605"/>
      <c r="IB597" s="1605"/>
      <c r="IC597" s="1605"/>
      <c r="ID597" s="1605"/>
      <c r="IE597" s="1605"/>
      <c r="IF597" s="1605"/>
      <c r="IG597" s="1605"/>
      <c r="IH597" s="1605"/>
      <c r="II597" s="1605"/>
      <c r="IJ597" s="1605"/>
      <c r="IK597" s="1605"/>
      <c r="IL597" s="1605"/>
      <c r="IM597" s="1605"/>
      <c r="IN597" s="1605"/>
      <c r="IO597" s="1605"/>
      <c r="IP597" s="1605"/>
      <c r="IQ597" s="1605"/>
      <c r="IR597" s="1605"/>
      <c r="IS597" s="1605"/>
      <c r="IT597" s="1605"/>
      <c r="IU597" s="1605"/>
      <c r="IV597" s="1605"/>
      <c r="IW597" s="1605"/>
      <c r="IX597" s="1605"/>
      <c r="IY597" s="1605"/>
      <c r="IZ597" s="1605"/>
      <c r="JA597" s="1605"/>
      <c r="JB597" s="1605"/>
      <c r="JC597" s="1605"/>
      <c r="JD597" s="1605"/>
      <c r="JE597" s="1605"/>
      <c r="JF597" s="1605"/>
      <c r="JG597" s="1605"/>
      <c r="JH597" s="1605"/>
      <c r="JI597" s="1605"/>
      <c r="JJ597" s="1605"/>
      <c r="JK597" s="1605"/>
      <c r="JL597" s="1605"/>
      <c r="JM597" s="1605"/>
      <c r="JN597" s="1605"/>
      <c r="JO597" s="1605"/>
      <c r="JP597" s="1605"/>
      <c r="JQ597" s="1605"/>
      <c r="JR597" s="1605"/>
      <c r="JS597" s="1605"/>
      <c r="JT597" s="1605"/>
      <c r="JU597" s="1605"/>
      <c r="JV597" s="1605"/>
      <c r="JW597" s="1605"/>
      <c r="JX597" s="1605"/>
      <c r="JY597" s="1605"/>
      <c r="JZ597" s="1605"/>
      <c r="KA597" s="1605"/>
      <c r="KB597" s="1606"/>
    </row>
    <row r="598" spans="2:288" ht="15" customHeight="1" x14ac:dyDescent="0.25">
      <c r="B598" s="216" t="str">
        <f t="shared" si="47"/>
        <v>Desk 71</v>
      </c>
      <c r="C598" s="218" t="str">
        <v/>
      </c>
      <c r="D598" s="218" t="str">
        <v/>
      </c>
      <c r="E598" s="218" t="str">
        <v/>
      </c>
      <c r="F598" s="218" t="str">
        <v/>
      </c>
      <c r="G598" s="402" t="str">
        <v/>
      </c>
      <c r="H598" s="1605"/>
      <c r="I598" s="1605"/>
      <c r="J598" s="1605"/>
      <c r="K598" s="1605"/>
      <c r="L598" s="1605"/>
      <c r="M598" s="1605"/>
      <c r="N598" s="1605"/>
      <c r="O598" s="1605"/>
      <c r="P598" s="1605"/>
      <c r="Q598" s="1605"/>
      <c r="R598" s="1605"/>
      <c r="S598" s="1605"/>
      <c r="T598" s="1605"/>
      <c r="U598" s="1605"/>
      <c r="V598" s="1605"/>
      <c r="W598" s="1605"/>
      <c r="X598" s="1605"/>
      <c r="Y598" s="1605"/>
      <c r="Z598" s="1605"/>
      <c r="AA598" s="1605"/>
      <c r="AB598" s="1605"/>
      <c r="AC598" s="1605"/>
      <c r="AD598" s="1605"/>
      <c r="AE598" s="1605"/>
      <c r="AF598" s="1605"/>
      <c r="AG598" s="1605"/>
      <c r="AH598" s="1605"/>
      <c r="AI598" s="1605"/>
      <c r="AJ598" s="1605"/>
      <c r="AK598" s="1605"/>
      <c r="AL598" s="1605"/>
      <c r="AM598" s="1605"/>
      <c r="AN598" s="1605"/>
      <c r="AO598" s="1605"/>
      <c r="AP598" s="1605"/>
      <c r="AQ598" s="1605"/>
      <c r="AR598" s="1605"/>
      <c r="AS598" s="1605"/>
      <c r="AT598" s="1605"/>
      <c r="AU598" s="1605"/>
      <c r="AV598" s="1605"/>
      <c r="AW598" s="1605"/>
      <c r="AX598" s="1605"/>
      <c r="AY598" s="1605"/>
      <c r="AZ598" s="1605"/>
      <c r="BA598" s="1605"/>
      <c r="BB598" s="1605"/>
      <c r="BC598" s="1605"/>
      <c r="BD598" s="1605"/>
      <c r="BE598" s="1605"/>
      <c r="BF598" s="1605"/>
      <c r="BG598" s="1605"/>
      <c r="BH598" s="1605"/>
      <c r="BI598" s="1605"/>
      <c r="BJ598" s="1605"/>
      <c r="BK598" s="1605"/>
      <c r="BL598" s="1605"/>
      <c r="BM598" s="1605"/>
      <c r="BN598" s="1605"/>
      <c r="BO598" s="1605"/>
      <c r="BP598" s="1605"/>
      <c r="BQ598" s="1605"/>
      <c r="BR598" s="1605"/>
      <c r="BS598" s="1605"/>
      <c r="BT598" s="1605"/>
      <c r="BU598" s="1605"/>
      <c r="BV598" s="1605"/>
      <c r="BW598" s="1605"/>
      <c r="BX598" s="1605"/>
      <c r="BY598" s="1605"/>
      <c r="BZ598" s="1605"/>
      <c r="CA598" s="1605"/>
      <c r="CB598" s="1605"/>
      <c r="CC598" s="1605"/>
      <c r="CD598" s="1605"/>
      <c r="CE598" s="1605"/>
      <c r="CF598" s="1605"/>
      <c r="CG598" s="1605"/>
      <c r="CH598" s="1605"/>
      <c r="CI598" s="1605"/>
      <c r="CJ598" s="1605"/>
      <c r="CK598" s="1605"/>
      <c r="CL598" s="1605"/>
      <c r="CM598" s="1605"/>
      <c r="CN598" s="1605"/>
      <c r="CO598" s="1605"/>
      <c r="CP598" s="1605"/>
      <c r="CQ598" s="1605"/>
      <c r="CR598" s="1605"/>
      <c r="CS598" s="1605"/>
      <c r="CT598" s="1605"/>
      <c r="CU598" s="1605"/>
      <c r="CV598" s="1605"/>
      <c r="CW598" s="1605"/>
      <c r="CX598" s="1605"/>
      <c r="CY598" s="1605"/>
      <c r="CZ598" s="1605"/>
      <c r="DA598" s="1605"/>
      <c r="DB598" s="1605"/>
      <c r="DC598" s="1605"/>
      <c r="DD598" s="1605"/>
      <c r="DE598" s="1605"/>
      <c r="DF598" s="1605"/>
      <c r="DG598" s="1605"/>
      <c r="DH598" s="1605"/>
      <c r="DI598" s="1605"/>
      <c r="DJ598" s="1605"/>
      <c r="DK598" s="1605"/>
      <c r="DL598" s="1605"/>
      <c r="DM598" s="1605"/>
      <c r="DN598" s="1605"/>
      <c r="DO598" s="1605"/>
      <c r="DP598" s="1605"/>
      <c r="DQ598" s="1605"/>
      <c r="DR598" s="1605"/>
      <c r="DS598" s="1605"/>
      <c r="DT598" s="1605"/>
      <c r="DU598" s="1605"/>
      <c r="DV598" s="1605"/>
      <c r="DW598" s="1605"/>
      <c r="DX598" s="1605"/>
      <c r="DY598" s="1605"/>
      <c r="DZ598" s="1605"/>
      <c r="EA598" s="1605"/>
      <c r="EB598" s="1605"/>
      <c r="EC598" s="1605"/>
      <c r="ED598" s="1605"/>
      <c r="EE598" s="1605"/>
      <c r="EF598" s="1605"/>
      <c r="EG598" s="1605"/>
      <c r="EH598" s="1605"/>
      <c r="EI598" s="1605"/>
      <c r="EJ598" s="1605"/>
      <c r="EK598" s="1605"/>
      <c r="EL598" s="1605"/>
      <c r="EM598" s="1605"/>
      <c r="EN598" s="1605"/>
      <c r="EO598" s="1605"/>
      <c r="EP598" s="1605"/>
      <c r="EQ598" s="1605"/>
      <c r="ER598" s="1605"/>
      <c r="ES598" s="1605"/>
      <c r="ET598" s="1605"/>
      <c r="EU598" s="1605"/>
      <c r="EV598" s="1605"/>
      <c r="EW598" s="1605"/>
      <c r="EX598" s="1605"/>
      <c r="EY598" s="1605"/>
      <c r="EZ598" s="1605"/>
      <c r="FA598" s="1605"/>
      <c r="FB598" s="1605"/>
      <c r="FC598" s="1605"/>
      <c r="FD598" s="1605"/>
      <c r="FE598" s="1605"/>
      <c r="FF598" s="1605"/>
      <c r="FG598" s="1605"/>
      <c r="FH598" s="1605"/>
      <c r="FI598" s="1605"/>
      <c r="FJ598" s="1605"/>
      <c r="FK598" s="1605"/>
      <c r="FL598" s="1605"/>
      <c r="FM598" s="1605"/>
      <c r="FN598" s="1605"/>
      <c r="FO598" s="1605"/>
      <c r="FP598" s="1605"/>
      <c r="FQ598" s="1605"/>
      <c r="FR598" s="1605"/>
      <c r="FS598" s="1605"/>
      <c r="FT598" s="1605"/>
      <c r="FU598" s="1605"/>
      <c r="FV598" s="1605"/>
      <c r="FW598" s="1605"/>
      <c r="FX598" s="1605"/>
      <c r="FY598" s="1605"/>
      <c r="FZ598" s="1605"/>
      <c r="GA598" s="1605"/>
      <c r="GB598" s="1605"/>
      <c r="GC598" s="1605"/>
      <c r="GD598" s="1605"/>
      <c r="GE598" s="1605"/>
      <c r="GF598" s="1605"/>
      <c r="GG598" s="1605"/>
      <c r="GH598" s="1605"/>
      <c r="GI598" s="1605"/>
      <c r="GJ598" s="1605"/>
      <c r="GK598" s="1605"/>
      <c r="GL598" s="1605"/>
      <c r="GM598" s="1605"/>
      <c r="GN598" s="1605"/>
      <c r="GO598" s="1605"/>
      <c r="GP598" s="1605"/>
      <c r="GQ598" s="1605"/>
      <c r="GR598" s="1605"/>
      <c r="GS598" s="1605"/>
      <c r="GT598" s="1605"/>
      <c r="GU598" s="1605"/>
      <c r="GV598" s="1605"/>
      <c r="GW598" s="1605"/>
      <c r="GX598" s="1605"/>
      <c r="GY598" s="1605"/>
      <c r="GZ598" s="1605"/>
      <c r="HA598" s="1605"/>
      <c r="HB598" s="1605"/>
      <c r="HC598" s="1605"/>
      <c r="HD598" s="1605"/>
      <c r="HE598" s="1605"/>
      <c r="HF598" s="1605"/>
      <c r="HG598" s="1605"/>
      <c r="HH598" s="1605"/>
      <c r="HI598" s="1605"/>
      <c r="HJ598" s="1605"/>
      <c r="HK598" s="1605"/>
      <c r="HL598" s="1605"/>
      <c r="HM598" s="1605"/>
      <c r="HN598" s="1605"/>
      <c r="HO598" s="1605"/>
      <c r="HP598" s="1605"/>
      <c r="HQ598" s="1605"/>
      <c r="HR598" s="1605"/>
      <c r="HS598" s="1605"/>
      <c r="HT598" s="1605"/>
      <c r="HU598" s="1605"/>
      <c r="HV598" s="1605"/>
      <c r="HW598" s="1605"/>
      <c r="HX598" s="1605"/>
      <c r="HY598" s="1605"/>
      <c r="HZ598" s="1605"/>
      <c r="IA598" s="1605"/>
      <c r="IB598" s="1605"/>
      <c r="IC598" s="1605"/>
      <c r="ID598" s="1605"/>
      <c r="IE598" s="1605"/>
      <c r="IF598" s="1605"/>
      <c r="IG598" s="1605"/>
      <c r="IH598" s="1605"/>
      <c r="II598" s="1605"/>
      <c r="IJ598" s="1605"/>
      <c r="IK598" s="1605"/>
      <c r="IL598" s="1605"/>
      <c r="IM598" s="1605"/>
      <c r="IN598" s="1605"/>
      <c r="IO598" s="1605"/>
      <c r="IP598" s="1605"/>
      <c r="IQ598" s="1605"/>
      <c r="IR598" s="1605"/>
      <c r="IS598" s="1605"/>
      <c r="IT598" s="1605"/>
      <c r="IU598" s="1605"/>
      <c r="IV598" s="1605"/>
      <c r="IW598" s="1605"/>
      <c r="IX598" s="1605"/>
      <c r="IY598" s="1605"/>
      <c r="IZ598" s="1605"/>
      <c r="JA598" s="1605"/>
      <c r="JB598" s="1605"/>
      <c r="JC598" s="1605"/>
      <c r="JD598" s="1605"/>
      <c r="JE598" s="1605"/>
      <c r="JF598" s="1605"/>
      <c r="JG598" s="1605"/>
      <c r="JH598" s="1605"/>
      <c r="JI598" s="1605"/>
      <c r="JJ598" s="1605"/>
      <c r="JK598" s="1605"/>
      <c r="JL598" s="1605"/>
      <c r="JM598" s="1605"/>
      <c r="JN598" s="1605"/>
      <c r="JO598" s="1605"/>
      <c r="JP598" s="1605"/>
      <c r="JQ598" s="1605"/>
      <c r="JR598" s="1605"/>
      <c r="JS598" s="1605"/>
      <c r="JT598" s="1605"/>
      <c r="JU598" s="1605"/>
      <c r="JV598" s="1605"/>
      <c r="JW598" s="1605"/>
      <c r="JX598" s="1605"/>
      <c r="JY598" s="1605"/>
      <c r="JZ598" s="1605"/>
      <c r="KA598" s="1605"/>
      <c r="KB598" s="1606"/>
    </row>
    <row r="599" spans="2:288" ht="15" customHeight="1" x14ac:dyDescent="0.25">
      <c r="B599" s="216" t="str">
        <f t="shared" si="47"/>
        <v>Desk 72</v>
      </c>
      <c r="C599" s="218" t="str">
        <v/>
      </c>
      <c r="D599" s="218" t="str">
        <v/>
      </c>
      <c r="E599" s="218" t="str">
        <v/>
      </c>
      <c r="F599" s="218" t="str">
        <v/>
      </c>
      <c r="G599" s="402" t="str">
        <v/>
      </c>
      <c r="H599" s="1605"/>
      <c r="I599" s="1605"/>
      <c r="J599" s="1605"/>
      <c r="K599" s="1605"/>
      <c r="L599" s="1605"/>
      <c r="M599" s="1605"/>
      <c r="N599" s="1605"/>
      <c r="O599" s="1605"/>
      <c r="P599" s="1605"/>
      <c r="Q599" s="1605"/>
      <c r="R599" s="1605"/>
      <c r="S599" s="1605"/>
      <c r="T599" s="1605"/>
      <c r="U599" s="1605"/>
      <c r="V599" s="1605"/>
      <c r="W599" s="1605"/>
      <c r="X599" s="1605"/>
      <c r="Y599" s="1605"/>
      <c r="Z599" s="1605"/>
      <c r="AA599" s="1605"/>
      <c r="AB599" s="1605"/>
      <c r="AC599" s="1605"/>
      <c r="AD599" s="1605"/>
      <c r="AE599" s="1605"/>
      <c r="AF599" s="1605"/>
      <c r="AG599" s="1605"/>
      <c r="AH599" s="1605"/>
      <c r="AI599" s="1605"/>
      <c r="AJ599" s="1605"/>
      <c r="AK599" s="1605"/>
      <c r="AL599" s="1605"/>
      <c r="AM599" s="1605"/>
      <c r="AN599" s="1605"/>
      <c r="AO599" s="1605"/>
      <c r="AP599" s="1605"/>
      <c r="AQ599" s="1605"/>
      <c r="AR599" s="1605"/>
      <c r="AS599" s="1605"/>
      <c r="AT599" s="1605"/>
      <c r="AU599" s="1605"/>
      <c r="AV599" s="1605"/>
      <c r="AW599" s="1605"/>
      <c r="AX599" s="1605"/>
      <c r="AY599" s="1605"/>
      <c r="AZ599" s="1605"/>
      <c r="BA599" s="1605"/>
      <c r="BB599" s="1605"/>
      <c r="BC599" s="1605"/>
      <c r="BD599" s="1605"/>
      <c r="BE599" s="1605"/>
      <c r="BF599" s="1605"/>
      <c r="BG599" s="1605"/>
      <c r="BH599" s="1605"/>
      <c r="BI599" s="1605"/>
      <c r="BJ599" s="1605"/>
      <c r="BK599" s="1605"/>
      <c r="BL599" s="1605"/>
      <c r="BM599" s="1605"/>
      <c r="BN599" s="1605"/>
      <c r="BO599" s="1605"/>
      <c r="BP599" s="1605"/>
      <c r="BQ599" s="1605"/>
      <c r="BR599" s="1605"/>
      <c r="BS599" s="1605"/>
      <c r="BT599" s="1605"/>
      <c r="BU599" s="1605"/>
      <c r="BV599" s="1605"/>
      <c r="BW599" s="1605"/>
      <c r="BX599" s="1605"/>
      <c r="BY599" s="1605"/>
      <c r="BZ599" s="1605"/>
      <c r="CA599" s="1605"/>
      <c r="CB599" s="1605"/>
      <c r="CC599" s="1605"/>
      <c r="CD599" s="1605"/>
      <c r="CE599" s="1605"/>
      <c r="CF599" s="1605"/>
      <c r="CG599" s="1605"/>
      <c r="CH599" s="1605"/>
      <c r="CI599" s="1605"/>
      <c r="CJ599" s="1605"/>
      <c r="CK599" s="1605"/>
      <c r="CL599" s="1605"/>
      <c r="CM599" s="1605"/>
      <c r="CN599" s="1605"/>
      <c r="CO599" s="1605"/>
      <c r="CP599" s="1605"/>
      <c r="CQ599" s="1605"/>
      <c r="CR599" s="1605"/>
      <c r="CS599" s="1605"/>
      <c r="CT599" s="1605"/>
      <c r="CU599" s="1605"/>
      <c r="CV599" s="1605"/>
      <c r="CW599" s="1605"/>
      <c r="CX599" s="1605"/>
      <c r="CY599" s="1605"/>
      <c r="CZ599" s="1605"/>
      <c r="DA599" s="1605"/>
      <c r="DB599" s="1605"/>
      <c r="DC599" s="1605"/>
      <c r="DD599" s="1605"/>
      <c r="DE599" s="1605"/>
      <c r="DF599" s="1605"/>
      <c r="DG599" s="1605"/>
      <c r="DH599" s="1605"/>
      <c r="DI599" s="1605"/>
      <c r="DJ599" s="1605"/>
      <c r="DK599" s="1605"/>
      <c r="DL599" s="1605"/>
      <c r="DM599" s="1605"/>
      <c r="DN599" s="1605"/>
      <c r="DO599" s="1605"/>
      <c r="DP599" s="1605"/>
      <c r="DQ599" s="1605"/>
      <c r="DR599" s="1605"/>
      <c r="DS599" s="1605"/>
      <c r="DT599" s="1605"/>
      <c r="DU599" s="1605"/>
      <c r="DV599" s="1605"/>
      <c r="DW599" s="1605"/>
      <c r="DX599" s="1605"/>
      <c r="DY599" s="1605"/>
      <c r="DZ599" s="1605"/>
      <c r="EA599" s="1605"/>
      <c r="EB599" s="1605"/>
      <c r="EC599" s="1605"/>
      <c r="ED599" s="1605"/>
      <c r="EE599" s="1605"/>
      <c r="EF599" s="1605"/>
      <c r="EG599" s="1605"/>
      <c r="EH599" s="1605"/>
      <c r="EI599" s="1605"/>
      <c r="EJ599" s="1605"/>
      <c r="EK599" s="1605"/>
      <c r="EL599" s="1605"/>
      <c r="EM599" s="1605"/>
      <c r="EN599" s="1605"/>
      <c r="EO599" s="1605"/>
      <c r="EP599" s="1605"/>
      <c r="EQ599" s="1605"/>
      <c r="ER599" s="1605"/>
      <c r="ES599" s="1605"/>
      <c r="ET599" s="1605"/>
      <c r="EU599" s="1605"/>
      <c r="EV599" s="1605"/>
      <c r="EW599" s="1605"/>
      <c r="EX599" s="1605"/>
      <c r="EY599" s="1605"/>
      <c r="EZ599" s="1605"/>
      <c r="FA599" s="1605"/>
      <c r="FB599" s="1605"/>
      <c r="FC599" s="1605"/>
      <c r="FD599" s="1605"/>
      <c r="FE599" s="1605"/>
      <c r="FF599" s="1605"/>
      <c r="FG599" s="1605"/>
      <c r="FH599" s="1605"/>
      <c r="FI599" s="1605"/>
      <c r="FJ599" s="1605"/>
      <c r="FK599" s="1605"/>
      <c r="FL599" s="1605"/>
      <c r="FM599" s="1605"/>
      <c r="FN599" s="1605"/>
      <c r="FO599" s="1605"/>
      <c r="FP599" s="1605"/>
      <c r="FQ599" s="1605"/>
      <c r="FR599" s="1605"/>
      <c r="FS599" s="1605"/>
      <c r="FT599" s="1605"/>
      <c r="FU599" s="1605"/>
      <c r="FV599" s="1605"/>
      <c r="FW599" s="1605"/>
      <c r="FX599" s="1605"/>
      <c r="FY599" s="1605"/>
      <c r="FZ599" s="1605"/>
      <c r="GA599" s="1605"/>
      <c r="GB599" s="1605"/>
      <c r="GC599" s="1605"/>
      <c r="GD599" s="1605"/>
      <c r="GE599" s="1605"/>
      <c r="GF599" s="1605"/>
      <c r="GG599" s="1605"/>
      <c r="GH599" s="1605"/>
      <c r="GI599" s="1605"/>
      <c r="GJ599" s="1605"/>
      <c r="GK599" s="1605"/>
      <c r="GL599" s="1605"/>
      <c r="GM599" s="1605"/>
      <c r="GN599" s="1605"/>
      <c r="GO599" s="1605"/>
      <c r="GP599" s="1605"/>
      <c r="GQ599" s="1605"/>
      <c r="GR599" s="1605"/>
      <c r="GS599" s="1605"/>
      <c r="GT599" s="1605"/>
      <c r="GU599" s="1605"/>
      <c r="GV599" s="1605"/>
      <c r="GW599" s="1605"/>
      <c r="GX599" s="1605"/>
      <c r="GY599" s="1605"/>
      <c r="GZ599" s="1605"/>
      <c r="HA599" s="1605"/>
      <c r="HB599" s="1605"/>
      <c r="HC599" s="1605"/>
      <c r="HD599" s="1605"/>
      <c r="HE599" s="1605"/>
      <c r="HF599" s="1605"/>
      <c r="HG599" s="1605"/>
      <c r="HH599" s="1605"/>
      <c r="HI599" s="1605"/>
      <c r="HJ599" s="1605"/>
      <c r="HK599" s="1605"/>
      <c r="HL599" s="1605"/>
      <c r="HM599" s="1605"/>
      <c r="HN599" s="1605"/>
      <c r="HO599" s="1605"/>
      <c r="HP599" s="1605"/>
      <c r="HQ599" s="1605"/>
      <c r="HR599" s="1605"/>
      <c r="HS599" s="1605"/>
      <c r="HT599" s="1605"/>
      <c r="HU599" s="1605"/>
      <c r="HV599" s="1605"/>
      <c r="HW599" s="1605"/>
      <c r="HX599" s="1605"/>
      <c r="HY599" s="1605"/>
      <c r="HZ599" s="1605"/>
      <c r="IA599" s="1605"/>
      <c r="IB599" s="1605"/>
      <c r="IC599" s="1605"/>
      <c r="ID599" s="1605"/>
      <c r="IE599" s="1605"/>
      <c r="IF599" s="1605"/>
      <c r="IG599" s="1605"/>
      <c r="IH599" s="1605"/>
      <c r="II599" s="1605"/>
      <c r="IJ599" s="1605"/>
      <c r="IK599" s="1605"/>
      <c r="IL599" s="1605"/>
      <c r="IM599" s="1605"/>
      <c r="IN599" s="1605"/>
      <c r="IO599" s="1605"/>
      <c r="IP599" s="1605"/>
      <c r="IQ599" s="1605"/>
      <c r="IR599" s="1605"/>
      <c r="IS599" s="1605"/>
      <c r="IT599" s="1605"/>
      <c r="IU599" s="1605"/>
      <c r="IV599" s="1605"/>
      <c r="IW599" s="1605"/>
      <c r="IX599" s="1605"/>
      <c r="IY599" s="1605"/>
      <c r="IZ599" s="1605"/>
      <c r="JA599" s="1605"/>
      <c r="JB599" s="1605"/>
      <c r="JC599" s="1605"/>
      <c r="JD599" s="1605"/>
      <c r="JE599" s="1605"/>
      <c r="JF599" s="1605"/>
      <c r="JG599" s="1605"/>
      <c r="JH599" s="1605"/>
      <c r="JI599" s="1605"/>
      <c r="JJ599" s="1605"/>
      <c r="JK599" s="1605"/>
      <c r="JL599" s="1605"/>
      <c r="JM599" s="1605"/>
      <c r="JN599" s="1605"/>
      <c r="JO599" s="1605"/>
      <c r="JP599" s="1605"/>
      <c r="JQ599" s="1605"/>
      <c r="JR599" s="1605"/>
      <c r="JS599" s="1605"/>
      <c r="JT599" s="1605"/>
      <c r="JU599" s="1605"/>
      <c r="JV599" s="1605"/>
      <c r="JW599" s="1605"/>
      <c r="JX599" s="1605"/>
      <c r="JY599" s="1605"/>
      <c r="JZ599" s="1605"/>
      <c r="KA599" s="1605"/>
      <c r="KB599" s="1606"/>
    </row>
    <row r="600" spans="2:288" ht="15" customHeight="1" x14ac:dyDescent="0.25">
      <c r="B600" s="216" t="str">
        <f t="shared" si="47"/>
        <v>Desk 73</v>
      </c>
      <c r="C600" s="218" t="str">
        <v/>
      </c>
      <c r="D600" s="218" t="str">
        <v/>
      </c>
      <c r="E600" s="218" t="str">
        <v/>
      </c>
      <c r="F600" s="218" t="str">
        <v/>
      </c>
      <c r="G600" s="402" t="str">
        <v/>
      </c>
      <c r="H600" s="1605"/>
      <c r="I600" s="1605"/>
      <c r="J600" s="1605"/>
      <c r="K600" s="1605"/>
      <c r="L600" s="1605"/>
      <c r="M600" s="1605"/>
      <c r="N600" s="1605"/>
      <c r="O600" s="1605"/>
      <c r="P600" s="1605"/>
      <c r="Q600" s="1605"/>
      <c r="R600" s="1605"/>
      <c r="S600" s="1605"/>
      <c r="T600" s="1605"/>
      <c r="U600" s="1605"/>
      <c r="V600" s="1605"/>
      <c r="W600" s="1605"/>
      <c r="X600" s="1605"/>
      <c r="Y600" s="1605"/>
      <c r="Z600" s="1605"/>
      <c r="AA600" s="1605"/>
      <c r="AB600" s="1605"/>
      <c r="AC600" s="1605"/>
      <c r="AD600" s="1605"/>
      <c r="AE600" s="1605"/>
      <c r="AF600" s="1605"/>
      <c r="AG600" s="1605"/>
      <c r="AH600" s="1605"/>
      <c r="AI600" s="1605"/>
      <c r="AJ600" s="1605"/>
      <c r="AK600" s="1605"/>
      <c r="AL600" s="1605"/>
      <c r="AM600" s="1605"/>
      <c r="AN600" s="1605"/>
      <c r="AO600" s="1605"/>
      <c r="AP600" s="1605"/>
      <c r="AQ600" s="1605"/>
      <c r="AR600" s="1605"/>
      <c r="AS600" s="1605"/>
      <c r="AT600" s="1605"/>
      <c r="AU600" s="1605"/>
      <c r="AV600" s="1605"/>
      <c r="AW600" s="1605"/>
      <c r="AX600" s="1605"/>
      <c r="AY600" s="1605"/>
      <c r="AZ600" s="1605"/>
      <c r="BA600" s="1605"/>
      <c r="BB600" s="1605"/>
      <c r="BC600" s="1605"/>
      <c r="BD600" s="1605"/>
      <c r="BE600" s="1605"/>
      <c r="BF600" s="1605"/>
      <c r="BG600" s="1605"/>
      <c r="BH600" s="1605"/>
      <c r="BI600" s="1605"/>
      <c r="BJ600" s="1605"/>
      <c r="BK600" s="1605"/>
      <c r="BL600" s="1605"/>
      <c r="BM600" s="1605"/>
      <c r="BN600" s="1605"/>
      <c r="BO600" s="1605"/>
      <c r="BP600" s="1605"/>
      <c r="BQ600" s="1605"/>
      <c r="BR600" s="1605"/>
      <c r="BS600" s="1605"/>
      <c r="BT600" s="1605"/>
      <c r="BU600" s="1605"/>
      <c r="BV600" s="1605"/>
      <c r="BW600" s="1605"/>
      <c r="BX600" s="1605"/>
      <c r="BY600" s="1605"/>
      <c r="BZ600" s="1605"/>
      <c r="CA600" s="1605"/>
      <c r="CB600" s="1605"/>
      <c r="CC600" s="1605"/>
      <c r="CD600" s="1605"/>
      <c r="CE600" s="1605"/>
      <c r="CF600" s="1605"/>
      <c r="CG600" s="1605"/>
      <c r="CH600" s="1605"/>
      <c r="CI600" s="1605"/>
      <c r="CJ600" s="1605"/>
      <c r="CK600" s="1605"/>
      <c r="CL600" s="1605"/>
      <c r="CM600" s="1605"/>
      <c r="CN600" s="1605"/>
      <c r="CO600" s="1605"/>
      <c r="CP600" s="1605"/>
      <c r="CQ600" s="1605"/>
      <c r="CR600" s="1605"/>
      <c r="CS600" s="1605"/>
      <c r="CT600" s="1605"/>
      <c r="CU600" s="1605"/>
      <c r="CV600" s="1605"/>
      <c r="CW600" s="1605"/>
      <c r="CX600" s="1605"/>
      <c r="CY600" s="1605"/>
      <c r="CZ600" s="1605"/>
      <c r="DA600" s="1605"/>
      <c r="DB600" s="1605"/>
      <c r="DC600" s="1605"/>
      <c r="DD600" s="1605"/>
      <c r="DE600" s="1605"/>
      <c r="DF600" s="1605"/>
      <c r="DG600" s="1605"/>
      <c r="DH600" s="1605"/>
      <c r="DI600" s="1605"/>
      <c r="DJ600" s="1605"/>
      <c r="DK600" s="1605"/>
      <c r="DL600" s="1605"/>
      <c r="DM600" s="1605"/>
      <c r="DN600" s="1605"/>
      <c r="DO600" s="1605"/>
      <c r="DP600" s="1605"/>
      <c r="DQ600" s="1605"/>
      <c r="DR600" s="1605"/>
      <c r="DS600" s="1605"/>
      <c r="DT600" s="1605"/>
      <c r="DU600" s="1605"/>
      <c r="DV600" s="1605"/>
      <c r="DW600" s="1605"/>
      <c r="DX600" s="1605"/>
      <c r="DY600" s="1605"/>
      <c r="DZ600" s="1605"/>
      <c r="EA600" s="1605"/>
      <c r="EB600" s="1605"/>
      <c r="EC600" s="1605"/>
      <c r="ED600" s="1605"/>
      <c r="EE600" s="1605"/>
      <c r="EF600" s="1605"/>
      <c r="EG600" s="1605"/>
      <c r="EH600" s="1605"/>
      <c r="EI600" s="1605"/>
      <c r="EJ600" s="1605"/>
      <c r="EK600" s="1605"/>
      <c r="EL600" s="1605"/>
      <c r="EM600" s="1605"/>
      <c r="EN600" s="1605"/>
      <c r="EO600" s="1605"/>
      <c r="EP600" s="1605"/>
      <c r="EQ600" s="1605"/>
      <c r="ER600" s="1605"/>
      <c r="ES600" s="1605"/>
      <c r="ET600" s="1605"/>
      <c r="EU600" s="1605"/>
      <c r="EV600" s="1605"/>
      <c r="EW600" s="1605"/>
      <c r="EX600" s="1605"/>
      <c r="EY600" s="1605"/>
      <c r="EZ600" s="1605"/>
      <c r="FA600" s="1605"/>
      <c r="FB600" s="1605"/>
      <c r="FC600" s="1605"/>
      <c r="FD600" s="1605"/>
      <c r="FE600" s="1605"/>
      <c r="FF600" s="1605"/>
      <c r="FG600" s="1605"/>
      <c r="FH600" s="1605"/>
      <c r="FI600" s="1605"/>
      <c r="FJ600" s="1605"/>
      <c r="FK600" s="1605"/>
      <c r="FL600" s="1605"/>
      <c r="FM600" s="1605"/>
      <c r="FN600" s="1605"/>
      <c r="FO600" s="1605"/>
      <c r="FP600" s="1605"/>
      <c r="FQ600" s="1605"/>
      <c r="FR600" s="1605"/>
      <c r="FS600" s="1605"/>
      <c r="FT600" s="1605"/>
      <c r="FU600" s="1605"/>
      <c r="FV600" s="1605"/>
      <c r="FW600" s="1605"/>
      <c r="FX600" s="1605"/>
      <c r="FY600" s="1605"/>
      <c r="FZ600" s="1605"/>
      <c r="GA600" s="1605"/>
      <c r="GB600" s="1605"/>
      <c r="GC600" s="1605"/>
      <c r="GD600" s="1605"/>
      <c r="GE600" s="1605"/>
      <c r="GF600" s="1605"/>
      <c r="GG600" s="1605"/>
      <c r="GH600" s="1605"/>
      <c r="GI600" s="1605"/>
      <c r="GJ600" s="1605"/>
      <c r="GK600" s="1605"/>
      <c r="GL600" s="1605"/>
      <c r="GM600" s="1605"/>
      <c r="GN600" s="1605"/>
      <c r="GO600" s="1605"/>
      <c r="GP600" s="1605"/>
      <c r="GQ600" s="1605"/>
      <c r="GR600" s="1605"/>
      <c r="GS600" s="1605"/>
      <c r="GT600" s="1605"/>
      <c r="GU600" s="1605"/>
      <c r="GV600" s="1605"/>
      <c r="GW600" s="1605"/>
      <c r="GX600" s="1605"/>
      <c r="GY600" s="1605"/>
      <c r="GZ600" s="1605"/>
      <c r="HA600" s="1605"/>
      <c r="HB600" s="1605"/>
      <c r="HC600" s="1605"/>
      <c r="HD600" s="1605"/>
      <c r="HE600" s="1605"/>
      <c r="HF600" s="1605"/>
      <c r="HG600" s="1605"/>
      <c r="HH600" s="1605"/>
      <c r="HI600" s="1605"/>
      <c r="HJ600" s="1605"/>
      <c r="HK600" s="1605"/>
      <c r="HL600" s="1605"/>
      <c r="HM600" s="1605"/>
      <c r="HN600" s="1605"/>
      <c r="HO600" s="1605"/>
      <c r="HP600" s="1605"/>
      <c r="HQ600" s="1605"/>
      <c r="HR600" s="1605"/>
      <c r="HS600" s="1605"/>
      <c r="HT600" s="1605"/>
      <c r="HU600" s="1605"/>
      <c r="HV600" s="1605"/>
      <c r="HW600" s="1605"/>
      <c r="HX600" s="1605"/>
      <c r="HY600" s="1605"/>
      <c r="HZ600" s="1605"/>
      <c r="IA600" s="1605"/>
      <c r="IB600" s="1605"/>
      <c r="IC600" s="1605"/>
      <c r="ID600" s="1605"/>
      <c r="IE600" s="1605"/>
      <c r="IF600" s="1605"/>
      <c r="IG600" s="1605"/>
      <c r="IH600" s="1605"/>
      <c r="II600" s="1605"/>
      <c r="IJ600" s="1605"/>
      <c r="IK600" s="1605"/>
      <c r="IL600" s="1605"/>
      <c r="IM600" s="1605"/>
      <c r="IN600" s="1605"/>
      <c r="IO600" s="1605"/>
      <c r="IP600" s="1605"/>
      <c r="IQ600" s="1605"/>
      <c r="IR600" s="1605"/>
      <c r="IS600" s="1605"/>
      <c r="IT600" s="1605"/>
      <c r="IU600" s="1605"/>
      <c r="IV600" s="1605"/>
      <c r="IW600" s="1605"/>
      <c r="IX600" s="1605"/>
      <c r="IY600" s="1605"/>
      <c r="IZ600" s="1605"/>
      <c r="JA600" s="1605"/>
      <c r="JB600" s="1605"/>
      <c r="JC600" s="1605"/>
      <c r="JD600" s="1605"/>
      <c r="JE600" s="1605"/>
      <c r="JF600" s="1605"/>
      <c r="JG600" s="1605"/>
      <c r="JH600" s="1605"/>
      <c r="JI600" s="1605"/>
      <c r="JJ600" s="1605"/>
      <c r="JK600" s="1605"/>
      <c r="JL600" s="1605"/>
      <c r="JM600" s="1605"/>
      <c r="JN600" s="1605"/>
      <c r="JO600" s="1605"/>
      <c r="JP600" s="1605"/>
      <c r="JQ600" s="1605"/>
      <c r="JR600" s="1605"/>
      <c r="JS600" s="1605"/>
      <c r="JT600" s="1605"/>
      <c r="JU600" s="1605"/>
      <c r="JV600" s="1605"/>
      <c r="JW600" s="1605"/>
      <c r="JX600" s="1605"/>
      <c r="JY600" s="1605"/>
      <c r="JZ600" s="1605"/>
      <c r="KA600" s="1605"/>
      <c r="KB600" s="1606"/>
    </row>
    <row r="601" spans="2:288" ht="15" customHeight="1" x14ac:dyDescent="0.25">
      <c r="B601" s="216" t="str">
        <f t="shared" si="47"/>
        <v>Desk 74</v>
      </c>
      <c r="C601" s="218" t="str">
        <v/>
      </c>
      <c r="D601" s="218" t="str">
        <v/>
      </c>
      <c r="E601" s="218" t="str">
        <v/>
      </c>
      <c r="F601" s="218" t="str">
        <v/>
      </c>
      <c r="G601" s="402" t="str">
        <v/>
      </c>
      <c r="H601" s="1605"/>
      <c r="I601" s="1605"/>
      <c r="J601" s="1605"/>
      <c r="K601" s="1605"/>
      <c r="L601" s="1605"/>
      <c r="M601" s="1605"/>
      <c r="N601" s="1605"/>
      <c r="O601" s="1605"/>
      <c r="P601" s="1605"/>
      <c r="Q601" s="1605"/>
      <c r="R601" s="1605"/>
      <c r="S601" s="1605"/>
      <c r="T601" s="1605"/>
      <c r="U601" s="1605"/>
      <c r="V601" s="1605"/>
      <c r="W601" s="1605"/>
      <c r="X601" s="1605"/>
      <c r="Y601" s="1605"/>
      <c r="Z601" s="1605"/>
      <c r="AA601" s="1605"/>
      <c r="AB601" s="1605"/>
      <c r="AC601" s="1605"/>
      <c r="AD601" s="1605"/>
      <c r="AE601" s="1605"/>
      <c r="AF601" s="1605"/>
      <c r="AG601" s="1605"/>
      <c r="AH601" s="1605"/>
      <c r="AI601" s="1605"/>
      <c r="AJ601" s="1605"/>
      <c r="AK601" s="1605"/>
      <c r="AL601" s="1605"/>
      <c r="AM601" s="1605"/>
      <c r="AN601" s="1605"/>
      <c r="AO601" s="1605"/>
      <c r="AP601" s="1605"/>
      <c r="AQ601" s="1605"/>
      <c r="AR601" s="1605"/>
      <c r="AS601" s="1605"/>
      <c r="AT601" s="1605"/>
      <c r="AU601" s="1605"/>
      <c r="AV601" s="1605"/>
      <c r="AW601" s="1605"/>
      <c r="AX601" s="1605"/>
      <c r="AY601" s="1605"/>
      <c r="AZ601" s="1605"/>
      <c r="BA601" s="1605"/>
      <c r="BB601" s="1605"/>
      <c r="BC601" s="1605"/>
      <c r="BD601" s="1605"/>
      <c r="BE601" s="1605"/>
      <c r="BF601" s="1605"/>
      <c r="BG601" s="1605"/>
      <c r="BH601" s="1605"/>
      <c r="BI601" s="1605"/>
      <c r="BJ601" s="1605"/>
      <c r="BK601" s="1605"/>
      <c r="BL601" s="1605"/>
      <c r="BM601" s="1605"/>
      <c r="BN601" s="1605"/>
      <c r="BO601" s="1605"/>
      <c r="BP601" s="1605"/>
      <c r="BQ601" s="1605"/>
      <c r="BR601" s="1605"/>
      <c r="BS601" s="1605"/>
      <c r="BT601" s="1605"/>
      <c r="BU601" s="1605"/>
      <c r="BV601" s="1605"/>
      <c r="BW601" s="1605"/>
      <c r="BX601" s="1605"/>
      <c r="BY601" s="1605"/>
      <c r="BZ601" s="1605"/>
      <c r="CA601" s="1605"/>
      <c r="CB601" s="1605"/>
      <c r="CC601" s="1605"/>
      <c r="CD601" s="1605"/>
      <c r="CE601" s="1605"/>
      <c r="CF601" s="1605"/>
      <c r="CG601" s="1605"/>
      <c r="CH601" s="1605"/>
      <c r="CI601" s="1605"/>
      <c r="CJ601" s="1605"/>
      <c r="CK601" s="1605"/>
      <c r="CL601" s="1605"/>
      <c r="CM601" s="1605"/>
      <c r="CN601" s="1605"/>
      <c r="CO601" s="1605"/>
      <c r="CP601" s="1605"/>
      <c r="CQ601" s="1605"/>
      <c r="CR601" s="1605"/>
      <c r="CS601" s="1605"/>
      <c r="CT601" s="1605"/>
      <c r="CU601" s="1605"/>
      <c r="CV601" s="1605"/>
      <c r="CW601" s="1605"/>
      <c r="CX601" s="1605"/>
      <c r="CY601" s="1605"/>
      <c r="CZ601" s="1605"/>
      <c r="DA601" s="1605"/>
      <c r="DB601" s="1605"/>
      <c r="DC601" s="1605"/>
      <c r="DD601" s="1605"/>
      <c r="DE601" s="1605"/>
      <c r="DF601" s="1605"/>
      <c r="DG601" s="1605"/>
      <c r="DH601" s="1605"/>
      <c r="DI601" s="1605"/>
      <c r="DJ601" s="1605"/>
      <c r="DK601" s="1605"/>
      <c r="DL601" s="1605"/>
      <c r="DM601" s="1605"/>
      <c r="DN601" s="1605"/>
      <c r="DO601" s="1605"/>
      <c r="DP601" s="1605"/>
      <c r="DQ601" s="1605"/>
      <c r="DR601" s="1605"/>
      <c r="DS601" s="1605"/>
      <c r="DT601" s="1605"/>
      <c r="DU601" s="1605"/>
      <c r="DV601" s="1605"/>
      <c r="DW601" s="1605"/>
      <c r="DX601" s="1605"/>
      <c r="DY601" s="1605"/>
      <c r="DZ601" s="1605"/>
      <c r="EA601" s="1605"/>
      <c r="EB601" s="1605"/>
      <c r="EC601" s="1605"/>
      <c r="ED601" s="1605"/>
      <c r="EE601" s="1605"/>
      <c r="EF601" s="1605"/>
      <c r="EG601" s="1605"/>
      <c r="EH601" s="1605"/>
      <c r="EI601" s="1605"/>
      <c r="EJ601" s="1605"/>
      <c r="EK601" s="1605"/>
      <c r="EL601" s="1605"/>
      <c r="EM601" s="1605"/>
      <c r="EN601" s="1605"/>
      <c r="EO601" s="1605"/>
      <c r="EP601" s="1605"/>
      <c r="EQ601" s="1605"/>
      <c r="ER601" s="1605"/>
      <c r="ES601" s="1605"/>
      <c r="ET601" s="1605"/>
      <c r="EU601" s="1605"/>
      <c r="EV601" s="1605"/>
      <c r="EW601" s="1605"/>
      <c r="EX601" s="1605"/>
      <c r="EY601" s="1605"/>
      <c r="EZ601" s="1605"/>
      <c r="FA601" s="1605"/>
      <c r="FB601" s="1605"/>
      <c r="FC601" s="1605"/>
      <c r="FD601" s="1605"/>
      <c r="FE601" s="1605"/>
      <c r="FF601" s="1605"/>
      <c r="FG601" s="1605"/>
      <c r="FH601" s="1605"/>
      <c r="FI601" s="1605"/>
      <c r="FJ601" s="1605"/>
      <c r="FK601" s="1605"/>
      <c r="FL601" s="1605"/>
      <c r="FM601" s="1605"/>
      <c r="FN601" s="1605"/>
      <c r="FO601" s="1605"/>
      <c r="FP601" s="1605"/>
      <c r="FQ601" s="1605"/>
      <c r="FR601" s="1605"/>
      <c r="FS601" s="1605"/>
      <c r="FT601" s="1605"/>
      <c r="FU601" s="1605"/>
      <c r="FV601" s="1605"/>
      <c r="FW601" s="1605"/>
      <c r="FX601" s="1605"/>
      <c r="FY601" s="1605"/>
      <c r="FZ601" s="1605"/>
      <c r="GA601" s="1605"/>
      <c r="GB601" s="1605"/>
      <c r="GC601" s="1605"/>
      <c r="GD601" s="1605"/>
      <c r="GE601" s="1605"/>
      <c r="GF601" s="1605"/>
      <c r="GG601" s="1605"/>
      <c r="GH601" s="1605"/>
      <c r="GI601" s="1605"/>
      <c r="GJ601" s="1605"/>
      <c r="GK601" s="1605"/>
      <c r="GL601" s="1605"/>
      <c r="GM601" s="1605"/>
      <c r="GN601" s="1605"/>
      <c r="GO601" s="1605"/>
      <c r="GP601" s="1605"/>
      <c r="GQ601" s="1605"/>
      <c r="GR601" s="1605"/>
      <c r="GS601" s="1605"/>
      <c r="GT601" s="1605"/>
      <c r="GU601" s="1605"/>
      <c r="GV601" s="1605"/>
      <c r="GW601" s="1605"/>
      <c r="GX601" s="1605"/>
      <c r="GY601" s="1605"/>
      <c r="GZ601" s="1605"/>
      <c r="HA601" s="1605"/>
      <c r="HB601" s="1605"/>
      <c r="HC601" s="1605"/>
      <c r="HD601" s="1605"/>
      <c r="HE601" s="1605"/>
      <c r="HF601" s="1605"/>
      <c r="HG601" s="1605"/>
      <c r="HH601" s="1605"/>
      <c r="HI601" s="1605"/>
      <c r="HJ601" s="1605"/>
      <c r="HK601" s="1605"/>
      <c r="HL601" s="1605"/>
      <c r="HM601" s="1605"/>
      <c r="HN601" s="1605"/>
      <c r="HO601" s="1605"/>
      <c r="HP601" s="1605"/>
      <c r="HQ601" s="1605"/>
      <c r="HR601" s="1605"/>
      <c r="HS601" s="1605"/>
      <c r="HT601" s="1605"/>
      <c r="HU601" s="1605"/>
      <c r="HV601" s="1605"/>
      <c r="HW601" s="1605"/>
      <c r="HX601" s="1605"/>
      <c r="HY601" s="1605"/>
      <c r="HZ601" s="1605"/>
      <c r="IA601" s="1605"/>
      <c r="IB601" s="1605"/>
      <c r="IC601" s="1605"/>
      <c r="ID601" s="1605"/>
      <c r="IE601" s="1605"/>
      <c r="IF601" s="1605"/>
      <c r="IG601" s="1605"/>
      <c r="IH601" s="1605"/>
      <c r="II601" s="1605"/>
      <c r="IJ601" s="1605"/>
      <c r="IK601" s="1605"/>
      <c r="IL601" s="1605"/>
      <c r="IM601" s="1605"/>
      <c r="IN601" s="1605"/>
      <c r="IO601" s="1605"/>
      <c r="IP601" s="1605"/>
      <c r="IQ601" s="1605"/>
      <c r="IR601" s="1605"/>
      <c r="IS601" s="1605"/>
      <c r="IT601" s="1605"/>
      <c r="IU601" s="1605"/>
      <c r="IV601" s="1605"/>
      <c r="IW601" s="1605"/>
      <c r="IX601" s="1605"/>
      <c r="IY601" s="1605"/>
      <c r="IZ601" s="1605"/>
      <c r="JA601" s="1605"/>
      <c r="JB601" s="1605"/>
      <c r="JC601" s="1605"/>
      <c r="JD601" s="1605"/>
      <c r="JE601" s="1605"/>
      <c r="JF601" s="1605"/>
      <c r="JG601" s="1605"/>
      <c r="JH601" s="1605"/>
      <c r="JI601" s="1605"/>
      <c r="JJ601" s="1605"/>
      <c r="JK601" s="1605"/>
      <c r="JL601" s="1605"/>
      <c r="JM601" s="1605"/>
      <c r="JN601" s="1605"/>
      <c r="JO601" s="1605"/>
      <c r="JP601" s="1605"/>
      <c r="JQ601" s="1605"/>
      <c r="JR601" s="1605"/>
      <c r="JS601" s="1605"/>
      <c r="JT601" s="1605"/>
      <c r="JU601" s="1605"/>
      <c r="JV601" s="1605"/>
      <c r="JW601" s="1605"/>
      <c r="JX601" s="1605"/>
      <c r="JY601" s="1605"/>
      <c r="JZ601" s="1605"/>
      <c r="KA601" s="1605"/>
      <c r="KB601" s="1606"/>
    </row>
    <row r="602" spans="2:288" ht="15" customHeight="1" x14ac:dyDescent="0.25">
      <c r="B602" s="216" t="str">
        <f t="shared" si="47"/>
        <v>Desk 75</v>
      </c>
      <c r="C602" s="218" t="str">
        <v/>
      </c>
      <c r="D602" s="218" t="str">
        <v/>
      </c>
      <c r="E602" s="218" t="str">
        <v/>
      </c>
      <c r="F602" s="218" t="str">
        <v/>
      </c>
      <c r="G602" s="402" t="str">
        <v/>
      </c>
      <c r="H602" s="1605"/>
      <c r="I602" s="1605"/>
      <c r="J602" s="1605"/>
      <c r="K602" s="1605"/>
      <c r="L602" s="1605"/>
      <c r="M602" s="1605"/>
      <c r="N602" s="1605"/>
      <c r="O602" s="1605"/>
      <c r="P602" s="1605"/>
      <c r="Q602" s="1605"/>
      <c r="R602" s="1605"/>
      <c r="S602" s="1605"/>
      <c r="T602" s="1605"/>
      <c r="U602" s="1605"/>
      <c r="V602" s="1605"/>
      <c r="W602" s="1605"/>
      <c r="X602" s="1605"/>
      <c r="Y602" s="1605"/>
      <c r="Z602" s="1605"/>
      <c r="AA602" s="1605"/>
      <c r="AB602" s="1605"/>
      <c r="AC602" s="1605"/>
      <c r="AD602" s="1605"/>
      <c r="AE602" s="1605"/>
      <c r="AF602" s="1605"/>
      <c r="AG602" s="1605"/>
      <c r="AH602" s="1605"/>
      <c r="AI602" s="1605"/>
      <c r="AJ602" s="1605"/>
      <c r="AK602" s="1605"/>
      <c r="AL602" s="1605"/>
      <c r="AM602" s="1605"/>
      <c r="AN602" s="1605"/>
      <c r="AO602" s="1605"/>
      <c r="AP602" s="1605"/>
      <c r="AQ602" s="1605"/>
      <c r="AR602" s="1605"/>
      <c r="AS602" s="1605"/>
      <c r="AT602" s="1605"/>
      <c r="AU602" s="1605"/>
      <c r="AV602" s="1605"/>
      <c r="AW602" s="1605"/>
      <c r="AX602" s="1605"/>
      <c r="AY602" s="1605"/>
      <c r="AZ602" s="1605"/>
      <c r="BA602" s="1605"/>
      <c r="BB602" s="1605"/>
      <c r="BC602" s="1605"/>
      <c r="BD602" s="1605"/>
      <c r="BE602" s="1605"/>
      <c r="BF602" s="1605"/>
      <c r="BG602" s="1605"/>
      <c r="BH602" s="1605"/>
      <c r="BI602" s="1605"/>
      <c r="BJ602" s="1605"/>
      <c r="BK602" s="1605"/>
      <c r="BL602" s="1605"/>
      <c r="BM602" s="1605"/>
      <c r="BN602" s="1605"/>
      <c r="BO602" s="1605"/>
      <c r="BP602" s="1605"/>
      <c r="BQ602" s="1605"/>
      <c r="BR602" s="1605"/>
      <c r="BS602" s="1605"/>
      <c r="BT602" s="1605"/>
      <c r="BU602" s="1605"/>
      <c r="BV602" s="1605"/>
      <c r="BW602" s="1605"/>
      <c r="BX602" s="1605"/>
      <c r="BY602" s="1605"/>
      <c r="BZ602" s="1605"/>
      <c r="CA602" s="1605"/>
      <c r="CB602" s="1605"/>
      <c r="CC602" s="1605"/>
      <c r="CD602" s="1605"/>
      <c r="CE602" s="1605"/>
      <c r="CF602" s="1605"/>
      <c r="CG602" s="1605"/>
      <c r="CH602" s="1605"/>
      <c r="CI602" s="1605"/>
      <c r="CJ602" s="1605"/>
      <c r="CK602" s="1605"/>
      <c r="CL602" s="1605"/>
      <c r="CM602" s="1605"/>
      <c r="CN602" s="1605"/>
      <c r="CO602" s="1605"/>
      <c r="CP602" s="1605"/>
      <c r="CQ602" s="1605"/>
      <c r="CR602" s="1605"/>
      <c r="CS602" s="1605"/>
      <c r="CT602" s="1605"/>
      <c r="CU602" s="1605"/>
      <c r="CV602" s="1605"/>
      <c r="CW602" s="1605"/>
      <c r="CX602" s="1605"/>
      <c r="CY602" s="1605"/>
      <c r="CZ602" s="1605"/>
      <c r="DA602" s="1605"/>
      <c r="DB602" s="1605"/>
      <c r="DC602" s="1605"/>
      <c r="DD602" s="1605"/>
      <c r="DE602" s="1605"/>
      <c r="DF602" s="1605"/>
      <c r="DG602" s="1605"/>
      <c r="DH602" s="1605"/>
      <c r="DI602" s="1605"/>
      <c r="DJ602" s="1605"/>
      <c r="DK602" s="1605"/>
      <c r="DL602" s="1605"/>
      <c r="DM602" s="1605"/>
      <c r="DN602" s="1605"/>
      <c r="DO602" s="1605"/>
      <c r="DP602" s="1605"/>
      <c r="DQ602" s="1605"/>
      <c r="DR602" s="1605"/>
      <c r="DS602" s="1605"/>
      <c r="DT602" s="1605"/>
      <c r="DU602" s="1605"/>
      <c r="DV602" s="1605"/>
      <c r="DW602" s="1605"/>
      <c r="DX602" s="1605"/>
      <c r="DY602" s="1605"/>
      <c r="DZ602" s="1605"/>
      <c r="EA602" s="1605"/>
      <c r="EB602" s="1605"/>
      <c r="EC602" s="1605"/>
      <c r="ED602" s="1605"/>
      <c r="EE602" s="1605"/>
      <c r="EF602" s="1605"/>
      <c r="EG602" s="1605"/>
      <c r="EH602" s="1605"/>
      <c r="EI602" s="1605"/>
      <c r="EJ602" s="1605"/>
      <c r="EK602" s="1605"/>
      <c r="EL602" s="1605"/>
      <c r="EM602" s="1605"/>
      <c r="EN602" s="1605"/>
      <c r="EO602" s="1605"/>
      <c r="EP602" s="1605"/>
      <c r="EQ602" s="1605"/>
      <c r="ER602" s="1605"/>
      <c r="ES602" s="1605"/>
      <c r="ET602" s="1605"/>
      <c r="EU602" s="1605"/>
      <c r="EV602" s="1605"/>
      <c r="EW602" s="1605"/>
      <c r="EX602" s="1605"/>
      <c r="EY602" s="1605"/>
      <c r="EZ602" s="1605"/>
      <c r="FA602" s="1605"/>
      <c r="FB602" s="1605"/>
      <c r="FC602" s="1605"/>
      <c r="FD602" s="1605"/>
      <c r="FE602" s="1605"/>
      <c r="FF602" s="1605"/>
      <c r="FG602" s="1605"/>
      <c r="FH602" s="1605"/>
      <c r="FI602" s="1605"/>
      <c r="FJ602" s="1605"/>
      <c r="FK602" s="1605"/>
      <c r="FL602" s="1605"/>
      <c r="FM602" s="1605"/>
      <c r="FN602" s="1605"/>
      <c r="FO602" s="1605"/>
      <c r="FP602" s="1605"/>
      <c r="FQ602" s="1605"/>
      <c r="FR602" s="1605"/>
      <c r="FS602" s="1605"/>
      <c r="FT602" s="1605"/>
      <c r="FU602" s="1605"/>
      <c r="FV602" s="1605"/>
      <c r="FW602" s="1605"/>
      <c r="FX602" s="1605"/>
      <c r="FY602" s="1605"/>
      <c r="FZ602" s="1605"/>
      <c r="GA602" s="1605"/>
      <c r="GB602" s="1605"/>
      <c r="GC602" s="1605"/>
      <c r="GD602" s="1605"/>
      <c r="GE602" s="1605"/>
      <c r="GF602" s="1605"/>
      <c r="GG602" s="1605"/>
      <c r="GH602" s="1605"/>
      <c r="GI602" s="1605"/>
      <c r="GJ602" s="1605"/>
      <c r="GK602" s="1605"/>
      <c r="GL602" s="1605"/>
      <c r="GM602" s="1605"/>
      <c r="GN602" s="1605"/>
      <c r="GO602" s="1605"/>
      <c r="GP602" s="1605"/>
      <c r="GQ602" s="1605"/>
      <c r="GR602" s="1605"/>
      <c r="GS602" s="1605"/>
      <c r="GT602" s="1605"/>
      <c r="GU602" s="1605"/>
      <c r="GV602" s="1605"/>
      <c r="GW602" s="1605"/>
      <c r="GX602" s="1605"/>
      <c r="GY602" s="1605"/>
      <c r="GZ602" s="1605"/>
      <c r="HA602" s="1605"/>
      <c r="HB602" s="1605"/>
      <c r="HC602" s="1605"/>
      <c r="HD602" s="1605"/>
      <c r="HE602" s="1605"/>
      <c r="HF602" s="1605"/>
      <c r="HG602" s="1605"/>
      <c r="HH602" s="1605"/>
      <c r="HI602" s="1605"/>
      <c r="HJ602" s="1605"/>
      <c r="HK602" s="1605"/>
      <c r="HL602" s="1605"/>
      <c r="HM602" s="1605"/>
      <c r="HN602" s="1605"/>
      <c r="HO602" s="1605"/>
      <c r="HP602" s="1605"/>
      <c r="HQ602" s="1605"/>
      <c r="HR602" s="1605"/>
      <c r="HS602" s="1605"/>
      <c r="HT602" s="1605"/>
      <c r="HU602" s="1605"/>
      <c r="HV602" s="1605"/>
      <c r="HW602" s="1605"/>
      <c r="HX602" s="1605"/>
      <c r="HY602" s="1605"/>
      <c r="HZ602" s="1605"/>
      <c r="IA602" s="1605"/>
      <c r="IB602" s="1605"/>
      <c r="IC602" s="1605"/>
      <c r="ID602" s="1605"/>
      <c r="IE602" s="1605"/>
      <c r="IF602" s="1605"/>
      <c r="IG602" s="1605"/>
      <c r="IH602" s="1605"/>
      <c r="II602" s="1605"/>
      <c r="IJ602" s="1605"/>
      <c r="IK602" s="1605"/>
      <c r="IL602" s="1605"/>
      <c r="IM602" s="1605"/>
      <c r="IN602" s="1605"/>
      <c r="IO602" s="1605"/>
      <c r="IP602" s="1605"/>
      <c r="IQ602" s="1605"/>
      <c r="IR602" s="1605"/>
      <c r="IS602" s="1605"/>
      <c r="IT602" s="1605"/>
      <c r="IU602" s="1605"/>
      <c r="IV602" s="1605"/>
      <c r="IW602" s="1605"/>
      <c r="IX602" s="1605"/>
      <c r="IY602" s="1605"/>
      <c r="IZ602" s="1605"/>
      <c r="JA602" s="1605"/>
      <c r="JB602" s="1605"/>
      <c r="JC602" s="1605"/>
      <c r="JD602" s="1605"/>
      <c r="JE602" s="1605"/>
      <c r="JF602" s="1605"/>
      <c r="JG602" s="1605"/>
      <c r="JH602" s="1605"/>
      <c r="JI602" s="1605"/>
      <c r="JJ602" s="1605"/>
      <c r="JK602" s="1605"/>
      <c r="JL602" s="1605"/>
      <c r="JM602" s="1605"/>
      <c r="JN602" s="1605"/>
      <c r="JO602" s="1605"/>
      <c r="JP602" s="1605"/>
      <c r="JQ602" s="1605"/>
      <c r="JR602" s="1605"/>
      <c r="JS602" s="1605"/>
      <c r="JT602" s="1605"/>
      <c r="JU602" s="1605"/>
      <c r="JV602" s="1605"/>
      <c r="JW602" s="1605"/>
      <c r="JX602" s="1605"/>
      <c r="JY602" s="1605"/>
      <c r="JZ602" s="1605"/>
      <c r="KA602" s="1605"/>
      <c r="KB602" s="1606"/>
    </row>
    <row r="603" spans="2:288" ht="15" customHeight="1" x14ac:dyDescent="0.25">
      <c r="B603" s="216" t="str">
        <f t="shared" si="47"/>
        <v>Desk 76</v>
      </c>
      <c r="C603" s="218" t="str">
        <v/>
      </c>
      <c r="D603" s="218" t="str">
        <v/>
      </c>
      <c r="E603" s="218" t="str">
        <v/>
      </c>
      <c r="F603" s="218" t="str">
        <v/>
      </c>
      <c r="G603" s="402" t="str">
        <v/>
      </c>
      <c r="H603" s="1605"/>
      <c r="I603" s="1605"/>
      <c r="J603" s="1605"/>
      <c r="K603" s="1605"/>
      <c r="L603" s="1605"/>
      <c r="M603" s="1605"/>
      <c r="N603" s="1605"/>
      <c r="O603" s="1605"/>
      <c r="P603" s="1605"/>
      <c r="Q603" s="1605"/>
      <c r="R603" s="1605"/>
      <c r="S603" s="1605"/>
      <c r="T603" s="1605"/>
      <c r="U603" s="1605"/>
      <c r="V603" s="1605"/>
      <c r="W603" s="1605"/>
      <c r="X603" s="1605"/>
      <c r="Y603" s="1605"/>
      <c r="Z603" s="1605"/>
      <c r="AA603" s="1605"/>
      <c r="AB603" s="1605"/>
      <c r="AC603" s="1605"/>
      <c r="AD603" s="1605"/>
      <c r="AE603" s="1605"/>
      <c r="AF603" s="1605"/>
      <c r="AG603" s="1605"/>
      <c r="AH603" s="1605"/>
      <c r="AI603" s="1605"/>
      <c r="AJ603" s="1605"/>
      <c r="AK603" s="1605"/>
      <c r="AL603" s="1605"/>
      <c r="AM603" s="1605"/>
      <c r="AN603" s="1605"/>
      <c r="AO603" s="1605"/>
      <c r="AP603" s="1605"/>
      <c r="AQ603" s="1605"/>
      <c r="AR603" s="1605"/>
      <c r="AS603" s="1605"/>
      <c r="AT603" s="1605"/>
      <c r="AU603" s="1605"/>
      <c r="AV603" s="1605"/>
      <c r="AW603" s="1605"/>
      <c r="AX603" s="1605"/>
      <c r="AY603" s="1605"/>
      <c r="AZ603" s="1605"/>
      <c r="BA603" s="1605"/>
      <c r="BB603" s="1605"/>
      <c r="BC603" s="1605"/>
      <c r="BD603" s="1605"/>
      <c r="BE603" s="1605"/>
      <c r="BF603" s="1605"/>
      <c r="BG603" s="1605"/>
      <c r="BH603" s="1605"/>
      <c r="BI603" s="1605"/>
      <c r="BJ603" s="1605"/>
      <c r="BK603" s="1605"/>
      <c r="BL603" s="1605"/>
      <c r="BM603" s="1605"/>
      <c r="BN603" s="1605"/>
      <c r="BO603" s="1605"/>
      <c r="BP603" s="1605"/>
      <c r="BQ603" s="1605"/>
      <c r="BR603" s="1605"/>
      <c r="BS603" s="1605"/>
      <c r="BT603" s="1605"/>
      <c r="BU603" s="1605"/>
      <c r="BV603" s="1605"/>
      <c r="BW603" s="1605"/>
      <c r="BX603" s="1605"/>
      <c r="BY603" s="1605"/>
      <c r="BZ603" s="1605"/>
      <c r="CA603" s="1605"/>
      <c r="CB603" s="1605"/>
      <c r="CC603" s="1605"/>
      <c r="CD603" s="1605"/>
      <c r="CE603" s="1605"/>
      <c r="CF603" s="1605"/>
      <c r="CG603" s="1605"/>
      <c r="CH603" s="1605"/>
      <c r="CI603" s="1605"/>
      <c r="CJ603" s="1605"/>
      <c r="CK603" s="1605"/>
      <c r="CL603" s="1605"/>
      <c r="CM603" s="1605"/>
      <c r="CN603" s="1605"/>
      <c r="CO603" s="1605"/>
      <c r="CP603" s="1605"/>
      <c r="CQ603" s="1605"/>
      <c r="CR603" s="1605"/>
      <c r="CS603" s="1605"/>
      <c r="CT603" s="1605"/>
      <c r="CU603" s="1605"/>
      <c r="CV603" s="1605"/>
      <c r="CW603" s="1605"/>
      <c r="CX603" s="1605"/>
      <c r="CY603" s="1605"/>
      <c r="CZ603" s="1605"/>
      <c r="DA603" s="1605"/>
      <c r="DB603" s="1605"/>
      <c r="DC603" s="1605"/>
      <c r="DD603" s="1605"/>
      <c r="DE603" s="1605"/>
      <c r="DF603" s="1605"/>
      <c r="DG603" s="1605"/>
      <c r="DH603" s="1605"/>
      <c r="DI603" s="1605"/>
      <c r="DJ603" s="1605"/>
      <c r="DK603" s="1605"/>
      <c r="DL603" s="1605"/>
      <c r="DM603" s="1605"/>
      <c r="DN603" s="1605"/>
      <c r="DO603" s="1605"/>
      <c r="DP603" s="1605"/>
      <c r="DQ603" s="1605"/>
      <c r="DR603" s="1605"/>
      <c r="DS603" s="1605"/>
      <c r="DT603" s="1605"/>
      <c r="DU603" s="1605"/>
      <c r="DV603" s="1605"/>
      <c r="DW603" s="1605"/>
      <c r="DX603" s="1605"/>
      <c r="DY603" s="1605"/>
      <c r="DZ603" s="1605"/>
      <c r="EA603" s="1605"/>
      <c r="EB603" s="1605"/>
      <c r="EC603" s="1605"/>
      <c r="ED603" s="1605"/>
      <c r="EE603" s="1605"/>
      <c r="EF603" s="1605"/>
      <c r="EG603" s="1605"/>
      <c r="EH603" s="1605"/>
      <c r="EI603" s="1605"/>
      <c r="EJ603" s="1605"/>
      <c r="EK603" s="1605"/>
      <c r="EL603" s="1605"/>
      <c r="EM603" s="1605"/>
      <c r="EN603" s="1605"/>
      <c r="EO603" s="1605"/>
      <c r="EP603" s="1605"/>
      <c r="EQ603" s="1605"/>
      <c r="ER603" s="1605"/>
      <c r="ES603" s="1605"/>
      <c r="ET603" s="1605"/>
      <c r="EU603" s="1605"/>
      <c r="EV603" s="1605"/>
      <c r="EW603" s="1605"/>
      <c r="EX603" s="1605"/>
      <c r="EY603" s="1605"/>
      <c r="EZ603" s="1605"/>
      <c r="FA603" s="1605"/>
      <c r="FB603" s="1605"/>
      <c r="FC603" s="1605"/>
      <c r="FD603" s="1605"/>
      <c r="FE603" s="1605"/>
      <c r="FF603" s="1605"/>
      <c r="FG603" s="1605"/>
      <c r="FH603" s="1605"/>
      <c r="FI603" s="1605"/>
      <c r="FJ603" s="1605"/>
      <c r="FK603" s="1605"/>
      <c r="FL603" s="1605"/>
      <c r="FM603" s="1605"/>
      <c r="FN603" s="1605"/>
      <c r="FO603" s="1605"/>
      <c r="FP603" s="1605"/>
      <c r="FQ603" s="1605"/>
      <c r="FR603" s="1605"/>
      <c r="FS603" s="1605"/>
      <c r="FT603" s="1605"/>
      <c r="FU603" s="1605"/>
      <c r="FV603" s="1605"/>
      <c r="FW603" s="1605"/>
      <c r="FX603" s="1605"/>
      <c r="FY603" s="1605"/>
      <c r="FZ603" s="1605"/>
      <c r="GA603" s="1605"/>
      <c r="GB603" s="1605"/>
      <c r="GC603" s="1605"/>
      <c r="GD603" s="1605"/>
      <c r="GE603" s="1605"/>
      <c r="GF603" s="1605"/>
      <c r="GG603" s="1605"/>
      <c r="GH603" s="1605"/>
      <c r="GI603" s="1605"/>
      <c r="GJ603" s="1605"/>
      <c r="GK603" s="1605"/>
      <c r="GL603" s="1605"/>
      <c r="GM603" s="1605"/>
      <c r="GN603" s="1605"/>
      <c r="GO603" s="1605"/>
      <c r="GP603" s="1605"/>
      <c r="GQ603" s="1605"/>
      <c r="GR603" s="1605"/>
      <c r="GS603" s="1605"/>
      <c r="GT603" s="1605"/>
      <c r="GU603" s="1605"/>
      <c r="GV603" s="1605"/>
      <c r="GW603" s="1605"/>
      <c r="GX603" s="1605"/>
      <c r="GY603" s="1605"/>
      <c r="GZ603" s="1605"/>
      <c r="HA603" s="1605"/>
      <c r="HB603" s="1605"/>
      <c r="HC603" s="1605"/>
      <c r="HD603" s="1605"/>
      <c r="HE603" s="1605"/>
      <c r="HF603" s="1605"/>
      <c r="HG603" s="1605"/>
      <c r="HH603" s="1605"/>
      <c r="HI603" s="1605"/>
      <c r="HJ603" s="1605"/>
      <c r="HK603" s="1605"/>
      <c r="HL603" s="1605"/>
      <c r="HM603" s="1605"/>
      <c r="HN603" s="1605"/>
      <c r="HO603" s="1605"/>
      <c r="HP603" s="1605"/>
      <c r="HQ603" s="1605"/>
      <c r="HR603" s="1605"/>
      <c r="HS603" s="1605"/>
      <c r="HT603" s="1605"/>
      <c r="HU603" s="1605"/>
      <c r="HV603" s="1605"/>
      <c r="HW603" s="1605"/>
      <c r="HX603" s="1605"/>
      <c r="HY603" s="1605"/>
      <c r="HZ603" s="1605"/>
      <c r="IA603" s="1605"/>
      <c r="IB603" s="1605"/>
      <c r="IC603" s="1605"/>
      <c r="ID603" s="1605"/>
      <c r="IE603" s="1605"/>
      <c r="IF603" s="1605"/>
      <c r="IG603" s="1605"/>
      <c r="IH603" s="1605"/>
      <c r="II603" s="1605"/>
      <c r="IJ603" s="1605"/>
      <c r="IK603" s="1605"/>
      <c r="IL603" s="1605"/>
      <c r="IM603" s="1605"/>
      <c r="IN603" s="1605"/>
      <c r="IO603" s="1605"/>
      <c r="IP603" s="1605"/>
      <c r="IQ603" s="1605"/>
      <c r="IR603" s="1605"/>
      <c r="IS603" s="1605"/>
      <c r="IT603" s="1605"/>
      <c r="IU603" s="1605"/>
      <c r="IV603" s="1605"/>
      <c r="IW603" s="1605"/>
      <c r="IX603" s="1605"/>
      <c r="IY603" s="1605"/>
      <c r="IZ603" s="1605"/>
      <c r="JA603" s="1605"/>
      <c r="JB603" s="1605"/>
      <c r="JC603" s="1605"/>
      <c r="JD603" s="1605"/>
      <c r="JE603" s="1605"/>
      <c r="JF603" s="1605"/>
      <c r="JG603" s="1605"/>
      <c r="JH603" s="1605"/>
      <c r="JI603" s="1605"/>
      <c r="JJ603" s="1605"/>
      <c r="JK603" s="1605"/>
      <c r="JL603" s="1605"/>
      <c r="JM603" s="1605"/>
      <c r="JN603" s="1605"/>
      <c r="JO603" s="1605"/>
      <c r="JP603" s="1605"/>
      <c r="JQ603" s="1605"/>
      <c r="JR603" s="1605"/>
      <c r="JS603" s="1605"/>
      <c r="JT603" s="1605"/>
      <c r="JU603" s="1605"/>
      <c r="JV603" s="1605"/>
      <c r="JW603" s="1605"/>
      <c r="JX603" s="1605"/>
      <c r="JY603" s="1605"/>
      <c r="JZ603" s="1605"/>
      <c r="KA603" s="1605"/>
      <c r="KB603" s="1606"/>
    </row>
    <row r="604" spans="2:288" ht="15" customHeight="1" x14ac:dyDescent="0.25">
      <c r="B604" s="216" t="str">
        <f t="shared" si="47"/>
        <v>Desk 77</v>
      </c>
      <c r="C604" s="218" t="str">
        <v/>
      </c>
      <c r="D604" s="218" t="str">
        <v/>
      </c>
      <c r="E604" s="218" t="str">
        <v/>
      </c>
      <c r="F604" s="218" t="str">
        <v/>
      </c>
      <c r="G604" s="402" t="str">
        <v/>
      </c>
      <c r="H604" s="1605"/>
      <c r="I604" s="1605"/>
      <c r="J604" s="1605"/>
      <c r="K604" s="1605"/>
      <c r="L604" s="1605"/>
      <c r="M604" s="1605"/>
      <c r="N604" s="1605"/>
      <c r="O604" s="1605"/>
      <c r="P604" s="1605"/>
      <c r="Q604" s="1605"/>
      <c r="R604" s="1605"/>
      <c r="S604" s="1605"/>
      <c r="T604" s="1605"/>
      <c r="U604" s="1605"/>
      <c r="V604" s="1605"/>
      <c r="W604" s="1605"/>
      <c r="X604" s="1605"/>
      <c r="Y604" s="1605"/>
      <c r="Z604" s="1605"/>
      <c r="AA604" s="1605"/>
      <c r="AB604" s="1605"/>
      <c r="AC604" s="1605"/>
      <c r="AD604" s="1605"/>
      <c r="AE604" s="1605"/>
      <c r="AF604" s="1605"/>
      <c r="AG604" s="1605"/>
      <c r="AH604" s="1605"/>
      <c r="AI604" s="1605"/>
      <c r="AJ604" s="1605"/>
      <c r="AK604" s="1605"/>
      <c r="AL604" s="1605"/>
      <c r="AM604" s="1605"/>
      <c r="AN604" s="1605"/>
      <c r="AO604" s="1605"/>
      <c r="AP604" s="1605"/>
      <c r="AQ604" s="1605"/>
      <c r="AR604" s="1605"/>
      <c r="AS604" s="1605"/>
      <c r="AT604" s="1605"/>
      <c r="AU604" s="1605"/>
      <c r="AV604" s="1605"/>
      <c r="AW604" s="1605"/>
      <c r="AX604" s="1605"/>
      <c r="AY604" s="1605"/>
      <c r="AZ604" s="1605"/>
      <c r="BA604" s="1605"/>
      <c r="BB604" s="1605"/>
      <c r="BC604" s="1605"/>
      <c r="BD604" s="1605"/>
      <c r="BE604" s="1605"/>
      <c r="BF604" s="1605"/>
      <c r="BG604" s="1605"/>
      <c r="BH604" s="1605"/>
      <c r="BI604" s="1605"/>
      <c r="BJ604" s="1605"/>
      <c r="BK604" s="1605"/>
      <c r="BL604" s="1605"/>
      <c r="BM604" s="1605"/>
      <c r="BN604" s="1605"/>
      <c r="BO604" s="1605"/>
      <c r="BP604" s="1605"/>
      <c r="BQ604" s="1605"/>
      <c r="BR604" s="1605"/>
      <c r="BS604" s="1605"/>
      <c r="BT604" s="1605"/>
      <c r="BU604" s="1605"/>
      <c r="BV604" s="1605"/>
      <c r="BW604" s="1605"/>
      <c r="BX604" s="1605"/>
      <c r="BY604" s="1605"/>
      <c r="BZ604" s="1605"/>
      <c r="CA604" s="1605"/>
      <c r="CB604" s="1605"/>
      <c r="CC604" s="1605"/>
      <c r="CD604" s="1605"/>
      <c r="CE604" s="1605"/>
      <c r="CF604" s="1605"/>
      <c r="CG604" s="1605"/>
      <c r="CH604" s="1605"/>
      <c r="CI604" s="1605"/>
      <c r="CJ604" s="1605"/>
      <c r="CK604" s="1605"/>
      <c r="CL604" s="1605"/>
      <c r="CM604" s="1605"/>
      <c r="CN604" s="1605"/>
      <c r="CO604" s="1605"/>
      <c r="CP604" s="1605"/>
      <c r="CQ604" s="1605"/>
      <c r="CR604" s="1605"/>
      <c r="CS604" s="1605"/>
      <c r="CT604" s="1605"/>
      <c r="CU604" s="1605"/>
      <c r="CV604" s="1605"/>
      <c r="CW604" s="1605"/>
      <c r="CX604" s="1605"/>
      <c r="CY604" s="1605"/>
      <c r="CZ604" s="1605"/>
      <c r="DA604" s="1605"/>
      <c r="DB604" s="1605"/>
      <c r="DC604" s="1605"/>
      <c r="DD604" s="1605"/>
      <c r="DE604" s="1605"/>
      <c r="DF604" s="1605"/>
      <c r="DG604" s="1605"/>
      <c r="DH604" s="1605"/>
      <c r="DI604" s="1605"/>
      <c r="DJ604" s="1605"/>
      <c r="DK604" s="1605"/>
      <c r="DL604" s="1605"/>
      <c r="DM604" s="1605"/>
      <c r="DN604" s="1605"/>
      <c r="DO604" s="1605"/>
      <c r="DP604" s="1605"/>
      <c r="DQ604" s="1605"/>
      <c r="DR604" s="1605"/>
      <c r="DS604" s="1605"/>
      <c r="DT604" s="1605"/>
      <c r="DU604" s="1605"/>
      <c r="DV604" s="1605"/>
      <c r="DW604" s="1605"/>
      <c r="DX604" s="1605"/>
      <c r="DY604" s="1605"/>
      <c r="DZ604" s="1605"/>
      <c r="EA604" s="1605"/>
      <c r="EB604" s="1605"/>
      <c r="EC604" s="1605"/>
      <c r="ED604" s="1605"/>
      <c r="EE604" s="1605"/>
      <c r="EF604" s="1605"/>
      <c r="EG604" s="1605"/>
      <c r="EH604" s="1605"/>
      <c r="EI604" s="1605"/>
      <c r="EJ604" s="1605"/>
      <c r="EK604" s="1605"/>
      <c r="EL604" s="1605"/>
      <c r="EM604" s="1605"/>
      <c r="EN604" s="1605"/>
      <c r="EO604" s="1605"/>
      <c r="EP604" s="1605"/>
      <c r="EQ604" s="1605"/>
      <c r="ER604" s="1605"/>
      <c r="ES604" s="1605"/>
      <c r="ET604" s="1605"/>
      <c r="EU604" s="1605"/>
      <c r="EV604" s="1605"/>
      <c r="EW604" s="1605"/>
      <c r="EX604" s="1605"/>
      <c r="EY604" s="1605"/>
      <c r="EZ604" s="1605"/>
      <c r="FA604" s="1605"/>
      <c r="FB604" s="1605"/>
      <c r="FC604" s="1605"/>
      <c r="FD604" s="1605"/>
      <c r="FE604" s="1605"/>
      <c r="FF604" s="1605"/>
      <c r="FG604" s="1605"/>
      <c r="FH604" s="1605"/>
      <c r="FI604" s="1605"/>
      <c r="FJ604" s="1605"/>
      <c r="FK604" s="1605"/>
      <c r="FL604" s="1605"/>
      <c r="FM604" s="1605"/>
      <c r="FN604" s="1605"/>
      <c r="FO604" s="1605"/>
      <c r="FP604" s="1605"/>
      <c r="FQ604" s="1605"/>
      <c r="FR604" s="1605"/>
      <c r="FS604" s="1605"/>
      <c r="FT604" s="1605"/>
      <c r="FU604" s="1605"/>
      <c r="FV604" s="1605"/>
      <c r="FW604" s="1605"/>
      <c r="FX604" s="1605"/>
      <c r="FY604" s="1605"/>
      <c r="FZ604" s="1605"/>
      <c r="GA604" s="1605"/>
      <c r="GB604" s="1605"/>
      <c r="GC604" s="1605"/>
      <c r="GD604" s="1605"/>
      <c r="GE604" s="1605"/>
      <c r="GF604" s="1605"/>
      <c r="GG604" s="1605"/>
      <c r="GH604" s="1605"/>
      <c r="GI604" s="1605"/>
      <c r="GJ604" s="1605"/>
      <c r="GK604" s="1605"/>
      <c r="GL604" s="1605"/>
      <c r="GM604" s="1605"/>
      <c r="GN604" s="1605"/>
      <c r="GO604" s="1605"/>
      <c r="GP604" s="1605"/>
      <c r="GQ604" s="1605"/>
      <c r="GR604" s="1605"/>
      <c r="GS604" s="1605"/>
      <c r="GT604" s="1605"/>
      <c r="GU604" s="1605"/>
      <c r="GV604" s="1605"/>
      <c r="GW604" s="1605"/>
      <c r="GX604" s="1605"/>
      <c r="GY604" s="1605"/>
      <c r="GZ604" s="1605"/>
      <c r="HA604" s="1605"/>
      <c r="HB604" s="1605"/>
      <c r="HC604" s="1605"/>
      <c r="HD604" s="1605"/>
      <c r="HE604" s="1605"/>
      <c r="HF604" s="1605"/>
      <c r="HG604" s="1605"/>
      <c r="HH604" s="1605"/>
      <c r="HI604" s="1605"/>
      <c r="HJ604" s="1605"/>
      <c r="HK604" s="1605"/>
      <c r="HL604" s="1605"/>
      <c r="HM604" s="1605"/>
      <c r="HN604" s="1605"/>
      <c r="HO604" s="1605"/>
      <c r="HP604" s="1605"/>
      <c r="HQ604" s="1605"/>
      <c r="HR604" s="1605"/>
      <c r="HS604" s="1605"/>
      <c r="HT604" s="1605"/>
      <c r="HU604" s="1605"/>
      <c r="HV604" s="1605"/>
      <c r="HW604" s="1605"/>
      <c r="HX604" s="1605"/>
      <c r="HY604" s="1605"/>
      <c r="HZ604" s="1605"/>
      <c r="IA604" s="1605"/>
      <c r="IB604" s="1605"/>
      <c r="IC604" s="1605"/>
      <c r="ID604" s="1605"/>
      <c r="IE604" s="1605"/>
      <c r="IF604" s="1605"/>
      <c r="IG604" s="1605"/>
      <c r="IH604" s="1605"/>
      <c r="II604" s="1605"/>
      <c r="IJ604" s="1605"/>
      <c r="IK604" s="1605"/>
      <c r="IL604" s="1605"/>
      <c r="IM604" s="1605"/>
      <c r="IN604" s="1605"/>
      <c r="IO604" s="1605"/>
      <c r="IP604" s="1605"/>
      <c r="IQ604" s="1605"/>
      <c r="IR604" s="1605"/>
      <c r="IS604" s="1605"/>
      <c r="IT604" s="1605"/>
      <c r="IU604" s="1605"/>
      <c r="IV604" s="1605"/>
      <c r="IW604" s="1605"/>
      <c r="IX604" s="1605"/>
      <c r="IY604" s="1605"/>
      <c r="IZ604" s="1605"/>
      <c r="JA604" s="1605"/>
      <c r="JB604" s="1605"/>
      <c r="JC604" s="1605"/>
      <c r="JD604" s="1605"/>
      <c r="JE604" s="1605"/>
      <c r="JF604" s="1605"/>
      <c r="JG604" s="1605"/>
      <c r="JH604" s="1605"/>
      <c r="JI604" s="1605"/>
      <c r="JJ604" s="1605"/>
      <c r="JK604" s="1605"/>
      <c r="JL604" s="1605"/>
      <c r="JM604" s="1605"/>
      <c r="JN604" s="1605"/>
      <c r="JO604" s="1605"/>
      <c r="JP604" s="1605"/>
      <c r="JQ604" s="1605"/>
      <c r="JR604" s="1605"/>
      <c r="JS604" s="1605"/>
      <c r="JT604" s="1605"/>
      <c r="JU604" s="1605"/>
      <c r="JV604" s="1605"/>
      <c r="JW604" s="1605"/>
      <c r="JX604" s="1605"/>
      <c r="JY604" s="1605"/>
      <c r="JZ604" s="1605"/>
      <c r="KA604" s="1605"/>
      <c r="KB604" s="1606"/>
    </row>
    <row r="605" spans="2:288" ht="15" customHeight="1" x14ac:dyDescent="0.25">
      <c r="B605" s="216" t="str">
        <f t="shared" si="47"/>
        <v>Desk 78</v>
      </c>
      <c r="C605" s="218" t="str">
        <v/>
      </c>
      <c r="D605" s="218" t="str">
        <v/>
      </c>
      <c r="E605" s="218" t="str">
        <v/>
      </c>
      <c r="F605" s="218" t="str">
        <v/>
      </c>
      <c r="G605" s="402" t="str">
        <v/>
      </c>
      <c r="H605" s="1605"/>
      <c r="I605" s="1605"/>
      <c r="J605" s="1605"/>
      <c r="K605" s="1605"/>
      <c r="L605" s="1605"/>
      <c r="M605" s="1605"/>
      <c r="N605" s="1605"/>
      <c r="O605" s="1605"/>
      <c r="P605" s="1605"/>
      <c r="Q605" s="1605"/>
      <c r="R605" s="1605"/>
      <c r="S605" s="1605"/>
      <c r="T605" s="1605"/>
      <c r="U605" s="1605"/>
      <c r="V605" s="1605"/>
      <c r="W605" s="1605"/>
      <c r="X605" s="1605"/>
      <c r="Y605" s="1605"/>
      <c r="Z605" s="1605"/>
      <c r="AA605" s="1605"/>
      <c r="AB605" s="1605"/>
      <c r="AC605" s="1605"/>
      <c r="AD605" s="1605"/>
      <c r="AE605" s="1605"/>
      <c r="AF605" s="1605"/>
      <c r="AG605" s="1605"/>
      <c r="AH605" s="1605"/>
      <c r="AI605" s="1605"/>
      <c r="AJ605" s="1605"/>
      <c r="AK605" s="1605"/>
      <c r="AL605" s="1605"/>
      <c r="AM605" s="1605"/>
      <c r="AN605" s="1605"/>
      <c r="AO605" s="1605"/>
      <c r="AP605" s="1605"/>
      <c r="AQ605" s="1605"/>
      <c r="AR605" s="1605"/>
      <c r="AS605" s="1605"/>
      <c r="AT605" s="1605"/>
      <c r="AU605" s="1605"/>
      <c r="AV605" s="1605"/>
      <c r="AW605" s="1605"/>
      <c r="AX605" s="1605"/>
      <c r="AY605" s="1605"/>
      <c r="AZ605" s="1605"/>
      <c r="BA605" s="1605"/>
      <c r="BB605" s="1605"/>
      <c r="BC605" s="1605"/>
      <c r="BD605" s="1605"/>
      <c r="BE605" s="1605"/>
      <c r="BF605" s="1605"/>
      <c r="BG605" s="1605"/>
      <c r="BH605" s="1605"/>
      <c r="BI605" s="1605"/>
      <c r="BJ605" s="1605"/>
      <c r="BK605" s="1605"/>
      <c r="BL605" s="1605"/>
      <c r="BM605" s="1605"/>
      <c r="BN605" s="1605"/>
      <c r="BO605" s="1605"/>
      <c r="BP605" s="1605"/>
      <c r="BQ605" s="1605"/>
      <c r="BR605" s="1605"/>
      <c r="BS605" s="1605"/>
      <c r="BT605" s="1605"/>
      <c r="BU605" s="1605"/>
      <c r="BV605" s="1605"/>
      <c r="BW605" s="1605"/>
      <c r="BX605" s="1605"/>
      <c r="BY605" s="1605"/>
      <c r="BZ605" s="1605"/>
      <c r="CA605" s="1605"/>
      <c r="CB605" s="1605"/>
      <c r="CC605" s="1605"/>
      <c r="CD605" s="1605"/>
      <c r="CE605" s="1605"/>
      <c r="CF605" s="1605"/>
      <c r="CG605" s="1605"/>
      <c r="CH605" s="1605"/>
      <c r="CI605" s="1605"/>
      <c r="CJ605" s="1605"/>
      <c r="CK605" s="1605"/>
      <c r="CL605" s="1605"/>
      <c r="CM605" s="1605"/>
      <c r="CN605" s="1605"/>
      <c r="CO605" s="1605"/>
      <c r="CP605" s="1605"/>
      <c r="CQ605" s="1605"/>
      <c r="CR605" s="1605"/>
      <c r="CS605" s="1605"/>
      <c r="CT605" s="1605"/>
      <c r="CU605" s="1605"/>
      <c r="CV605" s="1605"/>
      <c r="CW605" s="1605"/>
      <c r="CX605" s="1605"/>
      <c r="CY605" s="1605"/>
      <c r="CZ605" s="1605"/>
      <c r="DA605" s="1605"/>
      <c r="DB605" s="1605"/>
      <c r="DC605" s="1605"/>
      <c r="DD605" s="1605"/>
      <c r="DE605" s="1605"/>
      <c r="DF605" s="1605"/>
      <c r="DG605" s="1605"/>
      <c r="DH605" s="1605"/>
      <c r="DI605" s="1605"/>
      <c r="DJ605" s="1605"/>
      <c r="DK605" s="1605"/>
      <c r="DL605" s="1605"/>
      <c r="DM605" s="1605"/>
      <c r="DN605" s="1605"/>
      <c r="DO605" s="1605"/>
      <c r="DP605" s="1605"/>
      <c r="DQ605" s="1605"/>
      <c r="DR605" s="1605"/>
      <c r="DS605" s="1605"/>
      <c r="DT605" s="1605"/>
      <c r="DU605" s="1605"/>
      <c r="DV605" s="1605"/>
      <c r="DW605" s="1605"/>
      <c r="DX605" s="1605"/>
      <c r="DY605" s="1605"/>
      <c r="DZ605" s="1605"/>
      <c r="EA605" s="1605"/>
      <c r="EB605" s="1605"/>
      <c r="EC605" s="1605"/>
      <c r="ED605" s="1605"/>
      <c r="EE605" s="1605"/>
      <c r="EF605" s="1605"/>
      <c r="EG605" s="1605"/>
      <c r="EH605" s="1605"/>
      <c r="EI605" s="1605"/>
      <c r="EJ605" s="1605"/>
      <c r="EK605" s="1605"/>
      <c r="EL605" s="1605"/>
      <c r="EM605" s="1605"/>
      <c r="EN605" s="1605"/>
      <c r="EO605" s="1605"/>
      <c r="EP605" s="1605"/>
      <c r="EQ605" s="1605"/>
      <c r="ER605" s="1605"/>
      <c r="ES605" s="1605"/>
      <c r="ET605" s="1605"/>
      <c r="EU605" s="1605"/>
      <c r="EV605" s="1605"/>
      <c r="EW605" s="1605"/>
      <c r="EX605" s="1605"/>
      <c r="EY605" s="1605"/>
      <c r="EZ605" s="1605"/>
      <c r="FA605" s="1605"/>
      <c r="FB605" s="1605"/>
      <c r="FC605" s="1605"/>
      <c r="FD605" s="1605"/>
      <c r="FE605" s="1605"/>
      <c r="FF605" s="1605"/>
      <c r="FG605" s="1605"/>
      <c r="FH605" s="1605"/>
      <c r="FI605" s="1605"/>
      <c r="FJ605" s="1605"/>
      <c r="FK605" s="1605"/>
      <c r="FL605" s="1605"/>
      <c r="FM605" s="1605"/>
      <c r="FN605" s="1605"/>
      <c r="FO605" s="1605"/>
      <c r="FP605" s="1605"/>
      <c r="FQ605" s="1605"/>
      <c r="FR605" s="1605"/>
      <c r="FS605" s="1605"/>
      <c r="FT605" s="1605"/>
      <c r="FU605" s="1605"/>
      <c r="FV605" s="1605"/>
      <c r="FW605" s="1605"/>
      <c r="FX605" s="1605"/>
      <c r="FY605" s="1605"/>
      <c r="FZ605" s="1605"/>
      <c r="GA605" s="1605"/>
      <c r="GB605" s="1605"/>
      <c r="GC605" s="1605"/>
      <c r="GD605" s="1605"/>
      <c r="GE605" s="1605"/>
      <c r="GF605" s="1605"/>
      <c r="GG605" s="1605"/>
      <c r="GH605" s="1605"/>
      <c r="GI605" s="1605"/>
      <c r="GJ605" s="1605"/>
      <c r="GK605" s="1605"/>
      <c r="GL605" s="1605"/>
      <c r="GM605" s="1605"/>
      <c r="GN605" s="1605"/>
      <c r="GO605" s="1605"/>
      <c r="GP605" s="1605"/>
      <c r="GQ605" s="1605"/>
      <c r="GR605" s="1605"/>
      <c r="GS605" s="1605"/>
      <c r="GT605" s="1605"/>
      <c r="GU605" s="1605"/>
      <c r="GV605" s="1605"/>
      <c r="GW605" s="1605"/>
      <c r="GX605" s="1605"/>
      <c r="GY605" s="1605"/>
      <c r="GZ605" s="1605"/>
      <c r="HA605" s="1605"/>
      <c r="HB605" s="1605"/>
      <c r="HC605" s="1605"/>
      <c r="HD605" s="1605"/>
      <c r="HE605" s="1605"/>
      <c r="HF605" s="1605"/>
      <c r="HG605" s="1605"/>
      <c r="HH605" s="1605"/>
      <c r="HI605" s="1605"/>
      <c r="HJ605" s="1605"/>
      <c r="HK605" s="1605"/>
      <c r="HL605" s="1605"/>
      <c r="HM605" s="1605"/>
      <c r="HN605" s="1605"/>
      <c r="HO605" s="1605"/>
      <c r="HP605" s="1605"/>
      <c r="HQ605" s="1605"/>
      <c r="HR605" s="1605"/>
      <c r="HS605" s="1605"/>
      <c r="HT605" s="1605"/>
      <c r="HU605" s="1605"/>
      <c r="HV605" s="1605"/>
      <c r="HW605" s="1605"/>
      <c r="HX605" s="1605"/>
      <c r="HY605" s="1605"/>
      <c r="HZ605" s="1605"/>
      <c r="IA605" s="1605"/>
      <c r="IB605" s="1605"/>
      <c r="IC605" s="1605"/>
      <c r="ID605" s="1605"/>
      <c r="IE605" s="1605"/>
      <c r="IF605" s="1605"/>
      <c r="IG605" s="1605"/>
      <c r="IH605" s="1605"/>
      <c r="II605" s="1605"/>
      <c r="IJ605" s="1605"/>
      <c r="IK605" s="1605"/>
      <c r="IL605" s="1605"/>
      <c r="IM605" s="1605"/>
      <c r="IN605" s="1605"/>
      <c r="IO605" s="1605"/>
      <c r="IP605" s="1605"/>
      <c r="IQ605" s="1605"/>
      <c r="IR605" s="1605"/>
      <c r="IS605" s="1605"/>
      <c r="IT605" s="1605"/>
      <c r="IU605" s="1605"/>
      <c r="IV605" s="1605"/>
      <c r="IW605" s="1605"/>
      <c r="IX605" s="1605"/>
      <c r="IY605" s="1605"/>
      <c r="IZ605" s="1605"/>
      <c r="JA605" s="1605"/>
      <c r="JB605" s="1605"/>
      <c r="JC605" s="1605"/>
      <c r="JD605" s="1605"/>
      <c r="JE605" s="1605"/>
      <c r="JF605" s="1605"/>
      <c r="JG605" s="1605"/>
      <c r="JH605" s="1605"/>
      <c r="JI605" s="1605"/>
      <c r="JJ605" s="1605"/>
      <c r="JK605" s="1605"/>
      <c r="JL605" s="1605"/>
      <c r="JM605" s="1605"/>
      <c r="JN605" s="1605"/>
      <c r="JO605" s="1605"/>
      <c r="JP605" s="1605"/>
      <c r="JQ605" s="1605"/>
      <c r="JR605" s="1605"/>
      <c r="JS605" s="1605"/>
      <c r="JT605" s="1605"/>
      <c r="JU605" s="1605"/>
      <c r="JV605" s="1605"/>
      <c r="JW605" s="1605"/>
      <c r="JX605" s="1605"/>
      <c r="JY605" s="1605"/>
      <c r="JZ605" s="1605"/>
      <c r="KA605" s="1605"/>
      <c r="KB605" s="1606"/>
    </row>
    <row r="606" spans="2:288" ht="15" customHeight="1" x14ac:dyDescent="0.25">
      <c r="B606" s="216" t="str">
        <f t="shared" si="47"/>
        <v>Desk 79</v>
      </c>
      <c r="C606" s="218" t="str">
        <v/>
      </c>
      <c r="D606" s="218" t="str">
        <v/>
      </c>
      <c r="E606" s="218" t="str">
        <v/>
      </c>
      <c r="F606" s="218" t="str">
        <v/>
      </c>
      <c r="G606" s="402" t="str">
        <v/>
      </c>
      <c r="H606" s="1605"/>
      <c r="I606" s="1605"/>
      <c r="J606" s="1605"/>
      <c r="K606" s="1605"/>
      <c r="L606" s="1605"/>
      <c r="M606" s="1605"/>
      <c r="N606" s="1605"/>
      <c r="O606" s="1605"/>
      <c r="P606" s="1605"/>
      <c r="Q606" s="1605"/>
      <c r="R606" s="1605"/>
      <c r="S606" s="1605"/>
      <c r="T606" s="1605"/>
      <c r="U606" s="1605"/>
      <c r="V606" s="1605"/>
      <c r="W606" s="1605"/>
      <c r="X606" s="1605"/>
      <c r="Y606" s="1605"/>
      <c r="Z606" s="1605"/>
      <c r="AA606" s="1605"/>
      <c r="AB606" s="1605"/>
      <c r="AC606" s="1605"/>
      <c r="AD606" s="1605"/>
      <c r="AE606" s="1605"/>
      <c r="AF606" s="1605"/>
      <c r="AG606" s="1605"/>
      <c r="AH606" s="1605"/>
      <c r="AI606" s="1605"/>
      <c r="AJ606" s="1605"/>
      <c r="AK606" s="1605"/>
      <c r="AL606" s="1605"/>
      <c r="AM606" s="1605"/>
      <c r="AN606" s="1605"/>
      <c r="AO606" s="1605"/>
      <c r="AP606" s="1605"/>
      <c r="AQ606" s="1605"/>
      <c r="AR606" s="1605"/>
      <c r="AS606" s="1605"/>
      <c r="AT606" s="1605"/>
      <c r="AU606" s="1605"/>
      <c r="AV606" s="1605"/>
      <c r="AW606" s="1605"/>
      <c r="AX606" s="1605"/>
      <c r="AY606" s="1605"/>
      <c r="AZ606" s="1605"/>
      <c r="BA606" s="1605"/>
      <c r="BB606" s="1605"/>
      <c r="BC606" s="1605"/>
      <c r="BD606" s="1605"/>
      <c r="BE606" s="1605"/>
      <c r="BF606" s="1605"/>
      <c r="BG606" s="1605"/>
      <c r="BH606" s="1605"/>
      <c r="BI606" s="1605"/>
      <c r="BJ606" s="1605"/>
      <c r="BK606" s="1605"/>
      <c r="BL606" s="1605"/>
      <c r="BM606" s="1605"/>
      <c r="BN606" s="1605"/>
      <c r="BO606" s="1605"/>
      <c r="BP606" s="1605"/>
      <c r="BQ606" s="1605"/>
      <c r="BR606" s="1605"/>
      <c r="BS606" s="1605"/>
      <c r="BT606" s="1605"/>
      <c r="BU606" s="1605"/>
      <c r="BV606" s="1605"/>
      <c r="BW606" s="1605"/>
      <c r="BX606" s="1605"/>
      <c r="BY606" s="1605"/>
      <c r="BZ606" s="1605"/>
      <c r="CA606" s="1605"/>
      <c r="CB606" s="1605"/>
      <c r="CC606" s="1605"/>
      <c r="CD606" s="1605"/>
      <c r="CE606" s="1605"/>
      <c r="CF606" s="1605"/>
      <c r="CG606" s="1605"/>
      <c r="CH606" s="1605"/>
      <c r="CI606" s="1605"/>
      <c r="CJ606" s="1605"/>
      <c r="CK606" s="1605"/>
      <c r="CL606" s="1605"/>
      <c r="CM606" s="1605"/>
      <c r="CN606" s="1605"/>
      <c r="CO606" s="1605"/>
      <c r="CP606" s="1605"/>
      <c r="CQ606" s="1605"/>
      <c r="CR606" s="1605"/>
      <c r="CS606" s="1605"/>
      <c r="CT606" s="1605"/>
      <c r="CU606" s="1605"/>
      <c r="CV606" s="1605"/>
      <c r="CW606" s="1605"/>
      <c r="CX606" s="1605"/>
      <c r="CY606" s="1605"/>
      <c r="CZ606" s="1605"/>
      <c r="DA606" s="1605"/>
      <c r="DB606" s="1605"/>
      <c r="DC606" s="1605"/>
      <c r="DD606" s="1605"/>
      <c r="DE606" s="1605"/>
      <c r="DF606" s="1605"/>
      <c r="DG606" s="1605"/>
      <c r="DH606" s="1605"/>
      <c r="DI606" s="1605"/>
      <c r="DJ606" s="1605"/>
      <c r="DK606" s="1605"/>
      <c r="DL606" s="1605"/>
      <c r="DM606" s="1605"/>
      <c r="DN606" s="1605"/>
      <c r="DO606" s="1605"/>
      <c r="DP606" s="1605"/>
      <c r="DQ606" s="1605"/>
      <c r="DR606" s="1605"/>
      <c r="DS606" s="1605"/>
      <c r="DT606" s="1605"/>
      <c r="DU606" s="1605"/>
      <c r="DV606" s="1605"/>
      <c r="DW606" s="1605"/>
      <c r="DX606" s="1605"/>
      <c r="DY606" s="1605"/>
      <c r="DZ606" s="1605"/>
      <c r="EA606" s="1605"/>
      <c r="EB606" s="1605"/>
      <c r="EC606" s="1605"/>
      <c r="ED606" s="1605"/>
      <c r="EE606" s="1605"/>
      <c r="EF606" s="1605"/>
      <c r="EG606" s="1605"/>
      <c r="EH606" s="1605"/>
      <c r="EI606" s="1605"/>
      <c r="EJ606" s="1605"/>
      <c r="EK606" s="1605"/>
      <c r="EL606" s="1605"/>
      <c r="EM606" s="1605"/>
      <c r="EN606" s="1605"/>
      <c r="EO606" s="1605"/>
      <c r="EP606" s="1605"/>
      <c r="EQ606" s="1605"/>
      <c r="ER606" s="1605"/>
      <c r="ES606" s="1605"/>
      <c r="ET606" s="1605"/>
      <c r="EU606" s="1605"/>
      <c r="EV606" s="1605"/>
      <c r="EW606" s="1605"/>
      <c r="EX606" s="1605"/>
      <c r="EY606" s="1605"/>
      <c r="EZ606" s="1605"/>
      <c r="FA606" s="1605"/>
      <c r="FB606" s="1605"/>
      <c r="FC606" s="1605"/>
      <c r="FD606" s="1605"/>
      <c r="FE606" s="1605"/>
      <c r="FF606" s="1605"/>
      <c r="FG606" s="1605"/>
      <c r="FH606" s="1605"/>
      <c r="FI606" s="1605"/>
      <c r="FJ606" s="1605"/>
      <c r="FK606" s="1605"/>
      <c r="FL606" s="1605"/>
      <c r="FM606" s="1605"/>
      <c r="FN606" s="1605"/>
      <c r="FO606" s="1605"/>
      <c r="FP606" s="1605"/>
      <c r="FQ606" s="1605"/>
      <c r="FR606" s="1605"/>
      <c r="FS606" s="1605"/>
      <c r="FT606" s="1605"/>
      <c r="FU606" s="1605"/>
      <c r="FV606" s="1605"/>
      <c r="FW606" s="1605"/>
      <c r="FX606" s="1605"/>
      <c r="FY606" s="1605"/>
      <c r="FZ606" s="1605"/>
      <c r="GA606" s="1605"/>
      <c r="GB606" s="1605"/>
      <c r="GC606" s="1605"/>
      <c r="GD606" s="1605"/>
      <c r="GE606" s="1605"/>
      <c r="GF606" s="1605"/>
      <c r="GG606" s="1605"/>
      <c r="GH606" s="1605"/>
      <c r="GI606" s="1605"/>
      <c r="GJ606" s="1605"/>
      <c r="GK606" s="1605"/>
      <c r="GL606" s="1605"/>
      <c r="GM606" s="1605"/>
      <c r="GN606" s="1605"/>
      <c r="GO606" s="1605"/>
      <c r="GP606" s="1605"/>
      <c r="GQ606" s="1605"/>
      <c r="GR606" s="1605"/>
      <c r="GS606" s="1605"/>
      <c r="GT606" s="1605"/>
      <c r="GU606" s="1605"/>
      <c r="GV606" s="1605"/>
      <c r="GW606" s="1605"/>
      <c r="GX606" s="1605"/>
      <c r="GY606" s="1605"/>
      <c r="GZ606" s="1605"/>
      <c r="HA606" s="1605"/>
      <c r="HB606" s="1605"/>
      <c r="HC606" s="1605"/>
      <c r="HD606" s="1605"/>
      <c r="HE606" s="1605"/>
      <c r="HF606" s="1605"/>
      <c r="HG606" s="1605"/>
      <c r="HH606" s="1605"/>
      <c r="HI606" s="1605"/>
      <c r="HJ606" s="1605"/>
      <c r="HK606" s="1605"/>
      <c r="HL606" s="1605"/>
      <c r="HM606" s="1605"/>
      <c r="HN606" s="1605"/>
      <c r="HO606" s="1605"/>
      <c r="HP606" s="1605"/>
      <c r="HQ606" s="1605"/>
      <c r="HR606" s="1605"/>
      <c r="HS606" s="1605"/>
      <c r="HT606" s="1605"/>
      <c r="HU606" s="1605"/>
      <c r="HV606" s="1605"/>
      <c r="HW606" s="1605"/>
      <c r="HX606" s="1605"/>
      <c r="HY606" s="1605"/>
      <c r="HZ606" s="1605"/>
      <c r="IA606" s="1605"/>
      <c r="IB606" s="1605"/>
      <c r="IC606" s="1605"/>
      <c r="ID606" s="1605"/>
      <c r="IE606" s="1605"/>
      <c r="IF606" s="1605"/>
      <c r="IG606" s="1605"/>
      <c r="IH606" s="1605"/>
      <c r="II606" s="1605"/>
      <c r="IJ606" s="1605"/>
      <c r="IK606" s="1605"/>
      <c r="IL606" s="1605"/>
      <c r="IM606" s="1605"/>
      <c r="IN606" s="1605"/>
      <c r="IO606" s="1605"/>
      <c r="IP606" s="1605"/>
      <c r="IQ606" s="1605"/>
      <c r="IR606" s="1605"/>
      <c r="IS606" s="1605"/>
      <c r="IT606" s="1605"/>
      <c r="IU606" s="1605"/>
      <c r="IV606" s="1605"/>
      <c r="IW606" s="1605"/>
      <c r="IX606" s="1605"/>
      <c r="IY606" s="1605"/>
      <c r="IZ606" s="1605"/>
      <c r="JA606" s="1605"/>
      <c r="JB606" s="1605"/>
      <c r="JC606" s="1605"/>
      <c r="JD606" s="1605"/>
      <c r="JE606" s="1605"/>
      <c r="JF606" s="1605"/>
      <c r="JG606" s="1605"/>
      <c r="JH606" s="1605"/>
      <c r="JI606" s="1605"/>
      <c r="JJ606" s="1605"/>
      <c r="JK606" s="1605"/>
      <c r="JL606" s="1605"/>
      <c r="JM606" s="1605"/>
      <c r="JN606" s="1605"/>
      <c r="JO606" s="1605"/>
      <c r="JP606" s="1605"/>
      <c r="JQ606" s="1605"/>
      <c r="JR606" s="1605"/>
      <c r="JS606" s="1605"/>
      <c r="JT606" s="1605"/>
      <c r="JU606" s="1605"/>
      <c r="JV606" s="1605"/>
      <c r="JW606" s="1605"/>
      <c r="JX606" s="1605"/>
      <c r="JY606" s="1605"/>
      <c r="JZ606" s="1605"/>
      <c r="KA606" s="1605"/>
      <c r="KB606" s="1606"/>
    </row>
    <row r="607" spans="2:288" ht="15" customHeight="1" x14ac:dyDescent="0.25">
      <c r="B607" s="216" t="str">
        <f t="shared" si="47"/>
        <v>Desk 80</v>
      </c>
      <c r="C607" s="218" t="str">
        <v/>
      </c>
      <c r="D607" s="218" t="str">
        <v/>
      </c>
      <c r="E607" s="218" t="str">
        <v/>
      </c>
      <c r="F607" s="218" t="str">
        <v/>
      </c>
      <c r="G607" s="402" t="str">
        <v/>
      </c>
      <c r="H607" s="1605"/>
      <c r="I607" s="1605"/>
      <c r="J607" s="1605"/>
      <c r="K607" s="1605"/>
      <c r="L607" s="1605"/>
      <c r="M607" s="1605"/>
      <c r="N607" s="1605"/>
      <c r="O607" s="1605"/>
      <c r="P607" s="1605"/>
      <c r="Q607" s="1605"/>
      <c r="R607" s="1605"/>
      <c r="S607" s="1605"/>
      <c r="T607" s="1605"/>
      <c r="U607" s="1605"/>
      <c r="V607" s="1605"/>
      <c r="W607" s="1605"/>
      <c r="X607" s="1605"/>
      <c r="Y607" s="1605"/>
      <c r="Z607" s="1605"/>
      <c r="AA607" s="1605"/>
      <c r="AB607" s="1605"/>
      <c r="AC607" s="1605"/>
      <c r="AD607" s="1605"/>
      <c r="AE607" s="1605"/>
      <c r="AF607" s="1605"/>
      <c r="AG607" s="1605"/>
      <c r="AH607" s="1605"/>
      <c r="AI607" s="1605"/>
      <c r="AJ607" s="1605"/>
      <c r="AK607" s="1605"/>
      <c r="AL607" s="1605"/>
      <c r="AM607" s="1605"/>
      <c r="AN607" s="1605"/>
      <c r="AO607" s="1605"/>
      <c r="AP607" s="1605"/>
      <c r="AQ607" s="1605"/>
      <c r="AR607" s="1605"/>
      <c r="AS607" s="1605"/>
      <c r="AT607" s="1605"/>
      <c r="AU607" s="1605"/>
      <c r="AV607" s="1605"/>
      <c r="AW607" s="1605"/>
      <c r="AX607" s="1605"/>
      <c r="AY607" s="1605"/>
      <c r="AZ607" s="1605"/>
      <c r="BA607" s="1605"/>
      <c r="BB607" s="1605"/>
      <c r="BC607" s="1605"/>
      <c r="BD607" s="1605"/>
      <c r="BE607" s="1605"/>
      <c r="BF607" s="1605"/>
      <c r="BG607" s="1605"/>
      <c r="BH607" s="1605"/>
      <c r="BI607" s="1605"/>
      <c r="BJ607" s="1605"/>
      <c r="BK607" s="1605"/>
      <c r="BL607" s="1605"/>
      <c r="BM607" s="1605"/>
      <c r="BN607" s="1605"/>
      <c r="BO607" s="1605"/>
      <c r="BP607" s="1605"/>
      <c r="BQ607" s="1605"/>
      <c r="BR607" s="1605"/>
      <c r="BS607" s="1605"/>
      <c r="BT607" s="1605"/>
      <c r="BU607" s="1605"/>
      <c r="BV607" s="1605"/>
      <c r="BW607" s="1605"/>
      <c r="BX607" s="1605"/>
      <c r="BY607" s="1605"/>
      <c r="BZ607" s="1605"/>
      <c r="CA607" s="1605"/>
      <c r="CB607" s="1605"/>
      <c r="CC607" s="1605"/>
      <c r="CD607" s="1605"/>
      <c r="CE607" s="1605"/>
      <c r="CF607" s="1605"/>
      <c r="CG607" s="1605"/>
      <c r="CH607" s="1605"/>
      <c r="CI607" s="1605"/>
      <c r="CJ607" s="1605"/>
      <c r="CK607" s="1605"/>
      <c r="CL607" s="1605"/>
      <c r="CM607" s="1605"/>
      <c r="CN607" s="1605"/>
      <c r="CO607" s="1605"/>
      <c r="CP607" s="1605"/>
      <c r="CQ607" s="1605"/>
      <c r="CR607" s="1605"/>
      <c r="CS607" s="1605"/>
      <c r="CT607" s="1605"/>
      <c r="CU607" s="1605"/>
      <c r="CV607" s="1605"/>
      <c r="CW607" s="1605"/>
      <c r="CX607" s="1605"/>
      <c r="CY607" s="1605"/>
      <c r="CZ607" s="1605"/>
      <c r="DA607" s="1605"/>
      <c r="DB607" s="1605"/>
      <c r="DC607" s="1605"/>
      <c r="DD607" s="1605"/>
      <c r="DE607" s="1605"/>
      <c r="DF607" s="1605"/>
      <c r="DG607" s="1605"/>
      <c r="DH607" s="1605"/>
      <c r="DI607" s="1605"/>
      <c r="DJ607" s="1605"/>
      <c r="DK607" s="1605"/>
      <c r="DL607" s="1605"/>
      <c r="DM607" s="1605"/>
      <c r="DN607" s="1605"/>
      <c r="DO607" s="1605"/>
      <c r="DP607" s="1605"/>
      <c r="DQ607" s="1605"/>
      <c r="DR607" s="1605"/>
      <c r="DS607" s="1605"/>
      <c r="DT607" s="1605"/>
      <c r="DU607" s="1605"/>
      <c r="DV607" s="1605"/>
      <c r="DW607" s="1605"/>
      <c r="DX607" s="1605"/>
      <c r="DY607" s="1605"/>
      <c r="DZ607" s="1605"/>
      <c r="EA607" s="1605"/>
      <c r="EB607" s="1605"/>
      <c r="EC607" s="1605"/>
      <c r="ED607" s="1605"/>
      <c r="EE607" s="1605"/>
      <c r="EF607" s="1605"/>
      <c r="EG607" s="1605"/>
      <c r="EH607" s="1605"/>
      <c r="EI607" s="1605"/>
      <c r="EJ607" s="1605"/>
      <c r="EK607" s="1605"/>
      <c r="EL607" s="1605"/>
      <c r="EM607" s="1605"/>
      <c r="EN607" s="1605"/>
      <c r="EO607" s="1605"/>
      <c r="EP607" s="1605"/>
      <c r="EQ607" s="1605"/>
      <c r="ER607" s="1605"/>
      <c r="ES607" s="1605"/>
      <c r="ET607" s="1605"/>
      <c r="EU607" s="1605"/>
      <c r="EV607" s="1605"/>
      <c r="EW607" s="1605"/>
      <c r="EX607" s="1605"/>
      <c r="EY607" s="1605"/>
      <c r="EZ607" s="1605"/>
      <c r="FA607" s="1605"/>
      <c r="FB607" s="1605"/>
      <c r="FC607" s="1605"/>
      <c r="FD607" s="1605"/>
      <c r="FE607" s="1605"/>
      <c r="FF607" s="1605"/>
      <c r="FG607" s="1605"/>
      <c r="FH607" s="1605"/>
      <c r="FI607" s="1605"/>
      <c r="FJ607" s="1605"/>
      <c r="FK607" s="1605"/>
      <c r="FL607" s="1605"/>
      <c r="FM607" s="1605"/>
      <c r="FN607" s="1605"/>
      <c r="FO607" s="1605"/>
      <c r="FP607" s="1605"/>
      <c r="FQ607" s="1605"/>
      <c r="FR607" s="1605"/>
      <c r="FS607" s="1605"/>
      <c r="FT607" s="1605"/>
      <c r="FU607" s="1605"/>
      <c r="FV607" s="1605"/>
      <c r="FW607" s="1605"/>
      <c r="FX607" s="1605"/>
      <c r="FY607" s="1605"/>
      <c r="FZ607" s="1605"/>
      <c r="GA607" s="1605"/>
      <c r="GB607" s="1605"/>
      <c r="GC607" s="1605"/>
      <c r="GD607" s="1605"/>
      <c r="GE607" s="1605"/>
      <c r="GF607" s="1605"/>
      <c r="GG607" s="1605"/>
      <c r="GH607" s="1605"/>
      <c r="GI607" s="1605"/>
      <c r="GJ607" s="1605"/>
      <c r="GK607" s="1605"/>
      <c r="GL607" s="1605"/>
      <c r="GM607" s="1605"/>
      <c r="GN607" s="1605"/>
      <c r="GO607" s="1605"/>
      <c r="GP607" s="1605"/>
      <c r="GQ607" s="1605"/>
      <c r="GR607" s="1605"/>
      <c r="GS607" s="1605"/>
      <c r="GT607" s="1605"/>
      <c r="GU607" s="1605"/>
      <c r="GV607" s="1605"/>
      <c r="GW607" s="1605"/>
      <c r="GX607" s="1605"/>
      <c r="GY607" s="1605"/>
      <c r="GZ607" s="1605"/>
      <c r="HA607" s="1605"/>
      <c r="HB607" s="1605"/>
      <c r="HC607" s="1605"/>
      <c r="HD607" s="1605"/>
      <c r="HE607" s="1605"/>
      <c r="HF607" s="1605"/>
      <c r="HG607" s="1605"/>
      <c r="HH607" s="1605"/>
      <c r="HI607" s="1605"/>
      <c r="HJ607" s="1605"/>
      <c r="HK607" s="1605"/>
      <c r="HL607" s="1605"/>
      <c r="HM607" s="1605"/>
      <c r="HN607" s="1605"/>
      <c r="HO607" s="1605"/>
      <c r="HP607" s="1605"/>
      <c r="HQ607" s="1605"/>
      <c r="HR607" s="1605"/>
      <c r="HS607" s="1605"/>
      <c r="HT607" s="1605"/>
      <c r="HU607" s="1605"/>
      <c r="HV607" s="1605"/>
      <c r="HW607" s="1605"/>
      <c r="HX607" s="1605"/>
      <c r="HY607" s="1605"/>
      <c r="HZ607" s="1605"/>
      <c r="IA607" s="1605"/>
      <c r="IB607" s="1605"/>
      <c r="IC607" s="1605"/>
      <c r="ID607" s="1605"/>
      <c r="IE607" s="1605"/>
      <c r="IF607" s="1605"/>
      <c r="IG607" s="1605"/>
      <c r="IH607" s="1605"/>
      <c r="II607" s="1605"/>
      <c r="IJ607" s="1605"/>
      <c r="IK607" s="1605"/>
      <c r="IL607" s="1605"/>
      <c r="IM607" s="1605"/>
      <c r="IN607" s="1605"/>
      <c r="IO607" s="1605"/>
      <c r="IP607" s="1605"/>
      <c r="IQ607" s="1605"/>
      <c r="IR607" s="1605"/>
      <c r="IS607" s="1605"/>
      <c r="IT607" s="1605"/>
      <c r="IU607" s="1605"/>
      <c r="IV607" s="1605"/>
      <c r="IW607" s="1605"/>
      <c r="IX607" s="1605"/>
      <c r="IY607" s="1605"/>
      <c r="IZ607" s="1605"/>
      <c r="JA607" s="1605"/>
      <c r="JB607" s="1605"/>
      <c r="JC607" s="1605"/>
      <c r="JD607" s="1605"/>
      <c r="JE607" s="1605"/>
      <c r="JF607" s="1605"/>
      <c r="JG607" s="1605"/>
      <c r="JH607" s="1605"/>
      <c r="JI607" s="1605"/>
      <c r="JJ607" s="1605"/>
      <c r="JK607" s="1605"/>
      <c r="JL607" s="1605"/>
      <c r="JM607" s="1605"/>
      <c r="JN607" s="1605"/>
      <c r="JO607" s="1605"/>
      <c r="JP607" s="1605"/>
      <c r="JQ607" s="1605"/>
      <c r="JR607" s="1605"/>
      <c r="JS607" s="1605"/>
      <c r="JT607" s="1605"/>
      <c r="JU607" s="1605"/>
      <c r="JV607" s="1605"/>
      <c r="JW607" s="1605"/>
      <c r="JX607" s="1605"/>
      <c r="JY607" s="1605"/>
      <c r="JZ607" s="1605"/>
      <c r="KA607" s="1605"/>
      <c r="KB607" s="1606"/>
    </row>
    <row r="608" spans="2:288" ht="15" customHeight="1" x14ac:dyDescent="0.25">
      <c r="B608" s="216" t="str">
        <f t="shared" si="47"/>
        <v>Desk 81</v>
      </c>
      <c r="C608" s="218" t="str">
        <v/>
      </c>
      <c r="D608" s="218" t="str">
        <v/>
      </c>
      <c r="E608" s="218" t="str">
        <v/>
      </c>
      <c r="F608" s="218" t="str">
        <v/>
      </c>
      <c r="G608" s="402" t="str">
        <v/>
      </c>
      <c r="H608" s="1605"/>
      <c r="I608" s="1605"/>
      <c r="J608" s="1605"/>
      <c r="K608" s="1605"/>
      <c r="L608" s="1605"/>
      <c r="M608" s="1605"/>
      <c r="N608" s="1605"/>
      <c r="O608" s="1605"/>
      <c r="P608" s="1605"/>
      <c r="Q608" s="1605"/>
      <c r="R608" s="1605"/>
      <c r="S608" s="1605"/>
      <c r="T608" s="1605"/>
      <c r="U608" s="1605"/>
      <c r="V608" s="1605"/>
      <c r="W608" s="1605"/>
      <c r="X608" s="1605"/>
      <c r="Y608" s="1605"/>
      <c r="Z608" s="1605"/>
      <c r="AA608" s="1605"/>
      <c r="AB608" s="1605"/>
      <c r="AC608" s="1605"/>
      <c r="AD608" s="1605"/>
      <c r="AE608" s="1605"/>
      <c r="AF608" s="1605"/>
      <c r="AG608" s="1605"/>
      <c r="AH608" s="1605"/>
      <c r="AI608" s="1605"/>
      <c r="AJ608" s="1605"/>
      <c r="AK608" s="1605"/>
      <c r="AL608" s="1605"/>
      <c r="AM608" s="1605"/>
      <c r="AN608" s="1605"/>
      <c r="AO608" s="1605"/>
      <c r="AP608" s="1605"/>
      <c r="AQ608" s="1605"/>
      <c r="AR608" s="1605"/>
      <c r="AS608" s="1605"/>
      <c r="AT608" s="1605"/>
      <c r="AU608" s="1605"/>
      <c r="AV608" s="1605"/>
      <c r="AW608" s="1605"/>
      <c r="AX608" s="1605"/>
      <c r="AY608" s="1605"/>
      <c r="AZ608" s="1605"/>
      <c r="BA608" s="1605"/>
      <c r="BB608" s="1605"/>
      <c r="BC608" s="1605"/>
      <c r="BD608" s="1605"/>
      <c r="BE608" s="1605"/>
      <c r="BF608" s="1605"/>
      <c r="BG608" s="1605"/>
      <c r="BH608" s="1605"/>
      <c r="BI608" s="1605"/>
      <c r="BJ608" s="1605"/>
      <c r="BK608" s="1605"/>
      <c r="BL608" s="1605"/>
      <c r="BM608" s="1605"/>
      <c r="BN608" s="1605"/>
      <c r="BO608" s="1605"/>
      <c r="BP608" s="1605"/>
      <c r="BQ608" s="1605"/>
      <c r="BR608" s="1605"/>
      <c r="BS608" s="1605"/>
      <c r="BT608" s="1605"/>
      <c r="BU608" s="1605"/>
      <c r="BV608" s="1605"/>
      <c r="BW608" s="1605"/>
      <c r="BX608" s="1605"/>
      <c r="BY608" s="1605"/>
      <c r="BZ608" s="1605"/>
      <c r="CA608" s="1605"/>
      <c r="CB608" s="1605"/>
      <c r="CC608" s="1605"/>
      <c r="CD608" s="1605"/>
      <c r="CE608" s="1605"/>
      <c r="CF608" s="1605"/>
      <c r="CG608" s="1605"/>
      <c r="CH608" s="1605"/>
      <c r="CI608" s="1605"/>
      <c r="CJ608" s="1605"/>
      <c r="CK608" s="1605"/>
      <c r="CL608" s="1605"/>
      <c r="CM608" s="1605"/>
      <c r="CN608" s="1605"/>
      <c r="CO608" s="1605"/>
      <c r="CP608" s="1605"/>
      <c r="CQ608" s="1605"/>
      <c r="CR608" s="1605"/>
      <c r="CS608" s="1605"/>
      <c r="CT608" s="1605"/>
      <c r="CU608" s="1605"/>
      <c r="CV608" s="1605"/>
      <c r="CW608" s="1605"/>
      <c r="CX608" s="1605"/>
      <c r="CY608" s="1605"/>
      <c r="CZ608" s="1605"/>
      <c r="DA608" s="1605"/>
      <c r="DB608" s="1605"/>
      <c r="DC608" s="1605"/>
      <c r="DD608" s="1605"/>
      <c r="DE608" s="1605"/>
      <c r="DF608" s="1605"/>
      <c r="DG608" s="1605"/>
      <c r="DH608" s="1605"/>
      <c r="DI608" s="1605"/>
      <c r="DJ608" s="1605"/>
      <c r="DK608" s="1605"/>
      <c r="DL608" s="1605"/>
      <c r="DM608" s="1605"/>
      <c r="DN608" s="1605"/>
      <c r="DO608" s="1605"/>
      <c r="DP608" s="1605"/>
      <c r="DQ608" s="1605"/>
      <c r="DR608" s="1605"/>
      <c r="DS608" s="1605"/>
      <c r="DT608" s="1605"/>
      <c r="DU608" s="1605"/>
      <c r="DV608" s="1605"/>
      <c r="DW608" s="1605"/>
      <c r="DX608" s="1605"/>
      <c r="DY608" s="1605"/>
      <c r="DZ608" s="1605"/>
      <c r="EA608" s="1605"/>
      <c r="EB608" s="1605"/>
      <c r="EC608" s="1605"/>
      <c r="ED608" s="1605"/>
      <c r="EE608" s="1605"/>
      <c r="EF608" s="1605"/>
      <c r="EG608" s="1605"/>
      <c r="EH608" s="1605"/>
      <c r="EI608" s="1605"/>
      <c r="EJ608" s="1605"/>
      <c r="EK608" s="1605"/>
      <c r="EL608" s="1605"/>
      <c r="EM608" s="1605"/>
      <c r="EN608" s="1605"/>
      <c r="EO608" s="1605"/>
      <c r="EP608" s="1605"/>
      <c r="EQ608" s="1605"/>
      <c r="ER608" s="1605"/>
      <c r="ES608" s="1605"/>
      <c r="ET608" s="1605"/>
      <c r="EU608" s="1605"/>
      <c r="EV608" s="1605"/>
      <c r="EW608" s="1605"/>
      <c r="EX608" s="1605"/>
      <c r="EY608" s="1605"/>
      <c r="EZ608" s="1605"/>
      <c r="FA608" s="1605"/>
      <c r="FB608" s="1605"/>
      <c r="FC608" s="1605"/>
      <c r="FD608" s="1605"/>
      <c r="FE608" s="1605"/>
      <c r="FF608" s="1605"/>
      <c r="FG608" s="1605"/>
      <c r="FH608" s="1605"/>
      <c r="FI608" s="1605"/>
      <c r="FJ608" s="1605"/>
      <c r="FK608" s="1605"/>
      <c r="FL608" s="1605"/>
      <c r="FM608" s="1605"/>
      <c r="FN608" s="1605"/>
      <c r="FO608" s="1605"/>
      <c r="FP608" s="1605"/>
      <c r="FQ608" s="1605"/>
      <c r="FR608" s="1605"/>
      <c r="FS608" s="1605"/>
      <c r="FT608" s="1605"/>
      <c r="FU608" s="1605"/>
      <c r="FV608" s="1605"/>
      <c r="FW608" s="1605"/>
      <c r="FX608" s="1605"/>
      <c r="FY608" s="1605"/>
      <c r="FZ608" s="1605"/>
      <c r="GA608" s="1605"/>
      <c r="GB608" s="1605"/>
      <c r="GC608" s="1605"/>
      <c r="GD608" s="1605"/>
      <c r="GE608" s="1605"/>
      <c r="GF608" s="1605"/>
      <c r="GG608" s="1605"/>
      <c r="GH608" s="1605"/>
      <c r="GI608" s="1605"/>
      <c r="GJ608" s="1605"/>
      <c r="GK608" s="1605"/>
      <c r="GL608" s="1605"/>
      <c r="GM608" s="1605"/>
      <c r="GN608" s="1605"/>
      <c r="GO608" s="1605"/>
      <c r="GP608" s="1605"/>
      <c r="GQ608" s="1605"/>
      <c r="GR608" s="1605"/>
      <c r="GS608" s="1605"/>
      <c r="GT608" s="1605"/>
      <c r="GU608" s="1605"/>
      <c r="GV608" s="1605"/>
      <c r="GW608" s="1605"/>
      <c r="GX608" s="1605"/>
      <c r="GY608" s="1605"/>
      <c r="GZ608" s="1605"/>
      <c r="HA608" s="1605"/>
      <c r="HB608" s="1605"/>
      <c r="HC608" s="1605"/>
      <c r="HD608" s="1605"/>
      <c r="HE608" s="1605"/>
      <c r="HF608" s="1605"/>
      <c r="HG608" s="1605"/>
      <c r="HH608" s="1605"/>
      <c r="HI608" s="1605"/>
      <c r="HJ608" s="1605"/>
      <c r="HK608" s="1605"/>
      <c r="HL608" s="1605"/>
      <c r="HM608" s="1605"/>
      <c r="HN608" s="1605"/>
      <c r="HO608" s="1605"/>
      <c r="HP608" s="1605"/>
      <c r="HQ608" s="1605"/>
      <c r="HR608" s="1605"/>
      <c r="HS608" s="1605"/>
      <c r="HT608" s="1605"/>
      <c r="HU608" s="1605"/>
      <c r="HV608" s="1605"/>
      <c r="HW608" s="1605"/>
      <c r="HX608" s="1605"/>
      <c r="HY608" s="1605"/>
      <c r="HZ608" s="1605"/>
      <c r="IA608" s="1605"/>
      <c r="IB608" s="1605"/>
      <c r="IC608" s="1605"/>
      <c r="ID608" s="1605"/>
      <c r="IE608" s="1605"/>
      <c r="IF608" s="1605"/>
      <c r="IG608" s="1605"/>
      <c r="IH608" s="1605"/>
      <c r="II608" s="1605"/>
      <c r="IJ608" s="1605"/>
      <c r="IK608" s="1605"/>
      <c r="IL608" s="1605"/>
      <c r="IM608" s="1605"/>
      <c r="IN608" s="1605"/>
      <c r="IO608" s="1605"/>
      <c r="IP608" s="1605"/>
      <c r="IQ608" s="1605"/>
      <c r="IR608" s="1605"/>
      <c r="IS608" s="1605"/>
      <c r="IT608" s="1605"/>
      <c r="IU608" s="1605"/>
      <c r="IV608" s="1605"/>
      <c r="IW608" s="1605"/>
      <c r="IX608" s="1605"/>
      <c r="IY608" s="1605"/>
      <c r="IZ608" s="1605"/>
      <c r="JA608" s="1605"/>
      <c r="JB608" s="1605"/>
      <c r="JC608" s="1605"/>
      <c r="JD608" s="1605"/>
      <c r="JE608" s="1605"/>
      <c r="JF608" s="1605"/>
      <c r="JG608" s="1605"/>
      <c r="JH608" s="1605"/>
      <c r="JI608" s="1605"/>
      <c r="JJ608" s="1605"/>
      <c r="JK608" s="1605"/>
      <c r="JL608" s="1605"/>
      <c r="JM608" s="1605"/>
      <c r="JN608" s="1605"/>
      <c r="JO608" s="1605"/>
      <c r="JP608" s="1605"/>
      <c r="JQ608" s="1605"/>
      <c r="JR608" s="1605"/>
      <c r="JS608" s="1605"/>
      <c r="JT608" s="1605"/>
      <c r="JU608" s="1605"/>
      <c r="JV608" s="1605"/>
      <c r="JW608" s="1605"/>
      <c r="JX608" s="1605"/>
      <c r="JY608" s="1605"/>
      <c r="JZ608" s="1605"/>
      <c r="KA608" s="1605"/>
      <c r="KB608" s="1606"/>
    </row>
    <row r="609" spans="2:288" ht="15" customHeight="1" x14ac:dyDescent="0.25">
      <c r="B609" s="216" t="str">
        <f t="shared" si="47"/>
        <v>Desk 82</v>
      </c>
      <c r="C609" s="218" t="str">
        <v/>
      </c>
      <c r="D609" s="218" t="str">
        <v/>
      </c>
      <c r="E609" s="218" t="str">
        <v/>
      </c>
      <c r="F609" s="218" t="str">
        <v/>
      </c>
      <c r="G609" s="402" t="str">
        <v/>
      </c>
      <c r="H609" s="1605"/>
      <c r="I609" s="1605"/>
      <c r="J609" s="1605"/>
      <c r="K609" s="1605"/>
      <c r="L609" s="1605"/>
      <c r="M609" s="1605"/>
      <c r="N609" s="1605"/>
      <c r="O609" s="1605"/>
      <c r="P609" s="1605"/>
      <c r="Q609" s="1605"/>
      <c r="R609" s="1605"/>
      <c r="S609" s="1605"/>
      <c r="T609" s="1605"/>
      <c r="U609" s="1605"/>
      <c r="V609" s="1605"/>
      <c r="W609" s="1605"/>
      <c r="X609" s="1605"/>
      <c r="Y609" s="1605"/>
      <c r="Z609" s="1605"/>
      <c r="AA609" s="1605"/>
      <c r="AB609" s="1605"/>
      <c r="AC609" s="1605"/>
      <c r="AD609" s="1605"/>
      <c r="AE609" s="1605"/>
      <c r="AF609" s="1605"/>
      <c r="AG609" s="1605"/>
      <c r="AH609" s="1605"/>
      <c r="AI609" s="1605"/>
      <c r="AJ609" s="1605"/>
      <c r="AK609" s="1605"/>
      <c r="AL609" s="1605"/>
      <c r="AM609" s="1605"/>
      <c r="AN609" s="1605"/>
      <c r="AO609" s="1605"/>
      <c r="AP609" s="1605"/>
      <c r="AQ609" s="1605"/>
      <c r="AR609" s="1605"/>
      <c r="AS609" s="1605"/>
      <c r="AT609" s="1605"/>
      <c r="AU609" s="1605"/>
      <c r="AV609" s="1605"/>
      <c r="AW609" s="1605"/>
      <c r="AX609" s="1605"/>
      <c r="AY609" s="1605"/>
      <c r="AZ609" s="1605"/>
      <c r="BA609" s="1605"/>
      <c r="BB609" s="1605"/>
      <c r="BC609" s="1605"/>
      <c r="BD609" s="1605"/>
      <c r="BE609" s="1605"/>
      <c r="BF609" s="1605"/>
      <c r="BG609" s="1605"/>
      <c r="BH609" s="1605"/>
      <c r="BI609" s="1605"/>
      <c r="BJ609" s="1605"/>
      <c r="BK609" s="1605"/>
      <c r="BL609" s="1605"/>
      <c r="BM609" s="1605"/>
      <c r="BN609" s="1605"/>
      <c r="BO609" s="1605"/>
      <c r="BP609" s="1605"/>
      <c r="BQ609" s="1605"/>
      <c r="BR609" s="1605"/>
      <c r="BS609" s="1605"/>
      <c r="BT609" s="1605"/>
      <c r="BU609" s="1605"/>
      <c r="BV609" s="1605"/>
      <c r="BW609" s="1605"/>
      <c r="BX609" s="1605"/>
      <c r="BY609" s="1605"/>
      <c r="BZ609" s="1605"/>
      <c r="CA609" s="1605"/>
      <c r="CB609" s="1605"/>
      <c r="CC609" s="1605"/>
      <c r="CD609" s="1605"/>
      <c r="CE609" s="1605"/>
      <c r="CF609" s="1605"/>
      <c r="CG609" s="1605"/>
      <c r="CH609" s="1605"/>
      <c r="CI609" s="1605"/>
      <c r="CJ609" s="1605"/>
      <c r="CK609" s="1605"/>
      <c r="CL609" s="1605"/>
      <c r="CM609" s="1605"/>
      <c r="CN609" s="1605"/>
      <c r="CO609" s="1605"/>
      <c r="CP609" s="1605"/>
      <c r="CQ609" s="1605"/>
      <c r="CR609" s="1605"/>
      <c r="CS609" s="1605"/>
      <c r="CT609" s="1605"/>
      <c r="CU609" s="1605"/>
      <c r="CV609" s="1605"/>
      <c r="CW609" s="1605"/>
      <c r="CX609" s="1605"/>
      <c r="CY609" s="1605"/>
      <c r="CZ609" s="1605"/>
      <c r="DA609" s="1605"/>
      <c r="DB609" s="1605"/>
      <c r="DC609" s="1605"/>
      <c r="DD609" s="1605"/>
      <c r="DE609" s="1605"/>
      <c r="DF609" s="1605"/>
      <c r="DG609" s="1605"/>
      <c r="DH609" s="1605"/>
      <c r="DI609" s="1605"/>
      <c r="DJ609" s="1605"/>
      <c r="DK609" s="1605"/>
      <c r="DL609" s="1605"/>
      <c r="DM609" s="1605"/>
      <c r="DN609" s="1605"/>
      <c r="DO609" s="1605"/>
      <c r="DP609" s="1605"/>
      <c r="DQ609" s="1605"/>
      <c r="DR609" s="1605"/>
      <c r="DS609" s="1605"/>
      <c r="DT609" s="1605"/>
      <c r="DU609" s="1605"/>
      <c r="DV609" s="1605"/>
      <c r="DW609" s="1605"/>
      <c r="DX609" s="1605"/>
      <c r="DY609" s="1605"/>
      <c r="DZ609" s="1605"/>
      <c r="EA609" s="1605"/>
      <c r="EB609" s="1605"/>
      <c r="EC609" s="1605"/>
      <c r="ED609" s="1605"/>
      <c r="EE609" s="1605"/>
      <c r="EF609" s="1605"/>
      <c r="EG609" s="1605"/>
      <c r="EH609" s="1605"/>
      <c r="EI609" s="1605"/>
      <c r="EJ609" s="1605"/>
      <c r="EK609" s="1605"/>
      <c r="EL609" s="1605"/>
      <c r="EM609" s="1605"/>
      <c r="EN609" s="1605"/>
      <c r="EO609" s="1605"/>
      <c r="EP609" s="1605"/>
      <c r="EQ609" s="1605"/>
      <c r="ER609" s="1605"/>
      <c r="ES609" s="1605"/>
      <c r="ET609" s="1605"/>
      <c r="EU609" s="1605"/>
      <c r="EV609" s="1605"/>
      <c r="EW609" s="1605"/>
      <c r="EX609" s="1605"/>
      <c r="EY609" s="1605"/>
      <c r="EZ609" s="1605"/>
      <c r="FA609" s="1605"/>
      <c r="FB609" s="1605"/>
      <c r="FC609" s="1605"/>
      <c r="FD609" s="1605"/>
      <c r="FE609" s="1605"/>
      <c r="FF609" s="1605"/>
      <c r="FG609" s="1605"/>
      <c r="FH609" s="1605"/>
      <c r="FI609" s="1605"/>
      <c r="FJ609" s="1605"/>
      <c r="FK609" s="1605"/>
      <c r="FL609" s="1605"/>
      <c r="FM609" s="1605"/>
      <c r="FN609" s="1605"/>
      <c r="FO609" s="1605"/>
      <c r="FP609" s="1605"/>
      <c r="FQ609" s="1605"/>
      <c r="FR609" s="1605"/>
      <c r="FS609" s="1605"/>
      <c r="FT609" s="1605"/>
      <c r="FU609" s="1605"/>
      <c r="FV609" s="1605"/>
      <c r="FW609" s="1605"/>
      <c r="FX609" s="1605"/>
      <c r="FY609" s="1605"/>
      <c r="FZ609" s="1605"/>
      <c r="GA609" s="1605"/>
      <c r="GB609" s="1605"/>
      <c r="GC609" s="1605"/>
      <c r="GD609" s="1605"/>
      <c r="GE609" s="1605"/>
      <c r="GF609" s="1605"/>
      <c r="GG609" s="1605"/>
      <c r="GH609" s="1605"/>
      <c r="GI609" s="1605"/>
      <c r="GJ609" s="1605"/>
      <c r="GK609" s="1605"/>
      <c r="GL609" s="1605"/>
      <c r="GM609" s="1605"/>
      <c r="GN609" s="1605"/>
      <c r="GO609" s="1605"/>
      <c r="GP609" s="1605"/>
      <c r="GQ609" s="1605"/>
      <c r="GR609" s="1605"/>
      <c r="GS609" s="1605"/>
      <c r="GT609" s="1605"/>
      <c r="GU609" s="1605"/>
      <c r="GV609" s="1605"/>
      <c r="GW609" s="1605"/>
      <c r="GX609" s="1605"/>
      <c r="GY609" s="1605"/>
      <c r="GZ609" s="1605"/>
      <c r="HA609" s="1605"/>
      <c r="HB609" s="1605"/>
      <c r="HC609" s="1605"/>
      <c r="HD609" s="1605"/>
      <c r="HE609" s="1605"/>
      <c r="HF609" s="1605"/>
      <c r="HG609" s="1605"/>
      <c r="HH609" s="1605"/>
      <c r="HI609" s="1605"/>
      <c r="HJ609" s="1605"/>
      <c r="HK609" s="1605"/>
      <c r="HL609" s="1605"/>
      <c r="HM609" s="1605"/>
      <c r="HN609" s="1605"/>
      <c r="HO609" s="1605"/>
      <c r="HP609" s="1605"/>
      <c r="HQ609" s="1605"/>
      <c r="HR609" s="1605"/>
      <c r="HS609" s="1605"/>
      <c r="HT609" s="1605"/>
      <c r="HU609" s="1605"/>
      <c r="HV609" s="1605"/>
      <c r="HW609" s="1605"/>
      <c r="HX609" s="1605"/>
      <c r="HY609" s="1605"/>
      <c r="HZ609" s="1605"/>
      <c r="IA609" s="1605"/>
      <c r="IB609" s="1605"/>
      <c r="IC609" s="1605"/>
      <c r="ID609" s="1605"/>
      <c r="IE609" s="1605"/>
      <c r="IF609" s="1605"/>
      <c r="IG609" s="1605"/>
      <c r="IH609" s="1605"/>
      <c r="II609" s="1605"/>
      <c r="IJ609" s="1605"/>
      <c r="IK609" s="1605"/>
      <c r="IL609" s="1605"/>
      <c r="IM609" s="1605"/>
      <c r="IN609" s="1605"/>
      <c r="IO609" s="1605"/>
      <c r="IP609" s="1605"/>
      <c r="IQ609" s="1605"/>
      <c r="IR609" s="1605"/>
      <c r="IS609" s="1605"/>
      <c r="IT609" s="1605"/>
      <c r="IU609" s="1605"/>
      <c r="IV609" s="1605"/>
      <c r="IW609" s="1605"/>
      <c r="IX609" s="1605"/>
      <c r="IY609" s="1605"/>
      <c r="IZ609" s="1605"/>
      <c r="JA609" s="1605"/>
      <c r="JB609" s="1605"/>
      <c r="JC609" s="1605"/>
      <c r="JD609" s="1605"/>
      <c r="JE609" s="1605"/>
      <c r="JF609" s="1605"/>
      <c r="JG609" s="1605"/>
      <c r="JH609" s="1605"/>
      <c r="JI609" s="1605"/>
      <c r="JJ609" s="1605"/>
      <c r="JK609" s="1605"/>
      <c r="JL609" s="1605"/>
      <c r="JM609" s="1605"/>
      <c r="JN609" s="1605"/>
      <c r="JO609" s="1605"/>
      <c r="JP609" s="1605"/>
      <c r="JQ609" s="1605"/>
      <c r="JR609" s="1605"/>
      <c r="JS609" s="1605"/>
      <c r="JT609" s="1605"/>
      <c r="JU609" s="1605"/>
      <c r="JV609" s="1605"/>
      <c r="JW609" s="1605"/>
      <c r="JX609" s="1605"/>
      <c r="JY609" s="1605"/>
      <c r="JZ609" s="1605"/>
      <c r="KA609" s="1605"/>
      <c r="KB609" s="1606"/>
    </row>
    <row r="610" spans="2:288" ht="15" customHeight="1" x14ac:dyDescent="0.25">
      <c r="B610" s="216" t="str">
        <f t="shared" si="47"/>
        <v>Desk 83</v>
      </c>
      <c r="C610" s="218" t="str">
        <v/>
      </c>
      <c r="D610" s="218" t="str">
        <v/>
      </c>
      <c r="E610" s="218" t="str">
        <v/>
      </c>
      <c r="F610" s="218" t="str">
        <v/>
      </c>
      <c r="G610" s="402" t="str">
        <v/>
      </c>
      <c r="H610" s="1605"/>
      <c r="I610" s="1605"/>
      <c r="J610" s="1605"/>
      <c r="K610" s="1605"/>
      <c r="L610" s="1605"/>
      <c r="M610" s="1605"/>
      <c r="N610" s="1605"/>
      <c r="O610" s="1605"/>
      <c r="P610" s="1605"/>
      <c r="Q610" s="1605"/>
      <c r="R610" s="1605"/>
      <c r="S610" s="1605"/>
      <c r="T610" s="1605"/>
      <c r="U610" s="1605"/>
      <c r="V610" s="1605"/>
      <c r="W610" s="1605"/>
      <c r="X610" s="1605"/>
      <c r="Y610" s="1605"/>
      <c r="Z610" s="1605"/>
      <c r="AA610" s="1605"/>
      <c r="AB610" s="1605"/>
      <c r="AC610" s="1605"/>
      <c r="AD610" s="1605"/>
      <c r="AE610" s="1605"/>
      <c r="AF610" s="1605"/>
      <c r="AG610" s="1605"/>
      <c r="AH610" s="1605"/>
      <c r="AI610" s="1605"/>
      <c r="AJ610" s="1605"/>
      <c r="AK610" s="1605"/>
      <c r="AL610" s="1605"/>
      <c r="AM610" s="1605"/>
      <c r="AN610" s="1605"/>
      <c r="AO610" s="1605"/>
      <c r="AP610" s="1605"/>
      <c r="AQ610" s="1605"/>
      <c r="AR610" s="1605"/>
      <c r="AS610" s="1605"/>
      <c r="AT610" s="1605"/>
      <c r="AU610" s="1605"/>
      <c r="AV610" s="1605"/>
      <c r="AW610" s="1605"/>
      <c r="AX610" s="1605"/>
      <c r="AY610" s="1605"/>
      <c r="AZ610" s="1605"/>
      <c r="BA610" s="1605"/>
      <c r="BB610" s="1605"/>
      <c r="BC610" s="1605"/>
      <c r="BD610" s="1605"/>
      <c r="BE610" s="1605"/>
      <c r="BF610" s="1605"/>
      <c r="BG610" s="1605"/>
      <c r="BH610" s="1605"/>
      <c r="BI610" s="1605"/>
      <c r="BJ610" s="1605"/>
      <c r="BK610" s="1605"/>
      <c r="BL610" s="1605"/>
      <c r="BM610" s="1605"/>
      <c r="BN610" s="1605"/>
      <c r="BO610" s="1605"/>
      <c r="BP610" s="1605"/>
      <c r="BQ610" s="1605"/>
      <c r="BR610" s="1605"/>
      <c r="BS610" s="1605"/>
      <c r="BT610" s="1605"/>
      <c r="BU610" s="1605"/>
      <c r="BV610" s="1605"/>
      <c r="BW610" s="1605"/>
      <c r="BX610" s="1605"/>
      <c r="BY610" s="1605"/>
      <c r="BZ610" s="1605"/>
      <c r="CA610" s="1605"/>
      <c r="CB610" s="1605"/>
      <c r="CC610" s="1605"/>
      <c r="CD610" s="1605"/>
      <c r="CE610" s="1605"/>
      <c r="CF610" s="1605"/>
      <c r="CG610" s="1605"/>
      <c r="CH610" s="1605"/>
      <c r="CI610" s="1605"/>
      <c r="CJ610" s="1605"/>
      <c r="CK610" s="1605"/>
      <c r="CL610" s="1605"/>
      <c r="CM610" s="1605"/>
      <c r="CN610" s="1605"/>
      <c r="CO610" s="1605"/>
      <c r="CP610" s="1605"/>
      <c r="CQ610" s="1605"/>
      <c r="CR610" s="1605"/>
      <c r="CS610" s="1605"/>
      <c r="CT610" s="1605"/>
      <c r="CU610" s="1605"/>
      <c r="CV610" s="1605"/>
      <c r="CW610" s="1605"/>
      <c r="CX610" s="1605"/>
      <c r="CY610" s="1605"/>
      <c r="CZ610" s="1605"/>
      <c r="DA610" s="1605"/>
      <c r="DB610" s="1605"/>
      <c r="DC610" s="1605"/>
      <c r="DD610" s="1605"/>
      <c r="DE610" s="1605"/>
      <c r="DF610" s="1605"/>
      <c r="DG610" s="1605"/>
      <c r="DH610" s="1605"/>
      <c r="DI610" s="1605"/>
      <c r="DJ610" s="1605"/>
      <c r="DK610" s="1605"/>
      <c r="DL610" s="1605"/>
      <c r="DM610" s="1605"/>
      <c r="DN610" s="1605"/>
      <c r="DO610" s="1605"/>
      <c r="DP610" s="1605"/>
      <c r="DQ610" s="1605"/>
      <c r="DR610" s="1605"/>
      <c r="DS610" s="1605"/>
      <c r="DT610" s="1605"/>
      <c r="DU610" s="1605"/>
      <c r="DV610" s="1605"/>
      <c r="DW610" s="1605"/>
      <c r="DX610" s="1605"/>
      <c r="DY610" s="1605"/>
      <c r="DZ610" s="1605"/>
      <c r="EA610" s="1605"/>
      <c r="EB610" s="1605"/>
      <c r="EC610" s="1605"/>
      <c r="ED610" s="1605"/>
      <c r="EE610" s="1605"/>
      <c r="EF610" s="1605"/>
      <c r="EG610" s="1605"/>
      <c r="EH610" s="1605"/>
      <c r="EI610" s="1605"/>
      <c r="EJ610" s="1605"/>
      <c r="EK610" s="1605"/>
      <c r="EL610" s="1605"/>
      <c r="EM610" s="1605"/>
      <c r="EN610" s="1605"/>
      <c r="EO610" s="1605"/>
      <c r="EP610" s="1605"/>
      <c r="EQ610" s="1605"/>
      <c r="ER610" s="1605"/>
      <c r="ES610" s="1605"/>
      <c r="ET610" s="1605"/>
      <c r="EU610" s="1605"/>
      <c r="EV610" s="1605"/>
      <c r="EW610" s="1605"/>
      <c r="EX610" s="1605"/>
      <c r="EY610" s="1605"/>
      <c r="EZ610" s="1605"/>
      <c r="FA610" s="1605"/>
      <c r="FB610" s="1605"/>
      <c r="FC610" s="1605"/>
      <c r="FD610" s="1605"/>
      <c r="FE610" s="1605"/>
      <c r="FF610" s="1605"/>
      <c r="FG610" s="1605"/>
      <c r="FH610" s="1605"/>
      <c r="FI610" s="1605"/>
      <c r="FJ610" s="1605"/>
      <c r="FK610" s="1605"/>
      <c r="FL610" s="1605"/>
      <c r="FM610" s="1605"/>
      <c r="FN610" s="1605"/>
      <c r="FO610" s="1605"/>
      <c r="FP610" s="1605"/>
      <c r="FQ610" s="1605"/>
      <c r="FR610" s="1605"/>
      <c r="FS610" s="1605"/>
      <c r="FT610" s="1605"/>
      <c r="FU610" s="1605"/>
      <c r="FV610" s="1605"/>
      <c r="FW610" s="1605"/>
      <c r="FX610" s="1605"/>
      <c r="FY610" s="1605"/>
      <c r="FZ610" s="1605"/>
      <c r="GA610" s="1605"/>
      <c r="GB610" s="1605"/>
      <c r="GC610" s="1605"/>
      <c r="GD610" s="1605"/>
      <c r="GE610" s="1605"/>
      <c r="GF610" s="1605"/>
      <c r="GG610" s="1605"/>
      <c r="GH610" s="1605"/>
      <c r="GI610" s="1605"/>
      <c r="GJ610" s="1605"/>
      <c r="GK610" s="1605"/>
      <c r="GL610" s="1605"/>
      <c r="GM610" s="1605"/>
      <c r="GN610" s="1605"/>
      <c r="GO610" s="1605"/>
      <c r="GP610" s="1605"/>
      <c r="GQ610" s="1605"/>
      <c r="GR610" s="1605"/>
      <c r="GS610" s="1605"/>
      <c r="GT610" s="1605"/>
      <c r="GU610" s="1605"/>
      <c r="GV610" s="1605"/>
      <c r="GW610" s="1605"/>
      <c r="GX610" s="1605"/>
      <c r="GY610" s="1605"/>
      <c r="GZ610" s="1605"/>
      <c r="HA610" s="1605"/>
      <c r="HB610" s="1605"/>
      <c r="HC610" s="1605"/>
      <c r="HD610" s="1605"/>
      <c r="HE610" s="1605"/>
      <c r="HF610" s="1605"/>
      <c r="HG610" s="1605"/>
      <c r="HH610" s="1605"/>
      <c r="HI610" s="1605"/>
      <c r="HJ610" s="1605"/>
      <c r="HK610" s="1605"/>
      <c r="HL610" s="1605"/>
      <c r="HM610" s="1605"/>
      <c r="HN610" s="1605"/>
      <c r="HO610" s="1605"/>
      <c r="HP610" s="1605"/>
      <c r="HQ610" s="1605"/>
      <c r="HR610" s="1605"/>
      <c r="HS610" s="1605"/>
      <c r="HT610" s="1605"/>
      <c r="HU610" s="1605"/>
      <c r="HV610" s="1605"/>
      <c r="HW610" s="1605"/>
      <c r="HX610" s="1605"/>
      <c r="HY610" s="1605"/>
      <c r="HZ610" s="1605"/>
      <c r="IA610" s="1605"/>
      <c r="IB610" s="1605"/>
      <c r="IC610" s="1605"/>
      <c r="ID610" s="1605"/>
      <c r="IE610" s="1605"/>
      <c r="IF610" s="1605"/>
      <c r="IG610" s="1605"/>
      <c r="IH610" s="1605"/>
      <c r="II610" s="1605"/>
      <c r="IJ610" s="1605"/>
      <c r="IK610" s="1605"/>
      <c r="IL610" s="1605"/>
      <c r="IM610" s="1605"/>
      <c r="IN610" s="1605"/>
      <c r="IO610" s="1605"/>
      <c r="IP610" s="1605"/>
      <c r="IQ610" s="1605"/>
      <c r="IR610" s="1605"/>
      <c r="IS610" s="1605"/>
      <c r="IT610" s="1605"/>
      <c r="IU610" s="1605"/>
      <c r="IV610" s="1605"/>
      <c r="IW610" s="1605"/>
      <c r="IX610" s="1605"/>
      <c r="IY610" s="1605"/>
      <c r="IZ610" s="1605"/>
      <c r="JA610" s="1605"/>
      <c r="JB610" s="1605"/>
      <c r="JC610" s="1605"/>
      <c r="JD610" s="1605"/>
      <c r="JE610" s="1605"/>
      <c r="JF610" s="1605"/>
      <c r="JG610" s="1605"/>
      <c r="JH610" s="1605"/>
      <c r="JI610" s="1605"/>
      <c r="JJ610" s="1605"/>
      <c r="JK610" s="1605"/>
      <c r="JL610" s="1605"/>
      <c r="JM610" s="1605"/>
      <c r="JN610" s="1605"/>
      <c r="JO610" s="1605"/>
      <c r="JP610" s="1605"/>
      <c r="JQ610" s="1605"/>
      <c r="JR610" s="1605"/>
      <c r="JS610" s="1605"/>
      <c r="JT610" s="1605"/>
      <c r="JU610" s="1605"/>
      <c r="JV610" s="1605"/>
      <c r="JW610" s="1605"/>
      <c r="JX610" s="1605"/>
      <c r="JY610" s="1605"/>
      <c r="JZ610" s="1605"/>
      <c r="KA610" s="1605"/>
      <c r="KB610" s="1606"/>
    </row>
    <row r="611" spans="2:288" ht="15" customHeight="1" x14ac:dyDescent="0.25">
      <c r="B611" s="216" t="str">
        <f t="shared" si="47"/>
        <v>Desk 84</v>
      </c>
      <c r="C611" s="218" t="str">
        <v/>
      </c>
      <c r="D611" s="218" t="str">
        <v/>
      </c>
      <c r="E611" s="218" t="str">
        <v/>
      </c>
      <c r="F611" s="218" t="str">
        <v/>
      </c>
      <c r="G611" s="402" t="str">
        <v/>
      </c>
      <c r="H611" s="1605"/>
      <c r="I611" s="1605"/>
      <c r="J611" s="1605"/>
      <c r="K611" s="1605"/>
      <c r="L611" s="1605"/>
      <c r="M611" s="1605"/>
      <c r="N611" s="1605"/>
      <c r="O611" s="1605"/>
      <c r="P611" s="1605"/>
      <c r="Q611" s="1605"/>
      <c r="R611" s="1605"/>
      <c r="S611" s="1605"/>
      <c r="T611" s="1605"/>
      <c r="U611" s="1605"/>
      <c r="V611" s="1605"/>
      <c r="W611" s="1605"/>
      <c r="X611" s="1605"/>
      <c r="Y611" s="1605"/>
      <c r="Z611" s="1605"/>
      <c r="AA611" s="1605"/>
      <c r="AB611" s="1605"/>
      <c r="AC611" s="1605"/>
      <c r="AD611" s="1605"/>
      <c r="AE611" s="1605"/>
      <c r="AF611" s="1605"/>
      <c r="AG611" s="1605"/>
      <c r="AH611" s="1605"/>
      <c r="AI611" s="1605"/>
      <c r="AJ611" s="1605"/>
      <c r="AK611" s="1605"/>
      <c r="AL611" s="1605"/>
      <c r="AM611" s="1605"/>
      <c r="AN611" s="1605"/>
      <c r="AO611" s="1605"/>
      <c r="AP611" s="1605"/>
      <c r="AQ611" s="1605"/>
      <c r="AR611" s="1605"/>
      <c r="AS611" s="1605"/>
      <c r="AT611" s="1605"/>
      <c r="AU611" s="1605"/>
      <c r="AV611" s="1605"/>
      <c r="AW611" s="1605"/>
      <c r="AX611" s="1605"/>
      <c r="AY611" s="1605"/>
      <c r="AZ611" s="1605"/>
      <c r="BA611" s="1605"/>
      <c r="BB611" s="1605"/>
      <c r="BC611" s="1605"/>
      <c r="BD611" s="1605"/>
      <c r="BE611" s="1605"/>
      <c r="BF611" s="1605"/>
      <c r="BG611" s="1605"/>
      <c r="BH611" s="1605"/>
      <c r="BI611" s="1605"/>
      <c r="BJ611" s="1605"/>
      <c r="BK611" s="1605"/>
      <c r="BL611" s="1605"/>
      <c r="BM611" s="1605"/>
      <c r="BN611" s="1605"/>
      <c r="BO611" s="1605"/>
      <c r="BP611" s="1605"/>
      <c r="BQ611" s="1605"/>
      <c r="BR611" s="1605"/>
      <c r="BS611" s="1605"/>
      <c r="BT611" s="1605"/>
      <c r="BU611" s="1605"/>
      <c r="BV611" s="1605"/>
      <c r="BW611" s="1605"/>
      <c r="BX611" s="1605"/>
      <c r="BY611" s="1605"/>
      <c r="BZ611" s="1605"/>
      <c r="CA611" s="1605"/>
      <c r="CB611" s="1605"/>
      <c r="CC611" s="1605"/>
      <c r="CD611" s="1605"/>
      <c r="CE611" s="1605"/>
      <c r="CF611" s="1605"/>
      <c r="CG611" s="1605"/>
      <c r="CH611" s="1605"/>
      <c r="CI611" s="1605"/>
      <c r="CJ611" s="1605"/>
      <c r="CK611" s="1605"/>
      <c r="CL611" s="1605"/>
      <c r="CM611" s="1605"/>
      <c r="CN611" s="1605"/>
      <c r="CO611" s="1605"/>
      <c r="CP611" s="1605"/>
      <c r="CQ611" s="1605"/>
      <c r="CR611" s="1605"/>
      <c r="CS611" s="1605"/>
      <c r="CT611" s="1605"/>
      <c r="CU611" s="1605"/>
      <c r="CV611" s="1605"/>
      <c r="CW611" s="1605"/>
      <c r="CX611" s="1605"/>
      <c r="CY611" s="1605"/>
      <c r="CZ611" s="1605"/>
      <c r="DA611" s="1605"/>
      <c r="DB611" s="1605"/>
      <c r="DC611" s="1605"/>
      <c r="DD611" s="1605"/>
      <c r="DE611" s="1605"/>
      <c r="DF611" s="1605"/>
      <c r="DG611" s="1605"/>
      <c r="DH611" s="1605"/>
      <c r="DI611" s="1605"/>
      <c r="DJ611" s="1605"/>
      <c r="DK611" s="1605"/>
      <c r="DL611" s="1605"/>
      <c r="DM611" s="1605"/>
      <c r="DN611" s="1605"/>
      <c r="DO611" s="1605"/>
      <c r="DP611" s="1605"/>
      <c r="DQ611" s="1605"/>
      <c r="DR611" s="1605"/>
      <c r="DS611" s="1605"/>
      <c r="DT611" s="1605"/>
      <c r="DU611" s="1605"/>
      <c r="DV611" s="1605"/>
      <c r="DW611" s="1605"/>
      <c r="DX611" s="1605"/>
      <c r="DY611" s="1605"/>
      <c r="DZ611" s="1605"/>
      <c r="EA611" s="1605"/>
      <c r="EB611" s="1605"/>
      <c r="EC611" s="1605"/>
      <c r="ED611" s="1605"/>
      <c r="EE611" s="1605"/>
      <c r="EF611" s="1605"/>
      <c r="EG611" s="1605"/>
      <c r="EH611" s="1605"/>
      <c r="EI611" s="1605"/>
      <c r="EJ611" s="1605"/>
      <c r="EK611" s="1605"/>
      <c r="EL611" s="1605"/>
      <c r="EM611" s="1605"/>
      <c r="EN611" s="1605"/>
      <c r="EO611" s="1605"/>
      <c r="EP611" s="1605"/>
      <c r="EQ611" s="1605"/>
      <c r="ER611" s="1605"/>
      <c r="ES611" s="1605"/>
      <c r="ET611" s="1605"/>
      <c r="EU611" s="1605"/>
      <c r="EV611" s="1605"/>
      <c r="EW611" s="1605"/>
      <c r="EX611" s="1605"/>
      <c r="EY611" s="1605"/>
      <c r="EZ611" s="1605"/>
      <c r="FA611" s="1605"/>
      <c r="FB611" s="1605"/>
      <c r="FC611" s="1605"/>
      <c r="FD611" s="1605"/>
      <c r="FE611" s="1605"/>
      <c r="FF611" s="1605"/>
      <c r="FG611" s="1605"/>
      <c r="FH611" s="1605"/>
      <c r="FI611" s="1605"/>
      <c r="FJ611" s="1605"/>
      <c r="FK611" s="1605"/>
      <c r="FL611" s="1605"/>
      <c r="FM611" s="1605"/>
      <c r="FN611" s="1605"/>
      <c r="FO611" s="1605"/>
      <c r="FP611" s="1605"/>
      <c r="FQ611" s="1605"/>
      <c r="FR611" s="1605"/>
      <c r="FS611" s="1605"/>
      <c r="FT611" s="1605"/>
      <c r="FU611" s="1605"/>
      <c r="FV611" s="1605"/>
      <c r="FW611" s="1605"/>
      <c r="FX611" s="1605"/>
      <c r="FY611" s="1605"/>
      <c r="FZ611" s="1605"/>
      <c r="GA611" s="1605"/>
      <c r="GB611" s="1605"/>
      <c r="GC611" s="1605"/>
      <c r="GD611" s="1605"/>
      <c r="GE611" s="1605"/>
      <c r="GF611" s="1605"/>
      <c r="GG611" s="1605"/>
      <c r="GH611" s="1605"/>
      <c r="GI611" s="1605"/>
      <c r="GJ611" s="1605"/>
      <c r="GK611" s="1605"/>
      <c r="GL611" s="1605"/>
      <c r="GM611" s="1605"/>
      <c r="GN611" s="1605"/>
      <c r="GO611" s="1605"/>
      <c r="GP611" s="1605"/>
      <c r="GQ611" s="1605"/>
      <c r="GR611" s="1605"/>
      <c r="GS611" s="1605"/>
      <c r="GT611" s="1605"/>
      <c r="GU611" s="1605"/>
      <c r="GV611" s="1605"/>
      <c r="GW611" s="1605"/>
      <c r="GX611" s="1605"/>
      <c r="GY611" s="1605"/>
      <c r="GZ611" s="1605"/>
      <c r="HA611" s="1605"/>
      <c r="HB611" s="1605"/>
      <c r="HC611" s="1605"/>
      <c r="HD611" s="1605"/>
      <c r="HE611" s="1605"/>
      <c r="HF611" s="1605"/>
      <c r="HG611" s="1605"/>
      <c r="HH611" s="1605"/>
      <c r="HI611" s="1605"/>
      <c r="HJ611" s="1605"/>
      <c r="HK611" s="1605"/>
      <c r="HL611" s="1605"/>
      <c r="HM611" s="1605"/>
      <c r="HN611" s="1605"/>
      <c r="HO611" s="1605"/>
      <c r="HP611" s="1605"/>
      <c r="HQ611" s="1605"/>
      <c r="HR611" s="1605"/>
      <c r="HS611" s="1605"/>
      <c r="HT611" s="1605"/>
      <c r="HU611" s="1605"/>
      <c r="HV611" s="1605"/>
      <c r="HW611" s="1605"/>
      <c r="HX611" s="1605"/>
      <c r="HY611" s="1605"/>
      <c r="HZ611" s="1605"/>
      <c r="IA611" s="1605"/>
      <c r="IB611" s="1605"/>
      <c r="IC611" s="1605"/>
      <c r="ID611" s="1605"/>
      <c r="IE611" s="1605"/>
      <c r="IF611" s="1605"/>
      <c r="IG611" s="1605"/>
      <c r="IH611" s="1605"/>
      <c r="II611" s="1605"/>
      <c r="IJ611" s="1605"/>
      <c r="IK611" s="1605"/>
      <c r="IL611" s="1605"/>
      <c r="IM611" s="1605"/>
      <c r="IN611" s="1605"/>
      <c r="IO611" s="1605"/>
      <c r="IP611" s="1605"/>
      <c r="IQ611" s="1605"/>
      <c r="IR611" s="1605"/>
      <c r="IS611" s="1605"/>
      <c r="IT611" s="1605"/>
      <c r="IU611" s="1605"/>
      <c r="IV611" s="1605"/>
      <c r="IW611" s="1605"/>
      <c r="IX611" s="1605"/>
      <c r="IY611" s="1605"/>
      <c r="IZ611" s="1605"/>
      <c r="JA611" s="1605"/>
      <c r="JB611" s="1605"/>
      <c r="JC611" s="1605"/>
      <c r="JD611" s="1605"/>
      <c r="JE611" s="1605"/>
      <c r="JF611" s="1605"/>
      <c r="JG611" s="1605"/>
      <c r="JH611" s="1605"/>
      <c r="JI611" s="1605"/>
      <c r="JJ611" s="1605"/>
      <c r="JK611" s="1605"/>
      <c r="JL611" s="1605"/>
      <c r="JM611" s="1605"/>
      <c r="JN611" s="1605"/>
      <c r="JO611" s="1605"/>
      <c r="JP611" s="1605"/>
      <c r="JQ611" s="1605"/>
      <c r="JR611" s="1605"/>
      <c r="JS611" s="1605"/>
      <c r="JT611" s="1605"/>
      <c r="JU611" s="1605"/>
      <c r="JV611" s="1605"/>
      <c r="JW611" s="1605"/>
      <c r="JX611" s="1605"/>
      <c r="JY611" s="1605"/>
      <c r="JZ611" s="1605"/>
      <c r="KA611" s="1605"/>
      <c r="KB611" s="1606"/>
    </row>
    <row r="612" spans="2:288" ht="15" customHeight="1" x14ac:dyDescent="0.25">
      <c r="B612" s="216" t="str">
        <f t="shared" si="47"/>
        <v>Desk 85</v>
      </c>
      <c r="C612" s="218" t="str">
        <v/>
      </c>
      <c r="D612" s="218" t="str">
        <v/>
      </c>
      <c r="E612" s="218" t="str">
        <v/>
      </c>
      <c r="F612" s="218" t="str">
        <v/>
      </c>
      <c r="G612" s="402" t="str">
        <v/>
      </c>
      <c r="H612" s="1605"/>
      <c r="I612" s="1605"/>
      <c r="J612" s="1605"/>
      <c r="K612" s="1605"/>
      <c r="L612" s="1605"/>
      <c r="M612" s="1605"/>
      <c r="N612" s="1605"/>
      <c r="O612" s="1605"/>
      <c r="P612" s="1605"/>
      <c r="Q612" s="1605"/>
      <c r="R612" s="1605"/>
      <c r="S612" s="1605"/>
      <c r="T612" s="1605"/>
      <c r="U612" s="1605"/>
      <c r="V612" s="1605"/>
      <c r="W612" s="1605"/>
      <c r="X612" s="1605"/>
      <c r="Y612" s="1605"/>
      <c r="Z612" s="1605"/>
      <c r="AA612" s="1605"/>
      <c r="AB612" s="1605"/>
      <c r="AC612" s="1605"/>
      <c r="AD612" s="1605"/>
      <c r="AE612" s="1605"/>
      <c r="AF612" s="1605"/>
      <c r="AG612" s="1605"/>
      <c r="AH612" s="1605"/>
      <c r="AI612" s="1605"/>
      <c r="AJ612" s="1605"/>
      <c r="AK612" s="1605"/>
      <c r="AL612" s="1605"/>
      <c r="AM612" s="1605"/>
      <c r="AN612" s="1605"/>
      <c r="AO612" s="1605"/>
      <c r="AP612" s="1605"/>
      <c r="AQ612" s="1605"/>
      <c r="AR612" s="1605"/>
      <c r="AS612" s="1605"/>
      <c r="AT612" s="1605"/>
      <c r="AU612" s="1605"/>
      <c r="AV612" s="1605"/>
      <c r="AW612" s="1605"/>
      <c r="AX612" s="1605"/>
      <c r="AY612" s="1605"/>
      <c r="AZ612" s="1605"/>
      <c r="BA612" s="1605"/>
      <c r="BB612" s="1605"/>
      <c r="BC612" s="1605"/>
      <c r="BD612" s="1605"/>
      <c r="BE612" s="1605"/>
      <c r="BF612" s="1605"/>
      <c r="BG612" s="1605"/>
      <c r="BH612" s="1605"/>
      <c r="BI612" s="1605"/>
      <c r="BJ612" s="1605"/>
      <c r="BK612" s="1605"/>
      <c r="BL612" s="1605"/>
      <c r="BM612" s="1605"/>
      <c r="BN612" s="1605"/>
      <c r="BO612" s="1605"/>
      <c r="BP612" s="1605"/>
      <c r="BQ612" s="1605"/>
      <c r="BR612" s="1605"/>
      <c r="BS612" s="1605"/>
      <c r="BT612" s="1605"/>
      <c r="BU612" s="1605"/>
      <c r="BV612" s="1605"/>
      <c r="BW612" s="1605"/>
      <c r="BX612" s="1605"/>
      <c r="BY612" s="1605"/>
      <c r="BZ612" s="1605"/>
      <c r="CA612" s="1605"/>
      <c r="CB612" s="1605"/>
      <c r="CC612" s="1605"/>
      <c r="CD612" s="1605"/>
      <c r="CE612" s="1605"/>
      <c r="CF612" s="1605"/>
      <c r="CG612" s="1605"/>
      <c r="CH612" s="1605"/>
      <c r="CI612" s="1605"/>
      <c r="CJ612" s="1605"/>
      <c r="CK612" s="1605"/>
      <c r="CL612" s="1605"/>
      <c r="CM612" s="1605"/>
      <c r="CN612" s="1605"/>
      <c r="CO612" s="1605"/>
      <c r="CP612" s="1605"/>
      <c r="CQ612" s="1605"/>
      <c r="CR612" s="1605"/>
      <c r="CS612" s="1605"/>
      <c r="CT612" s="1605"/>
      <c r="CU612" s="1605"/>
      <c r="CV612" s="1605"/>
      <c r="CW612" s="1605"/>
      <c r="CX612" s="1605"/>
      <c r="CY612" s="1605"/>
      <c r="CZ612" s="1605"/>
      <c r="DA612" s="1605"/>
      <c r="DB612" s="1605"/>
      <c r="DC612" s="1605"/>
      <c r="DD612" s="1605"/>
      <c r="DE612" s="1605"/>
      <c r="DF612" s="1605"/>
      <c r="DG612" s="1605"/>
      <c r="DH612" s="1605"/>
      <c r="DI612" s="1605"/>
      <c r="DJ612" s="1605"/>
      <c r="DK612" s="1605"/>
      <c r="DL612" s="1605"/>
      <c r="DM612" s="1605"/>
      <c r="DN612" s="1605"/>
      <c r="DO612" s="1605"/>
      <c r="DP612" s="1605"/>
      <c r="DQ612" s="1605"/>
      <c r="DR612" s="1605"/>
      <c r="DS612" s="1605"/>
      <c r="DT612" s="1605"/>
      <c r="DU612" s="1605"/>
      <c r="DV612" s="1605"/>
      <c r="DW612" s="1605"/>
      <c r="DX612" s="1605"/>
      <c r="DY612" s="1605"/>
      <c r="DZ612" s="1605"/>
      <c r="EA612" s="1605"/>
      <c r="EB612" s="1605"/>
      <c r="EC612" s="1605"/>
      <c r="ED612" s="1605"/>
      <c r="EE612" s="1605"/>
      <c r="EF612" s="1605"/>
      <c r="EG612" s="1605"/>
      <c r="EH612" s="1605"/>
      <c r="EI612" s="1605"/>
      <c r="EJ612" s="1605"/>
      <c r="EK612" s="1605"/>
      <c r="EL612" s="1605"/>
      <c r="EM612" s="1605"/>
      <c r="EN612" s="1605"/>
      <c r="EO612" s="1605"/>
      <c r="EP612" s="1605"/>
      <c r="EQ612" s="1605"/>
      <c r="ER612" s="1605"/>
      <c r="ES612" s="1605"/>
      <c r="ET612" s="1605"/>
      <c r="EU612" s="1605"/>
      <c r="EV612" s="1605"/>
      <c r="EW612" s="1605"/>
      <c r="EX612" s="1605"/>
      <c r="EY612" s="1605"/>
      <c r="EZ612" s="1605"/>
      <c r="FA612" s="1605"/>
      <c r="FB612" s="1605"/>
      <c r="FC612" s="1605"/>
      <c r="FD612" s="1605"/>
      <c r="FE612" s="1605"/>
      <c r="FF612" s="1605"/>
      <c r="FG612" s="1605"/>
      <c r="FH612" s="1605"/>
      <c r="FI612" s="1605"/>
      <c r="FJ612" s="1605"/>
      <c r="FK612" s="1605"/>
      <c r="FL612" s="1605"/>
      <c r="FM612" s="1605"/>
      <c r="FN612" s="1605"/>
      <c r="FO612" s="1605"/>
      <c r="FP612" s="1605"/>
      <c r="FQ612" s="1605"/>
      <c r="FR612" s="1605"/>
      <c r="FS612" s="1605"/>
      <c r="FT612" s="1605"/>
      <c r="FU612" s="1605"/>
      <c r="FV612" s="1605"/>
      <c r="FW612" s="1605"/>
      <c r="FX612" s="1605"/>
      <c r="FY612" s="1605"/>
      <c r="FZ612" s="1605"/>
      <c r="GA612" s="1605"/>
      <c r="GB612" s="1605"/>
      <c r="GC612" s="1605"/>
      <c r="GD612" s="1605"/>
      <c r="GE612" s="1605"/>
      <c r="GF612" s="1605"/>
      <c r="GG612" s="1605"/>
      <c r="GH612" s="1605"/>
      <c r="GI612" s="1605"/>
      <c r="GJ612" s="1605"/>
      <c r="GK612" s="1605"/>
      <c r="GL612" s="1605"/>
      <c r="GM612" s="1605"/>
      <c r="GN612" s="1605"/>
      <c r="GO612" s="1605"/>
      <c r="GP612" s="1605"/>
      <c r="GQ612" s="1605"/>
      <c r="GR612" s="1605"/>
      <c r="GS612" s="1605"/>
      <c r="GT612" s="1605"/>
      <c r="GU612" s="1605"/>
      <c r="GV612" s="1605"/>
      <c r="GW612" s="1605"/>
      <c r="GX612" s="1605"/>
      <c r="GY612" s="1605"/>
      <c r="GZ612" s="1605"/>
      <c r="HA612" s="1605"/>
      <c r="HB612" s="1605"/>
      <c r="HC612" s="1605"/>
      <c r="HD612" s="1605"/>
      <c r="HE612" s="1605"/>
      <c r="HF612" s="1605"/>
      <c r="HG612" s="1605"/>
      <c r="HH612" s="1605"/>
      <c r="HI612" s="1605"/>
      <c r="HJ612" s="1605"/>
      <c r="HK612" s="1605"/>
      <c r="HL612" s="1605"/>
      <c r="HM612" s="1605"/>
      <c r="HN612" s="1605"/>
      <c r="HO612" s="1605"/>
      <c r="HP612" s="1605"/>
      <c r="HQ612" s="1605"/>
      <c r="HR612" s="1605"/>
      <c r="HS612" s="1605"/>
      <c r="HT612" s="1605"/>
      <c r="HU612" s="1605"/>
      <c r="HV612" s="1605"/>
      <c r="HW612" s="1605"/>
      <c r="HX612" s="1605"/>
      <c r="HY612" s="1605"/>
      <c r="HZ612" s="1605"/>
      <c r="IA612" s="1605"/>
      <c r="IB612" s="1605"/>
      <c r="IC612" s="1605"/>
      <c r="ID612" s="1605"/>
      <c r="IE612" s="1605"/>
      <c r="IF612" s="1605"/>
      <c r="IG612" s="1605"/>
      <c r="IH612" s="1605"/>
      <c r="II612" s="1605"/>
      <c r="IJ612" s="1605"/>
      <c r="IK612" s="1605"/>
      <c r="IL612" s="1605"/>
      <c r="IM612" s="1605"/>
      <c r="IN612" s="1605"/>
      <c r="IO612" s="1605"/>
      <c r="IP612" s="1605"/>
      <c r="IQ612" s="1605"/>
      <c r="IR612" s="1605"/>
      <c r="IS612" s="1605"/>
      <c r="IT612" s="1605"/>
      <c r="IU612" s="1605"/>
      <c r="IV612" s="1605"/>
      <c r="IW612" s="1605"/>
      <c r="IX612" s="1605"/>
      <c r="IY612" s="1605"/>
      <c r="IZ612" s="1605"/>
      <c r="JA612" s="1605"/>
      <c r="JB612" s="1605"/>
      <c r="JC612" s="1605"/>
      <c r="JD612" s="1605"/>
      <c r="JE612" s="1605"/>
      <c r="JF612" s="1605"/>
      <c r="JG612" s="1605"/>
      <c r="JH612" s="1605"/>
      <c r="JI612" s="1605"/>
      <c r="JJ612" s="1605"/>
      <c r="JK612" s="1605"/>
      <c r="JL612" s="1605"/>
      <c r="JM612" s="1605"/>
      <c r="JN612" s="1605"/>
      <c r="JO612" s="1605"/>
      <c r="JP612" s="1605"/>
      <c r="JQ612" s="1605"/>
      <c r="JR612" s="1605"/>
      <c r="JS612" s="1605"/>
      <c r="JT612" s="1605"/>
      <c r="JU612" s="1605"/>
      <c r="JV612" s="1605"/>
      <c r="JW612" s="1605"/>
      <c r="JX612" s="1605"/>
      <c r="JY612" s="1605"/>
      <c r="JZ612" s="1605"/>
      <c r="KA612" s="1605"/>
      <c r="KB612" s="1606"/>
    </row>
    <row r="613" spans="2:288" ht="15" customHeight="1" x14ac:dyDescent="0.25">
      <c r="B613" s="216" t="str">
        <f t="shared" si="47"/>
        <v>Desk 86</v>
      </c>
      <c r="C613" s="218" t="str">
        <v/>
      </c>
      <c r="D613" s="218" t="str">
        <v/>
      </c>
      <c r="E613" s="218" t="str">
        <v/>
      </c>
      <c r="F613" s="218" t="str">
        <v/>
      </c>
      <c r="G613" s="402" t="str">
        <v/>
      </c>
      <c r="H613" s="1605"/>
      <c r="I613" s="1605"/>
      <c r="J613" s="1605"/>
      <c r="K613" s="1605"/>
      <c r="L613" s="1605"/>
      <c r="M613" s="1605"/>
      <c r="N613" s="1605"/>
      <c r="O613" s="1605"/>
      <c r="P613" s="1605"/>
      <c r="Q613" s="1605"/>
      <c r="R613" s="1605"/>
      <c r="S613" s="1605"/>
      <c r="T613" s="1605"/>
      <c r="U613" s="1605"/>
      <c r="V613" s="1605"/>
      <c r="W613" s="1605"/>
      <c r="X613" s="1605"/>
      <c r="Y613" s="1605"/>
      <c r="Z613" s="1605"/>
      <c r="AA613" s="1605"/>
      <c r="AB613" s="1605"/>
      <c r="AC613" s="1605"/>
      <c r="AD613" s="1605"/>
      <c r="AE613" s="1605"/>
      <c r="AF613" s="1605"/>
      <c r="AG613" s="1605"/>
      <c r="AH613" s="1605"/>
      <c r="AI613" s="1605"/>
      <c r="AJ613" s="1605"/>
      <c r="AK613" s="1605"/>
      <c r="AL613" s="1605"/>
      <c r="AM613" s="1605"/>
      <c r="AN613" s="1605"/>
      <c r="AO613" s="1605"/>
      <c r="AP613" s="1605"/>
      <c r="AQ613" s="1605"/>
      <c r="AR613" s="1605"/>
      <c r="AS613" s="1605"/>
      <c r="AT613" s="1605"/>
      <c r="AU613" s="1605"/>
      <c r="AV613" s="1605"/>
      <c r="AW613" s="1605"/>
      <c r="AX613" s="1605"/>
      <c r="AY613" s="1605"/>
      <c r="AZ613" s="1605"/>
      <c r="BA613" s="1605"/>
      <c r="BB613" s="1605"/>
      <c r="BC613" s="1605"/>
      <c r="BD613" s="1605"/>
      <c r="BE613" s="1605"/>
      <c r="BF613" s="1605"/>
      <c r="BG613" s="1605"/>
      <c r="BH613" s="1605"/>
      <c r="BI613" s="1605"/>
      <c r="BJ613" s="1605"/>
      <c r="BK613" s="1605"/>
      <c r="BL613" s="1605"/>
      <c r="BM613" s="1605"/>
      <c r="BN613" s="1605"/>
      <c r="BO613" s="1605"/>
      <c r="BP613" s="1605"/>
      <c r="BQ613" s="1605"/>
      <c r="BR613" s="1605"/>
      <c r="BS613" s="1605"/>
      <c r="BT613" s="1605"/>
      <c r="BU613" s="1605"/>
      <c r="BV613" s="1605"/>
      <c r="BW613" s="1605"/>
      <c r="BX613" s="1605"/>
      <c r="BY613" s="1605"/>
      <c r="BZ613" s="1605"/>
      <c r="CA613" s="1605"/>
      <c r="CB613" s="1605"/>
      <c r="CC613" s="1605"/>
      <c r="CD613" s="1605"/>
      <c r="CE613" s="1605"/>
      <c r="CF613" s="1605"/>
      <c r="CG613" s="1605"/>
      <c r="CH613" s="1605"/>
      <c r="CI613" s="1605"/>
      <c r="CJ613" s="1605"/>
      <c r="CK613" s="1605"/>
      <c r="CL613" s="1605"/>
      <c r="CM613" s="1605"/>
      <c r="CN613" s="1605"/>
      <c r="CO613" s="1605"/>
      <c r="CP613" s="1605"/>
      <c r="CQ613" s="1605"/>
      <c r="CR613" s="1605"/>
      <c r="CS613" s="1605"/>
      <c r="CT613" s="1605"/>
      <c r="CU613" s="1605"/>
      <c r="CV613" s="1605"/>
      <c r="CW613" s="1605"/>
      <c r="CX613" s="1605"/>
      <c r="CY613" s="1605"/>
      <c r="CZ613" s="1605"/>
      <c r="DA613" s="1605"/>
      <c r="DB613" s="1605"/>
      <c r="DC613" s="1605"/>
      <c r="DD613" s="1605"/>
      <c r="DE613" s="1605"/>
      <c r="DF613" s="1605"/>
      <c r="DG613" s="1605"/>
      <c r="DH613" s="1605"/>
      <c r="DI613" s="1605"/>
      <c r="DJ613" s="1605"/>
      <c r="DK613" s="1605"/>
      <c r="DL613" s="1605"/>
      <c r="DM613" s="1605"/>
      <c r="DN613" s="1605"/>
      <c r="DO613" s="1605"/>
      <c r="DP613" s="1605"/>
      <c r="DQ613" s="1605"/>
      <c r="DR613" s="1605"/>
      <c r="DS613" s="1605"/>
      <c r="DT613" s="1605"/>
      <c r="DU613" s="1605"/>
      <c r="DV613" s="1605"/>
      <c r="DW613" s="1605"/>
      <c r="DX613" s="1605"/>
      <c r="DY613" s="1605"/>
      <c r="DZ613" s="1605"/>
      <c r="EA613" s="1605"/>
      <c r="EB613" s="1605"/>
      <c r="EC613" s="1605"/>
      <c r="ED613" s="1605"/>
      <c r="EE613" s="1605"/>
      <c r="EF613" s="1605"/>
      <c r="EG613" s="1605"/>
      <c r="EH613" s="1605"/>
      <c r="EI613" s="1605"/>
      <c r="EJ613" s="1605"/>
      <c r="EK613" s="1605"/>
      <c r="EL613" s="1605"/>
      <c r="EM613" s="1605"/>
      <c r="EN613" s="1605"/>
      <c r="EO613" s="1605"/>
      <c r="EP613" s="1605"/>
      <c r="EQ613" s="1605"/>
      <c r="ER613" s="1605"/>
      <c r="ES613" s="1605"/>
      <c r="ET613" s="1605"/>
      <c r="EU613" s="1605"/>
      <c r="EV613" s="1605"/>
      <c r="EW613" s="1605"/>
      <c r="EX613" s="1605"/>
      <c r="EY613" s="1605"/>
      <c r="EZ613" s="1605"/>
      <c r="FA613" s="1605"/>
      <c r="FB613" s="1605"/>
      <c r="FC613" s="1605"/>
      <c r="FD613" s="1605"/>
      <c r="FE613" s="1605"/>
      <c r="FF613" s="1605"/>
      <c r="FG613" s="1605"/>
      <c r="FH613" s="1605"/>
      <c r="FI613" s="1605"/>
      <c r="FJ613" s="1605"/>
      <c r="FK613" s="1605"/>
      <c r="FL613" s="1605"/>
      <c r="FM613" s="1605"/>
      <c r="FN613" s="1605"/>
      <c r="FO613" s="1605"/>
      <c r="FP613" s="1605"/>
      <c r="FQ613" s="1605"/>
      <c r="FR613" s="1605"/>
      <c r="FS613" s="1605"/>
      <c r="FT613" s="1605"/>
      <c r="FU613" s="1605"/>
      <c r="FV613" s="1605"/>
      <c r="FW613" s="1605"/>
      <c r="FX613" s="1605"/>
      <c r="FY613" s="1605"/>
      <c r="FZ613" s="1605"/>
      <c r="GA613" s="1605"/>
      <c r="GB613" s="1605"/>
      <c r="GC613" s="1605"/>
      <c r="GD613" s="1605"/>
      <c r="GE613" s="1605"/>
      <c r="GF613" s="1605"/>
      <c r="GG613" s="1605"/>
      <c r="GH613" s="1605"/>
      <c r="GI613" s="1605"/>
      <c r="GJ613" s="1605"/>
      <c r="GK613" s="1605"/>
      <c r="GL613" s="1605"/>
      <c r="GM613" s="1605"/>
      <c r="GN613" s="1605"/>
      <c r="GO613" s="1605"/>
      <c r="GP613" s="1605"/>
      <c r="GQ613" s="1605"/>
      <c r="GR613" s="1605"/>
      <c r="GS613" s="1605"/>
      <c r="GT613" s="1605"/>
      <c r="GU613" s="1605"/>
      <c r="GV613" s="1605"/>
      <c r="GW613" s="1605"/>
      <c r="GX613" s="1605"/>
      <c r="GY613" s="1605"/>
      <c r="GZ613" s="1605"/>
      <c r="HA613" s="1605"/>
      <c r="HB613" s="1605"/>
      <c r="HC613" s="1605"/>
      <c r="HD613" s="1605"/>
      <c r="HE613" s="1605"/>
      <c r="HF613" s="1605"/>
      <c r="HG613" s="1605"/>
      <c r="HH613" s="1605"/>
      <c r="HI613" s="1605"/>
      <c r="HJ613" s="1605"/>
      <c r="HK613" s="1605"/>
      <c r="HL613" s="1605"/>
      <c r="HM613" s="1605"/>
      <c r="HN613" s="1605"/>
      <c r="HO613" s="1605"/>
      <c r="HP613" s="1605"/>
      <c r="HQ613" s="1605"/>
      <c r="HR613" s="1605"/>
      <c r="HS613" s="1605"/>
      <c r="HT613" s="1605"/>
      <c r="HU613" s="1605"/>
      <c r="HV613" s="1605"/>
      <c r="HW613" s="1605"/>
      <c r="HX613" s="1605"/>
      <c r="HY613" s="1605"/>
      <c r="HZ613" s="1605"/>
      <c r="IA613" s="1605"/>
      <c r="IB613" s="1605"/>
      <c r="IC613" s="1605"/>
      <c r="ID613" s="1605"/>
      <c r="IE613" s="1605"/>
      <c r="IF613" s="1605"/>
      <c r="IG613" s="1605"/>
      <c r="IH613" s="1605"/>
      <c r="II613" s="1605"/>
      <c r="IJ613" s="1605"/>
      <c r="IK613" s="1605"/>
      <c r="IL613" s="1605"/>
      <c r="IM613" s="1605"/>
      <c r="IN613" s="1605"/>
      <c r="IO613" s="1605"/>
      <c r="IP613" s="1605"/>
      <c r="IQ613" s="1605"/>
      <c r="IR613" s="1605"/>
      <c r="IS613" s="1605"/>
      <c r="IT613" s="1605"/>
      <c r="IU613" s="1605"/>
      <c r="IV613" s="1605"/>
      <c r="IW613" s="1605"/>
      <c r="IX613" s="1605"/>
      <c r="IY613" s="1605"/>
      <c r="IZ613" s="1605"/>
      <c r="JA613" s="1605"/>
      <c r="JB613" s="1605"/>
      <c r="JC613" s="1605"/>
      <c r="JD613" s="1605"/>
      <c r="JE613" s="1605"/>
      <c r="JF613" s="1605"/>
      <c r="JG613" s="1605"/>
      <c r="JH613" s="1605"/>
      <c r="JI613" s="1605"/>
      <c r="JJ613" s="1605"/>
      <c r="JK613" s="1605"/>
      <c r="JL613" s="1605"/>
      <c r="JM613" s="1605"/>
      <c r="JN613" s="1605"/>
      <c r="JO613" s="1605"/>
      <c r="JP613" s="1605"/>
      <c r="JQ613" s="1605"/>
      <c r="JR613" s="1605"/>
      <c r="JS613" s="1605"/>
      <c r="JT613" s="1605"/>
      <c r="JU613" s="1605"/>
      <c r="JV613" s="1605"/>
      <c r="JW613" s="1605"/>
      <c r="JX613" s="1605"/>
      <c r="JY613" s="1605"/>
      <c r="JZ613" s="1605"/>
      <c r="KA613" s="1605"/>
      <c r="KB613" s="1606"/>
    </row>
    <row r="614" spans="2:288" ht="15" customHeight="1" x14ac:dyDescent="0.25">
      <c r="B614" s="216" t="str">
        <f t="shared" si="47"/>
        <v>Desk 87</v>
      </c>
      <c r="C614" s="218" t="str">
        <v/>
      </c>
      <c r="D614" s="218" t="str">
        <v/>
      </c>
      <c r="E614" s="218" t="str">
        <v/>
      </c>
      <c r="F614" s="218" t="str">
        <v/>
      </c>
      <c r="G614" s="402" t="str">
        <v/>
      </c>
      <c r="H614" s="1605"/>
      <c r="I614" s="1605"/>
      <c r="J614" s="1605"/>
      <c r="K614" s="1605"/>
      <c r="L614" s="1605"/>
      <c r="M614" s="1605"/>
      <c r="N614" s="1605"/>
      <c r="O614" s="1605"/>
      <c r="P614" s="1605"/>
      <c r="Q614" s="1605"/>
      <c r="R614" s="1605"/>
      <c r="S614" s="1605"/>
      <c r="T614" s="1605"/>
      <c r="U614" s="1605"/>
      <c r="V614" s="1605"/>
      <c r="W614" s="1605"/>
      <c r="X614" s="1605"/>
      <c r="Y614" s="1605"/>
      <c r="Z614" s="1605"/>
      <c r="AA614" s="1605"/>
      <c r="AB614" s="1605"/>
      <c r="AC614" s="1605"/>
      <c r="AD614" s="1605"/>
      <c r="AE614" s="1605"/>
      <c r="AF614" s="1605"/>
      <c r="AG614" s="1605"/>
      <c r="AH614" s="1605"/>
      <c r="AI614" s="1605"/>
      <c r="AJ614" s="1605"/>
      <c r="AK614" s="1605"/>
      <c r="AL614" s="1605"/>
      <c r="AM614" s="1605"/>
      <c r="AN614" s="1605"/>
      <c r="AO614" s="1605"/>
      <c r="AP614" s="1605"/>
      <c r="AQ614" s="1605"/>
      <c r="AR614" s="1605"/>
      <c r="AS614" s="1605"/>
      <c r="AT614" s="1605"/>
      <c r="AU614" s="1605"/>
      <c r="AV614" s="1605"/>
      <c r="AW614" s="1605"/>
      <c r="AX614" s="1605"/>
      <c r="AY614" s="1605"/>
      <c r="AZ614" s="1605"/>
      <c r="BA614" s="1605"/>
      <c r="BB614" s="1605"/>
      <c r="BC614" s="1605"/>
      <c r="BD614" s="1605"/>
      <c r="BE614" s="1605"/>
      <c r="BF614" s="1605"/>
      <c r="BG614" s="1605"/>
      <c r="BH614" s="1605"/>
      <c r="BI614" s="1605"/>
      <c r="BJ614" s="1605"/>
      <c r="BK614" s="1605"/>
      <c r="BL614" s="1605"/>
      <c r="BM614" s="1605"/>
      <c r="BN614" s="1605"/>
      <c r="BO614" s="1605"/>
      <c r="BP614" s="1605"/>
      <c r="BQ614" s="1605"/>
      <c r="BR614" s="1605"/>
      <c r="BS614" s="1605"/>
      <c r="BT614" s="1605"/>
      <c r="BU614" s="1605"/>
      <c r="BV614" s="1605"/>
      <c r="BW614" s="1605"/>
      <c r="BX614" s="1605"/>
      <c r="BY614" s="1605"/>
      <c r="BZ614" s="1605"/>
      <c r="CA614" s="1605"/>
      <c r="CB614" s="1605"/>
      <c r="CC614" s="1605"/>
      <c r="CD614" s="1605"/>
      <c r="CE614" s="1605"/>
      <c r="CF614" s="1605"/>
      <c r="CG614" s="1605"/>
      <c r="CH614" s="1605"/>
      <c r="CI614" s="1605"/>
      <c r="CJ614" s="1605"/>
      <c r="CK614" s="1605"/>
      <c r="CL614" s="1605"/>
      <c r="CM614" s="1605"/>
      <c r="CN614" s="1605"/>
      <c r="CO614" s="1605"/>
      <c r="CP614" s="1605"/>
      <c r="CQ614" s="1605"/>
      <c r="CR614" s="1605"/>
      <c r="CS614" s="1605"/>
      <c r="CT614" s="1605"/>
      <c r="CU614" s="1605"/>
      <c r="CV614" s="1605"/>
      <c r="CW614" s="1605"/>
      <c r="CX614" s="1605"/>
      <c r="CY614" s="1605"/>
      <c r="CZ614" s="1605"/>
      <c r="DA614" s="1605"/>
      <c r="DB614" s="1605"/>
      <c r="DC614" s="1605"/>
      <c r="DD614" s="1605"/>
      <c r="DE614" s="1605"/>
      <c r="DF614" s="1605"/>
      <c r="DG614" s="1605"/>
      <c r="DH614" s="1605"/>
      <c r="DI614" s="1605"/>
      <c r="DJ614" s="1605"/>
      <c r="DK614" s="1605"/>
      <c r="DL614" s="1605"/>
      <c r="DM614" s="1605"/>
      <c r="DN614" s="1605"/>
      <c r="DO614" s="1605"/>
      <c r="DP614" s="1605"/>
      <c r="DQ614" s="1605"/>
      <c r="DR614" s="1605"/>
      <c r="DS614" s="1605"/>
      <c r="DT614" s="1605"/>
      <c r="DU614" s="1605"/>
      <c r="DV614" s="1605"/>
      <c r="DW614" s="1605"/>
      <c r="DX614" s="1605"/>
      <c r="DY614" s="1605"/>
      <c r="DZ614" s="1605"/>
      <c r="EA614" s="1605"/>
      <c r="EB614" s="1605"/>
      <c r="EC614" s="1605"/>
      <c r="ED614" s="1605"/>
      <c r="EE614" s="1605"/>
      <c r="EF614" s="1605"/>
      <c r="EG614" s="1605"/>
      <c r="EH614" s="1605"/>
      <c r="EI614" s="1605"/>
      <c r="EJ614" s="1605"/>
      <c r="EK614" s="1605"/>
      <c r="EL614" s="1605"/>
      <c r="EM614" s="1605"/>
      <c r="EN614" s="1605"/>
      <c r="EO614" s="1605"/>
      <c r="EP614" s="1605"/>
      <c r="EQ614" s="1605"/>
      <c r="ER614" s="1605"/>
      <c r="ES614" s="1605"/>
      <c r="ET614" s="1605"/>
      <c r="EU614" s="1605"/>
      <c r="EV614" s="1605"/>
      <c r="EW614" s="1605"/>
      <c r="EX614" s="1605"/>
      <c r="EY614" s="1605"/>
      <c r="EZ614" s="1605"/>
      <c r="FA614" s="1605"/>
      <c r="FB614" s="1605"/>
      <c r="FC614" s="1605"/>
      <c r="FD614" s="1605"/>
      <c r="FE614" s="1605"/>
      <c r="FF614" s="1605"/>
      <c r="FG614" s="1605"/>
      <c r="FH614" s="1605"/>
      <c r="FI614" s="1605"/>
      <c r="FJ614" s="1605"/>
      <c r="FK614" s="1605"/>
      <c r="FL614" s="1605"/>
      <c r="FM614" s="1605"/>
      <c r="FN614" s="1605"/>
      <c r="FO614" s="1605"/>
      <c r="FP614" s="1605"/>
      <c r="FQ614" s="1605"/>
      <c r="FR614" s="1605"/>
      <c r="FS614" s="1605"/>
      <c r="FT614" s="1605"/>
      <c r="FU614" s="1605"/>
      <c r="FV614" s="1605"/>
      <c r="FW614" s="1605"/>
      <c r="FX614" s="1605"/>
      <c r="FY614" s="1605"/>
      <c r="FZ614" s="1605"/>
      <c r="GA614" s="1605"/>
      <c r="GB614" s="1605"/>
      <c r="GC614" s="1605"/>
      <c r="GD614" s="1605"/>
      <c r="GE614" s="1605"/>
      <c r="GF614" s="1605"/>
      <c r="GG614" s="1605"/>
      <c r="GH614" s="1605"/>
      <c r="GI614" s="1605"/>
      <c r="GJ614" s="1605"/>
      <c r="GK614" s="1605"/>
      <c r="GL614" s="1605"/>
      <c r="GM614" s="1605"/>
      <c r="GN614" s="1605"/>
      <c r="GO614" s="1605"/>
      <c r="GP614" s="1605"/>
      <c r="GQ614" s="1605"/>
      <c r="GR614" s="1605"/>
      <c r="GS614" s="1605"/>
      <c r="GT614" s="1605"/>
      <c r="GU614" s="1605"/>
      <c r="GV614" s="1605"/>
      <c r="GW614" s="1605"/>
      <c r="GX614" s="1605"/>
      <c r="GY614" s="1605"/>
      <c r="GZ614" s="1605"/>
      <c r="HA614" s="1605"/>
      <c r="HB614" s="1605"/>
      <c r="HC614" s="1605"/>
      <c r="HD614" s="1605"/>
      <c r="HE614" s="1605"/>
      <c r="HF614" s="1605"/>
      <c r="HG614" s="1605"/>
      <c r="HH614" s="1605"/>
      <c r="HI614" s="1605"/>
      <c r="HJ614" s="1605"/>
      <c r="HK614" s="1605"/>
      <c r="HL614" s="1605"/>
      <c r="HM614" s="1605"/>
      <c r="HN614" s="1605"/>
      <c r="HO614" s="1605"/>
      <c r="HP614" s="1605"/>
      <c r="HQ614" s="1605"/>
      <c r="HR614" s="1605"/>
      <c r="HS614" s="1605"/>
      <c r="HT614" s="1605"/>
      <c r="HU614" s="1605"/>
      <c r="HV614" s="1605"/>
      <c r="HW614" s="1605"/>
      <c r="HX614" s="1605"/>
      <c r="HY614" s="1605"/>
      <c r="HZ614" s="1605"/>
      <c r="IA614" s="1605"/>
      <c r="IB614" s="1605"/>
      <c r="IC614" s="1605"/>
      <c r="ID614" s="1605"/>
      <c r="IE614" s="1605"/>
      <c r="IF614" s="1605"/>
      <c r="IG614" s="1605"/>
      <c r="IH614" s="1605"/>
      <c r="II614" s="1605"/>
      <c r="IJ614" s="1605"/>
      <c r="IK614" s="1605"/>
      <c r="IL614" s="1605"/>
      <c r="IM614" s="1605"/>
      <c r="IN614" s="1605"/>
      <c r="IO614" s="1605"/>
      <c r="IP614" s="1605"/>
      <c r="IQ614" s="1605"/>
      <c r="IR614" s="1605"/>
      <c r="IS614" s="1605"/>
      <c r="IT614" s="1605"/>
      <c r="IU614" s="1605"/>
      <c r="IV614" s="1605"/>
      <c r="IW614" s="1605"/>
      <c r="IX614" s="1605"/>
      <c r="IY614" s="1605"/>
      <c r="IZ614" s="1605"/>
      <c r="JA614" s="1605"/>
      <c r="JB614" s="1605"/>
      <c r="JC614" s="1605"/>
      <c r="JD614" s="1605"/>
      <c r="JE614" s="1605"/>
      <c r="JF614" s="1605"/>
      <c r="JG614" s="1605"/>
      <c r="JH614" s="1605"/>
      <c r="JI614" s="1605"/>
      <c r="JJ614" s="1605"/>
      <c r="JK614" s="1605"/>
      <c r="JL614" s="1605"/>
      <c r="JM614" s="1605"/>
      <c r="JN614" s="1605"/>
      <c r="JO614" s="1605"/>
      <c r="JP614" s="1605"/>
      <c r="JQ614" s="1605"/>
      <c r="JR614" s="1605"/>
      <c r="JS614" s="1605"/>
      <c r="JT614" s="1605"/>
      <c r="JU614" s="1605"/>
      <c r="JV614" s="1605"/>
      <c r="JW614" s="1605"/>
      <c r="JX614" s="1605"/>
      <c r="JY614" s="1605"/>
      <c r="JZ614" s="1605"/>
      <c r="KA614" s="1605"/>
      <c r="KB614" s="1606"/>
    </row>
    <row r="615" spans="2:288" ht="15" customHeight="1" x14ac:dyDescent="0.25">
      <c r="B615" s="216" t="str">
        <f t="shared" si="47"/>
        <v>Desk 88</v>
      </c>
      <c r="C615" s="218" t="str">
        <v/>
      </c>
      <c r="D615" s="218" t="str">
        <v/>
      </c>
      <c r="E615" s="218" t="str">
        <v/>
      </c>
      <c r="F615" s="218" t="str">
        <v/>
      </c>
      <c r="G615" s="402" t="str">
        <v/>
      </c>
      <c r="H615" s="1605"/>
      <c r="I615" s="1605"/>
      <c r="J615" s="1605"/>
      <c r="K615" s="1605"/>
      <c r="L615" s="1605"/>
      <c r="M615" s="1605"/>
      <c r="N615" s="1605"/>
      <c r="O615" s="1605"/>
      <c r="P615" s="1605"/>
      <c r="Q615" s="1605"/>
      <c r="R615" s="1605"/>
      <c r="S615" s="1605"/>
      <c r="T615" s="1605"/>
      <c r="U615" s="1605"/>
      <c r="V615" s="1605"/>
      <c r="W615" s="1605"/>
      <c r="X615" s="1605"/>
      <c r="Y615" s="1605"/>
      <c r="Z615" s="1605"/>
      <c r="AA615" s="1605"/>
      <c r="AB615" s="1605"/>
      <c r="AC615" s="1605"/>
      <c r="AD615" s="1605"/>
      <c r="AE615" s="1605"/>
      <c r="AF615" s="1605"/>
      <c r="AG615" s="1605"/>
      <c r="AH615" s="1605"/>
      <c r="AI615" s="1605"/>
      <c r="AJ615" s="1605"/>
      <c r="AK615" s="1605"/>
      <c r="AL615" s="1605"/>
      <c r="AM615" s="1605"/>
      <c r="AN615" s="1605"/>
      <c r="AO615" s="1605"/>
      <c r="AP615" s="1605"/>
      <c r="AQ615" s="1605"/>
      <c r="AR615" s="1605"/>
      <c r="AS615" s="1605"/>
      <c r="AT615" s="1605"/>
      <c r="AU615" s="1605"/>
      <c r="AV615" s="1605"/>
      <c r="AW615" s="1605"/>
      <c r="AX615" s="1605"/>
      <c r="AY615" s="1605"/>
      <c r="AZ615" s="1605"/>
      <c r="BA615" s="1605"/>
      <c r="BB615" s="1605"/>
      <c r="BC615" s="1605"/>
      <c r="BD615" s="1605"/>
      <c r="BE615" s="1605"/>
      <c r="BF615" s="1605"/>
      <c r="BG615" s="1605"/>
      <c r="BH615" s="1605"/>
      <c r="BI615" s="1605"/>
      <c r="BJ615" s="1605"/>
      <c r="BK615" s="1605"/>
      <c r="BL615" s="1605"/>
      <c r="BM615" s="1605"/>
      <c r="BN615" s="1605"/>
      <c r="BO615" s="1605"/>
      <c r="BP615" s="1605"/>
      <c r="BQ615" s="1605"/>
      <c r="BR615" s="1605"/>
      <c r="BS615" s="1605"/>
      <c r="BT615" s="1605"/>
      <c r="BU615" s="1605"/>
      <c r="BV615" s="1605"/>
      <c r="BW615" s="1605"/>
      <c r="BX615" s="1605"/>
      <c r="BY615" s="1605"/>
      <c r="BZ615" s="1605"/>
      <c r="CA615" s="1605"/>
      <c r="CB615" s="1605"/>
      <c r="CC615" s="1605"/>
      <c r="CD615" s="1605"/>
      <c r="CE615" s="1605"/>
      <c r="CF615" s="1605"/>
      <c r="CG615" s="1605"/>
      <c r="CH615" s="1605"/>
      <c r="CI615" s="1605"/>
      <c r="CJ615" s="1605"/>
      <c r="CK615" s="1605"/>
      <c r="CL615" s="1605"/>
      <c r="CM615" s="1605"/>
      <c r="CN615" s="1605"/>
      <c r="CO615" s="1605"/>
      <c r="CP615" s="1605"/>
      <c r="CQ615" s="1605"/>
      <c r="CR615" s="1605"/>
      <c r="CS615" s="1605"/>
      <c r="CT615" s="1605"/>
      <c r="CU615" s="1605"/>
      <c r="CV615" s="1605"/>
      <c r="CW615" s="1605"/>
      <c r="CX615" s="1605"/>
      <c r="CY615" s="1605"/>
      <c r="CZ615" s="1605"/>
      <c r="DA615" s="1605"/>
      <c r="DB615" s="1605"/>
      <c r="DC615" s="1605"/>
      <c r="DD615" s="1605"/>
      <c r="DE615" s="1605"/>
      <c r="DF615" s="1605"/>
      <c r="DG615" s="1605"/>
      <c r="DH615" s="1605"/>
      <c r="DI615" s="1605"/>
      <c r="DJ615" s="1605"/>
      <c r="DK615" s="1605"/>
      <c r="DL615" s="1605"/>
      <c r="DM615" s="1605"/>
      <c r="DN615" s="1605"/>
      <c r="DO615" s="1605"/>
      <c r="DP615" s="1605"/>
      <c r="DQ615" s="1605"/>
      <c r="DR615" s="1605"/>
      <c r="DS615" s="1605"/>
      <c r="DT615" s="1605"/>
      <c r="DU615" s="1605"/>
      <c r="DV615" s="1605"/>
      <c r="DW615" s="1605"/>
      <c r="DX615" s="1605"/>
      <c r="DY615" s="1605"/>
      <c r="DZ615" s="1605"/>
      <c r="EA615" s="1605"/>
      <c r="EB615" s="1605"/>
      <c r="EC615" s="1605"/>
      <c r="ED615" s="1605"/>
      <c r="EE615" s="1605"/>
      <c r="EF615" s="1605"/>
      <c r="EG615" s="1605"/>
      <c r="EH615" s="1605"/>
      <c r="EI615" s="1605"/>
      <c r="EJ615" s="1605"/>
      <c r="EK615" s="1605"/>
      <c r="EL615" s="1605"/>
      <c r="EM615" s="1605"/>
      <c r="EN615" s="1605"/>
      <c r="EO615" s="1605"/>
      <c r="EP615" s="1605"/>
      <c r="EQ615" s="1605"/>
      <c r="ER615" s="1605"/>
      <c r="ES615" s="1605"/>
      <c r="ET615" s="1605"/>
      <c r="EU615" s="1605"/>
      <c r="EV615" s="1605"/>
      <c r="EW615" s="1605"/>
      <c r="EX615" s="1605"/>
      <c r="EY615" s="1605"/>
      <c r="EZ615" s="1605"/>
      <c r="FA615" s="1605"/>
      <c r="FB615" s="1605"/>
      <c r="FC615" s="1605"/>
      <c r="FD615" s="1605"/>
      <c r="FE615" s="1605"/>
      <c r="FF615" s="1605"/>
      <c r="FG615" s="1605"/>
      <c r="FH615" s="1605"/>
      <c r="FI615" s="1605"/>
      <c r="FJ615" s="1605"/>
      <c r="FK615" s="1605"/>
      <c r="FL615" s="1605"/>
      <c r="FM615" s="1605"/>
      <c r="FN615" s="1605"/>
      <c r="FO615" s="1605"/>
      <c r="FP615" s="1605"/>
      <c r="FQ615" s="1605"/>
      <c r="FR615" s="1605"/>
      <c r="FS615" s="1605"/>
      <c r="FT615" s="1605"/>
      <c r="FU615" s="1605"/>
      <c r="FV615" s="1605"/>
      <c r="FW615" s="1605"/>
      <c r="FX615" s="1605"/>
      <c r="FY615" s="1605"/>
      <c r="FZ615" s="1605"/>
      <c r="GA615" s="1605"/>
      <c r="GB615" s="1605"/>
      <c r="GC615" s="1605"/>
      <c r="GD615" s="1605"/>
      <c r="GE615" s="1605"/>
      <c r="GF615" s="1605"/>
      <c r="GG615" s="1605"/>
      <c r="GH615" s="1605"/>
      <c r="GI615" s="1605"/>
      <c r="GJ615" s="1605"/>
      <c r="GK615" s="1605"/>
      <c r="GL615" s="1605"/>
      <c r="GM615" s="1605"/>
      <c r="GN615" s="1605"/>
      <c r="GO615" s="1605"/>
      <c r="GP615" s="1605"/>
      <c r="GQ615" s="1605"/>
      <c r="GR615" s="1605"/>
      <c r="GS615" s="1605"/>
      <c r="GT615" s="1605"/>
      <c r="GU615" s="1605"/>
      <c r="GV615" s="1605"/>
      <c r="GW615" s="1605"/>
      <c r="GX615" s="1605"/>
      <c r="GY615" s="1605"/>
      <c r="GZ615" s="1605"/>
      <c r="HA615" s="1605"/>
      <c r="HB615" s="1605"/>
      <c r="HC615" s="1605"/>
      <c r="HD615" s="1605"/>
      <c r="HE615" s="1605"/>
      <c r="HF615" s="1605"/>
      <c r="HG615" s="1605"/>
      <c r="HH615" s="1605"/>
      <c r="HI615" s="1605"/>
      <c r="HJ615" s="1605"/>
      <c r="HK615" s="1605"/>
      <c r="HL615" s="1605"/>
      <c r="HM615" s="1605"/>
      <c r="HN615" s="1605"/>
      <c r="HO615" s="1605"/>
      <c r="HP615" s="1605"/>
      <c r="HQ615" s="1605"/>
      <c r="HR615" s="1605"/>
      <c r="HS615" s="1605"/>
      <c r="HT615" s="1605"/>
      <c r="HU615" s="1605"/>
      <c r="HV615" s="1605"/>
      <c r="HW615" s="1605"/>
      <c r="HX615" s="1605"/>
      <c r="HY615" s="1605"/>
      <c r="HZ615" s="1605"/>
      <c r="IA615" s="1605"/>
      <c r="IB615" s="1605"/>
      <c r="IC615" s="1605"/>
      <c r="ID615" s="1605"/>
      <c r="IE615" s="1605"/>
      <c r="IF615" s="1605"/>
      <c r="IG615" s="1605"/>
      <c r="IH615" s="1605"/>
      <c r="II615" s="1605"/>
      <c r="IJ615" s="1605"/>
      <c r="IK615" s="1605"/>
      <c r="IL615" s="1605"/>
      <c r="IM615" s="1605"/>
      <c r="IN615" s="1605"/>
      <c r="IO615" s="1605"/>
      <c r="IP615" s="1605"/>
      <c r="IQ615" s="1605"/>
      <c r="IR615" s="1605"/>
      <c r="IS615" s="1605"/>
      <c r="IT615" s="1605"/>
      <c r="IU615" s="1605"/>
      <c r="IV615" s="1605"/>
      <c r="IW615" s="1605"/>
      <c r="IX615" s="1605"/>
      <c r="IY615" s="1605"/>
      <c r="IZ615" s="1605"/>
      <c r="JA615" s="1605"/>
      <c r="JB615" s="1605"/>
      <c r="JC615" s="1605"/>
      <c r="JD615" s="1605"/>
      <c r="JE615" s="1605"/>
      <c r="JF615" s="1605"/>
      <c r="JG615" s="1605"/>
      <c r="JH615" s="1605"/>
      <c r="JI615" s="1605"/>
      <c r="JJ615" s="1605"/>
      <c r="JK615" s="1605"/>
      <c r="JL615" s="1605"/>
      <c r="JM615" s="1605"/>
      <c r="JN615" s="1605"/>
      <c r="JO615" s="1605"/>
      <c r="JP615" s="1605"/>
      <c r="JQ615" s="1605"/>
      <c r="JR615" s="1605"/>
      <c r="JS615" s="1605"/>
      <c r="JT615" s="1605"/>
      <c r="JU615" s="1605"/>
      <c r="JV615" s="1605"/>
      <c r="JW615" s="1605"/>
      <c r="JX615" s="1605"/>
      <c r="JY615" s="1605"/>
      <c r="JZ615" s="1605"/>
      <c r="KA615" s="1605"/>
      <c r="KB615" s="1606"/>
    </row>
    <row r="616" spans="2:288" ht="15" customHeight="1" x14ac:dyDescent="0.25">
      <c r="B616" s="216" t="str">
        <f t="shared" si="47"/>
        <v>Desk 89</v>
      </c>
      <c r="C616" s="218" t="str">
        <v/>
      </c>
      <c r="D616" s="218" t="str">
        <v/>
      </c>
      <c r="E616" s="218" t="str">
        <v/>
      </c>
      <c r="F616" s="218" t="str">
        <v/>
      </c>
      <c r="G616" s="402" t="str">
        <v/>
      </c>
      <c r="H616" s="1605"/>
      <c r="I616" s="1605"/>
      <c r="J616" s="1605"/>
      <c r="K616" s="1605"/>
      <c r="L616" s="1605"/>
      <c r="M616" s="1605"/>
      <c r="N616" s="1605"/>
      <c r="O616" s="1605"/>
      <c r="P616" s="1605"/>
      <c r="Q616" s="1605"/>
      <c r="R616" s="1605"/>
      <c r="S616" s="1605"/>
      <c r="T616" s="1605"/>
      <c r="U616" s="1605"/>
      <c r="V616" s="1605"/>
      <c r="W616" s="1605"/>
      <c r="X616" s="1605"/>
      <c r="Y616" s="1605"/>
      <c r="Z616" s="1605"/>
      <c r="AA616" s="1605"/>
      <c r="AB616" s="1605"/>
      <c r="AC616" s="1605"/>
      <c r="AD616" s="1605"/>
      <c r="AE616" s="1605"/>
      <c r="AF616" s="1605"/>
      <c r="AG616" s="1605"/>
      <c r="AH616" s="1605"/>
      <c r="AI616" s="1605"/>
      <c r="AJ616" s="1605"/>
      <c r="AK616" s="1605"/>
      <c r="AL616" s="1605"/>
      <c r="AM616" s="1605"/>
      <c r="AN616" s="1605"/>
      <c r="AO616" s="1605"/>
      <c r="AP616" s="1605"/>
      <c r="AQ616" s="1605"/>
      <c r="AR616" s="1605"/>
      <c r="AS616" s="1605"/>
      <c r="AT616" s="1605"/>
      <c r="AU616" s="1605"/>
      <c r="AV616" s="1605"/>
      <c r="AW616" s="1605"/>
      <c r="AX616" s="1605"/>
      <c r="AY616" s="1605"/>
      <c r="AZ616" s="1605"/>
      <c r="BA616" s="1605"/>
      <c r="BB616" s="1605"/>
      <c r="BC616" s="1605"/>
      <c r="BD616" s="1605"/>
      <c r="BE616" s="1605"/>
      <c r="BF616" s="1605"/>
      <c r="BG616" s="1605"/>
      <c r="BH616" s="1605"/>
      <c r="BI616" s="1605"/>
      <c r="BJ616" s="1605"/>
      <c r="BK616" s="1605"/>
      <c r="BL616" s="1605"/>
      <c r="BM616" s="1605"/>
      <c r="BN616" s="1605"/>
      <c r="BO616" s="1605"/>
      <c r="BP616" s="1605"/>
      <c r="BQ616" s="1605"/>
      <c r="BR616" s="1605"/>
      <c r="BS616" s="1605"/>
      <c r="BT616" s="1605"/>
      <c r="BU616" s="1605"/>
      <c r="BV616" s="1605"/>
      <c r="BW616" s="1605"/>
      <c r="BX616" s="1605"/>
      <c r="BY616" s="1605"/>
      <c r="BZ616" s="1605"/>
      <c r="CA616" s="1605"/>
      <c r="CB616" s="1605"/>
      <c r="CC616" s="1605"/>
      <c r="CD616" s="1605"/>
      <c r="CE616" s="1605"/>
      <c r="CF616" s="1605"/>
      <c r="CG616" s="1605"/>
      <c r="CH616" s="1605"/>
      <c r="CI616" s="1605"/>
      <c r="CJ616" s="1605"/>
      <c r="CK616" s="1605"/>
      <c r="CL616" s="1605"/>
      <c r="CM616" s="1605"/>
      <c r="CN616" s="1605"/>
      <c r="CO616" s="1605"/>
      <c r="CP616" s="1605"/>
      <c r="CQ616" s="1605"/>
      <c r="CR616" s="1605"/>
      <c r="CS616" s="1605"/>
      <c r="CT616" s="1605"/>
      <c r="CU616" s="1605"/>
      <c r="CV616" s="1605"/>
      <c r="CW616" s="1605"/>
      <c r="CX616" s="1605"/>
      <c r="CY616" s="1605"/>
      <c r="CZ616" s="1605"/>
      <c r="DA616" s="1605"/>
      <c r="DB616" s="1605"/>
      <c r="DC616" s="1605"/>
      <c r="DD616" s="1605"/>
      <c r="DE616" s="1605"/>
      <c r="DF616" s="1605"/>
      <c r="DG616" s="1605"/>
      <c r="DH616" s="1605"/>
      <c r="DI616" s="1605"/>
      <c r="DJ616" s="1605"/>
      <c r="DK616" s="1605"/>
      <c r="DL616" s="1605"/>
      <c r="DM616" s="1605"/>
      <c r="DN616" s="1605"/>
      <c r="DO616" s="1605"/>
      <c r="DP616" s="1605"/>
      <c r="DQ616" s="1605"/>
      <c r="DR616" s="1605"/>
      <c r="DS616" s="1605"/>
      <c r="DT616" s="1605"/>
      <c r="DU616" s="1605"/>
      <c r="DV616" s="1605"/>
      <c r="DW616" s="1605"/>
      <c r="DX616" s="1605"/>
      <c r="DY616" s="1605"/>
      <c r="DZ616" s="1605"/>
      <c r="EA616" s="1605"/>
      <c r="EB616" s="1605"/>
      <c r="EC616" s="1605"/>
      <c r="ED616" s="1605"/>
      <c r="EE616" s="1605"/>
      <c r="EF616" s="1605"/>
      <c r="EG616" s="1605"/>
      <c r="EH616" s="1605"/>
      <c r="EI616" s="1605"/>
      <c r="EJ616" s="1605"/>
      <c r="EK616" s="1605"/>
      <c r="EL616" s="1605"/>
      <c r="EM616" s="1605"/>
      <c r="EN616" s="1605"/>
      <c r="EO616" s="1605"/>
      <c r="EP616" s="1605"/>
      <c r="EQ616" s="1605"/>
      <c r="ER616" s="1605"/>
      <c r="ES616" s="1605"/>
      <c r="ET616" s="1605"/>
      <c r="EU616" s="1605"/>
      <c r="EV616" s="1605"/>
      <c r="EW616" s="1605"/>
      <c r="EX616" s="1605"/>
      <c r="EY616" s="1605"/>
      <c r="EZ616" s="1605"/>
      <c r="FA616" s="1605"/>
      <c r="FB616" s="1605"/>
      <c r="FC616" s="1605"/>
      <c r="FD616" s="1605"/>
      <c r="FE616" s="1605"/>
      <c r="FF616" s="1605"/>
      <c r="FG616" s="1605"/>
      <c r="FH616" s="1605"/>
      <c r="FI616" s="1605"/>
      <c r="FJ616" s="1605"/>
      <c r="FK616" s="1605"/>
      <c r="FL616" s="1605"/>
      <c r="FM616" s="1605"/>
      <c r="FN616" s="1605"/>
      <c r="FO616" s="1605"/>
      <c r="FP616" s="1605"/>
      <c r="FQ616" s="1605"/>
      <c r="FR616" s="1605"/>
      <c r="FS616" s="1605"/>
      <c r="FT616" s="1605"/>
      <c r="FU616" s="1605"/>
      <c r="FV616" s="1605"/>
      <c r="FW616" s="1605"/>
      <c r="FX616" s="1605"/>
      <c r="FY616" s="1605"/>
      <c r="FZ616" s="1605"/>
      <c r="GA616" s="1605"/>
      <c r="GB616" s="1605"/>
      <c r="GC616" s="1605"/>
      <c r="GD616" s="1605"/>
      <c r="GE616" s="1605"/>
      <c r="GF616" s="1605"/>
      <c r="GG616" s="1605"/>
      <c r="GH616" s="1605"/>
      <c r="GI616" s="1605"/>
      <c r="GJ616" s="1605"/>
      <c r="GK616" s="1605"/>
      <c r="GL616" s="1605"/>
      <c r="GM616" s="1605"/>
      <c r="GN616" s="1605"/>
      <c r="GO616" s="1605"/>
      <c r="GP616" s="1605"/>
      <c r="GQ616" s="1605"/>
      <c r="GR616" s="1605"/>
      <c r="GS616" s="1605"/>
      <c r="GT616" s="1605"/>
      <c r="GU616" s="1605"/>
      <c r="GV616" s="1605"/>
      <c r="GW616" s="1605"/>
      <c r="GX616" s="1605"/>
      <c r="GY616" s="1605"/>
      <c r="GZ616" s="1605"/>
      <c r="HA616" s="1605"/>
      <c r="HB616" s="1605"/>
      <c r="HC616" s="1605"/>
      <c r="HD616" s="1605"/>
      <c r="HE616" s="1605"/>
      <c r="HF616" s="1605"/>
      <c r="HG616" s="1605"/>
      <c r="HH616" s="1605"/>
      <c r="HI616" s="1605"/>
      <c r="HJ616" s="1605"/>
      <c r="HK616" s="1605"/>
      <c r="HL616" s="1605"/>
      <c r="HM616" s="1605"/>
      <c r="HN616" s="1605"/>
      <c r="HO616" s="1605"/>
      <c r="HP616" s="1605"/>
      <c r="HQ616" s="1605"/>
      <c r="HR616" s="1605"/>
      <c r="HS616" s="1605"/>
      <c r="HT616" s="1605"/>
      <c r="HU616" s="1605"/>
      <c r="HV616" s="1605"/>
      <c r="HW616" s="1605"/>
      <c r="HX616" s="1605"/>
      <c r="HY616" s="1605"/>
      <c r="HZ616" s="1605"/>
      <c r="IA616" s="1605"/>
      <c r="IB616" s="1605"/>
      <c r="IC616" s="1605"/>
      <c r="ID616" s="1605"/>
      <c r="IE616" s="1605"/>
      <c r="IF616" s="1605"/>
      <c r="IG616" s="1605"/>
      <c r="IH616" s="1605"/>
      <c r="II616" s="1605"/>
      <c r="IJ616" s="1605"/>
      <c r="IK616" s="1605"/>
      <c r="IL616" s="1605"/>
      <c r="IM616" s="1605"/>
      <c r="IN616" s="1605"/>
      <c r="IO616" s="1605"/>
      <c r="IP616" s="1605"/>
      <c r="IQ616" s="1605"/>
      <c r="IR616" s="1605"/>
      <c r="IS616" s="1605"/>
      <c r="IT616" s="1605"/>
      <c r="IU616" s="1605"/>
      <c r="IV616" s="1605"/>
      <c r="IW616" s="1605"/>
      <c r="IX616" s="1605"/>
      <c r="IY616" s="1605"/>
      <c r="IZ616" s="1605"/>
      <c r="JA616" s="1605"/>
      <c r="JB616" s="1605"/>
      <c r="JC616" s="1605"/>
      <c r="JD616" s="1605"/>
      <c r="JE616" s="1605"/>
      <c r="JF616" s="1605"/>
      <c r="JG616" s="1605"/>
      <c r="JH616" s="1605"/>
      <c r="JI616" s="1605"/>
      <c r="JJ616" s="1605"/>
      <c r="JK616" s="1605"/>
      <c r="JL616" s="1605"/>
      <c r="JM616" s="1605"/>
      <c r="JN616" s="1605"/>
      <c r="JO616" s="1605"/>
      <c r="JP616" s="1605"/>
      <c r="JQ616" s="1605"/>
      <c r="JR616" s="1605"/>
      <c r="JS616" s="1605"/>
      <c r="JT616" s="1605"/>
      <c r="JU616" s="1605"/>
      <c r="JV616" s="1605"/>
      <c r="JW616" s="1605"/>
      <c r="JX616" s="1605"/>
      <c r="JY616" s="1605"/>
      <c r="JZ616" s="1605"/>
      <c r="KA616" s="1605"/>
      <c r="KB616" s="1606"/>
    </row>
    <row r="617" spans="2:288" ht="15" customHeight="1" x14ac:dyDescent="0.25">
      <c r="B617" s="216" t="str">
        <f t="shared" si="47"/>
        <v>Desk 90</v>
      </c>
      <c r="C617" s="218" t="str">
        <v/>
      </c>
      <c r="D617" s="218" t="str">
        <v/>
      </c>
      <c r="E617" s="218" t="str">
        <v/>
      </c>
      <c r="F617" s="218" t="str">
        <v/>
      </c>
      <c r="G617" s="402" t="str">
        <v/>
      </c>
      <c r="H617" s="1605"/>
      <c r="I617" s="1605"/>
      <c r="J617" s="1605"/>
      <c r="K617" s="1605"/>
      <c r="L617" s="1605"/>
      <c r="M617" s="1605"/>
      <c r="N617" s="1605"/>
      <c r="O617" s="1605"/>
      <c r="P617" s="1605"/>
      <c r="Q617" s="1605"/>
      <c r="R617" s="1605"/>
      <c r="S617" s="1605"/>
      <c r="T617" s="1605"/>
      <c r="U617" s="1605"/>
      <c r="V617" s="1605"/>
      <c r="W617" s="1605"/>
      <c r="X617" s="1605"/>
      <c r="Y617" s="1605"/>
      <c r="Z617" s="1605"/>
      <c r="AA617" s="1605"/>
      <c r="AB617" s="1605"/>
      <c r="AC617" s="1605"/>
      <c r="AD617" s="1605"/>
      <c r="AE617" s="1605"/>
      <c r="AF617" s="1605"/>
      <c r="AG617" s="1605"/>
      <c r="AH617" s="1605"/>
      <c r="AI617" s="1605"/>
      <c r="AJ617" s="1605"/>
      <c r="AK617" s="1605"/>
      <c r="AL617" s="1605"/>
      <c r="AM617" s="1605"/>
      <c r="AN617" s="1605"/>
      <c r="AO617" s="1605"/>
      <c r="AP617" s="1605"/>
      <c r="AQ617" s="1605"/>
      <c r="AR617" s="1605"/>
      <c r="AS617" s="1605"/>
      <c r="AT617" s="1605"/>
      <c r="AU617" s="1605"/>
      <c r="AV617" s="1605"/>
      <c r="AW617" s="1605"/>
      <c r="AX617" s="1605"/>
      <c r="AY617" s="1605"/>
      <c r="AZ617" s="1605"/>
      <c r="BA617" s="1605"/>
      <c r="BB617" s="1605"/>
      <c r="BC617" s="1605"/>
      <c r="BD617" s="1605"/>
      <c r="BE617" s="1605"/>
      <c r="BF617" s="1605"/>
      <c r="BG617" s="1605"/>
      <c r="BH617" s="1605"/>
      <c r="BI617" s="1605"/>
      <c r="BJ617" s="1605"/>
      <c r="BK617" s="1605"/>
      <c r="BL617" s="1605"/>
      <c r="BM617" s="1605"/>
      <c r="BN617" s="1605"/>
      <c r="BO617" s="1605"/>
      <c r="BP617" s="1605"/>
      <c r="BQ617" s="1605"/>
      <c r="BR617" s="1605"/>
      <c r="BS617" s="1605"/>
      <c r="BT617" s="1605"/>
      <c r="BU617" s="1605"/>
      <c r="BV617" s="1605"/>
      <c r="BW617" s="1605"/>
      <c r="BX617" s="1605"/>
      <c r="BY617" s="1605"/>
      <c r="BZ617" s="1605"/>
      <c r="CA617" s="1605"/>
      <c r="CB617" s="1605"/>
      <c r="CC617" s="1605"/>
      <c r="CD617" s="1605"/>
      <c r="CE617" s="1605"/>
      <c r="CF617" s="1605"/>
      <c r="CG617" s="1605"/>
      <c r="CH617" s="1605"/>
      <c r="CI617" s="1605"/>
      <c r="CJ617" s="1605"/>
      <c r="CK617" s="1605"/>
      <c r="CL617" s="1605"/>
      <c r="CM617" s="1605"/>
      <c r="CN617" s="1605"/>
      <c r="CO617" s="1605"/>
      <c r="CP617" s="1605"/>
      <c r="CQ617" s="1605"/>
      <c r="CR617" s="1605"/>
      <c r="CS617" s="1605"/>
      <c r="CT617" s="1605"/>
      <c r="CU617" s="1605"/>
      <c r="CV617" s="1605"/>
      <c r="CW617" s="1605"/>
      <c r="CX617" s="1605"/>
      <c r="CY617" s="1605"/>
      <c r="CZ617" s="1605"/>
      <c r="DA617" s="1605"/>
      <c r="DB617" s="1605"/>
      <c r="DC617" s="1605"/>
      <c r="DD617" s="1605"/>
      <c r="DE617" s="1605"/>
      <c r="DF617" s="1605"/>
      <c r="DG617" s="1605"/>
      <c r="DH617" s="1605"/>
      <c r="DI617" s="1605"/>
      <c r="DJ617" s="1605"/>
      <c r="DK617" s="1605"/>
      <c r="DL617" s="1605"/>
      <c r="DM617" s="1605"/>
      <c r="DN617" s="1605"/>
      <c r="DO617" s="1605"/>
      <c r="DP617" s="1605"/>
      <c r="DQ617" s="1605"/>
      <c r="DR617" s="1605"/>
      <c r="DS617" s="1605"/>
      <c r="DT617" s="1605"/>
      <c r="DU617" s="1605"/>
      <c r="DV617" s="1605"/>
      <c r="DW617" s="1605"/>
      <c r="DX617" s="1605"/>
      <c r="DY617" s="1605"/>
      <c r="DZ617" s="1605"/>
      <c r="EA617" s="1605"/>
      <c r="EB617" s="1605"/>
      <c r="EC617" s="1605"/>
      <c r="ED617" s="1605"/>
      <c r="EE617" s="1605"/>
      <c r="EF617" s="1605"/>
      <c r="EG617" s="1605"/>
      <c r="EH617" s="1605"/>
      <c r="EI617" s="1605"/>
      <c r="EJ617" s="1605"/>
      <c r="EK617" s="1605"/>
      <c r="EL617" s="1605"/>
      <c r="EM617" s="1605"/>
      <c r="EN617" s="1605"/>
      <c r="EO617" s="1605"/>
      <c r="EP617" s="1605"/>
      <c r="EQ617" s="1605"/>
      <c r="ER617" s="1605"/>
      <c r="ES617" s="1605"/>
      <c r="ET617" s="1605"/>
      <c r="EU617" s="1605"/>
      <c r="EV617" s="1605"/>
      <c r="EW617" s="1605"/>
      <c r="EX617" s="1605"/>
      <c r="EY617" s="1605"/>
      <c r="EZ617" s="1605"/>
      <c r="FA617" s="1605"/>
      <c r="FB617" s="1605"/>
      <c r="FC617" s="1605"/>
      <c r="FD617" s="1605"/>
      <c r="FE617" s="1605"/>
      <c r="FF617" s="1605"/>
      <c r="FG617" s="1605"/>
      <c r="FH617" s="1605"/>
      <c r="FI617" s="1605"/>
      <c r="FJ617" s="1605"/>
      <c r="FK617" s="1605"/>
      <c r="FL617" s="1605"/>
      <c r="FM617" s="1605"/>
      <c r="FN617" s="1605"/>
      <c r="FO617" s="1605"/>
      <c r="FP617" s="1605"/>
      <c r="FQ617" s="1605"/>
      <c r="FR617" s="1605"/>
      <c r="FS617" s="1605"/>
      <c r="FT617" s="1605"/>
      <c r="FU617" s="1605"/>
      <c r="FV617" s="1605"/>
      <c r="FW617" s="1605"/>
      <c r="FX617" s="1605"/>
      <c r="FY617" s="1605"/>
      <c r="FZ617" s="1605"/>
      <c r="GA617" s="1605"/>
      <c r="GB617" s="1605"/>
      <c r="GC617" s="1605"/>
      <c r="GD617" s="1605"/>
      <c r="GE617" s="1605"/>
      <c r="GF617" s="1605"/>
      <c r="GG617" s="1605"/>
      <c r="GH617" s="1605"/>
      <c r="GI617" s="1605"/>
      <c r="GJ617" s="1605"/>
      <c r="GK617" s="1605"/>
      <c r="GL617" s="1605"/>
      <c r="GM617" s="1605"/>
      <c r="GN617" s="1605"/>
      <c r="GO617" s="1605"/>
      <c r="GP617" s="1605"/>
      <c r="GQ617" s="1605"/>
      <c r="GR617" s="1605"/>
      <c r="GS617" s="1605"/>
      <c r="GT617" s="1605"/>
      <c r="GU617" s="1605"/>
      <c r="GV617" s="1605"/>
      <c r="GW617" s="1605"/>
      <c r="GX617" s="1605"/>
      <c r="GY617" s="1605"/>
      <c r="GZ617" s="1605"/>
      <c r="HA617" s="1605"/>
      <c r="HB617" s="1605"/>
      <c r="HC617" s="1605"/>
      <c r="HD617" s="1605"/>
      <c r="HE617" s="1605"/>
      <c r="HF617" s="1605"/>
      <c r="HG617" s="1605"/>
      <c r="HH617" s="1605"/>
      <c r="HI617" s="1605"/>
      <c r="HJ617" s="1605"/>
      <c r="HK617" s="1605"/>
      <c r="HL617" s="1605"/>
      <c r="HM617" s="1605"/>
      <c r="HN617" s="1605"/>
      <c r="HO617" s="1605"/>
      <c r="HP617" s="1605"/>
      <c r="HQ617" s="1605"/>
      <c r="HR617" s="1605"/>
      <c r="HS617" s="1605"/>
      <c r="HT617" s="1605"/>
      <c r="HU617" s="1605"/>
      <c r="HV617" s="1605"/>
      <c r="HW617" s="1605"/>
      <c r="HX617" s="1605"/>
      <c r="HY617" s="1605"/>
      <c r="HZ617" s="1605"/>
      <c r="IA617" s="1605"/>
      <c r="IB617" s="1605"/>
      <c r="IC617" s="1605"/>
      <c r="ID617" s="1605"/>
      <c r="IE617" s="1605"/>
      <c r="IF617" s="1605"/>
      <c r="IG617" s="1605"/>
      <c r="IH617" s="1605"/>
      <c r="II617" s="1605"/>
      <c r="IJ617" s="1605"/>
      <c r="IK617" s="1605"/>
      <c r="IL617" s="1605"/>
      <c r="IM617" s="1605"/>
      <c r="IN617" s="1605"/>
      <c r="IO617" s="1605"/>
      <c r="IP617" s="1605"/>
      <c r="IQ617" s="1605"/>
      <c r="IR617" s="1605"/>
      <c r="IS617" s="1605"/>
      <c r="IT617" s="1605"/>
      <c r="IU617" s="1605"/>
      <c r="IV617" s="1605"/>
      <c r="IW617" s="1605"/>
      <c r="IX617" s="1605"/>
      <c r="IY617" s="1605"/>
      <c r="IZ617" s="1605"/>
      <c r="JA617" s="1605"/>
      <c r="JB617" s="1605"/>
      <c r="JC617" s="1605"/>
      <c r="JD617" s="1605"/>
      <c r="JE617" s="1605"/>
      <c r="JF617" s="1605"/>
      <c r="JG617" s="1605"/>
      <c r="JH617" s="1605"/>
      <c r="JI617" s="1605"/>
      <c r="JJ617" s="1605"/>
      <c r="JK617" s="1605"/>
      <c r="JL617" s="1605"/>
      <c r="JM617" s="1605"/>
      <c r="JN617" s="1605"/>
      <c r="JO617" s="1605"/>
      <c r="JP617" s="1605"/>
      <c r="JQ617" s="1605"/>
      <c r="JR617" s="1605"/>
      <c r="JS617" s="1605"/>
      <c r="JT617" s="1605"/>
      <c r="JU617" s="1605"/>
      <c r="JV617" s="1605"/>
      <c r="JW617" s="1605"/>
      <c r="JX617" s="1605"/>
      <c r="JY617" s="1605"/>
      <c r="JZ617" s="1605"/>
      <c r="KA617" s="1605"/>
      <c r="KB617" s="1606"/>
    </row>
    <row r="618" spans="2:288" ht="15" customHeight="1" x14ac:dyDescent="0.25">
      <c r="B618" s="216" t="str">
        <f t="shared" si="47"/>
        <v>Desk 91</v>
      </c>
      <c r="C618" s="218" t="str">
        <v/>
      </c>
      <c r="D618" s="218" t="str">
        <v/>
      </c>
      <c r="E618" s="218" t="str">
        <v/>
      </c>
      <c r="F618" s="218" t="str">
        <v/>
      </c>
      <c r="G618" s="402" t="str">
        <v/>
      </c>
      <c r="H618" s="1605"/>
      <c r="I618" s="1605"/>
      <c r="J618" s="1605"/>
      <c r="K618" s="1605"/>
      <c r="L618" s="1605"/>
      <c r="M618" s="1605"/>
      <c r="N618" s="1605"/>
      <c r="O618" s="1605"/>
      <c r="P618" s="1605"/>
      <c r="Q618" s="1605"/>
      <c r="R618" s="1605"/>
      <c r="S618" s="1605"/>
      <c r="T618" s="1605"/>
      <c r="U618" s="1605"/>
      <c r="V618" s="1605"/>
      <c r="W618" s="1605"/>
      <c r="X618" s="1605"/>
      <c r="Y618" s="1605"/>
      <c r="Z618" s="1605"/>
      <c r="AA618" s="1605"/>
      <c r="AB618" s="1605"/>
      <c r="AC618" s="1605"/>
      <c r="AD618" s="1605"/>
      <c r="AE618" s="1605"/>
      <c r="AF618" s="1605"/>
      <c r="AG618" s="1605"/>
      <c r="AH618" s="1605"/>
      <c r="AI618" s="1605"/>
      <c r="AJ618" s="1605"/>
      <c r="AK618" s="1605"/>
      <c r="AL618" s="1605"/>
      <c r="AM618" s="1605"/>
      <c r="AN618" s="1605"/>
      <c r="AO618" s="1605"/>
      <c r="AP618" s="1605"/>
      <c r="AQ618" s="1605"/>
      <c r="AR618" s="1605"/>
      <c r="AS618" s="1605"/>
      <c r="AT618" s="1605"/>
      <c r="AU618" s="1605"/>
      <c r="AV618" s="1605"/>
      <c r="AW618" s="1605"/>
      <c r="AX618" s="1605"/>
      <c r="AY618" s="1605"/>
      <c r="AZ618" s="1605"/>
      <c r="BA618" s="1605"/>
      <c r="BB618" s="1605"/>
      <c r="BC618" s="1605"/>
      <c r="BD618" s="1605"/>
      <c r="BE618" s="1605"/>
      <c r="BF618" s="1605"/>
      <c r="BG618" s="1605"/>
      <c r="BH618" s="1605"/>
      <c r="BI618" s="1605"/>
      <c r="BJ618" s="1605"/>
      <c r="BK618" s="1605"/>
      <c r="BL618" s="1605"/>
      <c r="BM618" s="1605"/>
      <c r="BN618" s="1605"/>
      <c r="BO618" s="1605"/>
      <c r="BP618" s="1605"/>
      <c r="BQ618" s="1605"/>
      <c r="BR618" s="1605"/>
      <c r="BS618" s="1605"/>
      <c r="BT618" s="1605"/>
      <c r="BU618" s="1605"/>
      <c r="BV618" s="1605"/>
      <c r="BW618" s="1605"/>
      <c r="BX618" s="1605"/>
      <c r="BY618" s="1605"/>
      <c r="BZ618" s="1605"/>
      <c r="CA618" s="1605"/>
      <c r="CB618" s="1605"/>
      <c r="CC618" s="1605"/>
      <c r="CD618" s="1605"/>
      <c r="CE618" s="1605"/>
      <c r="CF618" s="1605"/>
      <c r="CG618" s="1605"/>
      <c r="CH618" s="1605"/>
      <c r="CI618" s="1605"/>
      <c r="CJ618" s="1605"/>
      <c r="CK618" s="1605"/>
      <c r="CL618" s="1605"/>
      <c r="CM618" s="1605"/>
      <c r="CN618" s="1605"/>
      <c r="CO618" s="1605"/>
      <c r="CP618" s="1605"/>
      <c r="CQ618" s="1605"/>
      <c r="CR618" s="1605"/>
      <c r="CS618" s="1605"/>
      <c r="CT618" s="1605"/>
      <c r="CU618" s="1605"/>
      <c r="CV618" s="1605"/>
      <c r="CW618" s="1605"/>
      <c r="CX618" s="1605"/>
      <c r="CY618" s="1605"/>
      <c r="CZ618" s="1605"/>
      <c r="DA618" s="1605"/>
      <c r="DB618" s="1605"/>
      <c r="DC618" s="1605"/>
      <c r="DD618" s="1605"/>
      <c r="DE618" s="1605"/>
      <c r="DF618" s="1605"/>
      <c r="DG618" s="1605"/>
      <c r="DH618" s="1605"/>
      <c r="DI618" s="1605"/>
      <c r="DJ618" s="1605"/>
      <c r="DK618" s="1605"/>
      <c r="DL618" s="1605"/>
      <c r="DM618" s="1605"/>
      <c r="DN618" s="1605"/>
      <c r="DO618" s="1605"/>
      <c r="DP618" s="1605"/>
      <c r="DQ618" s="1605"/>
      <c r="DR618" s="1605"/>
      <c r="DS618" s="1605"/>
      <c r="DT618" s="1605"/>
      <c r="DU618" s="1605"/>
      <c r="DV618" s="1605"/>
      <c r="DW618" s="1605"/>
      <c r="DX618" s="1605"/>
      <c r="DY618" s="1605"/>
      <c r="DZ618" s="1605"/>
      <c r="EA618" s="1605"/>
      <c r="EB618" s="1605"/>
      <c r="EC618" s="1605"/>
      <c r="ED618" s="1605"/>
      <c r="EE618" s="1605"/>
      <c r="EF618" s="1605"/>
      <c r="EG618" s="1605"/>
      <c r="EH618" s="1605"/>
      <c r="EI618" s="1605"/>
      <c r="EJ618" s="1605"/>
      <c r="EK618" s="1605"/>
      <c r="EL618" s="1605"/>
      <c r="EM618" s="1605"/>
      <c r="EN618" s="1605"/>
      <c r="EO618" s="1605"/>
      <c r="EP618" s="1605"/>
      <c r="EQ618" s="1605"/>
      <c r="ER618" s="1605"/>
      <c r="ES618" s="1605"/>
      <c r="ET618" s="1605"/>
      <c r="EU618" s="1605"/>
      <c r="EV618" s="1605"/>
      <c r="EW618" s="1605"/>
      <c r="EX618" s="1605"/>
      <c r="EY618" s="1605"/>
      <c r="EZ618" s="1605"/>
      <c r="FA618" s="1605"/>
      <c r="FB618" s="1605"/>
      <c r="FC618" s="1605"/>
      <c r="FD618" s="1605"/>
      <c r="FE618" s="1605"/>
      <c r="FF618" s="1605"/>
      <c r="FG618" s="1605"/>
      <c r="FH618" s="1605"/>
      <c r="FI618" s="1605"/>
      <c r="FJ618" s="1605"/>
      <c r="FK618" s="1605"/>
      <c r="FL618" s="1605"/>
      <c r="FM618" s="1605"/>
      <c r="FN618" s="1605"/>
      <c r="FO618" s="1605"/>
      <c r="FP618" s="1605"/>
      <c r="FQ618" s="1605"/>
      <c r="FR618" s="1605"/>
      <c r="FS618" s="1605"/>
      <c r="FT618" s="1605"/>
      <c r="FU618" s="1605"/>
      <c r="FV618" s="1605"/>
      <c r="FW618" s="1605"/>
      <c r="FX618" s="1605"/>
      <c r="FY618" s="1605"/>
      <c r="FZ618" s="1605"/>
      <c r="GA618" s="1605"/>
      <c r="GB618" s="1605"/>
      <c r="GC618" s="1605"/>
      <c r="GD618" s="1605"/>
      <c r="GE618" s="1605"/>
      <c r="GF618" s="1605"/>
      <c r="GG618" s="1605"/>
      <c r="GH618" s="1605"/>
      <c r="GI618" s="1605"/>
      <c r="GJ618" s="1605"/>
      <c r="GK618" s="1605"/>
      <c r="GL618" s="1605"/>
      <c r="GM618" s="1605"/>
      <c r="GN618" s="1605"/>
      <c r="GO618" s="1605"/>
      <c r="GP618" s="1605"/>
      <c r="GQ618" s="1605"/>
      <c r="GR618" s="1605"/>
      <c r="GS618" s="1605"/>
      <c r="GT618" s="1605"/>
      <c r="GU618" s="1605"/>
      <c r="GV618" s="1605"/>
      <c r="GW618" s="1605"/>
      <c r="GX618" s="1605"/>
      <c r="GY618" s="1605"/>
      <c r="GZ618" s="1605"/>
      <c r="HA618" s="1605"/>
      <c r="HB618" s="1605"/>
      <c r="HC618" s="1605"/>
      <c r="HD618" s="1605"/>
      <c r="HE618" s="1605"/>
      <c r="HF618" s="1605"/>
      <c r="HG618" s="1605"/>
      <c r="HH618" s="1605"/>
      <c r="HI618" s="1605"/>
      <c r="HJ618" s="1605"/>
      <c r="HK618" s="1605"/>
      <c r="HL618" s="1605"/>
      <c r="HM618" s="1605"/>
      <c r="HN618" s="1605"/>
      <c r="HO618" s="1605"/>
      <c r="HP618" s="1605"/>
      <c r="HQ618" s="1605"/>
      <c r="HR618" s="1605"/>
      <c r="HS618" s="1605"/>
      <c r="HT618" s="1605"/>
      <c r="HU618" s="1605"/>
      <c r="HV618" s="1605"/>
      <c r="HW618" s="1605"/>
      <c r="HX618" s="1605"/>
      <c r="HY618" s="1605"/>
      <c r="HZ618" s="1605"/>
      <c r="IA618" s="1605"/>
      <c r="IB618" s="1605"/>
      <c r="IC618" s="1605"/>
      <c r="ID618" s="1605"/>
      <c r="IE618" s="1605"/>
      <c r="IF618" s="1605"/>
      <c r="IG618" s="1605"/>
      <c r="IH618" s="1605"/>
      <c r="II618" s="1605"/>
      <c r="IJ618" s="1605"/>
      <c r="IK618" s="1605"/>
      <c r="IL618" s="1605"/>
      <c r="IM618" s="1605"/>
      <c r="IN618" s="1605"/>
      <c r="IO618" s="1605"/>
      <c r="IP618" s="1605"/>
      <c r="IQ618" s="1605"/>
      <c r="IR618" s="1605"/>
      <c r="IS618" s="1605"/>
      <c r="IT618" s="1605"/>
      <c r="IU618" s="1605"/>
      <c r="IV618" s="1605"/>
      <c r="IW618" s="1605"/>
      <c r="IX618" s="1605"/>
      <c r="IY618" s="1605"/>
      <c r="IZ618" s="1605"/>
      <c r="JA618" s="1605"/>
      <c r="JB618" s="1605"/>
      <c r="JC618" s="1605"/>
      <c r="JD618" s="1605"/>
      <c r="JE618" s="1605"/>
      <c r="JF618" s="1605"/>
      <c r="JG618" s="1605"/>
      <c r="JH618" s="1605"/>
      <c r="JI618" s="1605"/>
      <c r="JJ618" s="1605"/>
      <c r="JK618" s="1605"/>
      <c r="JL618" s="1605"/>
      <c r="JM618" s="1605"/>
      <c r="JN618" s="1605"/>
      <c r="JO618" s="1605"/>
      <c r="JP618" s="1605"/>
      <c r="JQ618" s="1605"/>
      <c r="JR618" s="1605"/>
      <c r="JS618" s="1605"/>
      <c r="JT618" s="1605"/>
      <c r="JU618" s="1605"/>
      <c r="JV618" s="1605"/>
      <c r="JW618" s="1605"/>
      <c r="JX618" s="1605"/>
      <c r="JY618" s="1605"/>
      <c r="JZ618" s="1605"/>
      <c r="KA618" s="1605"/>
      <c r="KB618" s="1606"/>
    </row>
    <row r="619" spans="2:288" ht="15" customHeight="1" x14ac:dyDescent="0.25">
      <c r="B619" s="216" t="str">
        <f t="shared" si="47"/>
        <v>Desk 92</v>
      </c>
      <c r="C619" s="218" t="str">
        <v/>
      </c>
      <c r="D619" s="218" t="str">
        <v/>
      </c>
      <c r="E619" s="218" t="str">
        <v/>
      </c>
      <c r="F619" s="218" t="str">
        <v/>
      </c>
      <c r="G619" s="402" t="str">
        <v/>
      </c>
      <c r="H619" s="1605"/>
      <c r="I619" s="1605"/>
      <c r="J619" s="1605"/>
      <c r="K619" s="1605"/>
      <c r="L619" s="1605"/>
      <c r="M619" s="1605"/>
      <c r="N619" s="1605"/>
      <c r="O619" s="1605"/>
      <c r="P619" s="1605"/>
      <c r="Q619" s="1605"/>
      <c r="R619" s="1605"/>
      <c r="S619" s="1605"/>
      <c r="T619" s="1605"/>
      <c r="U619" s="1605"/>
      <c r="V619" s="1605"/>
      <c r="W619" s="1605"/>
      <c r="X619" s="1605"/>
      <c r="Y619" s="1605"/>
      <c r="Z619" s="1605"/>
      <c r="AA619" s="1605"/>
      <c r="AB619" s="1605"/>
      <c r="AC619" s="1605"/>
      <c r="AD619" s="1605"/>
      <c r="AE619" s="1605"/>
      <c r="AF619" s="1605"/>
      <c r="AG619" s="1605"/>
      <c r="AH619" s="1605"/>
      <c r="AI619" s="1605"/>
      <c r="AJ619" s="1605"/>
      <c r="AK619" s="1605"/>
      <c r="AL619" s="1605"/>
      <c r="AM619" s="1605"/>
      <c r="AN619" s="1605"/>
      <c r="AO619" s="1605"/>
      <c r="AP619" s="1605"/>
      <c r="AQ619" s="1605"/>
      <c r="AR619" s="1605"/>
      <c r="AS619" s="1605"/>
      <c r="AT619" s="1605"/>
      <c r="AU619" s="1605"/>
      <c r="AV619" s="1605"/>
      <c r="AW619" s="1605"/>
      <c r="AX619" s="1605"/>
      <c r="AY619" s="1605"/>
      <c r="AZ619" s="1605"/>
      <c r="BA619" s="1605"/>
      <c r="BB619" s="1605"/>
      <c r="BC619" s="1605"/>
      <c r="BD619" s="1605"/>
      <c r="BE619" s="1605"/>
      <c r="BF619" s="1605"/>
      <c r="BG619" s="1605"/>
      <c r="BH619" s="1605"/>
      <c r="BI619" s="1605"/>
      <c r="BJ619" s="1605"/>
      <c r="BK619" s="1605"/>
      <c r="BL619" s="1605"/>
      <c r="BM619" s="1605"/>
      <c r="BN619" s="1605"/>
      <c r="BO619" s="1605"/>
      <c r="BP619" s="1605"/>
      <c r="BQ619" s="1605"/>
      <c r="BR619" s="1605"/>
      <c r="BS619" s="1605"/>
      <c r="BT619" s="1605"/>
      <c r="BU619" s="1605"/>
      <c r="BV619" s="1605"/>
      <c r="BW619" s="1605"/>
      <c r="BX619" s="1605"/>
      <c r="BY619" s="1605"/>
      <c r="BZ619" s="1605"/>
      <c r="CA619" s="1605"/>
      <c r="CB619" s="1605"/>
      <c r="CC619" s="1605"/>
      <c r="CD619" s="1605"/>
      <c r="CE619" s="1605"/>
      <c r="CF619" s="1605"/>
      <c r="CG619" s="1605"/>
      <c r="CH619" s="1605"/>
      <c r="CI619" s="1605"/>
      <c r="CJ619" s="1605"/>
      <c r="CK619" s="1605"/>
      <c r="CL619" s="1605"/>
      <c r="CM619" s="1605"/>
      <c r="CN619" s="1605"/>
      <c r="CO619" s="1605"/>
      <c r="CP619" s="1605"/>
      <c r="CQ619" s="1605"/>
      <c r="CR619" s="1605"/>
      <c r="CS619" s="1605"/>
      <c r="CT619" s="1605"/>
      <c r="CU619" s="1605"/>
      <c r="CV619" s="1605"/>
      <c r="CW619" s="1605"/>
      <c r="CX619" s="1605"/>
      <c r="CY619" s="1605"/>
      <c r="CZ619" s="1605"/>
      <c r="DA619" s="1605"/>
      <c r="DB619" s="1605"/>
      <c r="DC619" s="1605"/>
      <c r="DD619" s="1605"/>
      <c r="DE619" s="1605"/>
      <c r="DF619" s="1605"/>
      <c r="DG619" s="1605"/>
      <c r="DH619" s="1605"/>
      <c r="DI619" s="1605"/>
      <c r="DJ619" s="1605"/>
      <c r="DK619" s="1605"/>
      <c r="DL619" s="1605"/>
      <c r="DM619" s="1605"/>
      <c r="DN619" s="1605"/>
      <c r="DO619" s="1605"/>
      <c r="DP619" s="1605"/>
      <c r="DQ619" s="1605"/>
      <c r="DR619" s="1605"/>
      <c r="DS619" s="1605"/>
      <c r="DT619" s="1605"/>
      <c r="DU619" s="1605"/>
      <c r="DV619" s="1605"/>
      <c r="DW619" s="1605"/>
      <c r="DX619" s="1605"/>
      <c r="DY619" s="1605"/>
      <c r="DZ619" s="1605"/>
      <c r="EA619" s="1605"/>
      <c r="EB619" s="1605"/>
      <c r="EC619" s="1605"/>
      <c r="ED619" s="1605"/>
      <c r="EE619" s="1605"/>
      <c r="EF619" s="1605"/>
      <c r="EG619" s="1605"/>
      <c r="EH619" s="1605"/>
      <c r="EI619" s="1605"/>
      <c r="EJ619" s="1605"/>
      <c r="EK619" s="1605"/>
      <c r="EL619" s="1605"/>
      <c r="EM619" s="1605"/>
      <c r="EN619" s="1605"/>
      <c r="EO619" s="1605"/>
      <c r="EP619" s="1605"/>
      <c r="EQ619" s="1605"/>
      <c r="ER619" s="1605"/>
      <c r="ES619" s="1605"/>
      <c r="ET619" s="1605"/>
      <c r="EU619" s="1605"/>
      <c r="EV619" s="1605"/>
      <c r="EW619" s="1605"/>
      <c r="EX619" s="1605"/>
      <c r="EY619" s="1605"/>
      <c r="EZ619" s="1605"/>
      <c r="FA619" s="1605"/>
      <c r="FB619" s="1605"/>
      <c r="FC619" s="1605"/>
      <c r="FD619" s="1605"/>
      <c r="FE619" s="1605"/>
      <c r="FF619" s="1605"/>
      <c r="FG619" s="1605"/>
      <c r="FH619" s="1605"/>
      <c r="FI619" s="1605"/>
      <c r="FJ619" s="1605"/>
      <c r="FK619" s="1605"/>
      <c r="FL619" s="1605"/>
      <c r="FM619" s="1605"/>
      <c r="FN619" s="1605"/>
      <c r="FO619" s="1605"/>
      <c r="FP619" s="1605"/>
      <c r="FQ619" s="1605"/>
      <c r="FR619" s="1605"/>
      <c r="FS619" s="1605"/>
      <c r="FT619" s="1605"/>
      <c r="FU619" s="1605"/>
      <c r="FV619" s="1605"/>
      <c r="FW619" s="1605"/>
      <c r="FX619" s="1605"/>
      <c r="FY619" s="1605"/>
      <c r="FZ619" s="1605"/>
      <c r="GA619" s="1605"/>
      <c r="GB619" s="1605"/>
      <c r="GC619" s="1605"/>
      <c r="GD619" s="1605"/>
      <c r="GE619" s="1605"/>
      <c r="GF619" s="1605"/>
      <c r="GG619" s="1605"/>
      <c r="GH619" s="1605"/>
      <c r="GI619" s="1605"/>
      <c r="GJ619" s="1605"/>
      <c r="GK619" s="1605"/>
      <c r="GL619" s="1605"/>
      <c r="GM619" s="1605"/>
      <c r="GN619" s="1605"/>
      <c r="GO619" s="1605"/>
      <c r="GP619" s="1605"/>
      <c r="GQ619" s="1605"/>
      <c r="GR619" s="1605"/>
      <c r="GS619" s="1605"/>
      <c r="GT619" s="1605"/>
      <c r="GU619" s="1605"/>
      <c r="GV619" s="1605"/>
      <c r="GW619" s="1605"/>
      <c r="GX619" s="1605"/>
      <c r="GY619" s="1605"/>
      <c r="GZ619" s="1605"/>
      <c r="HA619" s="1605"/>
      <c r="HB619" s="1605"/>
      <c r="HC619" s="1605"/>
      <c r="HD619" s="1605"/>
      <c r="HE619" s="1605"/>
      <c r="HF619" s="1605"/>
      <c r="HG619" s="1605"/>
      <c r="HH619" s="1605"/>
      <c r="HI619" s="1605"/>
      <c r="HJ619" s="1605"/>
      <c r="HK619" s="1605"/>
      <c r="HL619" s="1605"/>
      <c r="HM619" s="1605"/>
      <c r="HN619" s="1605"/>
      <c r="HO619" s="1605"/>
      <c r="HP619" s="1605"/>
      <c r="HQ619" s="1605"/>
      <c r="HR619" s="1605"/>
      <c r="HS619" s="1605"/>
      <c r="HT619" s="1605"/>
      <c r="HU619" s="1605"/>
      <c r="HV619" s="1605"/>
      <c r="HW619" s="1605"/>
      <c r="HX619" s="1605"/>
      <c r="HY619" s="1605"/>
      <c r="HZ619" s="1605"/>
      <c r="IA619" s="1605"/>
      <c r="IB619" s="1605"/>
      <c r="IC619" s="1605"/>
      <c r="ID619" s="1605"/>
      <c r="IE619" s="1605"/>
      <c r="IF619" s="1605"/>
      <c r="IG619" s="1605"/>
      <c r="IH619" s="1605"/>
      <c r="II619" s="1605"/>
      <c r="IJ619" s="1605"/>
      <c r="IK619" s="1605"/>
      <c r="IL619" s="1605"/>
      <c r="IM619" s="1605"/>
      <c r="IN619" s="1605"/>
      <c r="IO619" s="1605"/>
      <c r="IP619" s="1605"/>
      <c r="IQ619" s="1605"/>
      <c r="IR619" s="1605"/>
      <c r="IS619" s="1605"/>
      <c r="IT619" s="1605"/>
      <c r="IU619" s="1605"/>
      <c r="IV619" s="1605"/>
      <c r="IW619" s="1605"/>
      <c r="IX619" s="1605"/>
      <c r="IY619" s="1605"/>
      <c r="IZ619" s="1605"/>
      <c r="JA619" s="1605"/>
      <c r="JB619" s="1605"/>
      <c r="JC619" s="1605"/>
      <c r="JD619" s="1605"/>
      <c r="JE619" s="1605"/>
      <c r="JF619" s="1605"/>
      <c r="JG619" s="1605"/>
      <c r="JH619" s="1605"/>
      <c r="JI619" s="1605"/>
      <c r="JJ619" s="1605"/>
      <c r="JK619" s="1605"/>
      <c r="JL619" s="1605"/>
      <c r="JM619" s="1605"/>
      <c r="JN619" s="1605"/>
      <c r="JO619" s="1605"/>
      <c r="JP619" s="1605"/>
      <c r="JQ619" s="1605"/>
      <c r="JR619" s="1605"/>
      <c r="JS619" s="1605"/>
      <c r="JT619" s="1605"/>
      <c r="JU619" s="1605"/>
      <c r="JV619" s="1605"/>
      <c r="JW619" s="1605"/>
      <c r="JX619" s="1605"/>
      <c r="JY619" s="1605"/>
      <c r="JZ619" s="1605"/>
      <c r="KA619" s="1605"/>
      <c r="KB619" s="1606"/>
    </row>
    <row r="620" spans="2:288" ht="15" customHeight="1" x14ac:dyDescent="0.25">
      <c r="B620" s="216" t="str">
        <f t="shared" si="47"/>
        <v>Desk 93</v>
      </c>
      <c r="C620" s="218" t="str">
        <v/>
      </c>
      <c r="D620" s="218" t="str">
        <v/>
      </c>
      <c r="E620" s="218" t="str">
        <v/>
      </c>
      <c r="F620" s="218" t="str">
        <v/>
      </c>
      <c r="G620" s="402" t="str">
        <v/>
      </c>
      <c r="H620" s="1605"/>
      <c r="I620" s="1605"/>
      <c r="J620" s="1605"/>
      <c r="K620" s="1605"/>
      <c r="L620" s="1605"/>
      <c r="M620" s="1605"/>
      <c r="N620" s="1605"/>
      <c r="O620" s="1605"/>
      <c r="P620" s="1605"/>
      <c r="Q620" s="1605"/>
      <c r="R620" s="1605"/>
      <c r="S620" s="1605"/>
      <c r="T620" s="1605"/>
      <c r="U620" s="1605"/>
      <c r="V620" s="1605"/>
      <c r="W620" s="1605"/>
      <c r="X620" s="1605"/>
      <c r="Y620" s="1605"/>
      <c r="Z620" s="1605"/>
      <c r="AA620" s="1605"/>
      <c r="AB620" s="1605"/>
      <c r="AC620" s="1605"/>
      <c r="AD620" s="1605"/>
      <c r="AE620" s="1605"/>
      <c r="AF620" s="1605"/>
      <c r="AG620" s="1605"/>
      <c r="AH620" s="1605"/>
      <c r="AI620" s="1605"/>
      <c r="AJ620" s="1605"/>
      <c r="AK620" s="1605"/>
      <c r="AL620" s="1605"/>
      <c r="AM620" s="1605"/>
      <c r="AN620" s="1605"/>
      <c r="AO620" s="1605"/>
      <c r="AP620" s="1605"/>
      <c r="AQ620" s="1605"/>
      <c r="AR620" s="1605"/>
      <c r="AS620" s="1605"/>
      <c r="AT620" s="1605"/>
      <c r="AU620" s="1605"/>
      <c r="AV620" s="1605"/>
      <c r="AW620" s="1605"/>
      <c r="AX620" s="1605"/>
      <c r="AY620" s="1605"/>
      <c r="AZ620" s="1605"/>
      <c r="BA620" s="1605"/>
      <c r="BB620" s="1605"/>
      <c r="BC620" s="1605"/>
      <c r="BD620" s="1605"/>
      <c r="BE620" s="1605"/>
      <c r="BF620" s="1605"/>
      <c r="BG620" s="1605"/>
      <c r="BH620" s="1605"/>
      <c r="BI620" s="1605"/>
      <c r="BJ620" s="1605"/>
      <c r="BK620" s="1605"/>
      <c r="BL620" s="1605"/>
      <c r="BM620" s="1605"/>
      <c r="BN620" s="1605"/>
      <c r="BO620" s="1605"/>
      <c r="BP620" s="1605"/>
      <c r="BQ620" s="1605"/>
      <c r="BR620" s="1605"/>
      <c r="BS620" s="1605"/>
      <c r="BT620" s="1605"/>
      <c r="BU620" s="1605"/>
      <c r="BV620" s="1605"/>
      <c r="BW620" s="1605"/>
      <c r="BX620" s="1605"/>
      <c r="BY620" s="1605"/>
      <c r="BZ620" s="1605"/>
      <c r="CA620" s="1605"/>
      <c r="CB620" s="1605"/>
      <c r="CC620" s="1605"/>
      <c r="CD620" s="1605"/>
      <c r="CE620" s="1605"/>
      <c r="CF620" s="1605"/>
      <c r="CG620" s="1605"/>
      <c r="CH620" s="1605"/>
      <c r="CI620" s="1605"/>
      <c r="CJ620" s="1605"/>
      <c r="CK620" s="1605"/>
      <c r="CL620" s="1605"/>
      <c r="CM620" s="1605"/>
      <c r="CN620" s="1605"/>
      <c r="CO620" s="1605"/>
      <c r="CP620" s="1605"/>
      <c r="CQ620" s="1605"/>
      <c r="CR620" s="1605"/>
      <c r="CS620" s="1605"/>
      <c r="CT620" s="1605"/>
      <c r="CU620" s="1605"/>
      <c r="CV620" s="1605"/>
      <c r="CW620" s="1605"/>
      <c r="CX620" s="1605"/>
      <c r="CY620" s="1605"/>
      <c r="CZ620" s="1605"/>
      <c r="DA620" s="1605"/>
      <c r="DB620" s="1605"/>
      <c r="DC620" s="1605"/>
      <c r="DD620" s="1605"/>
      <c r="DE620" s="1605"/>
      <c r="DF620" s="1605"/>
      <c r="DG620" s="1605"/>
      <c r="DH620" s="1605"/>
      <c r="DI620" s="1605"/>
      <c r="DJ620" s="1605"/>
      <c r="DK620" s="1605"/>
      <c r="DL620" s="1605"/>
      <c r="DM620" s="1605"/>
      <c r="DN620" s="1605"/>
      <c r="DO620" s="1605"/>
      <c r="DP620" s="1605"/>
      <c r="DQ620" s="1605"/>
      <c r="DR620" s="1605"/>
      <c r="DS620" s="1605"/>
      <c r="DT620" s="1605"/>
      <c r="DU620" s="1605"/>
      <c r="DV620" s="1605"/>
      <c r="DW620" s="1605"/>
      <c r="DX620" s="1605"/>
      <c r="DY620" s="1605"/>
      <c r="DZ620" s="1605"/>
      <c r="EA620" s="1605"/>
      <c r="EB620" s="1605"/>
      <c r="EC620" s="1605"/>
      <c r="ED620" s="1605"/>
      <c r="EE620" s="1605"/>
      <c r="EF620" s="1605"/>
      <c r="EG620" s="1605"/>
      <c r="EH620" s="1605"/>
      <c r="EI620" s="1605"/>
      <c r="EJ620" s="1605"/>
      <c r="EK620" s="1605"/>
      <c r="EL620" s="1605"/>
      <c r="EM620" s="1605"/>
      <c r="EN620" s="1605"/>
      <c r="EO620" s="1605"/>
      <c r="EP620" s="1605"/>
      <c r="EQ620" s="1605"/>
      <c r="ER620" s="1605"/>
      <c r="ES620" s="1605"/>
      <c r="ET620" s="1605"/>
      <c r="EU620" s="1605"/>
      <c r="EV620" s="1605"/>
      <c r="EW620" s="1605"/>
      <c r="EX620" s="1605"/>
      <c r="EY620" s="1605"/>
      <c r="EZ620" s="1605"/>
      <c r="FA620" s="1605"/>
      <c r="FB620" s="1605"/>
      <c r="FC620" s="1605"/>
      <c r="FD620" s="1605"/>
      <c r="FE620" s="1605"/>
      <c r="FF620" s="1605"/>
      <c r="FG620" s="1605"/>
      <c r="FH620" s="1605"/>
      <c r="FI620" s="1605"/>
      <c r="FJ620" s="1605"/>
      <c r="FK620" s="1605"/>
      <c r="FL620" s="1605"/>
      <c r="FM620" s="1605"/>
      <c r="FN620" s="1605"/>
      <c r="FO620" s="1605"/>
      <c r="FP620" s="1605"/>
      <c r="FQ620" s="1605"/>
      <c r="FR620" s="1605"/>
      <c r="FS620" s="1605"/>
      <c r="FT620" s="1605"/>
      <c r="FU620" s="1605"/>
      <c r="FV620" s="1605"/>
      <c r="FW620" s="1605"/>
      <c r="FX620" s="1605"/>
      <c r="FY620" s="1605"/>
      <c r="FZ620" s="1605"/>
      <c r="GA620" s="1605"/>
      <c r="GB620" s="1605"/>
      <c r="GC620" s="1605"/>
      <c r="GD620" s="1605"/>
      <c r="GE620" s="1605"/>
      <c r="GF620" s="1605"/>
      <c r="GG620" s="1605"/>
      <c r="GH620" s="1605"/>
      <c r="GI620" s="1605"/>
      <c r="GJ620" s="1605"/>
      <c r="GK620" s="1605"/>
      <c r="GL620" s="1605"/>
      <c r="GM620" s="1605"/>
      <c r="GN620" s="1605"/>
      <c r="GO620" s="1605"/>
      <c r="GP620" s="1605"/>
      <c r="GQ620" s="1605"/>
      <c r="GR620" s="1605"/>
      <c r="GS620" s="1605"/>
      <c r="GT620" s="1605"/>
      <c r="GU620" s="1605"/>
      <c r="GV620" s="1605"/>
      <c r="GW620" s="1605"/>
      <c r="GX620" s="1605"/>
      <c r="GY620" s="1605"/>
      <c r="GZ620" s="1605"/>
      <c r="HA620" s="1605"/>
      <c r="HB620" s="1605"/>
      <c r="HC620" s="1605"/>
      <c r="HD620" s="1605"/>
      <c r="HE620" s="1605"/>
      <c r="HF620" s="1605"/>
      <c r="HG620" s="1605"/>
      <c r="HH620" s="1605"/>
      <c r="HI620" s="1605"/>
      <c r="HJ620" s="1605"/>
      <c r="HK620" s="1605"/>
      <c r="HL620" s="1605"/>
      <c r="HM620" s="1605"/>
      <c r="HN620" s="1605"/>
      <c r="HO620" s="1605"/>
      <c r="HP620" s="1605"/>
      <c r="HQ620" s="1605"/>
      <c r="HR620" s="1605"/>
      <c r="HS620" s="1605"/>
      <c r="HT620" s="1605"/>
      <c r="HU620" s="1605"/>
      <c r="HV620" s="1605"/>
      <c r="HW620" s="1605"/>
      <c r="HX620" s="1605"/>
      <c r="HY620" s="1605"/>
      <c r="HZ620" s="1605"/>
      <c r="IA620" s="1605"/>
      <c r="IB620" s="1605"/>
      <c r="IC620" s="1605"/>
      <c r="ID620" s="1605"/>
      <c r="IE620" s="1605"/>
      <c r="IF620" s="1605"/>
      <c r="IG620" s="1605"/>
      <c r="IH620" s="1605"/>
      <c r="II620" s="1605"/>
      <c r="IJ620" s="1605"/>
      <c r="IK620" s="1605"/>
      <c r="IL620" s="1605"/>
      <c r="IM620" s="1605"/>
      <c r="IN620" s="1605"/>
      <c r="IO620" s="1605"/>
      <c r="IP620" s="1605"/>
      <c r="IQ620" s="1605"/>
      <c r="IR620" s="1605"/>
      <c r="IS620" s="1605"/>
      <c r="IT620" s="1605"/>
      <c r="IU620" s="1605"/>
      <c r="IV620" s="1605"/>
      <c r="IW620" s="1605"/>
      <c r="IX620" s="1605"/>
      <c r="IY620" s="1605"/>
      <c r="IZ620" s="1605"/>
      <c r="JA620" s="1605"/>
      <c r="JB620" s="1605"/>
      <c r="JC620" s="1605"/>
      <c r="JD620" s="1605"/>
      <c r="JE620" s="1605"/>
      <c r="JF620" s="1605"/>
      <c r="JG620" s="1605"/>
      <c r="JH620" s="1605"/>
      <c r="JI620" s="1605"/>
      <c r="JJ620" s="1605"/>
      <c r="JK620" s="1605"/>
      <c r="JL620" s="1605"/>
      <c r="JM620" s="1605"/>
      <c r="JN620" s="1605"/>
      <c r="JO620" s="1605"/>
      <c r="JP620" s="1605"/>
      <c r="JQ620" s="1605"/>
      <c r="JR620" s="1605"/>
      <c r="JS620" s="1605"/>
      <c r="JT620" s="1605"/>
      <c r="JU620" s="1605"/>
      <c r="JV620" s="1605"/>
      <c r="JW620" s="1605"/>
      <c r="JX620" s="1605"/>
      <c r="JY620" s="1605"/>
      <c r="JZ620" s="1605"/>
      <c r="KA620" s="1605"/>
      <c r="KB620" s="1606"/>
    </row>
    <row r="621" spans="2:288" ht="15" customHeight="1" x14ac:dyDescent="0.25">
      <c r="B621" s="216" t="str">
        <f t="shared" si="47"/>
        <v>Desk 94</v>
      </c>
      <c r="C621" s="218" t="str">
        <v/>
      </c>
      <c r="D621" s="218" t="str">
        <v/>
      </c>
      <c r="E621" s="218" t="str">
        <v/>
      </c>
      <c r="F621" s="218" t="str">
        <v/>
      </c>
      <c r="G621" s="402" t="str">
        <v/>
      </c>
      <c r="H621" s="1605"/>
      <c r="I621" s="1605"/>
      <c r="J621" s="1605"/>
      <c r="K621" s="1605"/>
      <c r="L621" s="1605"/>
      <c r="M621" s="1605"/>
      <c r="N621" s="1605"/>
      <c r="O621" s="1605"/>
      <c r="P621" s="1605"/>
      <c r="Q621" s="1605"/>
      <c r="R621" s="1605"/>
      <c r="S621" s="1605"/>
      <c r="T621" s="1605"/>
      <c r="U621" s="1605"/>
      <c r="V621" s="1605"/>
      <c r="W621" s="1605"/>
      <c r="X621" s="1605"/>
      <c r="Y621" s="1605"/>
      <c r="Z621" s="1605"/>
      <c r="AA621" s="1605"/>
      <c r="AB621" s="1605"/>
      <c r="AC621" s="1605"/>
      <c r="AD621" s="1605"/>
      <c r="AE621" s="1605"/>
      <c r="AF621" s="1605"/>
      <c r="AG621" s="1605"/>
      <c r="AH621" s="1605"/>
      <c r="AI621" s="1605"/>
      <c r="AJ621" s="1605"/>
      <c r="AK621" s="1605"/>
      <c r="AL621" s="1605"/>
      <c r="AM621" s="1605"/>
      <c r="AN621" s="1605"/>
      <c r="AO621" s="1605"/>
      <c r="AP621" s="1605"/>
      <c r="AQ621" s="1605"/>
      <c r="AR621" s="1605"/>
      <c r="AS621" s="1605"/>
      <c r="AT621" s="1605"/>
      <c r="AU621" s="1605"/>
      <c r="AV621" s="1605"/>
      <c r="AW621" s="1605"/>
      <c r="AX621" s="1605"/>
      <c r="AY621" s="1605"/>
      <c r="AZ621" s="1605"/>
      <c r="BA621" s="1605"/>
      <c r="BB621" s="1605"/>
      <c r="BC621" s="1605"/>
      <c r="BD621" s="1605"/>
      <c r="BE621" s="1605"/>
      <c r="BF621" s="1605"/>
      <c r="BG621" s="1605"/>
      <c r="BH621" s="1605"/>
      <c r="BI621" s="1605"/>
      <c r="BJ621" s="1605"/>
      <c r="BK621" s="1605"/>
      <c r="BL621" s="1605"/>
      <c r="BM621" s="1605"/>
      <c r="BN621" s="1605"/>
      <c r="BO621" s="1605"/>
      <c r="BP621" s="1605"/>
      <c r="BQ621" s="1605"/>
      <c r="BR621" s="1605"/>
      <c r="BS621" s="1605"/>
      <c r="BT621" s="1605"/>
      <c r="BU621" s="1605"/>
      <c r="BV621" s="1605"/>
      <c r="BW621" s="1605"/>
      <c r="BX621" s="1605"/>
      <c r="BY621" s="1605"/>
      <c r="BZ621" s="1605"/>
      <c r="CA621" s="1605"/>
      <c r="CB621" s="1605"/>
      <c r="CC621" s="1605"/>
      <c r="CD621" s="1605"/>
      <c r="CE621" s="1605"/>
      <c r="CF621" s="1605"/>
      <c r="CG621" s="1605"/>
      <c r="CH621" s="1605"/>
      <c r="CI621" s="1605"/>
      <c r="CJ621" s="1605"/>
      <c r="CK621" s="1605"/>
      <c r="CL621" s="1605"/>
      <c r="CM621" s="1605"/>
      <c r="CN621" s="1605"/>
      <c r="CO621" s="1605"/>
      <c r="CP621" s="1605"/>
      <c r="CQ621" s="1605"/>
      <c r="CR621" s="1605"/>
      <c r="CS621" s="1605"/>
      <c r="CT621" s="1605"/>
      <c r="CU621" s="1605"/>
      <c r="CV621" s="1605"/>
      <c r="CW621" s="1605"/>
      <c r="CX621" s="1605"/>
      <c r="CY621" s="1605"/>
      <c r="CZ621" s="1605"/>
      <c r="DA621" s="1605"/>
      <c r="DB621" s="1605"/>
      <c r="DC621" s="1605"/>
      <c r="DD621" s="1605"/>
      <c r="DE621" s="1605"/>
      <c r="DF621" s="1605"/>
      <c r="DG621" s="1605"/>
      <c r="DH621" s="1605"/>
      <c r="DI621" s="1605"/>
      <c r="DJ621" s="1605"/>
      <c r="DK621" s="1605"/>
      <c r="DL621" s="1605"/>
      <c r="DM621" s="1605"/>
      <c r="DN621" s="1605"/>
      <c r="DO621" s="1605"/>
      <c r="DP621" s="1605"/>
      <c r="DQ621" s="1605"/>
      <c r="DR621" s="1605"/>
      <c r="DS621" s="1605"/>
      <c r="DT621" s="1605"/>
      <c r="DU621" s="1605"/>
      <c r="DV621" s="1605"/>
      <c r="DW621" s="1605"/>
      <c r="DX621" s="1605"/>
      <c r="DY621" s="1605"/>
      <c r="DZ621" s="1605"/>
      <c r="EA621" s="1605"/>
      <c r="EB621" s="1605"/>
      <c r="EC621" s="1605"/>
      <c r="ED621" s="1605"/>
      <c r="EE621" s="1605"/>
      <c r="EF621" s="1605"/>
      <c r="EG621" s="1605"/>
      <c r="EH621" s="1605"/>
      <c r="EI621" s="1605"/>
      <c r="EJ621" s="1605"/>
      <c r="EK621" s="1605"/>
      <c r="EL621" s="1605"/>
      <c r="EM621" s="1605"/>
      <c r="EN621" s="1605"/>
      <c r="EO621" s="1605"/>
      <c r="EP621" s="1605"/>
      <c r="EQ621" s="1605"/>
      <c r="ER621" s="1605"/>
      <c r="ES621" s="1605"/>
      <c r="ET621" s="1605"/>
      <c r="EU621" s="1605"/>
      <c r="EV621" s="1605"/>
      <c r="EW621" s="1605"/>
      <c r="EX621" s="1605"/>
      <c r="EY621" s="1605"/>
      <c r="EZ621" s="1605"/>
      <c r="FA621" s="1605"/>
      <c r="FB621" s="1605"/>
      <c r="FC621" s="1605"/>
      <c r="FD621" s="1605"/>
      <c r="FE621" s="1605"/>
      <c r="FF621" s="1605"/>
      <c r="FG621" s="1605"/>
      <c r="FH621" s="1605"/>
      <c r="FI621" s="1605"/>
      <c r="FJ621" s="1605"/>
      <c r="FK621" s="1605"/>
      <c r="FL621" s="1605"/>
      <c r="FM621" s="1605"/>
      <c r="FN621" s="1605"/>
      <c r="FO621" s="1605"/>
      <c r="FP621" s="1605"/>
      <c r="FQ621" s="1605"/>
      <c r="FR621" s="1605"/>
      <c r="FS621" s="1605"/>
      <c r="FT621" s="1605"/>
      <c r="FU621" s="1605"/>
      <c r="FV621" s="1605"/>
      <c r="FW621" s="1605"/>
      <c r="FX621" s="1605"/>
      <c r="FY621" s="1605"/>
      <c r="FZ621" s="1605"/>
      <c r="GA621" s="1605"/>
      <c r="GB621" s="1605"/>
      <c r="GC621" s="1605"/>
      <c r="GD621" s="1605"/>
      <c r="GE621" s="1605"/>
      <c r="GF621" s="1605"/>
      <c r="GG621" s="1605"/>
      <c r="GH621" s="1605"/>
      <c r="GI621" s="1605"/>
      <c r="GJ621" s="1605"/>
      <c r="GK621" s="1605"/>
      <c r="GL621" s="1605"/>
      <c r="GM621" s="1605"/>
      <c r="GN621" s="1605"/>
      <c r="GO621" s="1605"/>
      <c r="GP621" s="1605"/>
      <c r="GQ621" s="1605"/>
      <c r="GR621" s="1605"/>
      <c r="GS621" s="1605"/>
      <c r="GT621" s="1605"/>
      <c r="GU621" s="1605"/>
      <c r="GV621" s="1605"/>
      <c r="GW621" s="1605"/>
      <c r="GX621" s="1605"/>
      <c r="GY621" s="1605"/>
      <c r="GZ621" s="1605"/>
      <c r="HA621" s="1605"/>
      <c r="HB621" s="1605"/>
      <c r="HC621" s="1605"/>
      <c r="HD621" s="1605"/>
      <c r="HE621" s="1605"/>
      <c r="HF621" s="1605"/>
      <c r="HG621" s="1605"/>
      <c r="HH621" s="1605"/>
      <c r="HI621" s="1605"/>
      <c r="HJ621" s="1605"/>
      <c r="HK621" s="1605"/>
      <c r="HL621" s="1605"/>
      <c r="HM621" s="1605"/>
      <c r="HN621" s="1605"/>
      <c r="HO621" s="1605"/>
      <c r="HP621" s="1605"/>
      <c r="HQ621" s="1605"/>
      <c r="HR621" s="1605"/>
      <c r="HS621" s="1605"/>
      <c r="HT621" s="1605"/>
      <c r="HU621" s="1605"/>
      <c r="HV621" s="1605"/>
      <c r="HW621" s="1605"/>
      <c r="HX621" s="1605"/>
      <c r="HY621" s="1605"/>
      <c r="HZ621" s="1605"/>
      <c r="IA621" s="1605"/>
      <c r="IB621" s="1605"/>
      <c r="IC621" s="1605"/>
      <c r="ID621" s="1605"/>
      <c r="IE621" s="1605"/>
      <c r="IF621" s="1605"/>
      <c r="IG621" s="1605"/>
      <c r="IH621" s="1605"/>
      <c r="II621" s="1605"/>
      <c r="IJ621" s="1605"/>
      <c r="IK621" s="1605"/>
      <c r="IL621" s="1605"/>
      <c r="IM621" s="1605"/>
      <c r="IN621" s="1605"/>
      <c r="IO621" s="1605"/>
      <c r="IP621" s="1605"/>
      <c r="IQ621" s="1605"/>
      <c r="IR621" s="1605"/>
      <c r="IS621" s="1605"/>
      <c r="IT621" s="1605"/>
      <c r="IU621" s="1605"/>
      <c r="IV621" s="1605"/>
      <c r="IW621" s="1605"/>
      <c r="IX621" s="1605"/>
      <c r="IY621" s="1605"/>
      <c r="IZ621" s="1605"/>
      <c r="JA621" s="1605"/>
      <c r="JB621" s="1605"/>
      <c r="JC621" s="1605"/>
      <c r="JD621" s="1605"/>
      <c r="JE621" s="1605"/>
      <c r="JF621" s="1605"/>
      <c r="JG621" s="1605"/>
      <c r="JH621" s="1605"/>
      <c r="JI621" s="1605"/>
      <c r="JJ621" s="1605"/>
      <c r="JK621" s="1605"/>
      <c r="JL621" s="1605"/>
      <c r="JM621" s="1605"/>
      <c r="JN621" s="1605"/>
      <c r="JO621" s="1605"/>
      <c r="JP621" s="1605"/>
      <c r="JQ621" s="1605"/>
      <c r="JR621" s="1605"/>
      <c r="JS621" s="1605"/>
      <c r="JT621" s="1605"/>
      <c r="JU621" s="1605"/>
      <c r="JV621" s="1605"/>
      <c r="JW621" s="1605"/>
      <c r="JX621" s="1605"/>
      <c r="JY621" s="1605"/>
      <c r="JZ621" s="1605"/>
      <c r="KA621" s="1605"/>
      <c r="KB621" s="1606"/>
    </row>
    <row r="622" spans="2:288" ht="15" customHeight="1" x14ac:dyDescent="0.25">
      <c r="B622" s="216" t="str">
        <f t="shared" si="47"/>
        <v>Desk 95</v>
      </c>
      <c r="C622" s="218" t="str">
        <v/>
      </c>
      <c r="D622" s="218" t="str">
        <v/>
      </c>
      <c r="E622" s="218" t="str">
        <v/>
      </c>
      <c r="F622" s="218" t="str">
        <v/>
      </c>
      <c r="G622" s="402" t="str">
        <v/>
      </c>
      <c r="H622" s="1605"/>
      <c r="I622" s="1605"/>
      <c r="J622" s="1605"/>
      <c r="K622" s="1605"/>
      <c r="L622" s="1605"/>
      <c r="M622" s="1605"/>
      <c r="N622" s="1605"/>
      <c r="O622" s="1605"/>
      <c r="P622" s="1605"/>
      <c r="Q622" s="1605"/>
      <c r="R622" s="1605"/>
      <c r="S622" s="1605"/>
      <c r="T622" s="1605"/>
      <c r="U622" s="1605"/>
      <c r="V622" s="1605"/>
      <c r="W622" s="1605"/>
      <c r="X622" s="1605"/>
      <c r="Y622" s="1605"/>
      <c r="Z622" s="1605"/>
      <c r="AA622" s="1605"/>
      <c r="AB622" s="1605"/>
      <c r="AC622" s="1605"/>
      <c r="AD622" s="1605"/>
      <c r="AE622" s="1605"/>
      <c r="AF622" s="1605"/>
      <c r="AG622" s="1605"/>
      <c r="AH622" s="1605"/>
      <c r="AI622" s="1605"/>
      <c r="AJ622" s="1605"/>
      <c r="AK622" s="1605"/>
      <c r="AL622" s="1605"/>
      <c r="AM622" s="1605"/>
      <c r="AN622" s="1605"/>
      <c r="AO622" s="1605"/>
      <c r="AP622" s="1605"/>
      <c r="AQ622" s="1605"/>
      <c r="AR622" s="1605"/>
      <c r="AS622" s="1605"/>
      <c r="AT622" s="1605"/>
      <c r="AU622" s="1605"/>
      <c r="AV622" s="1605"/>
      <c r="AW622" s="1605"/>
      <c r="AX622" s="1605"/>
      <c r="AY622" s="1605"/>
      <c r="AZ622" s="1605"/>
      <c r="BA622" s="1605"/>
      <c r="BB622" s="1605"/>
      <c r="BC622" s="1605"/>
      <c r="BD622" s="1605"/>
      <c r="BE622" s="1605"/>
      <c r="BF622" s="1605"/>
      <c r="BG622" s="1605"/>
      <c r="BH622" s="1605"/>
      <c r="BI622" s="1605"/>
      <c r="BJ622" s="1605"/>
      <c r="BK622" s="1605"/>
      <c r="BL622" s="1605"/>
      <c r="BM622" s="1605"/>
      <c r="BN622" s="1605"/>
      <c r="BO622" s="1605"/>
      <c r="BP622" s="1605"/>
      <c r="BQ622" s="1605"/>
      <c r="BR622" s="1605"/>
      <c r="BS622" s="1605"/>
      <c r="BT622" s="1605"/>
      <c r="BU622" s="1605"/>
      <c r="BV622" s="1605"/>
      <c r="BW622" s="1605"/>
      <c r="BX622" s="1605"/>
      <c r="BY622" s="1605"/>
      <c r="BZ622" s="1605"/>
      <c r="CA622" s="1605"/>
      <c r="CB622" s="1605"/>
      <c r="CC622" s="1605"/>
      <c r="CD622" s="1605"/>
      <c r="CE622" s="1605"/>
      <c r="CF622" s="1605"/>
      <c r="CG622" s="1605"/>
      <c r="CH622" s="1605"/>
      <c r="CI622" s="1605"/>
      <c r="CJ622" s="1605"/>
      <c r="CK622" s="1605"/>
      <c r="CL622" s="1605"/>
      <c r="CM622" s="1605"/>
      <c r="CN622" s="1605"/>
      <c r="CO622" s="1605"/>
      <c r="CP622" s="1605"/>
      <c r="CQ622" s="1605"/>
      <c r="CR622" s="1605"/>
      <c r="CS622" s="1605"/>
      <c r="CT622" s="1605"/>
      <c r="CU622" s="1605"/>
      <c r="CV622" s="1605"/>
      <c r="CW622" s="1605"/>
      <c r="CX622" s="1605"/>
      <c r="CY622" s="1605"/>
      <c r="CZ622" s="1605"/>
      <c r="DA622" s="1605"/>
      <c r="DB622" s="1605"/>
      <c r="DC622" s="1605"/>
      <c r="DD622" s="1605"/>
      <c r="DE622" s="1605"/>
      <c r="DF622" s="1605"/>
      <c r="DG622" s="1605"/>
      <c r="DH622" s="1605"/>
      <c r="DI622" s="1605"/>
      <c r="DJ622" s="1605"/>
      <c r="DK622" s="1605"/>
      <c r="DL622" s="1605"/>
      <c r="DM622" s="1605"/>
      <c r="DN622" s="1605"/>
      <c r="DO622" s="1605"/>
      <c r="DP622" s="1605"/>
      <c r="DQ622" s="1605"/>
      <c r="DR622" s="1605"/>
      <c r="DS622" s="1605"/>
      <c r="DT622" s="1605"/>
      <c r="DU622" s="1605"/>
      <c r="DV622" s="1605"/>
      <c r="DW622" s="1605"/>
      <c r="DX622" s="1605"/>
      <c r="DY622" s="1605"/>
      <c r="DZ622" s="1605"/>
      <c r="EA622" s="1605"/>
      <c r="EB622" s="1605"/>
      <c r="EC622" s="1605"/>
      <c r="ED622" s="1605"/>
      <c r="EE622" s="1605"/>
      <c r="EF622" s="1605"/>
      <c r="EG622" s="1605"/>
      <c r="EH622" s="1605"/>
      <c r="EI622" s="1605"/>
      <c r="EJ622" s="1605"/>
      <c r="EK622" s="1605"/>
      <c r="EL622" s="1605"/>
      <c r="EM622" s="1605"/>
      <c r="EN622" s="1605"/>
      <c r="EO622" s="1605"/>
      <c r="EP622" s="1605"/>
      <c r="EQ622" s="1605"/>
      <c r="ER622" s="1605"/>
      <c r="ES622" s="1605"/>
      <c r="ET622" s="1605"/>
      <c r="EU622" s="1605"/>
      <c r="EV622" s="1605"/>
      <c r="EW622" s="1605"/>
      <c r="EX622" s="1605"/>
      <c r="EY622" s="1605"/>
      <c r="EZ622" s="1605"/>
      <c r="FA622" s="1605"/>
      <c r="FB622" s="1605"/>
      <c r="FC622" s="1605"/>
      <c r="FD622" s="1605"/>
      <c r="FE622" s="1605"/>
      <c r="FF622" s="1605"/>
      <c r="FG622" s="1605"/>
      <c r="FH622" s="1605"/>
      <c r="FI622" s="1605"/>
      <c r="FJ622" s="1605"/>
      <c r="FK622" s="1605"/>
      <c r="FL622" s="1605"/>
      <c r="FM622" s="1605"/>
      <c r="FN622" s="1605"/>
      <c r="FO622" s="1605"/>
      <c r="FP622" s="1605"/>
      <c r="FQ622" s="1605"/>
      <c r="FR622" s="1605"/>
      <c r="FS622" s="1605"/>
      <c r="FT622" s="1605"/>
      <c r="FU622" s="1605"/>
      <c r="FV622" s="1605"/>
      <c r="FW622" s="1605"/>
      <c r="FX622" s="1605"/>
      <c r="FY622" s="1605"/>
      <c r="FZ622" s="1605"/>
      <c r="GA622" s="1605"/>
      <c r="GB622" s="1605"/>
      <c r="GC622" s="1605"/>
      <c r="GD622" s="1605"/>
      <c r="GE622" s="1605"/>
      <c r="GF622" s="1605"/>
      <c r="GG622" s="1605"/>
      <c r="GH622" s="1605"/>
      <c r="GI622" s="1605"/>
      <c r="GJ622" s="1605"/>
      <c r="GK622" s="1605"/>
      <c r="GL622" s="1605"/>
      <c r="GM622" s="1605"/>
      <c r="GN622" s="1605"/>
      <c r="GO622" s="1605"/>
      <c r="GP622" s="1605"/>
      <c r="GQ622" s="1605"/>
      <c r="GR622" s="1605"/>
      <c r="GS622" s="1605"/>
      <c r="GT622" s="1605"/>
      <c r="GU622" s="1605"/>
      <c r="GV622" s="1605"/>
      <c r="GW622" s="1605"/>
      <c r="GX622" s="1605"/>
      <c r="GY622" s="1605"/>
      <c r="GZ622" s="1605"/>
      <c r="HA622" s="1605"/>
      <c r="HB622" s="1605"/>
      <c r="HC622" s="1605"/>
      <c r="HD622" s="1605"/>
      <c r="HE622" s="1605"/>
      <c r="HF622" s="1605"/>
      <c r="HG622" s="1605"/>
      <c r="HH622" s="1605"/>
      <c r="HI622" s="1605"/>
      <c r="HJ622" s="1605"/>
      <c r="HK622" s="1605"/>
      <c r="HL622" s="1605"/>
      <c r="HM622" s="1605"/>
      <c r="HN622" s="1605"/>
      <c r="HO622" s="1605"/>
      <c r="HP622" s="1605"/>
      <c r="HQ622" s="1605"/>
      <c r="HR622" s="1605"/>
      <c r="HS622" s="1605"/>
      <c r="HT622" s="1605"/>
      <c r="HU622" s="1605"/>
      <c r="HV622" s="1605"/>
      <c r="HW622" s="1605"/>
      <c r="HX622" s="1605"/>
      <c r="HY622" s="1605"/>
      <c r="HZ622" s="1605"/>
      <c r="IA622" s="1605"/>
      <c r="IB622" s="1605"/>
      <c r="IC622" s="1605"/>
      <c r="ID622" s="1605"/>
      <c r="IE622" s="1605"/>
      <c r="IF622" s="1605"/>
      <c r="IG622" s="1605"/>
      <c r="IH622" s="1605"/>
      <c r="II622" s="1605"/>
      <c r="IJ622" s="1605"/>
      <c r="IK622" s="1605"/>
      <c r="IL622" s="1605"/>
      <c r="IM622" s="1605"/>
      <c r="IN622" s="1605"/>
      <c r="IO622" s="1605"/>
      <c r="IP622" s="1605"/>
      <c r="IQ622" s="1605"/>
      <c r="IR622" s="1605"/>
      <c r="IS622" s="1605"/>
      <c r="IT622" s="1605"/>
      <c r="IU622" s="1605"/>
      <c r="IV622" s="1605"/>
      <c r="IW622" s="1605"/>
      <c r="IX622" s="1605"/>
      <c r="IY622" s="1605"/>
      <c r="IZ622" s="1605"/>
      <c r="JA622" s="1605"/>
      <c r="JB622" s="1605"/>
      <c r="JC622" s="1605"/>
      <c r="JD622" s="1605"/>
      <c r="JE622" s="1605"/>
      <c r="JF622" s="1605"/>
      <c r="JG622" s="1605"/>
      <c r="JH622" s="1605"/>
      <c r="JI622" s="1605"/>
      <c r="JJ622" s="1605"/>
      <c r="JK622" s="1605"/>
      <c r="JL622" s="1605"/>
      <c r="JM622" s="1605"/>
      <c r="JN622" s="1605"/>
      <c r="JO622" s="1605"/>
      <c r="JP622" s="1605"/>
      <c r="JQ622" s="1605"/>
      <c r="JR622" s="1605"/>
      <c r="JS622" s="1605"/>
      <c r="JT622" s="1605"/>
      <c r="JU622" s="1605"/>
      <c r="JV622" s="1605"/>
      <c r="JW622" s="1605"/>
      <c r="JX622" s="1605"/>
      <c r="JY622" s="1605"/>
      <c r="JZ622" s="1605"/>
      <c r="KA622" s="1605"/>
      <c r="KB622" s="1606"/>
    </row>
    <row r="623" spans="2:288" ht="15" customHeight="1" x14ac:dyDescent="0.25">
      <c r="B623" s="216" t="str">
        <f t="shared" si="47"/>
        <v>Desk 96</v>
      </c>
      <c r="C623" s="218" t="str">
        <v/>
      </c>
      <c r="D623" s="218" t="str">
        <v/>
      </c>
      <c r="E623" s="218" t="str">
        <v/>
      </c>
      <c r="F623" s="218" t="str">
        <v/>
      </c>
      <c r="G623" s="402" t="str">
        <v/>
      </c>
      <c r="H623" s="1605"/>
      <c r="I623" s="1605"/>
      <c r="J623" s="1605"/>
      <c r="K623" s="1605"/>
      <c r="L623" s="1605"/>
      <c r="M623" s="1605"/>
      <c r="N623" s="1605"/>
      <c r="O623" s="1605"/>
      <c r="P623" s="1605"/>
      <c r="Q623" s="1605"/>
      <c r="R623" s="1605"/>
      <c r="S623" s="1605"/>
      <c r="T623" s="1605"/>
      <c r="U623" s="1605"/>
      <c r="V623" s="1605"/>
      <c r="W623" s="1605"/>
      <c r="X623" s="1605"/>
      <c r="Y623" s="1605"/>
      <c r="Z623" s="1605"/>
      <c r="AA623" s="1605"/>
      <c r="AB623" s="1605"/>
      <c r="AC623" s="1605"/>
      <c r="AD623" s="1605"/>
      <c r="AE623" s="1605"/>
      <c r="AF623" s="1605"/>
      <c r="AG623" s="1605"/>
      <c r="AH623" s="1605"/>
      <c r="AI623" s="1605"/>
      <c r="AJ623" s="1605"/>
      <c r="AK623" s="1605"/>
      <c r="AL623" s="1605"/>
      <c r="AM623" s="1605"/>
      <c r="AN623" s="1605"/>
      <c r="AO623" s="1605"/>
      <c r="AP623" s="1605"/>
      <c r="AQ623" s="1605"/>
      <c r="AR623" s="1605"/>
      <c r="AS623" s="1605"/>
      <c r="AT623" s="1605"/>
      <c r="AU623" s="1605"/>
      <c r="AV623" s="1605"/>
      <c r="AW623" s="1605"/>
      <c r="AX623" s="1605"/>
      <c r="AY623" s="1605"/>
      <c r="AZ623" s="1605"/>
      <c r="BA623" s="1605"/>
      <c r="BB623" s="1605"/>
      <c r="BC623" s="1605"/>
      <c r="BD623" s="1605"/>
      <c r="BE623" s="1605"/>
      <c r="BF623" s="1605"/>
      <c r="BG623" s="1605"/>
      <c r="BH623" s="1605"/>
      <c r="BI623" s="1605"/>
      <c r="BJ623" s="1605"/>
      <c r="BK623" s="1605"/>
      <c r="BL623" s="1605"/>
      <c r="BM623" s="1605"/>
      <c r="BN623" s="1605"/>
      <c r="BO623" s="1605"/>
      <c r="BP623" s="1605"/>
      <c r="BQ623" s="1605"/>
      <c r="BR623" s="1605"/>
      <c r="BS623" s="1605"/>
      <c r="BT623" s="1605"/>
      <c r="BU623" s="1605"/>
      <c r="BV623" s="1605"/>
      <c r="BW623" s="1605"/>
      <c r="BX623" s="1605"/>
      <c r="BY623" s="1605"/>
      <c r="BZ623" s="1605"/>
      <c r="CA623" s="1605"/>
      <c r="CB623" s="1605"/>
      <c r="CC623" s="1605"/>
      <c r="CD623" s="1605"/>
      <c r="CE623" s="1605"/>
      <c r="CF623" s="1605"/>
      <c r="CG623" s="1605"/>
      <c r="CH623" s="1605"/>
      <c r="CI623" s="1605"/>
      <c r="CJ623" s="1605"/>
      <c r="CK623" s="1605"/>
      <c r="CL623" s="1605"/>
      <c r="CM623" s="1605"/>
      <c r="CN623" s="1605"/>
      <c r="CO623" s="1605"/>
      <c r="CP623" s="1605"/>
      <c r="CQ623" s="1605"/>
      <c r="CR623" s="1605"/>
      <c r="CS623" s="1605"/>
      <c r="CT623" s="1605"/>
      <c r="CU623" s="1605"/>
      <c r="CV623" s="1605"/>
      <c r="CW623" s="1605"/>
      <c r="CX623" s="1605"/>
      <c r="CY623" s="1605"/>
      <c r="CZ623" s="1605"/>
      <c r="DA623" s="1605"/>
      <c r="DB623" s="1605"/>
      <c r="DC623" s="1605"/>
      <c r="DD623" s="1605"/>
      <c r="DE623" s="1605"/>
      <c r="DF623" s="1605"/>
      <c r="DG623" s="1605"/>
      <c r="DH623" s="1605"/>
      <c r="DI623" s="1605"/>
      <c r="DJ623" s="1605"/>
      <c r="DK623" s="1605"/>
      <c r="DL623" s="1605"/>
      <c r="DM623" s="1605"/>
      <c r="DN623" s="1605"/>
      <c r="DO623" s="1605"/>
      <c r="DP623" s="1605"/>
      <c r="DQ623" s="1605"/>
      <c r="DR623" s="1605"/>
      <c r="DS623" s="1605"/>
      <c r="DT623" s="1605"/>
      <c r="DU623" s="1605"/>
      <c r="DV623" s="1605"/>
      <c r="DW623" s="1605"/>
      <c r="DX623" s="1605"/>
      <c r="DY623" s="1605"/>
      <c r="DZ623" s="1605"/>
      <c r="EA623" s="1605"/>
      <c r="EB623" s="1605"/>
      <c r="EC623" s="1605"/>
      <c r="ED623" s="1605"/>
      <c r="EE623" s="1605"/>
      <c r="EF623" s="1605"/>
      <c r="EG623" s="1605"/>
      <c r="EH623" s="1605"/>
      <c r="EI623" s="1605"/>
      <c r="EJ623" s="1605"/>
      <c r="EK623" s="1605"/>
      <c r="EL623" s="1605"/>
      <c r="EM623" s="1605"/>
      <c r="EN623" s="1605"/>
      <c r="EO623" s="1605"/>
      <c r="EP623" s="1605"/>
      <c r="EQ623" s="1605"/>
      <c r="ER623" s="1605"/>
      <c r="ES623" s="1605"/>
      <c r="ET623" s="1605"/>
      <c r="EU623" s="1605"/>
      <c r="EV623" s="1605"/>
      <c r="EW623" s="1605"/>
      <c r="EX623" s="1605"/>
      <c r="EY623" s="1605"/>
      <c r="EZ623" s="1605"/>
      <c r="FA623" s="1605"/>
      <c r="FB623" s="1605"/>
      <c r="FC623" s="1605"/>
      <c r="FD623" s="1605"/>
      <c r="FE623" s="1605"/>
      <c r="FF623" s="1605"/>
      <c r="FG623" s="1605"/>
      <c r="FH623" s="1605"/>
      <c r="FI623" s="1605"/>
      <c r="FJ623" s="1605"/>
      <c r="FK623" s="1605"/>
      <c r="FL623" s="1605"/>
      <c r="FM623" s="1605"/>
      <c r="FN623" s="1605"/>
      <c r="FO623" s="1605"/>
      <c r="FP623" s="1605"/>
      <c r="FQ623" s="1605"/>
      <c r="FR623" s="1605"/>
      <c r="FS623" s="1605"/>
      <c r="FT623" s="1605"/>
      <c r="FU623" s="1605"/>
      <c r="FV623" s="1605"/>
      <c r="FW623" s="1605"/>
      <c r="FX623" s="1605"/>
      <c r="FY623" s="1605"/>
      <c r="FZ623" s="1605"/>
      <c r="GA623" s="1605"/>
      <c r="GB623" s="1605"/>
      <c r="GC623" s="1605"/>
      <c r="GD623" s="1605"/>
      <c r="GE623" s="1605"/>
      <c r="GF623" s="1605"/>
      <c r="GG623" s="1605"/>
      <c r="GH623" s="1605"/>
      <c r="GI623" s="1605"/>
      <c r="GJ623" s="1605"/>
      <c r="GK623" s="1605"/>
      <c r="GL623" s="1605"/>
      <c r="GM623" s="1605"/>
      <c r="GN623" s="1605"/>
      <c r="GO623" s="1605"/>
      <c r="GP623" s="1605"/>
      <c r="GQ623" s="1605"/>
      <c r="GR623" s="1605"/>
      <c r="GS623" s="1605"/>
      <c r="GT623" s="1605"/>
      <c r="GU623" s="1605"/>
      <c r="GV623" s="1605"/>
      <c r="GW623" s="1605"/>
      <c r="GX623" s="1605"/>
      <c r="GY623" s="1605"/>
      <c r="GZ623" s="1605"/>
      <c r="HA623" s="1605"/>
      <c r="HB623" s="1605"/>
      <c r="HC623" s="1605"/>
      <c r="HD623" s="1605"/>
      <c r="HE623" s="1605"/>
      <c r="HF623" s="1605"/>
      <c r="HG623" s="1605"/>
      <c r="HH623" s="1605"/>
      <c r="HI623" s="1605"/>
      <c r="HJ623" s="1605"/>
      <c r="HK623" s="1605"/>
      <c r="HL623" s="1605"/>
      <c r="HM623" s="1605"/>
      <c r="HN623" s="1605"/>
      <c r="HO623" s="1605"/>
      <c r="HP623" s="1605"/>
      <c r="HQ623" s="1605"/>
      <c r="HR623" s="1605"/>
      <c r="HS623" s="1605"/>
      <c r="HT623" s="1605"/>
      <c r="HU623" s="1605"/>
      <c r="HV623" s="1605"/>
      <c r="HW623" s="1605"/>
      <c r="HX623" s="1605"/>
      <c r="HY623" s="1605"/>
      <c r="HZ623" s="1605"/>
      <c r="IA623" s="1605"/>
      <c r="IB623" s="1605"/>
      <c r="IC623" s="1605"/>
      <c r="ID623" s="1605"/>
      <c r="IE623" s="1605"/>
      <c r="IF623" s="1605"/>
      <c r="IG623" s="1605"/>
      <c r="IH623" s="1605"/>
      <c r="II623" s="1605"/>
      <c r="IJ623" s="1605"/>
      <c r="IK623" s="1605"/>
      <c r="IL623" s="1605"/>
      <c r="IM623" s="1605"/>
      <c r="IN623" s="1605"/>
      <c r="IO623" s="1605"/>
      <c r="IP623" s="1605"/>
      <c r="IQ623" s="1605"/>
      <c r="IR623" s="1605"/>
      <c r="IS623" s="1605"/>
      <c r="IT623" s="1605"/>
      <c r="IU623" s="1605"/>
      <c r="IV623" s="1605"/>
      <c r="IW623" s="1605"/>
      <c r="IX623" s="1605"/>
      <c r="IY623" s="1605"/>
      <c r="IZ623" s="1605"/>
      <c r="JA623" s="1605"/>
      <c r="JB623" s="1605"/>
      <c r="JC623" s="1605"/>
      <c r="JD623" s="1605"/>
      <c r="JE623" s="1605"/>
      <c r="JF623" s="1605"/>
      <c r="JG623" s="1605"/>
      <c r="JH623" s="1605"/>
      <c r="JI623" s="1605"/>
      <c r="JJ623" s="1605"/>
      <c r="JK623" s="1605"/>
      <c r="JL623" s="1605"/>
      <c r="JM623" s="1605"/>
      <c r="JN623" s="1605"/>
      <c r="JO623" s="1605"/>
      <c r="JP623" s="1605"/>
      <c r="JQ623" s="1605"/>
      <c r="JR623" s="1605"/>
      <c r="JS623" s="1605"/>
      <c r="JT623" s="1605"/>
      <c r="JU623" s="1605"/>
      <c r="JV623" s="1605"/>
      <c r="JW623" s="1605"/>
      <c r="JX623" s="1605"/>
      <c r="JY623" s="1605"/>
      <c r="JZ623" s="1605"/>
      <c r="KA623" s="1605"/>
      <c r="KB623" s="1606"/>
    </row>
    <row r="624" spans="2:288" ht="15" customHeight="1" x14ac:dyDescent="0.25">
      <c r="B624" s="216" t="str">
        <f t="shared" si="47"/>
        <v>Desk 97</v>
      </c>
      <c r="C624" s="218" t="str">
        <v/>
      </c>
      <c r="D624" s="218" t="str">
        <v/>
      </c>
      <c r="E624" s="218" t="str">
        <v/>
      </c>
      <c r="F624" s="218" t="str">
        <v/>
      </c>
      <c r="G624" s="402" t="str">
        <v/>
      </c>
      <c r="H624" s="1605"/>
      <c r="I624" s="1605"/>
      <c r="J624" s="1605"/>
      <c r="K624" s="1605"/>
      <c r="L624" s="1605"/>
      <c r="M624" s="1605"/>
      <c r="N624" s="1605"/>
      <c r="O624" s="1605"/>
      <c r="P624" s="1605"/>
      <c r="Q624" s="1605"/>
      <c r="R624" s="1605"/>
      <c r="S624" s="1605"/>
      <c r="T624" s="1605"/>
      <c r="U624" s="1605"/>
      <c r="V624" s="1605"/>
      <c r="W624" s="1605"/>
      <c r="X624" s="1605"/>
      <c r="Y624" s="1605"/>
      <c r="Z624" s="1605"/>
      <c r="AA624" s="1605"/>
      <c r="AB624" s="1605"/>
      <c r="AC624" s="1605"/>
      <c r="AD624" s="1605"/>
      <c r="AE624" s="1605"/>
      <c r="AF624" s="1605"/>
      <c r="AG624" s="1605"/>
      <c r="AH624" s="1605"/>
      <c r="AI624" s="1605"/>
      <c r="AJ624" s="1605"/>
      <c r="AK624" s="1605"/>
      <c r="AL624" s="1605"/>
      <c r="AM624" s="1605"/>
      <c r="AN624" s="1605"/>
      <c r="AO624" s="1605"/>
      <c r="AP624" s="1605"/>
      <c r="AQ624" s="1605"/>
      <c r="AR624" s="1605"/>
      <c r="AS624" s="1605"/>
      <c r="AT624" s="1605"/>
      <c r="AU624" s="1605"/>
      <c r="AV624" s="1605"/>
      <c r="AW624" s="1605"/>
      <c r="AX624" s="1605"/>
      <c r="AY624" s="1605"/>
      <c r="AZ624" s="1605"/>
      <c r="BA624" s="1605"/>
      <c r="BB624" s="1605"/>
      <c r="BC624" s="1605"/>
      <c r="BD624" s="1605"/>
      <c r="BE624" s="1605"/>
      <c r="BF624" s="1605"/>
      <c r="BG624" s="1605"/>
      <c r="BH624" s="1605"/>
      <c r="BI624" s="1605"/>
      <c r="BJ624" s="1605"/>
      <c r="BK624" s="1605"/>
      <c r="BL624" s="1605"/>
      <c r="BM624" s="1605"/>
      <c r="BN624" s="1605"/>
      <c r="BO624" s="1605"/>
      <c r="BP624" s="1605"/>
      <c r="BQ624" s="1605"/>
      <c r="BR624" s="1605"/>
      <c r="BS624" s="1605"/>
      <c r="BT624" s="1605"/>
      <c r="BU624" s="1605"/>
      <c r="BV624" s="1605"/>
      <c r="BW624" s="1605"/>
      <c r="BX624" s="1605"/>
      <c r="BY624" s="1605"/>
      <c r="BZ624" s="1605"/>
      <c r="CA624" s="1605"/>
      <c r="CB624" s="1605"/>
      <c r="CC624" s="1605"/>
      <c r="CD624" s="1605"/>
      <c r="CE624" s="1605"/>
      <c r="CF624" s="1605"/>
      <c r="CG624" s="1605"/>
      <c r="CH624" s="1605"/>
      <c r="CI624" s="1605"/>
      <c r="CJ624" s="1605"/>
      <c r="CK624" s="1605"/>
      <c r="CL624" s="1605"/>
      <c r="CM624" s="1605"/>
      <c r="CN624" s="1605"/>
      <c r="CO624" s="1605"/>
      <c r="CP624" s="1605"/>
      <c r="CQ624" s="1605"/>
      <c r="CR624" s="1605"/>
      <c r="CS624" s="1605"/>
      <c r="CT624" s="1605"/>
      <c r="CU624" s="1605"/>
      <c r="CV624" s="1605"/>
      <c r="CW624" s="1605"/>
      <c r="CX624" s="1605"/>
      <c r="CY624" s="1605"/>
      <c r="CZ624" s="1605"/>
      <c r="DA624" s="1605"/>
      <c r="DB624" s="1605"/>
      <c r="DC624" s="1605"/>
      <c r="DD624" s="1605"/>
      <c r="DE624" s="1605"/>
      <c r="DF624" s="1605"/>
      <c r="DG624" s="1605"/>
      <c r="DH624" s="1605"/>
      <c r="DI624" s="1605"/>
      <c r="DJ624" s="1605"/>
      <c r="DK624" s="1605"/>
      <c r="DL624" s="1605"/>
      <c r="DM624" s="1605"/>
      <c r="DN624" s="1605"/>
      <c r="DO624" s="1605"/>
      <c r="DP624" s="1605"/>
      <c r="DQ624" s="1605"/>
      <c r="DR624" s="1605"/>
      <c r="DS624" s="1605"/>
      <c r="DT624" s="1605"/>
      <c r="DU624" s="1605"/>
      <c r="DV624" s="1605"/>
      <c r="DW624" s="1605"/>
      <c r="DX624" s="1605"/>
      <c r="DY624" s="1605"/>
      <c r="DZ624" s="1605"/>
      <c r="EA624" s="1605"/>
      <c r="EB624" s="1605"/>
      <c r="EC624" s="1605"/>
      <c r="ED624" s="1605"/>
      <c r="EE624" s="1605"/>
      <c r="EF624" s="1605"/>
      <c r="EG624" s="1605"/>
      <c r="EH624" s="1605"/>
      <c r="EI624" s="1605"/>
      <c r="EJ624" s="1605"/>
      <c r="EK624" s="1605"/>
      <c r="EL624" s="1605"/>
      <c r="EM624" s="1605"/>
      <c r="EN624" s="1605"/>
      <c r="EO624" s="1605"/>
      <c r="EP624" s="1605"/>
      <c r="EQ624" s="1605"/>
      <c r="ER624" s="1605"/>
      <c r="ES624" s="1605"/>
      <c r="ET624" s="1605"/>
      <c r="EU624" s="1605"/>
      <c r="EV624" s="1605"/>
      <c r="EW624" s="1605"/>
      <c r="EX624" s="1605"/>
      <c r="EY624" s="1605"/>
      <c r="EZ624" s="1605"/>
      <c r="FA624" s="1605"/>
      <c r="FB624" s="1605"/>
      <c r="FC624" s="1605"/>
      <c r="FD624" s="1605"/>
      <c r="FE624" s="1605"/>
      <c r="FF624" s="1605"/>
      <c r="FG624" s="1605"/>
      <c r="FH624" s="1605"/>
      <c r="FI624" s="1605"/>
      <c r="FJ624" s="1605"/>
      <c r="FK624" s="1605"/>
      <c r="FL624" s="1605"/>
      <c r="FM624" s="1605"/>
      <c r="FN624" s="1605"/>
      <c r="FO624" s="1605"/>
      <c r="FP624" s="1605"/>
      <c r="FQ624" s="1605"/>
      <c r="FR624" s="1605"/>
      <c r="FS624" s="1605"/>
      <c r="FT624" s="1605"/>
      <c r="FU624" s="1605"/>
      <c r="FV624" s="1605"/>
      <c r="FW624" s="1605"/>
      <c r="FX624" s="1605"/>
      <c r="FY624" s="1605"/>
      <c r="FZ624" s="1605"/>
      <c r="GA624" s="1605"/>
      <c r="GB624" s="1605"/>
      <c r="GC624" s="1605"/>
      <c r="GD624" s="1605"/>
      <c r="GE624" s="1605"/>
      <c r="GF624" s="1605"/>
      <c r="GG624" s="1605"/>
      <c r="GH624" s="1605"/>
      <c r="GI624" s="1605"/>
      <c r="GJ624" s="1605"/>
      <c r="GK624" s="1605"/>
      <c r="GL624" s="1605"/>
      <c r="GM624" s="1605"/>
      <c r="GN624" s="1605"/>
      <c r="GO624" s="1605"/>
      <c r="GP624" s="1605"/>
      <c r="GQ624" s="1605"/>
      <c r="GR624" s="1605"/>
      <c r="GS624" s="1605"/>
      <c r="GT624" s="1605"/>
      <c r="GU624" s="1605"/>
      <c r="GV624" s="1605"/>
      <c r="GW624" s="1605"/>
      <c r="GX624" s="1605"/>
      <c r="GY624" s="1605"/>
      <c r="GZ624" s="1605"/>
      <c r="HA624" s="1605"/>
      <c r="HB624" s="1605"/>
      <c r="HC624" s="1605"/>
      <c r="HD624" s="1605"/>
      <c r="HE624" s="1605"/>
      <c r="HF624" s="1605"/>
      <c r="HG624" s="1605"/>
      <c r="HH624" s="1605"/>
      <c r="HI624" s="1605"/>
      <c r="HJ624" s="1605"/>
      <c r="HK624" s="1605"/>
      <c r="HL624" s="1605"/>
      <c r="HM624" s="1605"/>
      <c r="HN624" s="1605"/>
      <c r="HO624" s="1605"/>
      <c r="HP624" s="1605"/>
      <c r="HQ624" s="1605"/>
      <c r="HR624" s="1605"/>
      <c r="HS624" s="1605"/>
      <c r="HT624" s="1605"/>
      <c r="HU624" s="1605"/>
      <c r="HV624" s="1605"/>
      <c r="HW624" s="1605"/>
      <c r="HX624" s="1605"/>
      <c r="HY624" s="1605"/>
      <c r="HZ624" s="1605"/>
      <c r="IA624" s="1605"/>
      <c r="IB624" s="1605"/>
      <c r="IC624" s="1605"/>
      <c r="ID624" s="1605"/>
      <c r="IE624" s="1605"/>
      <c r="IF624" s="1605"/>
      <c r="IG624" s="1605"/>
      <c r="IH624" s="1605"/>
      <c r="II624" s="1605"/>
      <c r="IJ624" s="1605"/>
      <c r="IK624" s="1605"/>
      <c r="IL624" s="1605"/>
      <c r="IM624" s="1605"/>
      <c r="IN624" s="1605"/>
      <c r="IO624" s="1605"/>
      <c r="IP624" s="1605"/>
      <c r="IQ624" s="1605"/>
      <c r="IR624" s="1605"/>
      <c r="IS624" s="1605"/>
      <c r="IT624" s="1605"/>
      <c r="IU624" s="1605"/>
      <c r="IV624" s="1605"/>
      <c r="IW624" s="1605"/>
      <c r="IX624" s="1605"/>
      <c r="IY624" s="1605"/>
      <c r="IZ624" s="1605"/>
      <c r="JA624" s="1605"/>
      <c r="JB624" s="1605"/>
      <c r="JC624" s="1605"/>
      <c r="JD624" s="1605"/>
      <c r="JE624" s="1605"/>
      <c r="JF624" s="1605"/>
      <c r="JG624" s="1605"/>
      <c r="JH624" s="1605"/>
      <c r="JI624" s="1605"/>
      <c r="JJ624" s="1605"/>
      <c r="JK624" s="1605"/>
      <c r="JL624" s="1605"/>
      <c r="JM624" s="1605"/>
      <c r="JN624" s="1605"/>
      <c r="JO624" s="1605"/>
      <c r="JP624" s="1605"/>
      <c r="JQ624" s="1605"/>
      <c r="JR624" s="1605"/>
      <c r="JS624" s="1605"/>
      <c r="JT624" s="1605"/>
      <c r="JU624" s="1605"/>
      <c r="JV624" s="1605"/>
      <c r="JW624" s="1605"/>
      <c r="JX624" s="1605"/>
      <c r="JY624" s="1605"/>
      <c r="JZ624" s="1605"/>
      <c r="KA624" s="1605"/>
      <c r="KB624" s="1606"/>
    </row>
    <row r="625" spans="1:289" ht="15" customHeight="1" x14ac:dyDescent="0.25">
      <c r="B625" s="216" t="str">
        <f t="shared" ref="B625:B627" si="48">B211</f>
        <v>Desk 98</v>
      </c>
      <c r="C625" s="218" t="str">
        <v/>
      </c>
      <c r="D625" s="218" t="str">
        <v/>
      </c>
      <c r="E625" s="218" t="str">
        <v/>
      </c>
      <c r="F625" s="218" t="str">
        <v/>
      </c>
      <c r="G625" s="402" t="str">
        <v/>
      </c>
      <c r="H625" s="1605"/>
      <c r="I625" s="1605"/>
      <c r="J625" s="1605"/>
      <c r="K625" s="1605"/>
      <c r="L625" s="1605"/>
      <c r="M625" s="1605"/>
      <c r="N625" s="1605"/>
      <c r="O625" s="1605"/>
      <c r="P625" s="1605"/>
      <c r="Q625" s="1605"/>
      <c r="R625" s="1605"/>
      <c r="S625" s="1605"/>
      <c r="T625" s="1605"/>
      <c r="U625" s="1605"/>
      <c r="V625" s="1605"/>
      <c r="W625" s="1605"/>
      <c r="X625" s="1605"/>
      <c r="Y625" s="1605"/>
      <c r="Z625" s="1605"/>
      <c r="AA625" s="1605"/>
      <c r="AB625" s="1605"/>
      <c r="AC625" s="1605"/>
      <c r="AD625" s="1605"/>
      <c r="AE625" s="1605"/>
      <c r="AF625" s="1605"/>
      <c r="AG625" s="1605"/>
      <c r="AH625" s="1605"/>
      <c r="AI625" s="1605"/>
      <c r="AJ625" s="1605"/>
      <c r="AK625" s="1605"/>
      <c r="AL625" s="1605"/>
      <c r="AM625" s="1605"/>
      <c r="AN625" s="1605"/>
      <c r="AO625" s="1605"/>
      <c r="AP625" s="1605"/>
      <c r="AQ625" s="1605"/>
      <c r="AR625" s="1605"/>
      <c r="AS625" s="1605"/>
      <c r="AT625" s="1605"/>
      <c r="AU625" s="1605"/>
      <c r="AV625" s="1605"/>
      <c r="AW625" s="1605"/>
      <c r="AX625" s="1605"/>
      <c r="AY625" s="1605"/>
      <c r="AZ625" s="1605"/>
      <c r="BA625" s="1605"/>
      <c r="BB625" s="1605"/>
      <c r="BC625" s="1605"/>
      <c r="BD625" s="1605"/>
      <c r="BE625" s="1605"/>
      <c r="BF625" s="1605"/>
      <c r="BG625" s="1605"/>
      <c r="BH625" s="1605"/>
      <c r="BI625" s="1605"/>
      <c r="BJ625" s="1605"/>
      <c r="BK625" s="1605"/>
      <c r="BL625" s="1605"/>
      <c r="BM625" s="1605"/>
      <c r="BN625" s="1605"/>
      <c r="BO625" s="1605"/>
      <c r="BP625" s="1605"/>
      <c r="BQ625" s="1605"/>
      <c r="BR625" s="1605"/>
      <c r="BS625" s="1605"/>
      <c r="BT625" s="1605"/>
      <c r="BU625" s="1605"/>
      <c r="BV625" s="1605"/>
      <c r="BW625" s="1605"/>
      <c r="BX625" s="1605"/>
      <c r="BY625" s="1605"/>
      <c r="BZ625" s="1605"/>
      <c r="CA625" s="1605"/>
      <c r="CB625" s="1605"/>
      <c r="CC625" s="1605"/>
      <c r="CD625" s="1605"/>
      <c r="CE625" s="1605"/>
      <c r="CF625" s="1605"/>
      <c r="CG625" s="1605"/>
      <c r="CH625" s="1605"/>
      <c r="CI625" s="1605"/>
      <c r="CJ625" s="1605"/>
      <c r="CK625" s="1605"/>
      <c r="CL625" s="1605"/>
      <c r="CM625" s="1605"/>
      <c r="CN625" s="1605"/>
      <c r="CO625" s="1605"/>
      <c r="CP625" s="1605"/>
      <c r="CQ625" s="1605"/>
      <c r="CR625" s="1605"/>
      <c r="CS625" s="1605"/>
      <c r="CT625" s="1605"/>
      <c r="CU625" s="1605"/>
      <c r="CV625" s="1605"/>
      <c r="CW625" s="1605"/>
      <c r="CX625" s="1605"/>
      <c r="CY625" s="1605"/>
      <c r="CZ625" s="1605"/>
      <c r="DA625" s="1605"/>
      <c r="DB625" s="1605"/>
      <c r="DC625" s="1605"/>
      <c r="DD625" s="1605"/>
      <c r="DE625" s="1605"/>
      <c r="DF625" s="1605"/>
      <c r="DG625" s="1605"/>
      <c r="DH625" s="1605"/>
      <c r="DI625" s="1605"/>
      <c r="DJ625" s="1605"/>
      <c r="DK625" s="1605"/>
      <c r="DL625" s="1605"/>
      <c r="DM625" s="1605"/>
      <c r="DN625" s="1605"/>
      <c r="DO625" s="1605"/>
      <c r="DP625" s="1605"/>
      <c r="DQ625" s="1605"/>
      <c r="DR625" s="1605"/>
      <c r="DS625" s="1605"/>
      <c r="DT625" s="1605"/>
      <c r="DU625" s="1605"/>
      <c r="DV625" s="1605"/>
      <c r="DW625" s="1605"/>
      <c r="DX625" s="1605"/>
      <c r="DY625" s="1605"/>
      <c r="DZ625" s="1605"/>
      <c r="EA625" s="1605"/>
      <c r="EB625" s="1605"/>
      <c r="EC625" s="1605"/>
      <c r="ED625" s="1605"/>
      <c r="EE625" s="1605"/>
      <c r="EF625" s="1605"/>
      <c r="EG625" s="1605"/>
      <c r="EH625" s="1605"/>
      <c r="EI625" s="1605"/>
      <c r="EJ625" s="1605"/>
      <c r="EK625" s="1605"/>
      <c r="EL625" s="1605"/>
      <c r="EM625" s="1605"/>
      <c r="EN625" s="1605"/>
      <c r="EO625" s="1605"/>
      <c r="EP625" s="1605"/>
      <c r="EQ625" s="1605"/>
      <c r="ER625" s="1605"/>
      <c r="ES625" s="1605"/>
      <c r="ET625" s="1605"/>
      <c r="EU625" s="1605"/>
      <c r="EV625" s="1605"/>
      <c r="EW625" s="1605"/>
      <c r="EX625" s="1605"/>
      <c r="EY625" s="1605"/>
      <c r="EZ625" s="1605"/>
      <c r="FA625" s="1605"/>
      <c r="FB625" s="1605"/>
      <c r="FC625" s="1605"/>
      <c r="FD625" s="1605"/>
      <c r="FE625" s="1605"/>
      <c r="FF625" s="1605"/>
      <c r="FG625" s="1605"/>
      <c r="FH625" s="1605"/>
      <c r="FI625" s="1605"/>
      <c r="FJ625" s="1605"/>
      <c r="FK625" s="1605"/>
      <c r="FL625" s="1605"/>
      <c r="FM625" s="1605"/>
      <c r="FN625" s="1605"/>
      <c r="FO625" s="1605"/>
      <c r="FP625" s="1605"/>
      <c r="FQ625" s="1605"/>
      <c r="FR625" s="1605"/>
      <c r="FS625" s="1605"/>
      <c r="FT625" s="1605"/>
      <c r="FU625" s="1605"/>
      <c r="FV625" s="1605"/>
      <c r="FW625" s="1605"/>
      <c r="FX625" s="1605"/>
      <c r="FY625" s="1605"/>
      <c r="FZ625" s="1605"/>
      <c r="GA625" s="1605"/>
      <c r="GB625" s="1605"/>
      <c r="GC625" s="1605"/>
      <c r="GD625" s="1605"/>
      <c r="GE625" s="1605"/>
      <c r="GF625" s="1605"/>
      <c r="GG625" s="1605"/>
      <c r="GH625" s="1605"/>
      <c r="GI625" s="1605"/>
      <c r="GJ625" s="1605"/>
      <c r="GK625" s="1605"/>
      <c r="GL625" s="1605"/>
      <c r="GM625" s="1605"/>
      <c r="GN625" s="1605"/>
      <c r="GO625" s="1605"/>
      <c r="GP625" s="1605"/>
      <c r="GQ625" s="1605"/>
      <c r="GR625" s="1605"/>
      <c r="GS625" s="1605"/>
      <c r="GT625" s="1605"/>
      <c r="GU625" s="1605"/>
      <c r="GV625" s="1605"/>
      <c r="GW625" s="1605"/>
      <c r="GX625" s="1605"/>
      <c r="GY625" s="1605"/>
      <c r="GZ625" s="1605"/>
      <c r="HA625" s="1605"/>
      <c r="HB625" s="1605"/>
      <c r="HC625" s="1605"/>
      <c r="HD625" s="1605"/>
      <c r="HE625" s="1605"/>
      <c r="HF625" s="1605"/>
      <c r="HG625" s="1605"/>
      <c r="HH625" s="1605"/>
      <c r="HI625" s="1605"/>
      <c r="HJ625" s="1605"/>
      <c r="HK625" s="1605"/>
      <c r="HL625" s="1605"/>
      <c r="HM625" s="1605"/>
      <c r="HN625" s="1605"/>
      <c r="HO625" s="1605"/>
      <c r="HP625" s="1605"/>
      <c r="HQ625" s="1605"/>
      <c r="HR625" s="1605"/>
      <c r="HS625" s="1605"/>
      <c r="HT625" s="1605"/>
      <c r="HU625" s="1605"/>
      <c r="HV625" s="1605"/>
      <c r="HW625" s="1605"/>
      <c r="HX625" s="1605"/>
      <c r="HY625" s="1605"/>
      <c r="HZ625" s="1605"/>
      <c r="IA625" s="1605"/>
      <c r="IB625" s="1605"/>
      <c r="IC625" s="1605"/>
      <c r="ID625" s="1605"/>
      <c r="IE625" s="1605"/>
      <c r="IF625" s="1605"/>
      <c r="IG625" s="1605"/>
      <c r="IH625" s="1605"/>
      <c r="II625" s="1605"/>
      <c r="IJ625" s="1605"/>
      <c r="IK625" s="1605"/>
      <c r="IL625" s="1605"/>
      <c r="IM625" s="1605"/>
      <c r="IN625" s="1605"/>
      <c r="IO625" s="1605"/>
      <c r="IP625" s="1605"/>
      <c r="IQ625" s="1605"/>
      <c r="IR625" s="1605"/>
      <c r="IS625" s="1605"/>
      <c r="IT625" s="1605"/>
      <c r="IU625" s="1605"/>
      <c r="IV625" s="1605"/>
      <c r="IW625" s="1605"/>
      <c r="IX625" s="1605"/>
      <c r="IY625" s="1605"/>
      <c r="IZ625" s="1605"/>
      <c r="JA625" s="1605"/>
      <c r="JB625" s="1605"/>
      <c r="JC625" s="1605"/>
      <c r="JD625" s="1605"/>
      <c r="JE625" s="1605"/>
      <c r="JF625" s="1605"/>
      <c r="JG625" s="1605"/>
      <c r="JH625" s="1605"/>
      <c r="JI625" s="1605"/>
      <c r="JJ625" s="1605"/>
      <c r="JK625" s="1605"/>
      <c r="JL625" s="1605"/>
      <c r="JM625" s="1605"/>
      <c r="JN625" s="1605"/>
      <c r="JO625" s="1605"/>
      <c r="JP625" s="1605"/>
      <c r="JQ625" s="1605"/>
      <c r="JR625" s="1605"/>
      <c r="JS625" s="1605"/>
      <c r="JT625" s="1605"/>
      <c r="JU625" s="1605"/>
      <c r="JV625" s="1605"/>
      <c r="JW625" s="1605"/>
      <c r="JX625" s="1605"/>
      <c r="JY625" s="1605"/>
      <c r="JZ625" s="1605"/>
      <c r="KA625" s="1605"/>
      <c r="KB625" s="1606"/>
    </row>
    <row r="626" spans="1:289" ht="15" customHeight="1" x14ac:dyDescent="0.25">
      <c r="B626" s="216" t="str">
        <f t="shared" si="48"/>
        <v>Desk 99</v>
      </c>
      <c r="C626" s="218" t="str">
        <v/>
      </c>
      <c r="D626" s="218" t="str">
        <v/>
      </c>
      <c r="E626" s="218" t="str">
        <v/>
      </c>
      <c r="F626" s="218" t="str">
        <v/>
      </c>
      <c r="G626" s="402" t="str">
        <v/>
      </c>
      <c r="H626" s="1605"/>
      <c r="I626" s="1605"/>
      <c r="J626" s="1605"/>
      <c r="K626" s="1605"/>
      <c r="L626" s="1605"/>
      <c r="M626" s="1605"/>
      <c r="N626" s="1605"/>
      <c r="O626" s="1605"/>
      <c r="P626" s="1605"/>
      <c r="Q626" s="1605"/>
      <c r="R626" s="1605"/>
      <c r="S626" s="1605"/>
      <c r="T626" s="1605"/>
      <c r="U626" s="1605"/>
      <c r="V626" s="1605"/>
      <c r="W626" s="1605"/>
      <c r="X626" s="1605"/>
      <c r="Y626" s="1605"/>
      <c r="Z626" s="1605"/>
      <c r="AA626" s="1605"/>
      <c r="AB626" s="1605"/>
      <c r="AC626" s="1605"/>
      <c r="AD626" s="1605"/>
      <c r="AE626" s="1605"/>
      <c r="AF626" s="1605"/>
      <c r="AG626" s="1605"/>
      <c r="AH626" s="1605"/>
      <c r="AI626" s="1605"/>
      <c r="AJ626" s="1605"/>
      <c r="AK626" s="1605"/>
      <c r="AL626" s="1605"/>
      <c r="AM626" s="1605"/>
      <c r="AN626" s="1605"/>
      <c r="AO626" s="1605"/>
      <c r="AP626" s="1605"/>
      <c r="AQ626" s="1605"/>
      <c r="AR626" s="1605"/>
      <c r="AS626" s="1605"/>
      <c r="AT626" s="1605"/>
      <c r="AU626" s="1605"/>
      <c r="AV626" s="1605"/>
      <c r="AW626" s="1605"/>
      <c r="AX626" s="1605"/>
      <c r="AY626" s="1605"/>
      <c r="AZ626" s="1605"/>
      <c r="BA626" s="1605"/>
      <c r="BB626" s="1605"/>
      <c r="BC626" s="1605"/>
      <c r="BD626" s="1605"/>
      <c r="BE626" s="1605"/>
      <c r="BF626" s="1605"/>
      <c r="BG626" s="1605"/>
      <c r="BH626" s="1605"/>
      <c r="BI626" s="1605"/>
      <c r="BJ626" s="1605"/>
      <c r="BK626" s="1605"/>
      <c r="BL626" s="1605"/>
      <c r="BM626" s="1605"/>
      <c r="BN626" s="1605"/>
      <c r="BO626" s="1605"/>
      <c r="BP626" s="1605"/>
      <c r="BQ626" s="1605"/>
      <c r="BR626" s="1605"/>
      <c r="BS626" s="1605"/>
      <c r="BT626" s="1605"/>
      <c r="BU626" s="1605"/>
      <c r="BV626" s="1605"/>
      <c r="BW626" s="1605"/>
      <c r="BX626" s="1605"/>
      <c r="BY626" s="1605"/>
      <c r="BZ626" s="1605"/>
      <c r="CA626" s="1605"/>
      <c r="CB626" s="1605"/>
      <c r="CC626" s="1605"/>
      <c r="CD626" s="1605"/>
      <c r="CE626" s="1605"/>
      <c r="CF626" s="1605"/>
      <c r="CG626" s="1605"/>
      <c r="CH626" s="1605"/>
      <c r="CI626" s="1605"/>
      <c r="CJ626" s="1605"/>
      <c r="CK626" s="1605"/>
      <c r="CL626" s="1605"/>
      <c r="CM626" s="1605"/>
      <c r="CN626" s="1605"/>
      <c r="CO626" s="1605"/>
      <c r="CP626" s="1605"/>
      <c r="CQ626" s="1605"/>
      <c r="CR626" s="1605"/>
      <c r="CS626" s="1605"/>
      <c r="CT626" s="1605"/>
      <c r="CU626" s="1605"/>
      <c r="CV626" s="1605"/>
      <c r="CW626" s="1605"/>
      <c r="CX626" s="1605"/>
      <c r="CY626" s="1605"/>
      <c r="CZ626" s="1605"/>
      <c r="DA626" s="1605"/>
      <c r="DB626" s="1605"/>
      <c r="DC626" s="1605"/>
      <c r="DD626" s="1605"/>
      <c r="DE626" s="1605"/>
      <c r="DF626" s="1605"/>
      <c r="DG626" s="1605"/>
      <c r="DH626" s="1605"/>
      <c r="DI626" s="1605"/>
      <c r="DJ626" s="1605"/>
      <c r="DK626" s="1605"/>
      <c r="DL626" s="1605"/>
      <c r="DM626" s="1605"/>
      <c r="DN626" s="1605"/>
      <c r="DO626" s="1605"/>
      <c r="DP626" s="1605"/>
      <c r="DQ626" s="1605"/>
      <c r="DR626" s="1605"/>
      <c r="DS626" s="1605"/>
      <c r="DT626" s="1605"/>
      <c r="DU626" s="1605"/>
      <c r="DV626" s="1605"/>
      <c r="DW626" s="1605"/>
      <c r="DX626" s="1605"/>
      <c r="DY626" s="1605"/>
      <c r="DZ626" s="1605"/>
      <c r="EA626" s="1605"/>
      <c r="EB626" s="1605"/>
      <c r="EC626" s="1605"/>
      <c r="ED626" s="1605"/>
      <c r="EE626" s="1605"/>
      <c r="EF626" s="1605"/>
      <c r="EG626" s="1605"/>
      <c r="EH626" s="1605"/>
      <c r="EI626" s="1605"/>
      <c r="EJ626" s="1605"/>
      <c r="EK626" s="1605"/>
      <c r="EL626" s="1605"/>
      <c r="EM626" s="1605"/>
      <c r="EN626" s="1605"/>
      <c r="EO626" s="1605"/>
      <c r="EP626" s="1605"/>
      <c r="EQ626" s="1605"/>
      <c r="ER626" s="1605"/>
      <c r="ES626" s="1605"/>
      <c r="ET626" s="1605"/>
      <c r="EU626" s="1605"/>
      <c r="EV626" s="1605"/>
      <c r="EW626" s="1605"/>
      <c r="EX626" s="1605"/>
      <c r="EY626" s="1605"/>
      <c r="EZ626" s="1605"/>
      <c r="FA626" s="1605"/>
      <c r="FB626" s="1605"/>
      <c r="FC626" s="1605"/>
      <c r="FD626" s="1605"/>
      <c r="FE626" s="1605"/>
      <c r="FF626" s="1605"/>
      <c r="FG626" s="1605"/>
      <c r="FH626" s="1605"/>
      <c r="FI626" s="1605"/>
      <c r="FJ626" s="1605"/>
      <c r="FK626" s="1605"/>
      <c r="FL626" s="1605"/>
      <c r="FM626" s="1605"/>
      <c r="FN626" s="1605"/>
      <c r="FO626" s="1605"/>
      <c r="FP626" s="1605"/>
      <c r="FQ626" s="1605"/>
      <c r="FR626" s="1605"/>
      <c r="FS626" s="1605"/>
      <c r="FT626" s="1605"/>
      <c r="FU626" s="1605"/>
      <c r="FV626" s="1605"/>
      <c r="FW626" s="1605"/>
      <c r="FX626" s="1605"/>
      <c r="FY626" s="1605"/>
      <c r="FZ626" s="1605"/>
      <c r="GA626" s="1605"/>
      <c r="GB626" s="1605"/>
      <c r="GC626" s="1605"/>
      <c r="GD626" s="1605"/>
      <c r="GE626" s="1605"/>
      <c r="GF626" s="1605"/>
      <c r="GG626" s="1605"/>
      <c r="GH626" s="1605"/>
      <c r="GI626" s="1605"/>
      <c r="GJ626" s="1605"/>
      <c r="GK626" s="1605"/>
      <c r="GL626" s="1605"/>
      <c r="GM626" s="1605"/>
      <c r="GN626" s="1605"/>
      <c r="GO626" s="1605"/>
      <c r="GP626" s="1605"/>
      <c r="GQ626" s="1605"/>
      <c r="GR626" s="1605"/>
      <c r="GS626" s="1605"/>
      <c r="GT626" s="1605"/>
      <c r="GU626" s="1605"/>
      <c r="GV626" s="1605"/>
      <c r="GW626" s="1605"/>
      <c r="GX626" s="1605"/>
      <c r="GY626" s="1605"/>
      <c r="GZ626" s="1605"/>
      <c r="HA626" s="1605"/>
      <c r="HB626" s="1605"/>
      <c r="HC626" s="1605"/>
      <c r="HD626" s="1605"/>
      <c r="HE626" s="1605"/>
      <c r="HF626" s="1605"/>
      <c r="HG626" s="1605"/>
      <c r="HH626" s="1605"/>
      <c r="HI626" s="1605"/>
      <c r="HJ626" s="1605"/>
      <c r="HK626" s="1605"/>
      <c r="HL626" s="1605"/>
      <c r="HM626" s="1605"/>
      <c r="HN626" s="1605"/>
      <c r="HO626" s="1605"/>
      <c r="HP626" s="1605"/>
      <c r="HQ626" s="1605"/>
      <c r="HR626" s="1605"/>
      <c r="HS626" s="1605"/>
      <c r="HT626" s="1605"/>
      <c r="HU626" s="1605"/>
      <c r="HV626" s="1605"/>
      <c r="HW626" s="1605"/>
      <c r="HX626" s="1605"/>
      <c r="HY626" s="1605"/>
      <c r="HZ626" s="1605"/>
      <c r="IA626" s="1605"/>
      <c r="IB626" s="1605"/>
      <c r="IC626" s="1605"/>
      <c r="ID626" s="1605"/>
      <c r="IE626" s="1605"/>
      <c r="IF626" s="1605"/>
      <c r="IG626" s="1605"/>
      <c r="IH626" s="1605"/>
      <c r="II626" s="1605"/>
      <c r="IJ626" s="1605"/>
      <c r="IK626" s="1605"/>
      <c r="IL626" s="1605"/>
      <c r="IM626" s="1605"/>
      <c r="IN626" s="1605"/>
      <c r="IO626" s="1605"/>
      <c r="IP626" s="1605"/>
      <c r="IQ626" s="1605"/>
      <c r="IR626" s="1605"/>
      <c r="IS626" s="1605"/>
      <c r="IT626" s="1605"/>
      <c r="IU626" s="1605"/>
      <c r="IV626" s="1605"/>
      <c r="IW626" s="1605"/>
      <c r="IX626" s="1605"/>
      <c r="IY626" s="1605"/>
      <c r="IZ626" s="1605"/>
      <c r="JA626" s="1605"/>
      <c r="JB626" s="1605"/>
      <c r="JC626" s="1605"/>
      <c r="JD626" s="1605"/>
      <c r="JE626" s="1605"/>
      <c r="JF626" s="1605"/>
      <c r="JG626" s="1605"/>
      <c r="JH626" s="1605"/>
      <c r="JI626" s="1605"/>
      <c r="JJ626" s="1605"/>
      <c r="JK626" s="1605"/>
      <c r="JL626" s="1605"/>
      <c r="JM626" s="1605"/>
      <c r="JN626" s="1605"/>
      <c r="JO626" s="1605"/>
      <c r="JP626" s="1605"/>
      <c r="JQ626" s="1605"/>
      <c r="JR626" s="1605"/>
      <c r="JS626" s="1605"/>
      <c r="JT626" s="1605"/>
      <c r="JU626" s="1605"/>
      <c r="JV626" s="1605"/>
      <c r="JW626" s="1605"/>
      <c r="JX626" s="1605"/>
      <c r="JY626" s="1605"/>
      <c r="JZ626" s="1605"/>
      <c r="KA626" s="1605"/>
      <c r="KB626" s="1606"/>
    </row>
    <row r="627" spans="1:289" ht="15" customHeight="1" x14ac:dyDescent="0.25">
      <c r="B627" s="219" t="str">
        <f t="shared" si="48"/>
        <v>Desk 100</v>
      </c>
      <c r="C627" s="220" t="str">
        <v/>
      </c>
      <c r="D627" s="220" t="str">
        <v/>
      </c>
      <c r="E627" s="220" t="str">
        <v/>
      </c>
      <c r="F627" s="220" t="str">
        <v/>
      </c>
      <c r="G627" s="402" t="str">
        <v/>
      </c>
      <c r="H627" s="1607"/>
      <c r="I627" s="1607"/>
      <c r="J627" s="1607"/>
      <c r="K627" s="1607"/>
      <c r="L627" s="1607"/>
      <c r="M627" s="1607"/>
      <c r="N627" s="1607"/>
      <c r="O627" s="1607"/>
      <c r="P627" s="1607"/>
      <c r="Q627" s="1607"/>
      <c r="R627" s="1607"/>
      <c r="S627" s="1607"/>
      <c r="T627" s="1607"/>
      <c r="U627" s="1607"/>
      <c r="V627" s="1607"/>
      <c r="W627" s="1607"/>
      <c r="X627" s="1607"/>
      <c r="Y627" s="1607"/>
      <c r="Z627" s="1607"/>
      <c r="AA627" s="1607"/>
      <c r="AB627" s="1607"/>
      <c r="AC627" s="1607"/>
      <c r="AD627" s="1607"/>
      <c r="AE627" s="1607"/>
      <c r="AF627" s="1607"/>
      <c r="AG627" s="1607"/>
      <c r="AH627" s="1607"/>
      <c r="AI627" s="1607"/>
      <c r="AJ627" s="1607"/>
      <c r="AK627" s="1607"/>
      <c r="AL627" s="1607"/>
      <c r="AM627" s="1607"/>
      <c r="AN627" s="1607"/>
      <c r="AO627" s="1607"/>
      <c r="AP627" s="1607"/>
      <c r="AQ627" s="1607"/>
      <c r="AR627" s="1607"/>
      <c r="AS627" s="1607"/>
      <c r="AT627" s="1607"/>
      <c r="AU627" s="1607"/>
      <c r="AV627" s="1607"/>
      <c r="AW627" s="1607"/>
      <c r="AX627" s="1607"/>
      <c r="AY627" s="1607"/>
      <c r="AZ627" s="1607"/>
      <c r="BA627" s="1607"/>
      <c r="BB627" s="1607"/>
      <c r="BC627" s="1607"/>
      <c r="BD627" s="1607"/>
      <c r="BE627" s="1607"/>
      <c r="BF627" s="1607"/>
      <c r="BG627" s="1607"/>
      <c r="BH627" s="1607"/>
      <c r="BI627" s="1607"/>
      <c r="BJ627" s="1607"/>
      <c r="BK627" s="1607"/>
      <c r="BL627" s="1607"/>
      <c r="BM627" s="1607"/>
      <c r="BN627" s="1607"/>
      <c r="BO627" s="1607"/>
      <c r="BP627" s="1607"/>
      <c r="BQ627" s="1607"/>
      <c r="BR627" s="1607"/>
      <c r="BS627" s="1607"/>
      <c r="BT627" s="1607"/>
      <c r="BU627" s="1607"/>
      <c r="BV627" s="1607"/>
      <c r="BW627" s="1607"/>
      <c r="BX627" s="1607"/>
      <c r="BY627" s="1607"/>
      <c r="BZ627" s="1607"/>
      <c r="CA627" s="1607"/>
      <c r="CB627" s="1607"/>
      <c r="CC627" s="1607"/>
      <c r="CD627" s="1607"/>
      <c r="CE627" s="1607"/>
      <c r="CF627" s="1607"/>
      <c r="CG627" s="1607"/>
      <c r="CH627" s="1607"/>
      <c r="CI627" s="1607"/>
      <c r="CJ627" s="1607"/>
      <c r="CK627" s="1607"/>
      <c r="CL627" s="1607"/>
      <c r="CM627" s="1607"/>
      <c r="CN627" s="1607"/>
      <c r="CO627" s="1607"/>
      <c r="CP627" s="1607"/>
      <c r="CQ627" s="1607"/>
      <c r="CR627" s="1607"/>
      <c r="CS627" s="1607"/>
      <c r="CT627" s="1607"/>
      <c r="CU627" s="1607"/>
      <c r="CV627" s="1607"/>
      <c r="CW627" s="1607"/>
      <c r="CX627" s="1607"/>
      <c r="CY627" s="1607"/>
      <c r="CZ627" s="1607"/>
      <c r="DA627" s="1607"/>
      <c r="DB627" s="1607"/>
      <c r="DC627" s="1607"/>
      <c r="DD627" s="1607"/>
      <c r="DE627" s="1607"/>
      <c r="DF627" s="1607"/>
      <c r="DG627" s="1607"/>
      <c r="DH627" s="1607"/>
      <c r="DI627" s="1607"/>
      <c r="DJ627" s="1607"/>
      <c r="DK627" s="1607"/>
      <c r="DL627" s="1607"/>
      <c r="DM627" s="1607"/>
      <c r="DN627" s="1607"/>
      <c r="DO627" s="1607"/>
      <c r="DP627" s="1607"/>
      <c r="DQ627" s="1607"/>
      <c r="DR627" s="1607"/>
      <c r="DS627" s="1607"/>
      <c r="DT627" s="1607"/>
      <c r="DU627" s="1607"/>
      <c r="DV627" s="1607"/>
      <c r="DW627" s="1607"/>
      <c r="DX627" s="1607"/>
      <c r="DY627" s="1607"/>
      <c r="DZ627" s="1607"/>
      <c r="EA627" s="1607"/>
      <c r="EB627" s="1607"/>
      <c r="EC627" s="1607"/>
      <c r="ED627" s="1607"/>
      <c r="EE627" s="1607"/>
      <c r="EF627" s="1607"/>
      <c r="EG627" s="1607"/>
      <c r="EH627" s="1607"/>
      <c r="EI627" s="1607"/>
      <c r="EJ627" s="1607"/>
      <c r="EK627" s="1607"/>
      <c r="EL627" s="1607"/>
      <c r="EM627" s="1607"/>
      <c r="EN627" s="1607"/>
      <c r="EO627" s="1607"/>
      <c r="EP627" s="1607"/>
      <c r="EQ627" s="1607"/>
      <c r="ER627" s="1607"/>
      <c r="ES627" s="1607"/>
      <c r="ET627" s="1607"/>
      <c r="EU627" s="1607"/>
      <c r="EV627" s="1607"/>
      <c r="EW627" s="1607"/>
      <c r="EX627" s="1607"/>
      <c r="EY627" s="1607"/>
      <c r="EZ627" s="1607"/>
      <c r="FA627" s="1607"/>
      <c r="FB627" s="1607"/>
      <c r="FC627" s="1607"/>
      <c r="FD627" s="1607"/>
      <c r="FE627" s="1607"/>
      <c r="FF627" s="1607"/>
      <c r="FG627" s="1607"/>
      <c r="FH627" s="1607"/>
      <c r="FI627" s="1607"/>
      <c r="FJ627" s="1607"/>
      <c r="FK627" s="1607"/>
      <c r="FL627" s="1607"/>
      <c r="FM627" s="1607"/>
      <c r="FN627" s="1607"/>
      <c r="FO627" s="1607"/>
      <c r="FP627" s="1607"/>
      <c r="FQ627" s="1607"/>
      <c r="FR627" s="1607"/>
      <c r="FS627" s="1607"/>
      <c r="FT627" s="1607"/>
      <c r="FU627" s="1607"/>
      <c r="FV627" s="1607"/>
      <c r="FW627" s="1607"/>
      <c r="FX627" s="1607"/>
      <c r="FY627" s="1607"/>
      <c r="FZ627" s="1607"/>
      <c r="GA627" s="1607"/>
      <c r="GB627" s="1607"/>
      <c r="GC627" s="1607"/>
      <c r="GD627" s="1607"/>
      <c r="GE627" s="1607"/>
      <c r="GF627" s="1607"/>
      <c r="GG627" s="1607"/>
      <c r="GH627" s="1607"/>
      <c r="GI627" s="1607"/>
      <c r="GJ627" s="1607"/>
      <c r="GK627" s="1607"/>
      <c r="GL627" s="1607"/>
      <c r="GM627" s="1607"/>
      <c r="GN627" s="1607"/>
      <c r="GO627" s="1607"/>
      <c r="GP627" s="1607"/>
      <c r="GQ627" s="1607"/>
      <c r="GR627" s="1607"/>
      <c r="GS627" s="1607"/>
      <c r="GT627" s="1607"/>
      <c r="GU627" s="1607"/>
      <c r="GV627" s="1607"/>
      <c r="GW627" s="1607"/>
      <c r="GX627" s="1607"/>
      <c r="GY627" s="1607"/>
      <c r="GZ627" s="1607"/>
      <c r="HA627" s="1607"/>
      <c r="HB627" s="1607"/>
      <c r="HC627" s="1607"/>
      <c r="HD627" s="1607"/>
      <c r="HE627" s="1607"/>
      <c r="HF627" s="1607"/>
      <c r="HG627" s="1607"/>
      <c r="HH627" s="1607"/>
      <c r="HI627" s="1607"/>
      <c r="HJ627" s="1607"/>
      <c r="HK627" s="1607"/>
      <c r="HL627" s="1607"/>
      <c r="HM627" s="1607"/>
      <c r="HN627" s="1607"/>
      <c r="HO627" s="1607"/>
      <c r="HP627" s="1607"/>
      <c r="HQ627" s="1607"/>
      <c r="HR627" s="1607"/>
      <c r="HS627" s="1607"/>
      <c r="HT627" s="1607"/>
      <c r="HU627" s="1607"/>
      <c r="HV627" s="1607"/>
      <c r="HW627" s="1607"/>
      <c r="HX627" s="1607"/>
      <c r="HY627" s="1607"/>
      <c r="HZ627" s="1607"/>
      <c r="IA627" s="1607"/>
      <c r="IB627" s="1607"/>
      <c r="IC627" s="1607"/>
      <c r="ID627" s="1607"/>
      <c r="IE627" s="1607"/>
      <c r="IF627" s="1607"/>
      <c r="IG627" s="1607"/>
      <c r="IH627" s="1607"/>
      <c r="II627" s="1607"/>
      <c r="IJ627" s="1607"/>
      <c r="IK627" s="1607"/>
      <c r="IL627" s="1607"/>
      <c r="IM627" s="1607"/>
      <c r="IN627" s="1607"/>
      <c r="IO627" s="1607"/>
      <c r="IP627" s="1607"/>
      <c r="IQ627" s="1607"/>
      <c r="IR627" s="1607"/>
      <c r="IS627" s="1607"/>
      <c r="IT627" s="1607"/>
      <c r="IU627" s="1607"/>
      <c r="IV627" s="1607"/>
      <c r="IW627" s="1607"/>
      <c r="IX627" s="1607"/>
      <c r="IY627" s="1607"/>
      <c r="IZ627" s="1607"/>
      <c r="JA627" s="1607"/>
      <c r="JB627" s="1607"/>
      <c r="JC627" s="1607"/>
      <c r="JD627" s="1607"/>
      <c r="JE627" s="1607"/>
      <c r="JF627" s="1607"/>
      <c r="JG627" s="1607"/>
      <c r="JH627" s="1607"/>
      <c r="JI627" s="1607"/>
      <c r="JJ627" s="1607"/>
      <c r="JK627" s="1607"/>
      <c r="JL627" s="1607"/>
      <c r="JM627" s="1607"/>
      <c r="JN627" s="1607"/>
      <c r="JO627" s="1607"/>
      <c r="JP627" s="1607"/>
      <c r="JQ627" s="1607"/>
      <c r="JR627" s="1607"/>
      <c r="JS627" s="1607"/>
      <c r="JT627" s="1607"/>
      <c r="JU627" s="1607"/>
      <c r="JV627" s="1607"/>
      <c r="JW627" s="1607"/>
      <c r="JX627" s="1607"/>
      <c r="JY627" s="1607"/>
      <c r="JZ627" s="1607"/>
      <c r="KA627" s="1607"/>
      <c r="KB627" s="1608"/>
    </row>
    <row r="628" spans="1:289" ht="15" customHeight="1" x14ac:dyDescent="0.25">
      <c r="B628" s="451" t="s">
        <v>406</v>
      </c>
      <c r="C628" s="403"/>
      <c r="D628" s="403"/>
      <c r="E628" s="403"/>
      <c r="F628" s="403"/>
      <c r="G628" s="403"/>
      <c r="H628" s="1610"/>
      <c r="I628" s="1610"/>
      <c r="J628" s="1610"/>
      <c r="K628" s="1610"/>
      <c r="L628" s="1610"/>
      <c r="M628" s="1610"/>
      <c r="N628" s="1610"/>
      <c r="O628" s="1610"/>
      <c r="P628" s="1610"/>
      <c r="Q628" s="1610"/>
      <c r="R628" s="1610"/>
      <c r="S628" s="1610"/>
      <c r="T628" s="1610"/>
      <c r="U628" s="1610"/>
      <c r="V628" s="1610"/>
      <c r="W628" s="1610"/>
      <c r="X628" s="1610"/>
      <c r="Y628" s="1610"/>
      <c r="Z628" s="1610"/>
      <c r="AA628" s="1610"/>
      <c r="AB628" s="1610"/>
      <c r="AC628" s="1610"/>
      <c r="AD628" s="1610"/>
      <c r="AE628" s="1610"/>
      <c r="AF628" s="1610"/>
      <c r="AG628" s="1610"/>
      <c r="AH628" s="1610"/>
      <c r="AI628" s="1610"/>
      <c r="AJ628" s="1610"/>
      <c r="AK628" s="1610"/>
      <c r="AL628" s="1610"/>
      <c r="AM628" s="1610"/>
      <c r="AN628" s="1610"/>
      <c r="AO628" s="1610"/>
      <c r="AP628" s="1610"/>
      <c r="AQ628" s="1610"/>
      <c r="AR628" s="1610"/>
      <c r="AS628" s="1610"/>
      <c r="AT628" s="1610"/>
      <c r="AU628" s="1610"/>
      <c r="AV628" s="1610"/>
      <c r="AW628" s="1610"/>
      <c r="AX628" s="1610"/>
      <c r="AY628" s="1610"/>
      <c r="AZ628" s="1610"/>
      <c r="BA628" s="1610"/>
      <c r="BB628" s="1610"/>
      <c r="BC628" s="1610"/>
      <c r="BD628" s="1610"/>
      <c r="BE628" s="1610"/>
      <c r="BF628" s="1610"/>
      <c r="BG628" s="1610"/>
      <c r="BH628" s="1610"/>
      <c r="BI628" s="1610"/>
      <c r="BJ628" s="1610"/>
      <c r="BK628" s="1610"/>
      <c r="BL628" s="1610"/>
      <c r="BM628" s="1610"/>
      <c r="BN628" s="1610"/>
      <c r="BO628" s="1610"/>
      <c r="BP628" s="1610"/>
      <c r="BQ628" s="1610"/>
      <c r="BR628" s="1610"/>
      <c r="BS628" s="1610"/>
      <c r="BT628" s="1610"/>
      <c r="BU628" s="1610"/>
      <c r="BV628" s="1610"/>
      <c r="BW628" s="1610"/>
      <c r="BX628" s="1610"/>
      <c r="BY628" s="1610"/>
      <c r="BZ628" s="1610"/>
      <c r="CA628" s="1610"/>
      <c r="CB628" s="1610"/>
      <c r="CC628" s="1610"/>
      <c r="CD628" s="1610"/>
      <c r="CE628" s="1610"/>
      <c r="CF628" s="1610"/>
      <c r="CG628" s="1610"/>
      <c r="CH628" s="1610"/>
      <c r="CI628" s="1610"/>
      <c r="CJ628" s="1610"/>
      <c r="CK628" s="1610"/>
      <c r="CL628" s="1610"/>
      <c r="CM628" s="1610"/>
      <c r="CN628" s="1610"/>
      <c r="CO628" s="1610"/>
      <c r="CP628" s="1610"/>
      <c r="CQ628" s="1610"/>
      <c r="CR628" s="1610"/>
      <c r="CS628" s="1610"/>
      <c r="CT628" s="1610"/>
      <c r="CU628" s="1610"/>
      <c r="CV628" s="1610"/>
      <c r="CW628" s="1610"/>
      <c r="CX628" s="1610"/>
      <c r="CY628" s="1610"/>
      <c r="CZ628" s="1610"/>
      <c r="DA628" s="1610"/>
      <c r="DB628" s="1610"/>
      <c r="DC628" s="1610"/>
      <c r="DD628" s="1610"/>
      <c r="DE628" s="1610"/>
      <c r="DF628" s="1610"/>
      <c r="DG628" s="1610"/>
      <c r="DH628" s="1610"/>
      <c r="DI628" s="1610"/>
      <c r="DJ628" s="1610"/>
      <c r="DK628" s="1610"/>
      <c r="DL628" s="1610"/>
      <c r="DM628" s="1610"/>
      <c r="DN628" s="1610"/>
      <c r="DO628" s="1610"/>
      <c r="DP628" s="1610"/>
      <c r="DQ628" s="1610"/>
      <c r="DR628" s="1610"/>
      <c r="DS628" s="1610"/>
      <c r="DT628" s="1610"/>
      <c r="DU628" s="1610"/>
      <c r="DV628" s="1610"/>
      <c r="DW628" s="1610"/>
      <c r="DX628" s="1610"/>
      <c r="DY628" s="1610"/>
      <c r="DZ628" s="1610"/>
      <c r="EA628" s="1610"/>
      <c r="EB628" s="1610"/>
      <c r="EC628" s="1610"/>
      <c r="ED628" s="1610"/>
      <c r="EE628" s="1610"/>
      <c r="EF628" s="1610"/>
      <c r="EG628" s="1610"/>
      <c r="EH628" s="1610"/>
      <c r="EI628" s="1610"/>
      <c r="EJ628" s="1610"/>
      <c r="EK628" s="1610"/>
      <c r="EL628" s="1610"/>
      <c r="EM628" s="1610"/>
      <c r="EN628" s="1610"/>
      <c r="EO628" s="1610"/>
      <c r="EP628" s="1610"/>
      <c r="EQ628" s="1610"/>
      <c r="ER628" s="1610"/>
      <c r="ES628" s="1610"/>
      <c r="ET628" s="1610"/>
      <c r="EU628" s="1610"/>
      <c r="EV628" s="1610"/>
      <c r="EW628" s="1610"/>
      <c r="EX628" s="1610"/>
      <c r="EY628" s="1610"/>
      <c r="EZ628" s="1610"/>
      <c r="FA628" s="1610"/>
      <c r="FB628" s="1610"/>
      <c r="FC628" s="1610"/>
      <c r="FD628" s="1610"/>
      <c r="FE628" s="1610"/>
      <c r="FF628" s="1610"/>
      <c r="FG628" s="1610"/>
      <c r="FH628" s="1610"/>
      <c r="FI628" s="1610"/>
      <c r="FJ628" s="1610"/>
      <c r="FK628" s="1610"/>
      <c r="FL628" s="1610"/>
      <c r="FM628" s="1610"/>
      <c r="FN628" s="1610"/>
      <c r="FO628" s="1610"/>
      <c r="FP628" s="1610"/>
      <c r="FQ628" s="1610"/>
      <c r="FR628" s="1610"/>
      <c r="FS628" s="1610"/>
      <c r="FT628" s="1610"/>
      <c r="FU628" s="1610"/>
      <c r="FV628" s="1610"/>
      <c r="FW628" s="1610"/>
      <c r="FX628" s="1610"/>
      <c r="FY628" s="1610"/>
      <c r="FZ628" s="1610"/>
      <c r="GA628" s="1610"/>
      <c r="GB628" s="1610"/>
      <c r="GC628" s="1610"/>
      <c r="GD628" s="1610"/>
      <c r="GE628" s="1610"/>
      <c r="GF628" s="1610"/>
      <c r="GG628" s="1610"/>
      <c r="GH628" s="1610"/>
      <c r="GI628" s="1610"/>
      <c r="GJ628" s="1610"/>
      <c r="GK628" s="1610"/>
      <c r="GL628" s="1610"/>
      <c r="GM628" s="1610"/>
      <c r="GN628" s="1610"/>
      <c r="GO628" s="1610"/>
      <c r="GP628" s="1610"/>
      <c r="GQ628" s="1610"/>
      <c r="GR628" s="1610"/>
      <c r="GS628" s="1610"/>
      <c r="GT628" s="1610"/>
      <c r="GU628" s="1610"/>
      <c r="GV628" s="1610"/>
      <c r="GW628" s="1610"/>
      <c r="GX628" s="1610"/>
      <c r="GY628" s="1610"/>
      <c r="GZ628" s="1610"/>
      <c r="HA628" s="1610"/>
      <c r="HB628" s="1610"/>
      <c r="HC628" s="1610"/>
      <c r="HD628" s="1610"/>
      <c r="HE628" s="1610"/>
      <c r="HF628" s="1610"/>
      <c r="HG628" s="1610"/>
      <c r="HH628" s="1610"/>
      <c r="HI628" s="1610"/>
      <c r="HJ628" s="1610"/>
      <c r="HK628" s="1610"/>
      <c r="HL628" s="1610"/>
      <c r="HM628" s="1610"/>
      <c r="HN628" s="1610"/>
      <c r="HO628" s="1610"/>
      <c r="HP628" s="1610"/>
      <c r="HQ628" s="1610"/>
      <c r="HR628" s="1610"/>
      <c r="HS628" s="1610"/>
      <c r="HT628" s="1610"/>
      <c r="HU628" s="1610"/>
      <c r="HV628" s="1610"/>
      <c r="HW628" s="1610"/>
      <c r="HX628" s="1610"/>
      <c r="HY628" s="1610"/>
      <c r="HZ628" s="1610"/>
      <c r="IA628" s="1610"/>
      <c r="IB628" s="1610"/>
      <c r="IC628" s="1610"/>
      <c r="ID628" s="1610"/>
      <c r="IE628" s="1610"/>
      <c r="IF628" s="1610"/>
      <c r="IG628" s="1610"/>
      <c r="IH628" s="1610"/>
      <c r="II628" s="1610"/>
      <c r="IJ628" s="1610"/>
      <c r="IK628" s="1610"/>
      <c r="IL628" s="1610"/>
      <c r="IM628" s="1610"/>
      <c r="IN628" s="1610"/>
      <c r="IO628" s="1610"/>
      <c r="IP628" s="1610"/>
      <c r="IQ628" s="1610"/>
      <c r="IR628" s="1610"/>
      <c r="IS628" s="1610"/>
      <c r="IT628" s="1610"/>
      <c r="IU628" s="1610"/>
      <c r="IV628" s="1610"/>
      <c r="IW628" s="1610"/>
      <c r="IX628" s="1610"/>
      <c r="IY628" s="1610"/>
      <c r="IZ628" s="1610"/>
      <c r="JA628" s="1610"/>
      <c r="JB628" s="1610"/>
      <c r="JC628" s="1610"/>
      <c r="JD628" s="1610"/>
      <c r="JE628" s="1610"/>
      <c r="JF628" s="1610"/>
      <c r="JG628" s="1610"/>
      <c r="JH628" s="1610"/>
      <c r="JI628" s="1610"/>
      <c r="JJ628" s="1610"/>
      <c r="JK628" s="1610"/>
      <c r="JL628" s="1610"/>
      <c r="JM628" s="1610"/>
      <c r="JN628" s="1610"/>
      <c r="JO628" s="1610"/>
      <c r="JP628" s="1610"/>
      <c r="JQ628" s="1610"/>
      <c r="JR628" s="1610"/>
      <c r="JS628" s="1610"/>
      <c r="JT628" s="1610"/>
      <c r="JU628" s="1610"/>
      <c r="JV628" s="1610"/>
      <c r="JW628" s="1610"/>
      <c r="JX628" s="1610"/>
      <c r="JY628" s="1610"/>
      <c r="JZ628" s="1610"/>
      <c r="KA628" s="1610"/>
      <c r="KB628" s="1611"/>
    </row>
    <row r="629" spans="1:289" ht="60" customHeight="1" x14ac:dyDescent="0.25">
      <c r="A629" s="455" t="s">
        <v>2225</v>
      </c>
      <c r="B629" s="278"/>
      <c r="C629" s="278"/>
      <c r="D629" s="278"/>
      <c r="E629" s="278"/>
      <c r="F629" s="278"/>
      <c r="G629" s="278"/>
      <c r="H629" s="278"/>
      <c r="I629" s="278"/>
      <c r="J629" s="278"/>
      <c r="K629" s="278"/>
      <c r="L629" s="278"/>
      <c r="M629" s="278"/>
      <c r="N629" s="278"/>
      <c r="O629" s="278"/>
      <c r="P629" s="278"/>
      <c r="Q629" s="325"/>
      <c r="R629" s="325"/>
      <c r="S629" s="325"/>
      <c r="T629" s="325"/>
      <c r="U629" s="325"/>
      <c r="V629" s="325"/>
      <c r="W629" s="325"/>
      <c r="X629" s="325"/>
      <c r="Y629" s="325"/>
      <c r="Z629" s="325"/>
      <c r="AA629" s="325"/>
      <c r="AB629" s="325"/>
      <c r="AC629" s="325"/>
      <c r="AD629" s="325"/>
      <c r="AE629" s="325"/>
      <c r="AF629" s="325"/>
      <c r="AG629" s="325"/>
      <c r="AH629" s="325"/>
      <c r="AI629" s="325"/>
      <c r="AJ629" s="325"/>
      <c r="AK629" s="325"/>
      <c r="AL629" s="325"/>
      <c r="AM629" s="325"/>
      <c r="AN629" s="325"/>
      <c r="AO629" s="325"/>
      <c r="AP629" s="325"/>
      <c r="AQ629" s="325"/>
      <c r="AR629" s="325"/>
      <c r="AS629" s="325"/>
      <c r="AT629" s="325"/>
      <c r="AU629" s="325"/>
      <c r="AV629" s="325"/>
      <c r="AW629" s="325"/>
      <c r="AX629" s="325"/>
      <c r="AY629" s="325"/>
      <c r="AZ629" s="325"/>
      <c r="BA629" s="325"/>
      <c r="BB629" s="325"/>
      <c r="BC629" s="325"/>
      <c r="BD629" s="325"/>
      <c r="BE629" s="325"/>
      <c r="BF629" s="325"/>
      <c r="BG629" s="325"/>
      <c r="BH629" s="325"/>
      <c r="BI629" s="325"/>
      <c r="BJ629" s="325"/>
      <c r="BK629" s="325"/>
      <c r="BL629" s="325"/>
      <c r="BM629" s="325"/>
      <c r="BN629" s="325"/>
      <c r="BO629" s="325"/>
      <c r="BP629" s="325"/>
      <c r="BQ629" s="325"/>
      <c r="BR629" s="325"/>
      <c r="BS629" s="325"/>
      <c r="BT629" s="325"/>
      <c r="BU629" s="325"/>
      <c r="BV629" s="325"/>
      <c r="BW629" s="325"/>
      <c r="BX629" s="325"/>
      <c r="BY629" s="325"/>
      <c r="BZ629" s="325"/>
      <c r="CA629" s="325"/>
      <c r="CB629" s="325"/>
      <c r="CC629" s="325"/>
      <c r="CD629" s="325"/>
      <c r="CE629" s="325"/>
      <c r="CF629" s="325"/>
      <c r="CG629" s="325"/>
      <c r="CH629" s="325"/>
      <c r="CI629" s="325"/>
      <c r="CJ629" s="325"/>
      <c r="CK629" s="325"/>
      <c r="CL629" s="325"/>
      <c r="CM629" s="325"/>
      <c r="CN629" s="325"/>
      <c r="CO629" s="325"/>
      <c r="CP629" s="325"/>
      <c r="CQ629" s="325"/>
      <c r="CR629" s="325"/>
      <c r="CS629" s="325"/>
      <c r="CT629" s="325"/>
      <c r="CU629" s="325"/>
      <c r="CV629" s="325"/>
      <c r="CW629" s="325"/>
      <c r="CX629" s="325"/>
      <c r="CY629" s="325"/>
      <c r="CZ629" s="325"/>
      <c r="DA629" s="325"/>
      <c r="DB629" s="325"/>
      <c r="DC629" s="325"/>
      <c r="DD629" s="325"/>
      <c r="DE629" s="325"/>
      <c r="DF629" s="325"/>
      <c r="DG629" s="325"/>
      <c r="DH629" s="325"/>
      <c r="DI629" s="325"/>
      <c r="DJ629" s="325"/>
      <c r="DK629" s="325"/>
      <c r="DL629" s="325"/>
      <c r="DM629" s="325"/>
      <c r="DN629" s="325"/>
      <c r="DO629" s="325"/>
      <c r="DP629" s="325"/>
      <c r="DQ629" s="325"/>
      <c r="DR629" s="325"/>
      <c r="DS629" s="325"/>
      <c r="DT629" s="325"/>
      <c r="DU629" s="325"/>
      <c r="DV629" s="325"/>
      <c r="DW629" s="325"/>
      <c r="DX629" s="325"/>
      <c r="DY629" s="325"/>
      <c r="DZ629" s="325"/>
      <c r="EA629" s="325"/>
      <c r="EB629" s="325"/>
      <c r="EC629" s="325"/>
      <c r="ED629" s="325"/>
      <c r="EE629" s="325"/>
      <c r="EF629" s="325"/>
      <c r="EG629" s="325"/>
      <c r="EH629" s="325"/>
      <c r="EI629" s="325"/>
      <c r="EJ629" s="325"/>
      <c r="EK629" s="325"/>
      <c r="EL629" s="325"/>
      <c r="EM629" s="325"/>
      <c r="EN629" s="325"/>
      <c r="EO629" s="325"/>
      <c r="EP629" s="325"/>
      <c r="EQ629" s="325"/>
      <c r="ER629" s="325"/>
      <c r="ES629" s="278"/>
      <c r="ET629" s="278"/>
      <c r="EU629" s="278"/>
      <c r="EV629" s="278"/>
      <c r="EW629" s="278"/>
      <c r="EX629" s="278"/>
      <c r="EY629" s="278"/>
      <c r="EZ629" s="278"/>
      <c r="FA629" s="325"/>
      <c r="FB629" s="325"/>
      <c r="FC629" s="325"/>
      <c r="FD629" s="325"/>
      <c r="FE629" s="325"/>
      <c r="FF629" s="325"/>
      <c r="FG629" s="325"/>
      <c r="FH629" s="325"/>
      <c r="FI629" s="325"/>
      <c r="FJ629" s="325"/>
      <c r="FK629" s="325"/>
      <c r="FL629" s="325"/>
      <c r="FM629" s="325"/>
      <c r="FN629" s="325"/>
      <c r="FO629" s="325"/>
      <c r="FP629" s="325"/>
      <c r="FQ629" s="325"/>
      <c r="FR629" s="325"/>
      <c r="FS629" s="325"/>
      <c r="FT629" s="325"/>
      <c r="FU629" s="325"/>
      <c r="FV629" s="325"/>
      <c r="FW629" s="325"/>
      <c r="FX629" s="325"/>
      <c r="FY629" s="325"/>
      <c r="FZ629" s="325"/>
      <c r="GA629" s="325"/>
      <c r="GB629" s="325"/>
      <c r="GC629" s="325"/>
      <c r="GD629" s="325"/>
      <c r="GE629" s="325"/>
      <c r="GF629" s="325"/>
      <c r="GG629" s="325"/>
      <c r="GH629" s="325"/>
      <c r="GI629" s="325"/>
      <c r="GJ629" s="325"/>
      <c r="GK629" s="325"/>
      <c r="GL629" s="325"/>
      <c r="GM629" s="325"/>
      <c r="GN629" s="325"/>
      <c r="GO629" s="325"/>
      <c r="GP629" s="325"/>
      <c r="GQ629" s="325"/>
      <c r="GR629" s="325"/>
      <c r="GS629" s="325"/>
      <c r="GT629" s="325"/>
      <c r="GU629" s="325"/>
      <c r="GV629" s="325"/>
      <c r="GW629" s="325"/>
      <c r="GX629" s="325"/>
      <c r="GY629" s="325"/>
      <c r="GZ629" s="325"/>
      <c r="HA629" s="325"/>
      <c r="HB629" s="325"/>
      <c r="HC629" s="325"/>
      <c r="HD629" s="325"/>
      <c r="HE629" s="325"/>
      <c r="HF629" s="325"/>
      <c r="HG629" s="325"/>
      <c r="HH629" s="325"/>
      <c r="HI629" s="325"/>
      <c r="HJ629" s="325"/>
      <c r="HK629" s="325"/>
      <c r="HL629" s="325"/>
      <c r="HM629" s="325"/>
      <c r="HN629" s="325"/>
      <c r="HO629" s="325"/>
      <c r="HP629" s="325"/>
      <c r="HQ629" s="325"/>
      <c r="HR629" s="325"/>
      <c r="HS629" s="325"/>
      <c r="HT629" s="325"/>
      <c r="HU629" s="325"/>
      <c r="HV629" s="325"/>
      <c r="HW629" s="325"/>
      <c r="HX629" s="325"/>
      <c r="HY629" s="325"/>
      <c r="HZ629" s="325"/>
      <c r="IA629" s="325"/>
      <c r="IB629" s="325"/>
      <c r="IC629" s="325"/>
      <c r="ID629" s="325"/>
      <c r="IE629" s="325"/>
      <c r="IF629" s="325"/>
      <c r="IG629" s="325"/>
      <c r="IH629" s="325"/>
      <c r="II629" s="325"/>
      <c r="IJ629" s="325"/>
      <c r="IK629" s="325"/>
      <c r="IL629" s="325"/>
      <c r="IM629" s="325"/>
      <c r="IN629" s="325"/>
      <c r="IO629" s="325"/>
      <c r="IP629" s="325"/>
      <c r="IQ629" s="325"/>
      <c r="IR629" s="325"/>
      <c r="IS629" s="325"/>
      <c r="IT629" s="325"/>
      <c r="IU629" s="325"/>
      <c r="IV629" s="325"/>
      <c r="IW629" s="325"/>
      <c r="IX629" s="325"/>
      <c r="IY629" s="325"/>
      <c r="IZ629" s="325"/>
      <c r="JA629" s="325"/>
      <c r="JB629" s="325"/>
      <c r="JC629" s="325"/>
      <c r="JD629" s="325"/>
      <c r="JE629" s="325"/>
      <c r="JF629" s="325"/>
      <c r="JG629" s="325"/>
      <c r="JH629" s="325"/>
      <c r="JI629" s="325"/>
      <c r="JJ629" s="325"/>
      <c r="JK629" s="325"/>
      <c r="JL629" s="325"/>
      <c r="JM629" s="325"/>
      <c r="JN629" s="325"/>
      <c r="JO629" s="325"/>
      <c r="JP629" s="325"/>
      <c r="JQ629" s="325"/>
      <c r="JR629" s="325"/>
      <c r="JS629" s="325"/>
      <c r="JT629" s="325"/>
      <c r="JU629" s="325"/>
      <c r="JV629" s="325"/>
      <c r="JW629" s="325"/>
      <c r="JX629" s="325"/>
      <c r="JY629" s="325"/>
      <c r="JZ629" s="325"/>
      <c r="KA629" s="325"/>
      <c r="KB629" s="325"/>
      <c r="KC629" s="441"/>
    </row>
    <row r="630" spans="1:289" ht="60" customHeight="1" x14ac:dyDescent="0.25">
      <c r="B630" s="442" t="s">
        <v>305</v>
      </c>
      <c r="C630" s="400" t="s">
        <v>454</v>
      </c>
      <c r="D630" s="443" t="s">
        <v>432</v>
      </c>
      <c r="E630" s="400" t="s">
        <v>433</v>
      </c>
      <c r="F630" s="2018" t="s">
        <v>1192</v>
      </c>
      <c r="G630" s="2018" t="s">
        <v>1526</v>
      </c>
      <c r="H630" s="400" t="s">
        <v>303</v>
      </c>
      <c r="I630" s="400" t="str">
        <f t="shared" ref="I630:BT630" si="49">"T+" &amp; (COLUMN(I630)-COLUMN($H630))</f>
        <v>T+1</v>
      </c>
      <c r="J630" s="400" t="str">
        <f t="shared" si="49"/>
        <v>T+2</v>
      </c>
      <c r="K630" s="400" t="str">
        <f t="shared" si="49"/>
        <v>T+3</v>
      </c>
      <c r="L630" s="400" t="str">
        <f t="shared" si="49"/>
        <v>T+4</v>
      </c>
      <c r="M630" s="400" t="str">
        <f t="shared" si="49"/>
        <v>T+5</v>
      </c>
      <c r="N630" s="400" t="str">
        <f t="shared" si="49"/>
        <v>T+6</v>
      </c>
      <c r="O630" s="400" t="str">
        <f t="shared" si="49"/>
        <v>T+7</v>
      </c>
      <c r="P630" s="400" t="str">
        <f t="shared" si="49"/>
        <v>T+8</v>
      </c>
      <c r="Q630" s="400" t="str">
        <f t="shared" si="49"/>
        <v>T+9</v>
      </c>
      <c r="R630" s="400" t="str">
        <f t="shared" si="49"/>
        <v>T+10</v>
      </c>
      <c r="S630" s="400" t="str">
        <f t="shared" si="49"/>
        <v>T+11</v>
      </c>
      <c r="T630" s="400" t="str">
        <f t="shared" si="49"/>
        <v>T+12</v>
      </c>
      <c r="U630" s="400" t="str">
        <f t="shared" si="49"/>
        <v>T+13</v>
      </c>
      <c r="V630" s="400" t="str">
        <f t="shared" si="49"/>
        <v>T+14</v>
      </c>
      <c r="W630" s="400" t="str">
        <f t="shared" si="49"/>
        <v>T+15</v>
      </c>
      <c r="X630" s="400" t="str">
        <f t="shared" si="49"/>
        <v>T+16</v>
      </c>
      <c r="Y630" s="400" t="str">
        <f t="shared" si="49"/>
        <v>T+17</v>
      </c>
      <c r="Z630" s="400" t="str">
        <f t="shared" si="49"/>
        <v>T+18</v>
      </c>
      <c r="AA630" s="400" t="str">
        <f t="shared" si="49"/>
        <v>T+19</v>
      </c>
      <c r="AB630" s="400" t="str">
        <f t="shared" si="49"/>
        <v>T+20</v>
      </c>
      <c r="AC630" s="400" t="str">
        <f t="shared" si="49"/>
        <v>T+21</v>
      </c>
      <c r="AD630" s="400" t="str">
        <f t="shared" si="49"/>
        <v>T+22</v>
      </c>
      <c r="AE630" s="400" t="str">
        <f t="shared" si="49"/>
        <v>T+23</v>
      </c>
      <c r="AF630" s="400" t="str">
        <f t="shared" si="49"/>
        <v>T+24</v>
      </c>
      <c r="AG630" s="400" t="str">
        <f t="shared" si="49"/>
        <v>T+25</v>
      </c>
      <c r="AH630" s="400" t="str">
        <f t="shared" si="49"/>
        <v>T+26</v>
      </c>
      <c r="AI630" s="400" t="str">
        <f t="shared" si="49"/>
        <v>T+27</v>
      </c>
      <c r="AJ630" s="400" t="str">
        <f t="shared" si="49"/>
        <v>T+28</v>
      </c>
      <c r="AK630" s="400" t="str">
        <f t="shared" si="49"/>
        <v>T+29</v>
      </c>
      <c r="AL630" s="400" t="str">
        <f t="shared" si="49"/>
        <v>T+30</v>
      </c>
      <c r="AM630" s="400" t="str">
        <f t="shared" si="49"/>
        <v>T+31</v>
      </c>
      <c r="AN630" s="400" t="str">
        <f t="shared" si="49"/>
        <v>T+32</v>
      </c>
      <c r="AO630" s="400" t="str">
        <f t="shared" si="49"/>
        <v>T+33</v>
      </c>
      <c r="AP630" s="400" t="str">
        <f t="shared" si="49"/>
        <v>T+34</v>
      </c>
      <c r="AQ630" s="400" t="str">
        <f t="shared" si="49"/>
        <v>T+35</v>
      </c>
      <c r="AR630" s="400" t="str">
        <f t="shared" si="49"/>
        <v>T+36</v>
      </c>
      <c r="AS630" s="400" t="str">
        <f t="shared" si="49"/>
        <v>T+37</v>
      </c>
      <c r="AT630" s="400" t="str">
        <f t="shared" si="49"/>
        <v>T+38</v>
      </c>
      <c r="AU630" s="400" t="str">
        <f t="shared" si="49"/>
        <v>T+39</v>
      </c>
      <c r="AV630" s="400" t="str">
        <f t="shared" si="49"/>
        <v>T+40</v>
      </c>
      <c r="AW630" s="400" t="str">
        <f t="shared" si="49"/>
        <v>T+41</v>
      </c>
      <c r="AX630" s="400" t="str">
        <f t="shared" si="49"/>
        <v>T+42</v>
      </c>
      <c r="AY630" s="400" t="str">
        <f t="shared" si="49"/>
        <v>T+43</v>
      </c>
      <c r="AZ630" s="400" t="str">
        <f t="shared" si="49"/>
        <v>T+44</v>
      </c>
      <c r="BA630" s="400" t="str">
        <f t="shared" si="49"/>
        <v>T+45</v>
      </c>
      <c r="BB630" s="400" t="str">
        <f t="shared" si="49"/>
        <v>T+46</v>
      </c>
      <c r="BC630" s="400" t="str">
        <f t="shared" si="49"/>
        <v>T+47</v>
      </c>
      <c r="BD630" s="400" t="str">
        <f t="shared" si="49"/>
        <v>T+48</v>
      </c>
      <c r="BE630" s="400" t="str">
        <f t="shared" si="49"/>
        <v>T+49</v>
      </c>
      <c r="BF630" s="400" t="str">
        <f t="shared" si="49"/>
        <v>T+50</v>
      </c>
      <c r="BG630" s="400" t="str">
        <f t="shared" si="49"/>
        <v>T+51</v>
      </c>
      <c r="BH630" s="400" t="str">
        <f t="shared" si="49"/>
        <v>T+52</v>
      </c>
      <c r="BI630" s="400" t="str">
        <f t="shared" si="49"/>
        <v>T+53</v>
      </c>
      <c r="BJ630" s="400" t="str">
        <f t="shared" si="49"/>
        <v>T+54</v>
      </c>
      <c r="BK630" s="400" t="str">
        <f t="shared" si="49"/>
        <v>T+55</v>
      </c>
      <c r="BL630" s="400" t="str">
        <f t="shared" si="49"/>
        <v>T+56</v>
      </c>
      <c r="BM630" s="400" t="str">
        <f t="shared" si="49"/>
        <v>T+57</v>
      </c>
      <c r="BN630" s="400" t="str">
        <f t="shared" si="49"/>
        <v>T+58</v>
      </c>
      <c r="BO630" s="400" t="str">
        <f t="shared" si="49"/>
        <v>T+59</v>
      </c>
      <c r="BP630" s="400" t="str">
        <f t="shared" si="49"/>
        <v>T+60</v>
      </c>
      <c r="BQ630" s="400" t="str">
        <f t="shared" si="49"/>
        <v>T+61</v>
      </c>
      <c r="BR630" s="400" t="str">
        <f t="shared" si="49"/>
        <v>T+62</v>
      </c>
      <c r="BS630" s="400" t="str">
        <f t="shared" si="49"/>
        <v>T+63</v>
      </c>
      <c r="BT630" s="400" t="str">
        <f t="shared" si="49"/>
        <v>T+64</v>
      </c>
      <c r="BU630" s="400" t="str">
        <f t="shared" ref="BU630:EF630" si="50">"T+" &amp; (COLUMN(BU630)-COLUMN($H630))</f>
        <v>T+65</v>
      </c>
      <c r="BV630" s="400" t="str">
        <f t="shared" si="50"/>
        <v>T+66</v>
      </c>
      <c r="BW630" s="400" t="str">
        <f t="shared" si="50"/>
        <v>T+67</v>
      </c>
      <c r="BX630" s="400" t="str">
        <f t="shared" si="50"/>
        <v>T+68</v>
      </c>
      <c r="BY630" s="400" t="str">
        <f t="shared" si="50"/>
        <v>T+69</v>
      </c>
      <c r="BZ630" s="400" t="str">
        <f t="shared" si="50"/>
        <v>T+70</v>
      </c>
      <c r="CA630" s="400" t="str">
        <f t="shared" si="50"/>
        <v>T+71</v>
      </c>
      <c r="CB630" s="400" t="str">
        <f t="shared" si="50"/>
        <v>T+72</v>
      </c>
      <c r="CC630" s="400" t="str">
        <f t="shared" si="50"/>
        <v>T+73</v>
      </c>
      <c r="CD630" s="400" t="str">
        <f t="shared" si="50"/>
        <v>T+74</v>
      </c>
      <c r="CE630" s="400" t="str">
        <f t="shared" si="50"/>
        <v>T+75</v>
      </c>
      <c r="CF630" s="400" t="str">
        <f t="shared" si="50"/>
        <v>T+76</v>
      </c>
      <c r="CG630" s="400" t="str">
        <f t="shared" si="50"/>
        <v>T+77</v>
      </c>
      <c r="CH630" s="400" t="str">
        <f t="shared" si="50"/>
        <v>T+78</v>
      </c>
      <c r="CI630" s="400" t="str">
        <f t="shared" si="50"/>
        <v>T+79</v>
      </c>
      <c r="CJ630" s="400" t="str">
        <f t="shared" si="50"/>
        <v>T+80</v>
      </c>
      <c r="CK630" s="400" t="str">
        <f t="shared" si="50"/>
        <v>T+81</v>
      </c>
      <c r="CL630" s="400" t="str">
        <f t="shared" si="50"/>
        <v>T+82</v>
      </c>
      <c r="CM630" s="400" t="str">
        <f t="shared" si="50"/>
        <v>T+83</v>
      </c>
      <c r="CN630" s="400" t="str">
        <f t="shared" si="50"/>
        <v>T+84</v>
      </c>
      <c r="CO630" s="400" t="str">
        <f t="shared" si="50"/>
        <v>T+85</v>
      </c>
      <c r="CP630" s="400" t="str">
        <f t="shared" si="50"/>
        <v>T+86</v>
      </c>
      <c r="CQ630" s="400" t="str">
        <f t="shared" si="50"/>
        <v>T+87</v>
      </c>
      <c r="CR630" s="400" t="str">
        <f t="shared" si="50"/>
        <v>T+88</v>
      </c>
      <c r="CS630" s="400" t="str">
        <f t="shared" si="50"/>
        <v>T+89</v>
      </c>
      <c r="CT630" s="400" t="str">
        <f t="shared" si="50"/>
        <v>T+90</v>
      </c>
      <c r="CU630" s="400" t="str">
        <f t="shared" si="50"/>
        <v>T+91</v>
      </c>
      <c r="CV630" s="400" t="str">
        <f t="shared" si="50"/>
        <v>T+92</v>
      </c>
      <c r="CW630" s="400" t="str">
        <f t="shared" si="50"/>
        <v>T+93</v>
      </c>
      <c r="CX630" s="400" t="str">
        <f t="shared" si="50"/>
        <v>T+94</v>
      </c>
      <c r="CY630" s="400" t="str">
        <f t="shared" si="50"/>
        <v>T+95</v>
      </c>
      <c r="CZ630" s="400" t="str">
        <f t="shared" si="50"/>
        <v>T+96</v>
      </c>
      <c r="DA630" s="400" t="str">
        <f t="shared" si="50"/>
        <v>T+97</v>
      </c>
      <c r="DB630" s="400" t="str">
        <f t="shared" si="50"/>
        <v>T+98</v>
      </c>
      <c r="DC630" s="400" t="str">
        <f t="shared" si="50"/>
        <v>T+99</v>
      </c>
      <c r="DD630" s="400" t="str">
        <f t="shared" si="50"/>
        <v>T+100</v>
      </c>
      <c r="DE630" s="400" t="str">
        <f t="shared" si="50"/>
        <v>T+101</v>
      </c>
      <c r="DF630" s="400" t="str">
        <f t="shared" si="50"/>
        <v>T+102</v>
      </c>
      <c r="DG630" s="400" t="str">
        <f t="shared" si="50"/>
        <v>T+103</v>
      </c>
      <c r="DH630" s="400" t="str">
        <f t="shared" si="50"/>
        <v>T+104</v>
      </c>
      <c r="DI630" s="400" t="str">
        <f t="shared" si="50"/>
        <v>T+105</v>
      </c>
      <c r="DJ630" s="400" t="str">
        <f t="shared" si="50"/>
        <v>T+106</v>
      </c>
      <c r="DK630" s="400" t="str">
        <f t="shared" si="50"/>
        <v>T+107</v>
      </c>
      <c r="DL630" s="400" t="str">
        <f t="shared" si="50"/>
        <v>T+108</v>
      </c>
      <c r="DM630" s="400" t="str">
        <f t="shared" si="50"/>
        <v>T+109</v>
      </c>
      <c r="DN630" s="400" t="str">
        <f t="shared" si="50"/>
        <v>T+110</v>
      </c>
      <c r="DO630" s="400" t="str">
        <f t="shared" si="50"/>
        <v>T+111</v>
      </c>
      <c r="DP630" s="400" t="str">
        <f t="shared" si="50"/>
        <v>T+112</v>
      </c>
      <c r="DQ630" s="400" t="str">
        <f t="shared" si="50"/>
        <v>T+113</v>
      </c>
      <c r="DR630" s="400" t="str">
        <f t="shared" si="50"/>
        <v>T+114</v>
      </c>
      <c r="DS630" s="400" t="str">
        <f t="shared" si="50"/>
        <v>T+115</v>
      </c>
      <c r="DT630" s="400" t="str">
        <f t="shared" si="50"/>
        <v>T+116</v>
      </c>
      <c r="DU630" s="400" t="str">
        <f t="shared" si="50"/>
        <v>T+117</v>
      </c>
      <c r="DV630" s="400" t="str">
        <f t="shared" si="50"/>
        <v>T+118</v>
      </c>
      <c r="DW630" s="400" t="str">
        <f t="shared" si="50"/>
        <v>T+119</v>
      </c>
      <c r="DX630" s="400" t="str">
        <f t="shared" si="50"/>
        <v>T+120</v>
      </c>
      <c r="DY630" s="400" t="str">
        <f t="shared" si="50"/>
        <v>T+121</v>
      </c>
      <c r="DZ630" s="400" t="str">
        <f t="shared" si="50"/>
        <v>T+122</v>
      </c>
      <c r="EA630" s="400" t="str">
        <f t="shared" si="50"/>
        <v>T+123</v>
      </c>
      <c r="EB630" s="400" t="str">
        <f t="shared" si="50"/>
        <v>T+124</v>
      </c>
      <c r="EC630" s="400" t="str">
        <f t="shared" si="50"/>
        <v>T+125</v>
      </c>
      <c r="ED630" s="400" t="str">
        <f t="shared" si="50"/>
        <v>T+126</v>
      </c>
      <c r="EE630" s="400" t="str">
        <f t="shared" si="50"/>
        <v>T+127</v>
      </c>
      <c r="EF630" s="400" t="str">
        <f t="shared" si="50"/>
        <v>T+128</v>
      </c>
      <c r="EG630" s="400" t="str">
        <f t="shared" ref="EG630:GR630" si="51">"T+" &amp; (COLUMN(EG630)-COLUMN($H630))</f>
        <v>T+129</v>
      </c>
      <c r="EH630" s="400" t="str">
        <f t="shared" si="51"/>
        <v>T+130</v>
      </c>
      <c r="EI630" s="400" t="str">
        <f t="shared" si="51"/>
        <v>T+131</v>
      </c>
      <c r="EJ630" s="400" t="str">
        <f t="shared" si="51"/>
        <v>T+132</v>
      </c>
      <c r="EK630" s="400" t="str">
        <f t="shared" si="51"/>
        <v>T+133</v>
      </c>
      <c r="EL630" s="400" t="str">
        <f t="shared" si="51"/>
        <v>T+134</v>
      </c>
      <c r="EM630" s="400" t="str">
        <f t="shared" si="51"/>
        <v>T+135</v>
      </c>
      <c r="EN630" s="400" t="str">
        <f t="shared" si="51"/>
        <v>T+136</v>
      </c>
      <c r="EO630" s="400" t="str">
        <f t="shared" si="51"/>
        <v>T+137</v>
      </c>
      <c r="EP630" s="400" t="str">
        <f t="shared" si="51"/>
        <v>T+138</v>
      </c>
      <c r="EQ630" s="400" t="str">
        <f t="shared" si="51"/>
        <v>T+139</v>
      </c>
      <c r="ER630" s="400" t="str">
        <f t="shared" si="51"/>
        <v>T+140</v>
      </c>
      <c r="ES630" s="400" t="str">
        <f t="shared" si="51"/>
        <v>T+141</v>
      </c>
      <c r="ET630" s="400" t="str">
        <f t="shared" si="51"/>
        <v>T+142</v>
      </c>
      <c r="EU630" s="400" t="str">
        <f t="shared" si="51"/>
        <v>T+143</v>
      </c>
      <c r="EV630" s="400" t="str">
        <f t="shared" si="51"/>
        <v>T+144</v>
      </c>
      <c r="EW630" s="400" t="str">
        <f t="shared" si="51"/>
        <v>T+145</v>
      </c>
      <c r="EX630" s="400" t="str">
        <f t="shared" si="51"/>
        <v>T+146</v>
      </c>
      <c r="EY630" s="400" t="str">
        <f t="shared" si="51"/>
        <v>T+147</v>
      </c>
      <c r="EZ630" s="400" t="str">
        <f t="shared" si="51"/>
        <v>T+148</v>
      </c>
      <c r="FA630" s="400" t="str">
        <f t="shared" si="51"/>
        <v>T+149</v>
      </c>
      <c r="FB630" s="400" t="str">
        <f t="shared" si="51"/>
        <v>T+150</v>
      </c>
      <c r="FC630" s="400" t="str">
        <f t="shared" si="51"/>
        <v>T+151</v>
      </c>
      <c r="FD630" s="400" t="str">
        <f t="shared" si="51"/>
        <v>T+152</v>
      </c>
      <c r="FE630" s="400" t="str">
        <f t="shared" si="51"/>
        <v>T+153</v>
      </c>
      <c r="FF630" s="400" t="str">
        <f t="shared" si="51"/>
        <v>T+154</v>
      </c>
      <c r="FG630" s="400" t="str">
        <f t="shared" si="51"/>
        <v>T+155</v>
      </c>
      <c r="FH630" s="400" t="str">
        <f t="shared" si="51"/>
        <v>T+156</v>
      </c>
      <c r="FI630" s="400" t="str">
        <f t="shared" si="51"/>
        <v>T+157</v>
      </c>
      <c r="FJ630" s="400" t="str">
        <f t="shared" si="51"/>
        <v>T+158</v>
      </c>
      <c r="FK630" s="400" t="str">
        <f t="shared" si="51"/>
        <v>T+159</v>
      </c>
      <c r="FL630" s="400" t="str">
        <f t="shared" si="51"/>
        <v>T+160</v>
      </c>
      <c r="FM630" s="400" t="str">
        <f t="shared" si="51"/>
        <v>T+161</v>
      </c>
      <c r="FN630" s="400" t="str">
        <f t="shared" si="51"/>
        <v>T+162</v>
      </c>
      <c r="FO630" s="400" t="str">
        <f t="shared" si="51"/>
        <v>T+163</v>
      </c>
      <c r="FP630" s="400" t="str">
        <f t="shared" si="51"/>
        <v>T+164</v>
      </c>
      <c r="FQ630" s="400" t="str">
        <f t="shared" si="51"/>
        <v>T+165</v>
      </c>
      <c r="FR630" s="400" t="str">
        <f t="shared" si="51"/>
        <v>T+166</v>
      </c>
      <c r="FS630" s="400" t="str">
        <f t="shared" si="51"/>
        <v>T+167</v>
      </c>
      <c r="FT630" s="400" t="str">
        <f t="shared" si="51"/>
        <v>T+168</v>
      </c>
      <c r="FU630" s="400" t="str">
        <f t="shared" si="51"/>
        <v>T+169</v>
      </c>
      <c r="FV630" s="400" t="str">
        <f t="shared" si="51"/>
        <v>T+170</v>
      </c>
      <c r="FW630" s="400" t="str">
        <f t="shared" si="51"/>
        <v>T+171</v>
      </c>
      <c r="FX630" s="400" t="str">
        <f t="shared" si="51"/>
        <v>T+172</v>
      </c>
      <c r="FY630" s="400" t="str">
        <f t="shared" si="51"/>
        <v>T+173</v>
      </c>
      <c r="FZ630" s="400" t="str">
        <f t="shared" si="51"/>
        <v>T+174</v>
      </c>
      <c r="GA630" s="400" t="str">
        <f t="shared" si="51"/>
        <v>T+175</v>
      </c>
      <c r="GB630" s="400" t="str">
        <f t="shared" si="51"/>
        <v>T+176</v>
      </c>
      <c r="GC630" s="400" t="str">
        <f t="shared" si="51"/>
        <v>T+177</v>
      </c>
      <c r="GD630" s="400" t="str">
        <f t="shared" si="51"/>
        <v>T+178</v>
      </c>
      <c r="GE630" s="400" t="str">
        <f t="shared" si="51"/>
        <v>T+179</v>
      </c>
      <c r="GF630" s="400" t="str">
        <f t="shared" si="51"/>
        <v>T+180</v>
      </c>
      <c r="GG630" s="400" t="str">
        <f t="shared" si="51"/>
        <v>T+181</v>
      </c>
      <c r="GH630" s="400" t="str">
        <f t="shared" si="51"/>
        <v>T+182</v>
      </c>
      <c r="GI630" s="400" t="str">
        <f t="shared" si="51"/>
        <v>T+183</v>
      </c>
      <c r="GJ630" s="400" t="str">
        <f t="shared" si="51"/>
        <v>T+184</v>
      </c>
      <c r="GK630" s="400" t="str">
        <f t="shared" si="51"/>
        <v>T+185</v>
      </c>
      <c r="GL630" s="400" t="str">
        <f t="shared" si="51"/>
        <v>T+186</v>
      </c>
      <c r="GM630" s="400" t="str">
        <f t="shared" si="51"/>
        <v>T+187</v>
      </c>
      <c r="GN630" s="400" t="str">
        <f t="shared" si="51"/>
        <v>T+188</v>
      </c>
      <c r="GO630" s="400" t="str">
        <f t="shared" si="51"/>
        <v>T+189</v>
      </c>
      <c r="GP630" s="400" t="str">
        <f t="shared" si="51"/>
        <v>T+190</v>
      </c>
      <c r="GQ630" s="400" t="str">
        <f t="shared" si="51"/>
        <v>T+191</v>
      </c>
      <c r="GR630" s="400" t="str">
        <f t="shared" si="51"/>
        <v>T+192</v>
      </c>
      <c r="GS630" s="400" t="str">
        <f t="shared" ref="GS630:JD630" si="52">"T+" &amp; (COLUMN(GS630)-COLUMN($H630))</f>
        <v>T+193</v>
      </c>
      <c r="GT630" s="400" t="str">
        <f t="shared" si="52"/>
        <v>T+194</v>
      </c>
      <c r="GU630" s="400" t="str">
        <f t="shared" si="52"/>
        <v>T+195</v>
      </c>
      <c r="GV630" s="400" t="str">
        <f t="shared" si="52"/>
        <v>T+196</v>
      </c>
      <c r="GW630" s="400" t="str">
        <f t="shared" si="52"/>
        <v>T+197</v>
      </c>
      <c r="GX630" s="400" t="str">
        <f t="shared" si="52"/>
        <v>T+198</v>
      </c>
      <c r="GY630" s="400" t="str">
        <f t="shared" si="52"/>
        <v>T+199</v>
      </c>
      <c r="GZ630" s="400" t="str">
        <f t="shared" si="52"/>
        <v>T+200</v>
      </c>
      <c r="HA630" s="400" t="str">
        <f t="shared" si="52"/>
        <v>T+201</v>
      </c>
      <c r="HB630" s="400" t="str">
        <f t="shared" si="52"/>
        <v>T+202</v>
      </c>
      <c r="HC630" s="400" t="str">
        <f t="shared" si="52"/>
        <v>T+203</v>
      </c>
      <c r="HD630" s="400" t="str">
        <f t="shared" si="52"/>
        <v>T+204</v>
      </c>
      <c r="HE630" s="400" t="str">
        <f t="shared" si="52"/>
        <v>T+205</v>
      </c>
      <c r="HF630" s="400" t="str">
        <f t="shared" si="52"/>
        <v>T+206</v>
      </c>
      <c r="HG630" s="400" t="str">
        <f t="shared" si="52"/>
        <v>T+207</v>
      </c>
      <c r="HH630" s="400" t="str">
        <f t="shared" si="52"/>
        <v>T+208</v>
      </c>
      <c r="HI630" s="400" t="str">
        <f t="shared" si="52"/>
        <v>T+209</v>
      </c>
      <c r="HJ630" s="400" t="str">
        <f t="shared" si="52"/>
        <v>T+210</v>
      </c>
      <c r="HK630" s="400" t="str">
        <f t="shared" si="52"/>
        <v>T+211</v>
      </c>
      <c r="HL630" s="400" t="str">
        <f t="shared" si="52"/>
        <v>T+212</v>
      </c>
      <c r="HM630" s="400" t="str">
        <f t="shared" si="52"/>
        <v>T+213</v>
      </c>
      <c r="HN630" s="400" t="str">
        <f t="shared" si="52"/>
        <v>T+214</v>
      </c>
      <c r="HO630" s="400" t="str">
        <f t="shared" si="52"/>
        <v>T+215</v>
      </c>
      <c r="HP630" s="400" t="str">
        <f t="shared" si="52"/>
        <v>T+216</v>
      </c>
      <c r="HQ630" s="400" t="str">
        <f t="shared" si="52"/>
        <v>T+217</v>
      </c>
      <c r="HR630" s="400" t="str">
        <f t="shared" si="52"/>
        <v>T+218</v>
      </c>
      <c r="HS630" s="400" t="str">
        <f t="shared" si="52"/>
        <v>T+219</v>
      </c>
      <c r="HT630" s="400" t="str">
        <f t="shared" si="52"/>
        <v>T+220</v>
      </c>
      <c r="HU630" s="400" t="str">
        <f t="shared" si="52"/>
        <v>T+221</v>
      </c>
      <c r="HV630" s="400" t="str">
        <f t="shared" si="52"/>
        <v>T+222</v>
      </c>
      <c r="HW630" s="400" t="str">
        <f t="shared" si="52"/>
        <v>T+223</v>
      </c>
      <c r="HX630" s="400" t="str">
        <f t="shared" si="52"/>
        <v>T+224</v>
      </c>
      <c r="HY630" s="400" t="str">
        <f t="shared" si="52"/>
        <v>T+225</v>
      </c>
      <c r="HZ630" s="400" t="str">
        <f t="shared" si="52"/>
        <v>T+226</v>
      </c>
      <c r="IA630" s="400" t="str">
        <f t="shared" si="52"/>
        <v>T+227</v>
      </c>
      <c r="IB630" s="400" t="str">
        <f t="shared" si="52"/>
        <v>T+228</v>
      </c>
      <c r="IC630" s="400" t="str">
        <f t="shared" si="52"/>
        <v>T+229</v>
      </c>
      <c r="ID630" s="400" t="str">
        <f t="shared" si="52"/>
        <v>T+230</v>
      </c>
      <c r="IE630" s="400" t="str">
        <f t="shared" si="52"/>
        <v>T+231</v>
      </c>
      <c r="IF630" s="400" t="str">
        <f t="shared" si="52"/>
        <v>T+232</v>
      </c>
      <c r="IG630" s="400" t="str">
        <f t="shared" si="52"/>
        <v>T+233</v>
      </c>
      <c r="IH630" s="400" t="str">
        <f t="shared" si="52"/>
        <v>T+234</v>
      </c>
      <c r="II630" s="400" t="str">
        <f t="shared" si="52"/>
        <v>T+235</v>
      </c>
      <c r="IJ630" s="400" t="str">
        <f t="shared" si="52"/>
        <v>T+236</v>
      </c>
      <c r="IK630" s="400" t="str">
        <f t="shared" si="52"/>
        <v>T+237</v>
      </c>
      <c r="IL630" s="400" t="str">
        <f t="shared" si="52"/>
        <v>T+238</v>
      </c>
      <c r="IM630" s="400" t="str">
        <f t="shared" si="52"/>
        <v>T+239</v>
      </c>
      <c r="IN630" s="400" t="str">
        <f t="shared" si="52"/>
        <v>T+240</v>
      </c>
      <c r="IO630" s="400" t="str">
        <f t="shared" si="52"/>
        <v>T+241</v>
      </c>
      <c r="IP630" s="400" t="str">
        <f t="shared" si="52"/>
        <v>T+242</v>
      </c>
      <c r="IQ630" s="400" t="str">
        <f t="shared" si="52"/>
        <v>T+243</v>
      </c>
      <c r="IR630" s="400" t="str">
        <f t="shared" si="52"/>
        <v>T+244</v>
      </c>
      <c r="IS630" s="400" t="str">
        <f t="shared" si="52"/>
        <v>T+245</v>
      </c>
      <c r="IT630" s="400" t="str">
        <f t="shared" si="52"/>
        <v>T+246</v>
      </c>
      <c r="IU630" s="400" t="str">
        <f t="shared" si="52"/>
        <v>T+247</v>
      </c>
      <c r="IV630" s="400" t="str">
        <f t="shared" si="52"/>
        <v>T+248</v>
      </c>
      <c r="IW630" s="400" t="str">
        <f t="shared" si="52"/>
        <v>T+249</v>
      </c>
      <c r="IX630" s="400" t="str">
        <f t="shared" si="52"/>
        <v>T+250</v>
      </c>
      <c r="IY630" s="400" t="str">
        <f t="shared" si="52"/>
        <v>T+251</v>
      </c>
      <c r="IZ630" s="400" t="str">
        <f t="shared" si="52"/>
        <v>T+252</v>
      </c>
      <c r="JA630" s="400" t="str">
        <f t="shared" si="52"/>
        <v>T+253</v>
      </c>
      <c r="JB630" s="400" t="str">
        <f t="shared" si="52"/>
        <v>T+254</v>
      </c>
      <c r="JC630" s="400" t="str">
        <f t="shared" si="52"/>
        <v>T+255</v>
      </c>
      <c r="JD630" s="400" t="str">
        <f t="shared" si="52"/>
        <v>T+256</v>
      </c>
      <c r="JE630" s="400" t="str">
        <f t="shared" ref="JE630:KB630" si="53">"T+" &amp; (COLUMN(JE630)-COLUMN($H630))</f>
        <v>T+257</v>
      </c>
      <c r="JF630" s="400" t="str">
        <f t="shared" si="53"/>
        <v>T+258</v>
      </c>
      <c r="JG630" s="400" t="str">
        <f t="shared" si="53"/>
        <v>T+259</v>
      </c>
      <c r="JH630" s="400" t="str">
        <f t="shared" si="53"/>
        <v>T+260</v>
      </c>
      <c r="JI630" s="400" t="str">
        <f t="shared" si="53"/>
        <v>T+261</v>
      </c>
      <c r="JJ630" s="400" t="str">
        <f t="shared" si="53"/>
        <v>T+262</v>
      </c>
      <c r="JK630" s="400" t="str">
        <f t="shared" si="53"/>
        <v>T+263</v>
      </c>
      <c r="JL630" s="400" t="str">
        <f t="shared" si="53"/>
        <v>T+264</v>
      </c>
      <c r="JM630" s="400" t="str">
        <f t="shared" si="53"/>
        <v>T+265</v>
      </c>
      <c r="JN630" s="400" t="str">
        <f t="shared" si="53"/>
        <v>T+266</v>
      </c>
      <c r="JO630" s="400" t="str">
        <f t="shared" si="53"/>
        <v>T+267</v>
      </c>
      <c r="JP630" s="400" t="str">
        <f t="shared" si="53"/>
        <v>T+268</v>
      </c>
      <c r="JQ630" s="400" t="str">
        <f t="shared" si="53"/>
        <v>T+269</v>
      </c>
      <c r="JR630" s="400" t="str">
        <f t="shared" si="53"/>
        <v>T+270</v>
      </c>
      <c r="JS630" s="400" t="str">
        <f t="shared" si="53"/>
        <v>T+271</v>
      </c>
      <c r="JT630" s="400" t="str">
        <f t="shared" si="53"/>
        <v>T+272</v>
      </c>
      <c r="JU630" s="400" t="str">
        <f t="shared" si="53"/>
        <v>T+273</v>
      </c>
      <c r="JV630" s="400" t="str">
        <f t="shared" si="53"/>
        <v>T+274</v>
      </c>
      <c r="JW630" s="400" t="str">
        <f t="shared" si="53"/>
        <v>T+275</v>
      </c>
      <c r="JX630" s="400" t="str">
        <f t="shared" si="53"/>
        <v>T+276</v>
      </c>
      <c r="JY630" s="400" t="str">
        <f t="shared" si="53"/>
        <v>T+277</v>
      </c>
      <c r="JZ630" s="400" t="str">
        <f t="shared" si="53"/>
        <v>T+278</v>
      </c>
      <c r="KA630" s="400" t="str">
        <f t="shared" si="53"/>
        <v>T+279</v>
      </c>
      <c r="KB630" s="1585" t="str">
        <f t="shared" si="53"/>
        <v>T+280</v>
      </c>
    </row>
    <row r="631" spans="1:289" ht="15" customHeight="1" x14ac:dyDescent="0.25">
      <c r="B631" s="447" t="str">
        <f t="shared" ref="B631:B662" si="54">B11</f>
        <v>Desk 1</v>
      </c>
      <c r="C631" s="448" t="str">
        <f t="array" ref="C631:D730" xml:space="preserve"> IF(ISBLANK(TB!C$170:'TB'!D$269), "", TB!C$170:'TB'!D$269)</f>
        <v/>
      </c>
      <c r="D631" s="448" t="str">
        <v/>
      </c>
      <c r="E631" s="448" t="str">
        <f t="array" ref="E631:E730" xml:space="preserve"> IF(ISBLANK(TB!G$170:'TB'!G$269), "", TB!G$170:'TB'!G$269)</f>
        <v/>
      </c>
      <c r="F631" s="448" t="str">
        <f t="array" ref="F631:F730" xml:space="preserve"> IF(ISBLANK(TB!I$170:'TB'!I$269), "", TB!I$170:'TB'!I$269)</f>
        <v/>
      </c>
      <c r="G631" s="402" t="str">
        <f t="array" ref="G631:G730" xml:space="preserve"> IF(ISBLANK(TB!J$170:'TB'!J$269), "", TB!J$170:'TB'!J$269)</f>
        <v/>
      </c>
      <c r="H631" s="1603"/>
      <c r="I631" s="1603"/>
      <c r="J631" s="1603"/>
      <c r="K631" s="1603"/>
      <c r="L631" s="1603"/>
      <c r="M631" s="1603"/>
      <c r="N631" s="1603"/>
      <c r="O631" s="1603"/>
      <c r="P631" s="1603"/>
      <c r="Q631" s="1603"/>
      <c r="R631" s="1603"/>
      <c r="S631" s="1603"/>
      <c r="T631" s="1603"/>
      <c r="U631" s="1603"/>
      <c r="V631" s="1603"/>
      <c r="W631" s="1603"/>
      <c r="X631" s="1603"/>
      <c r="Y631" s="1603"/>
      <c r="Z631" s="1603"/>
      <c r="AA631" s="1603"/>
      <c r="AB631" s="1603"/>
      <c r="AC631" s="1603"/>
      <c r="AD631" s="1603"/>
      <c r="AE631" s="1603"/>
      <c r="AF631" s="1603"/>
      <c r="AG631" s="1603"/>
      <c r="AH631" s="1603"/>
      <c r="AI631" s="1603"/>
      <c r="AJ631" s="1603"/>
      <c r="AK631" s="1603"/>
      <c r="AL631" s="1603"/>
      <c r="AM631" s="1603"/>
      <c r="AN631" s="1603"/>
      <c r="AO631" s="1603"/>
      <c r="AP631" s="1603"/>
      <c r="AQ631" s="1603"/>
      <c r="AR631" s="1603"/>
      <c r="AS631" s="1603"/>
      <c r="AT631" s="1603"/>
      <c r="AU631" s="1603"/>
      <c r="AV631" s="1603"/>
      <c r="AW631" s="1603"/>
      <c r="AX631" s="1603"/>
      <c r="AY631" s="1603"/>
      <c r="AZ631" s="1603"/>
      <c r="BA631" s="1603"/>
      <c r="BB631" s="1603"/>
      <c r="BC631" s="1603"/>
      <c r="BD631" s="1603"/>
      <c r="BE631" s="1603"/>
      <c r="BF631" s="1603"/>
      <c r="BG631" s="1603"/>
      <c r="BH631" s="1603"/>
      <c r="BI631" s="1603"/>
      <c r="BJ631" s="1603"/>
      <c r="BK631" s="1603"/>
      <c r="BL631" s="1603"/>
      <c r="BM631" s="1603"/>
      <c r="BN631" s="1603"/>
      <c r="BO631" s="1603"/>
      <c r="BP631" s="1603"/>
      <c r="BQ631" s="1603"/>
      <c r="BR631" s="1603"/>
      <c r="BS631" s="1603"/>
      <c r="BT631" s="1603"/>
      <c r="BU631" s="1603"/>
      <c r="BV631" s="1603"/>
      <c r="BW631" s="1603"/>
      <c r="BX631" s="1603"/>
      <c r="BY631" s="1603"/>
      <c r="BZ631" s="1603"/>
      <c r="CA631" s="1603"/>
      <c r="CB631" s="1603"/>
      <c r="CC631" s="1603"/>
      <c r="CD631" s="1603"/>
      <c r="CE631" s="1603"/>
      <c r="CF631" s="1603"/>
      <c r="CG631" s="1603"/>
      <c r="CH631" s="1603"/>
      <c r="CI631" s="1603"/>
      <c r="CJ631" s="1603"/>
      <c r="CK631" s="1603"/>
      <c r="CL631" s="1603"/>
      <c r="CM631" s="1603"/>
      <c r="CN631" s="1603"/>
      <c r="CO631" s="1603"/>
      <c r="CP631" s="1603"/>
      <c r="CQ631" s="1603"/>
      <c r="CR631" s="1603"/>
      <c r="CS631" s="1603"/>
      <c r="CT631" s="1603"/>
      <c r="CU631" s="1603"/>
      <c r="CV631" s="1603"/>
      <c r="CW631" s="1603"/>
      <c r="CX631" s="1603"/>
      <c r="CY631" s="1603"/>
      <c r="CZ631" s="1603"/>
      <c r="DA631" s="1603"/>
      <c r="DB631" s="1603"/>
      <c r="DC631" s="1603"/>
      <c r="DD631" s="1603"/>
      <c r="DE631" s="1603"/>
      <c r="DF631" s="1603"/>
      <c r="DG631" s="1603"/>
      <c r="DH631" s="1603"/>
      <c r="DI631" s="1603"/>
      <c r="DJ631" s="1603"/>
      <c r="DK631" s="1603"/>
      <c r="DL631" s="1603"/>
      <c r="DM631" s="1603"/>
      <c r="DN631" s="1603"/>
      <c r="DO631" s="1603"/>
      <c r="DP631" s="1603"/>
      <c r="DQ631" s="1603"/>
      <c r="DR631" s="1603"/>
      <c r="DS631" s="1603"/>
      <c r="DT631" s="1603"/>
      <c r="DU631" s="1603"/>
      <c r="DV631" s="1603"/>
      <c r="DW631" s="1603"/>
      <c r="DX631" s="1603"/>
      <c r="DY631" s="1603"/>
      <c r="DZ631" s="1603"/>
      <c r="EA631" s="1603"/>
      <c r="EB631" s="1603"/>
      <c r="EC631" s="1603"/>
      <c r="ED631" s="1603"/>
      <c r="EE631" s="1603"/>
      <c r="EF631" s="1603"/>
      <c r="EG631" s="1603"/>
      <c r="EH631" s="1603"/>
      <c r="EI631" s="1603"/>
      <c r="EJ631" s="1603"/>
      <c r="EK631" s="1603"/>
      <c r="EL631" s="1603"/>
      <c r="EM631" s="1603"/>
      <c r="EN631" s="1603"/>
      <c r="EO631" s="1603"/>
      <c r="EP631" s="1603"/>
      <c r="EQ631" s="1603"/>
      <c r="ER631" s="1603"/>
      <c r="ES631" s="1603"/>
      <c r="ET631" s="1603"/>
      <c r="EU631" s="1603"/>
      <c r="EV631" s="1603"/>
      <c r="EW631" s="1603"/>
      <c r="EX631" s="1603"/>
      <c r="EY631" s="1603"/>
      <c r="EZ631" s="1603"/>
      <c r="FA631" s="1603"/>
      <c r="FB631" s="1603"/>
      <c r="FC631" s="1603"/>
      <c r="FD631" s="1603"/>
      <c r="FE631" s="1603"/>
      <c r="FF631" s="1603"/>
      <c r="FG631" s="1603"/>
      <c r="FH631" s="1603"/>
      <c r="FI631" s="1603"/>
      <c r="FJ631" s="1603"/>
      <c r="FK631" s="1603"/>
      <c r="FL631" s="1603"/>
      <c r="FM631" s="1603"/>
      <c r="FN631" s="1603"/>
      <c r="FO631" s="1603"/>
      <c r="FP631" s="1603"/>
      <c r="FQ631" s="1603"/>
      <c r="FR631" s="1603"/>
      <c r="FS631" s="1603"/>
      <c r="FT631" s="1603"/>
      <c r="FU631" s="1603"/>
      <c r="FV631" s="1603"/>
      <c r="FW631" s="1603"/>
      <c r="FX631" s="1603"/>
      <c r="FY631" s="1603"/>
      <c r="FZ631" s="1603"/>
      <c r="GA631" s="1603"/>
      <c r="GB631" s="1603"/>
      <c r="GC631" s="1603"/>
      <c r="GD631" s="1603"/>
      <c r="GE631" s="1603"/>
      <c r="GF631" s="1603"/>
      <c r="GG631" s="1603"/>
      <c r="GH631" s="1603"/>
      <c r="GI631" s="1603"/>
      <c r="GJ631" s="1603"/>
      <c r="GK631" s="1603"/>
      <c r="GL631" s="1603"/>
      <c r="GM631" s="1603"/>
      <c r="GN631" s="1603"/>
      <c r="GO631" s="1603"/>
      <c r="GP631" s="1603"/>
      <c r="GQ631" s="1603"/>
      <c r="GR631" s="1603"/>
      <c r="GS631" s="1603"/>
      <c r="GT631" s="1603"/>
      <c r="GU631" s="1603"/>
      <c r="GV631" s="1603"/>
      <c r="GW631" s="1603"/>
      <c r="GX631" s="1603"/>
      <c r="GY631" s="1603"/>
      <c r="GZ631" s="1603"/>
      <c r="HA631" s="1603"/>
      <c r="HB631" s="1603"/>
      <c r="HC631" s="1603"/>
      <c r="HD631" s="1603"/>
      <c r="HE631" s="1603"/>
      <c r="HF631" s="1603"/>
      <c r="HG631" s="1603"/>
      <c r="HH631" s="1603"/>
      <c r="HI631" s="1603"/>
      <c r="HJ631" s="1603"/>
      <c r="HK631" s="1603"/>
      <c r="HL631" s="1603"/>
      <c r="HM631" s="1603"/>
      <c r="HN631" s="1603"/>
      <c r="HO631" s="1603"/>
      <c r="HP631" s="1603"/>
      <c r="HQ631" s="1603"/>
      <c r="HR631" s="1603"/>
      <c r="HS631" s="1603"/>
      <c r="HT631" s="1603"/>
      <c r="HU631" s="1603"/>
      <c r="HV631" s="1603"/>
      <c r="HW631" s="1603"/>
      <c r="HX631" s="1603"/>
      <c r="HY631" s="1603"/>
      <c r="HZ631" s="1603"/>
      <c r="IA631" s="1603"/>
      <c r="IB631" s="1603"/>
      <c r="IC631" s="1603"/>
      <c r="ID631" s="1603"/>
      <c r="IE631" s="1603"/>
      <c r="IF631" s="1603"/>
      <c r="IG631" s="1603"/>
      <c r="IH631" s="1603"/>
      <c r="II631" s="1603"/>
      <c r="IJ631" s="1603"/>
      <c r="IK631" s="1603"/>
      <c r="IL631" s="1603"/>
      <c r="IM631" s="1603"/>
      <c r="IN631" s="1603"/>
      <c r="IO631" s="1603"/>
      <c r="IP631" s="1603"/>
      <c r="IQ631" s="1603"/>
      <c r="IR631" s="1603"/>
      <c r="IS631" s="1603"/>
      <c r="IT631" s="1603"/>
      <c r="IU631" s="1603"/>
      <c r="IV631" s="1603"/>
      <c r="IW631" s="1603"/>
      <c r="IX631" s="1603"/>
      <c r="IY631" s="1603"/>
      <c r="IZ631" s="1603"/>
      <c r="JA631" s="1603"/>
      <c r="JB631" s="1603"/>
      <c r="JC631" s="1603"/>
      <c r="JD631" s="1603"/>
      <c r="JE631" s="1603"/>
      <c r="JF631" s="1603"/>
      <c r="JG631" s="1603"/>
      <c r="JH631" s="1603"/>
      <c r="JI631" s="1603"/>
      <c r="JJ631" s="1603"/>
      <c r="JK631" s="1603"/>
      <c r="JL631" s="1603"/>
      <c r="JM631" s="1603"/>
      <c r="JN631" s="1603"/>
      <c r="JO631" s="1603"/>
      <c r="JP631" s="1603"/>
      <c r="JQ631" s="1603"/>
      <c r="JR631" s="1603"/>
      <c r="JS631" s="1603"/>
      <c r="JT631" s="1603"/>
      <c r="JU631" s="1603"/>
      <c r="JV631" s="1603"/>
      <c r="JW631" s="1603"/>
      <c r="JX631" s="1603"/>
      <c r="JY631" s="1603"/>
      <c r="JZ631" s="1603"/>
      <c r="KA631" s="1603"/>
      <c r="KB631" s="1604"/>
    </row>
    <row r="632" spans="1:289" ht="15" customHeight="1" x14ac:dyDescent="0.25">
      <c r="B632" s="216" t="str">
        <f t="shared" si="54"/>
        <v>Desk 2</v>
      </c>
      <c r="C632" s="218" t="str">
        <v/>
      </c>
      <c r="D632" s="218" t="str">
        <v/>
      </c>
      <c r="E632" s="218" t="str">
        <v/>
      </c>
      <c r="F632" s="218" t="str">
        <v/>
      </c>
      <c r="G632" s="402" t="str">
        <v/>
      </c>
      <c r="H632" s="1605"/>
      <c r="I632" s="1605"/>
      <c r="J632" s="1605"/>
      <c r="K632" s="1605"/>
      <c r="L632" s="1605"/>
      <c r="M632" s="1605"/>
      <c r="N632" s="1605"/>
      <c r="O632" s="1605"/>
      <c r="P632" s="1605"/>
      <c r="Q632" s="1605"/>
      <c r="R632" s="1605"/>
      <c r="S632" s="1605"/>
      <c r="T632" s="1605"/>
      <c r="U632" s="1605"/>
      <c r="V632" s="1605"/>
      <c r="W632" s="1605"/>
      <c r="X632" s="1605"/>
      <c r="Y632" s="1605"/>
      <c r="Z632" s="1605"/>
      <c r="AA632" s="1605"/>
      <c r="AB632" s="1605"/>
      <c r="AC632" s="1605"/>
      <c r="AD632" s="1605"/>
      <c r="AE632" s="1605"/>
      <c r="AF632" s="1605"/>
      <c r="AG632" s="1605"/>
      <c r="AH632" s="1605"/>
      <c r="AI632" s="1605"/>
      <c r="AJ632" s="1605"/>
      <c r="AK632" s="1605"/>
      <c r="AL632" s="1605"/>
      <c r="AM632" s="1605"/>
      <c r="AN632" s="1605"/>
      <c r="AO632" s="1605"/>
      <c r="AP632" s="1605"/>
      <c r="AQ632" s="1605"/>
      <c r="AR632" s="1605"/>
      <c r="AS632" s="1605"/>
      <c r="AT632" s="1605"/>
      <c r="AU632" s="1605"/>
      <c r="AV632" s="1605"/>
      <c r="AW632" s="1605"/>
      <c r="AX632" s="1605"/>
      <c r="AY632" s="1605"/>
      <c r="AZ632" s="1605"/>
      <c r="BA632" s="1605"/>
      <c r="BB632" s="1605"/>
      <c r="BC632" s="1605"/>
      <c r="BD632" s="1605"/>
      <c r="BE632" s="1605"/>
      <c r="BF632" s="1605"/>
      <c r="BG632" s="1605"/>
      <c r="BH632" s="1605"/>
      <c r="BI632" s="1605"/>
      <c r="BJ632" s="1605"/>
      <c r="BK632" s="1605"/>
      <c r="BL632" s="1605"/>
      <c r="BM632" s="1605"/>
      <c r="BN632" s="1605"/>
      <c r="BO632" s="1605"/>
      <c r="BP632" s="1605"/>
      <c r="BQ632" s="1605"/>
      <c r="BR632" s="1605"/>
      <c r="BS632" s="1605"/>
      <c r="BT632" s="1605"/>
      <c r="BU632" s="1605"/>
      <c r="BV632" s="1605"/>
      <c r="BW632" s="1605"/>
      <c r="BX632" s="1605"/>
      <c r="BY632" s="1605"/>
      <c r="BZ632" s="1605"/>
      <c r="CA632" s="1605"/>
      <c r="CB632" s="1605"/>
      <c r="CC632" s="1605"/>
      <c r="CD632" s="1605"/>
      <c r="CE632" s="1605"/>
      <c r="CF632" s="1605"/>
      <c r="CG632" s="1605"/>
      <c r="CH632" s="1605"/>
      <c r="CI632" s="1605"/>
      <c r="CJ632" s="1605"/>
      <c r="CK632" s="1605"/>
      <c r="CL632" s="1605"/>
      <c r="CM632" s="1605"/>
      <c r="CN632" s="1605"/>
      <c r="CO632" s="1605"/>
      <c r="CP632" s="1605"/>
      <c r="CQ632" s="1605"/>
      <c r="CR632" s="1605"/>
      <c r="CS632" s="1605"/>
      <c r="CT632" s="1605"/>
      <c r="CU632" s="1605"/>
      <c r="CV632" s="1605"/>
      <c r="CW632" s="1605"/>
      <c r="CX632" s="1605"/>
      <c r="CY632" s="1605"/>
      <c r="CZ632" s="1605"/>
      <c r="DA632" s="1605"/>
      <c r="DB632" s="1605"/>
      <c r="DC632" s="1605"/>
      <c r="DD632" s="1605"/>
      <c r="DE632" s="1605"/>
      <c r="DF632" s="1605"/>
      <c r="DG632" s="1605"/>
      <c r="DH632" s="1605"/>
      <c r="DI632" s="1605"/>
      <c r="DJ632" s="1605"/>
      <c r="DK632" s="1605"/>
      <c r="DL632" s="1605"/>
      <c r="DM632" s="1605"/>
      <c r="DN632" s="1605"/>
      <c r="DO632" s="1605"/>
      <c r="DP632" s="1605"/>
      <c r="DQ632" s="1605"/>
      <c r="DR632" s="1605"/>
      <c r="DS632" s="1605"/>
      <c r="DT632" s="1605"/>
      <c r="DU632" s="1605"/>
      <c r="DV632" s="1605"/>
      <c r="DW632" s="1605"/>
      <c r="DX632" s="1605"/>
      <c r="DY632" s="1605"/>
      <c r="DZ632" s="1605"/>
      <c r="EA632" s="1605"/>
      <c r="EB632" s="1605"/>
      <c r="EC632" s="1605"/>
      <c r="ED632" s="1605"/>
      <c r="EE632" s="1605"/>
      <c r="EF632" s="1605"/>
      <c r="EG632" s="1605"/>
      <c r="EH632" s="1605"/>
      <c r="EI632" s="1605"/>
      <c r="EJ632" s="1605"/>
      <c r="EK632" s="1605"/>
      <c r="EL632" s="1605"/>
      <c r="EM632" s="1605"/>
      <c r="EN632" s="1605"/>
      <c r="EO632" s="1605"/>
      <c r="EP632" s="1605"/>
      <c r="EQ632" s="1605"/>
      <c r="ER632" s="1605"/>
      <c r="ES632" s="1605"/>
      <c r="ET632" s="1605"/>
      <c r="EU632" s="1605"/>
      <c r="EV632" s="1605"/>
      <c r="EW632" s="1605"/>
      <c r="EX632" s="1605"/>
      <c r="EY632" s="1605"/>
      <c r="EZ632" s="1605"/>
      <c r="FA632" s="1605"/>
      <c r="FB632" s="1605"/>
      <c r="FC632" s="1605"/>
      <c r="FD632" s="1605"/>
      <c r="FE632" s="1605"/>
      <c r="FF632" s="1605"/>
      <c r="FG632" s="1605"/>
      <c r="FH632" s="1605"/>
      <c r="FI632" s="1605"/>
      <c r="FJ632" s="1605"/>
      <c r="FK632" s="1605"/>
      <c r="FL632" s="1605"/>
      <c r="FM632" s="1605"/>
      <c r="FN632" s="1605"/>
      <c r="FO632" s="1605"/>
      <c r="FP632" s="1605"/>
      <c r="FQ632" s="1605"/>
      <c r="FR632" s="1605"/>
      <c r="FS632" s="1605"/>
      <c r="FT632" s="1605"/>
      <c r="FU632" s="1605"/>
      <c r="FV632" s="1605"/>
      <c r="FW632" s="1605"/>
      <c r="FX632" s="1605"/>
      <c r="FY632" s="1605"/>
      <c r="FZ632" s="1605"/>
      <c r="GA632" s="1605"/>
      <c r="GB632" s="1605"/>
      <c r="GC632" s="1605"/>
      <c r="GD632" s="1605"/>
      <c r="GE632" s="1605"/>
      <c r="GF632" s="1605"/>
      <c r="GG632" s="1605"/>
      <c r="GH632" s="1605"/>
      <c r="GI632" s="1605"/>
      <c r="GJ632" s="1605"/>
      <c r="GK632" s="1605"/>
      <c r="GL632" s="1605"/>
      <c r="GM632" s="1605"/>
      <c r="GN632" s="1605"/>
      <c r="GO632" s="1605"/>
      <c r="GP632" s="1605"/>
      <c r="GQ632" s="1605"/>
      <c r="GR632" s="1605"/>
      <c r="GS632" s="1605"/>
      <c r="GT632" s="1605"/>
      <c r="GU632" s="1605"/>
      <c r="GV632" s="1605"/>
      <c r="GW632" s="1605"/>
      <c r="GX632" s="1605"/>
      <c r="GY632" s="1605"/>
      <c r="GZ632" s="1605"/>
      <c r="HA632" s="1605"/>
      <c r="HB632" s="1605"/>
      <c r="HC632" s="1605"/>
      <c r="HD632" s="1605"/>
      <c r="HE632" s="1605"/>
      <c r="HF632" s="1605"/>
      <c r="HG632" s="1605"/>
      <c r="HH632" s="1605"/>
      <c r="HI632" s="1605"/>
      <c r="HJ632" s="1605"/>
      <c r="HK632" s="1605"/>
      <c r="HL632" s="1605"/>
      <c r="HM632" s="1605"/>
      <c r="HN632" s="1605"/>
      <c r="HO632" s="1605"/>
      <c r="HP632" s="1605"/>
      <c r="HQ632" s="1605"/>
      <c r="HR632" s="1605"/>
      <c r="HS632" s="1605"/>
      <c r="HT632" s="1605"/>
      <c r="HU632" s="1605"/>
      <c r="HV632" s="1605"/>
      <c r="HW632" s="1605"/>
      <c r="HX632" s="1605"/>
      <c r="HY632" s="1605"/>
      <c r="HZ632" s="1605"/>
      <c r="IA632" s="1605"/>
      <c r="IB632" s="1605"/>
      <c r="IC632" s="1605"/>
      <c r="ID632" s="1605"/>
      <c r="IE632" s="1605"/>
      <c r="IF632" s="1605"/>
      <c r="IG632" s="1605"/>
      <c r="IH632" s="1605"/>
      <c r="II632" s="1605"/>
      <c r="IJ632" s="1605"/>
      <c r="IK632" s="1605"/>
      <c r="IL632" s="1605"/>
      <c r="IM632" s="1605"/>
      <c r="IN632" s="1605"/>
      <c r="IO632" s="1605"/>
      <c r="IP632" s="1605"/>
      <c r="IQ632" s="1605"/>
      <c r="IR632" s="1605"/>
      <c r="IS632" s="1605"/>
      <c r="IT632" s="1605"/>
      <c r="IU632" s="1605"/>
      <c r="IV632" s="1605"/>
      <c r="IW632" s="1605"/>
      <c r="IX632" s="1605"/>
      <c r="IY632" s="1605"/>
      <c r="IZ632" s="1605"/>
      <c r="JA632" s="1605"/>
      <c r="JB632" s="1605"/>
      <c r="JC632" s="1605"/>
      <c r="JD632" s="1605"/>
      <c r="JE632" s="1605"/>
      <c r="JF632" s="1605"/>
      <c r="JG632" s="1605"/>
      <c r="JH632" s="1605"/>
      <c r="JI632" s="1605"/>
      <c r="JJ632" s="1605"/>
      <c r="JK632" s="1605"/>
      <c r="JL632" s="1605"/>
      <c r="JM632" s="1605"/>
      <c r="JN632" s="1605"/>
      <c r="JO632" s="1605"/>
      <c r="JP632" s="1605"/>
      <c r="JQ632" s="1605"/>
      <c r="JR632" s="1605"/>
      <c r="JS632" s="1605"/>
      <c r="JT632" s="1605"/>
      <c r="JU632" s="1605"/>
      <c r="JV632" s="1605"/>
      <c r="JW632" s="1605"/>
      <c r="JX632" s="1605"/>
      <c r="JY632" s="1605"/>
      <c r="JZ632" s="1605"/>
      <c r="KA632" s="1605"/>
      <c r="KB632" s="1606"/>
    </row>
    <row r="633" spans="1:289" ht="15" customHeight="1" x14ac:dyDescent="0.25">
      <c r="B633" s="216" t="str">
        <f t="shared" si="54"/>
        <v>Desk 3</v>
      </c>
      <c r="C633" s="218" t="str">
        <v/>
      </c>
      <c r="D633" s="218" t="str">
        <v/>
      </c>
      <c r="E633" s="218" t="str">
        <v/>
      </c>
      <c r="F633" s="218" t="str">
        <v/>
      </c>
      <c r="G633" s="402" t="str">
        <v/>
      </c>
      <c r="H633" s="1605"/>
      <c r="I633" s="1605"/>
      <c r="J633" s="1605"/>
      <c r="K633" s="1605"/>
      <c r="L633" s="1605"/>
      <c r="M633" s="1605"/>
      <c r="N633" s="1605"/>
      <c r="O633" s="1605"/>
      <c r="P633" s="1605"/>
      <c r="Q633" s="1605"/>
      <c r="R633" s="1605"/>
      <c r="S633" s="1605"/>
      <c r="T633" s="1605"/>
      <c r="U633" s="1605"/>
      <c r="V633" s="1605"/>
      <c r="W633" s="1605"/>
      <c r="X633" s="1605"/>
      <c r="Y633" s="1605"/>
      <c r="Z633" s="1605"/>
      <c r="AA633" s="1605"/>
      <c r="AB633" s="1605"/>
      <c r="AC633" s="1605"/>
      <c r="AD633" s="1605"/>
      <c r="AE633" s="1605"/>
      <c r="AF633" s="1605"/>
      <c r="AG633" s="1605"/>
      <c r="AH633" s="1605"/>
      <c r="AI633" s="1605"/>
      <c r="AJ633" s="1605"/>
      <c r="AK633" s="1605"/>
      <c r="AL633" s="1605"/>
      <c r="AM633" s="1605"/>
      <c r="AN633" s="1605"/>
      <c r="AO633" s="1605"/>
      <c r="AP633" s="1605"/>
      <c r="AQ633" s="1605"/>
      <c r="AR633" s="1605"/>
      <c r="AS633" s="1605"/>
      <c r="AT633" s="1605"/>
      <c r="AU633" s="1605"/>
      <c r="AV633" s="1605"/>
      <c r="AW633" s="1605"/>
      <c r="AX633" s="1605"/>
      <c r="AY633" s="1605"/>
      <c r="AZ633" s="1605"/>
      <c r="BA633" s="1605"/>
      <c r="BB633" s="1605"/>
      <c r="BC633" s="1605"/>
      <c r="BD633" s="1605"/>
      <c r="BE633" s="1605"/>
      <c r="BF633" s="1605"/>
      <c r="BG633" s="1605"/>
      <c r="BH633" s="1605"/>
      <c r="BI633" s="1605"/>
      <c r="BJ633" s="1605"/>
      <c r="BK633" s="1605"/>
      <c r="BL633" s="1605"/>
      <c r="BM633" s="1605"/>
      <c r="BN633" s="1605"/>
      <c r="BO633" s="1605"/>
      <c r="BP633" s="1605"/>
      <c r="BQ633" s="1605"/>
      <c r="BR633" s="1605"/>
      <c r="BS633" s="1605"/>
      <c r="BT633" s="1605"/>
      <c r="BU633" s="1605"/>
      <c r="BV633" s="1605"/>
      <c r="BW633" s="1605"/>
      <c r="BX633" s="1605"/>
      <c r="BY633" s="1605"/>
      <c r="BZ633" s="1605"/>
      <c r="CA633" s="1605"/>
      <c r="CB633" s="1605"/>
      <c r="CC633" s="1605"/>
      <c r="CD633" s="1605"/>
      <c r="CE633" s="1605"/>
      <c r="CF633" s="1605"/>
      <c r="CG633" s="1605"/>
      <c r="CH633" s="1605"/>
      <c r="CI633" s="1605"/>
      <c r="CJ633" s="1605"/>
      <c r="CK633" s="1605"/>
      <c r="CL633" s="1605"/>
      <c r="CM633" s="1605"/>
      <c r="CN633" s="1605"/>
      <c r="CO633" s="1605"/>
      <c r="CP633" s="1605"/>
      <c r="CQ633" s="1605"/>
      <c r="CR633" s="1605"/>
      <c r="CS633" s="1605"/>
      <c r="CT633" s="1605"/>
      <c r="CU633" s="1605"/>
      <c r="CV633" s="1605"/>
      <c r="CW633" s="1605"/>
      <c r="CX633" s="1605"/>
      <c r="CY633" s="1605"/>
      <c r="CZ633" s="1605"/>
      <c r="DA633" s="1605"/>
      <c r="DB633" s="1605"/>
      <c r="DC633" s="1605"/>
      <c r="DD633" s="1605"/>
      <c r="DE633" s="1605"/>
      <c r="DF633" s="1605"/>
      <c r="DG633" s="1605"/>
      <c r="DH633" s="1605"/>
      <c r="DI633" s="1605"/>
      <c r="DJ633" s="1605"/>
      <c r="DK633" s="1605"/>
      <c r="DL633" s="1605"/>
      <c r="DM633" s="1605"/>
      <c r="DN633" s="1605"/>
      <c r="DO633" s="1605"/>
      <c r="DP633" s="1605"/>
      <c r="DQ633" s="1605"/>
      <c r="DR633" s="1605"/>
      <c r="DS633" s="1605"/>
      <c r="DT633" s="1605"/>
      <c r="DU633" s="1605"/>
      <c r="DV633" s="1605"/>
      <c r="DW633" s="1605"/>
      <c r="DX633" s="1605"/>
      <c r="DY633" s="1605"/>
      <c r="DZ633" s="1605"/>
      <c r="EA633" s="1605"/>
      <c r="EB633" s="1605"/>
      <c r="EC633" s="1605"/>
      <c r="ED633" s="1605"/>
      <c r="EE633" s="1605"/>
      <c r="EF633" s="1605"/>
      <c r="EG633" s="1605"/>
      <c r="EH633" s="1605"/>
      <c r="EI633" s="1605"/>
      <c r="EJ633" s="1605"/>
      <c r="EK633" s="1605"/>
      <c r="EL633" s="1605"/>
      <c r="EM633" s="1605"/>
      <c r="EN633" s="1605"/>
      <c r="EO633" s="1605"/>
      <c r="EP633" s="1605"/>
      <c r="EQ633" s="1605"/>
      <c r="ER633" s="1605"/>
      <c r="ES633" s="1605"/>
      <c r="ET633" s="1605"/>
      <c r="EU633" s="1605"/>
      <c r="EV633" s="1605"/>
      <c r="EW633" s="1605"/>
      <c r="EX633" s="1605"/>
      <c r="EY633" s="1605"/>
      <c r="EZ633" s="1605"/>
      <c r="FA633" s="1605"/>
      <c r="FB633" s="1605"/>
      <c r="FC633" s="1605"/>
      <c r="FD633" s="1605"/>
      <c r="FE633" s="1605"/>
      <c r="FF633" s="1605"/>
      <c r="FG633" s="1605"/>
      <c r="FH633" s="1605"/>
      <c r="FI633" s="1605"/>
      <c r="FJ633" s="1605"/>
      <c r="FK633" s="1605"/>
      <c r="FL633" s="1605"/>
      <c r="FM633" s="1605"/>
      <c r="FN633" s="1605"/>
      <c r="FO633" s="1605"/>
      <c r="FP633" s="1605"/>
      <c r="FQ633" s="1605"/>
      <c r="FR633" s="1605"/>
      <c r="FS633" s="1605"/>
      <c r="FT633" s="1605"/>
      <c r="FU633" s="1605"/>
      <c r="FV633" s="1605"/>
      <c r="FW633" s="1605"/>
      <c r="FX633" s="1605"/>
      <c r="FY633" s="1605"/>
      <c r="FZ633" s="1605"/>
      <c r="GA633" s="1605"/>
      <c r="GB633" s="1605"/>
      <c r="GC633" s="1605"/>
      <c r="GD633" s="1605"/>
      <c r="GE633" s="1605"/>
      <c r="GF633" s="1605"/>
      <c r="GG633" s="1605"/>
      <c r="GH633" s="1605"/>
      <c r="GI633" s="1605"/>
      <c r="GJ633" s="1605"/>
      <c r="GK633" s="1605"/>
      <c r="GL633" s="1605"/>
      <c r="GM633" s="1605"/>
      <c r="GN633" s="1605"/>
      <c r="GO633" s="1605"/>
      <c r="GP633" s="1605"/>
      <c r="GQ633" s="1605"/>
      <c r="GR633" s="1605"/>
      <c r="GS633" s="1605"/>
      <c r="GT633" s="1605"/>
      <c r="GU633" s="1605"/>
      <c r="GV633" s="1605"/>
      <c r="GW633" s="1605"/>
      <c r="GX633" s="1605"/>
      <c r="GY633" s="1605"/>
      <c r="GZ633" s="1605"/>
      <c r="HA633" s="1605"/>
      <c r="HB633" s="1605"/>
      <c r="HC633" s="1605"/>
      <c r="HD633" s="1605"/>
      <c r="HE633" s="1605"/>
      <c r="HF633" s="1605"/>
      <c r="HG633" s="1605"/>
      <c r="HH633" s="1605"/>
      <c r="HI633" s="1605"/>
      <c r="HJ633" s="1605"/>
      <c r="HK633" s="1605"/>
      <c r="HL633" s="1605"/>
      <c r="HM633" s="1605"/>
      <c r="HN633" s="1605"/>
      <c r="HO633" s="1605"/>
      <c r="HP633" s="1605"/>
      <c r="HQ633" s="1605"/>
      <c r="HR633" s="1605"/>
      <c r="HS633" s="1605"/>
      <c r="HT633" s="1605"/>
      <c r="HU633" s="1605"/>
      <c r="HV633" s="1605"/>
      <c r="HW633" s="1605"/>
      <c r="HX633" s="1605"/>
      <c r="HY633" s="1605"/>
      <c r="HZ633" s="1605"/>
      <c r="IA633" s="1605"/>
      <c r="IB633" s="1605"/>
      <c r="IC633" s="1605"/>
      <c r="ID633" s="1605"/>
      <c r="IE633" s="1605"/>
      <c r="IF633" s="1605"/>
      <c r="IG633" s="1605"/>
      <c r="IH633" s="1605"/>
      <c r="II633" s="1605"/>
      <c r="IJ633" s="1605"/>
      <c r="IK633" s="1605"/>
      <c r="IL633" s="1605"/>
      <c r="IM633" s="1605"/>
      <c r="IN633" s="1605"/>
      <c r="IO633" s="1605"/>
      <c r="IP633" s="1605"/>
      <c r="IQ633" s="1605"/>
      <c r="IR633" s="1605"/>
      <c r="IS633" s="1605"/>
      <c r="IT633" s="1605"/>
      <c r="IU633" s="1605"/>
      <c r="IV633" s="1605"/>
      <c r="IW633" s="1605"/>
      <c r="IX633" s="1605"/>
      <c r="IY633" s="1605"/>
      <c r="IZ633" s="1605"/>
      <c r="JA633" s="1605"/>
      <c r="JB633" s="1605"/>
      <c r="JC633" s="1605"/>
      <c r="JD633" s="1605"/>
      <c r="JE633" s="1605"/>
      <c r="JF633" s="1605"/>
      <c r="JG633" s="1605"/>
      <c r="JH633" s="1605"/>
      <c r="JI633" s="1605"/>
      <c r="JJ633" s="1605"/>
      <c r="JK633" s="1605"/>
      <c r="JL633" s="1605"/>
      <c r="JM633" s="1605"/>
      <c r="JN633" s="1605"/>
      <c r="JO633" s="1605"/>
      <c r="JP633" s="1605"/>
      <c r="JQ633" s="1605"/>
      <c r="JR633" s="1605"/>
      <c r="JS633" s="1605"/>
      <c r="JT633" s="1605"/>
      <c r="JU633" s="1605"/>
      <c r="JV633" s="1605"/>
      <c r="JW633" s="1605"/>
      <c r="JX633" s="1605"/>
      <c r="JY633" s="1605"/>
      <c r="JZ633" s="1605"/>
      <c r="KA633" s="1605"/>
      <c r="KB633" s="1606"/>
    </row>
    <row r="634" spans="1:289" ht="15" customHeight="1" x14ac:dyDescent="0.25">
      <c r="B634" s="216" t="str">
        <f t="shared" si="54"/>
        <v>Desk 4</v>
      </c>
      <c r="C634" s="218" t="str">
        <v/>
      </c>
      <c r="D634" s="218" t="str">
        <v/>
      </c>
      <c r="E634" s="218" t="str">
        <v/>
      </c>
      <c r="F634" s="218" t="str">
        <v/>
      </c>
      <c r="G634" s="402" t="str">
        <v/>
      </c>
      <c r="H634" s="1605"/>
      <c r="I634" s="1605"/>
      <c r="J634" s="1605"/>
      <c r="K634" s="1605"/>
      <c r="L634" s="1605"/>
      <c r="M634" s="1605"/>
      <c r="N634" s="1605"/>
      <c r="O634" s="1605"/>
      <c r="P634" s="1605"/>
      <c r="Q634" s="1605"/>
      <c r="R634" s="1605"/>
      <c r="S634" s="1605"/>
      <c r="T634" s="1605"/>
      <c r="U634" s="1605"/>
      <c r="V634" s="1605"/>
      <c r="W634" s="1605"/>
      <c r="X634" s="1605"/>
      <c r="Y634" s="1605"/>
      <c r="Z634" s="1605"/>
      <c r="AA634" s="1605"/>
      <c r="AB634" s="1605"/>
      <c r="AC634" s="1605"/>
      <c r="AD634" s="1605"/>
      <c r="AE634" s="1605"/>
      <c r="AF634" s="1605"/>
      <c r="AG634" s="1605"/>
      <c r="AH634" s="1605"/>
      <c r="AI634" s="1605"/>
      <c r="AJ634" s="1605"/>
      <c r="AK634" s="1605"/>
      <c r="AL634" s="1605"/>
      <c r="AM634" s="1605"/>
      <c r="AN634" s="1605"/>
      <c r="AO634" s="1605"/>
      <c r="AP634" s="1605"/>
      <c r="AQ634" s="1605"/>
      <c r="AR634" s="1605"/>
      <c r="AS634" s="1605"/>
      <c r="AT634" s="1605"/>
      <c r="AU634" s="1605"/>
      <c r="AV634" s="1605"/>
      <c r="AW634" s="1605"/>
      <c r="AX634" s="1605"/>
      <c r="AY634" s="1605"/>
      <c r="AZ634" s="1605"/>
      <c r="BA634" s="1605"/>
      <c r="BB634" s="1605"/>
      <c r="BC634" s="1605"/>
      <c r="BD634" s="1605"/>
      <c r="BE634" s="1605"/>
      <c r="BF634" s="1605"/>
      <c r="BG634" s="1605"/>
      <c r="BH634" s="1605"/>
      <c r="BI634" s="1605"/>
      <c r="BJ634" s="1605"/>
      <c r="BK634" s="1605"/>
      <c r="BL634" s="1605"/>
      <c r="BM634" s="1605"/>
      <c r="BN634" s="1605"/>
      <c r="BO634" s="1605"/>
      <c r="BP634" s="1605"/>
      <c r="BQ634" s="1605"/>
      <c r="BR634" s="1605"/>
      <c r="BS634" s="1605"/>
      <c r="BT634" s="1605"/>
      <c r="BU634" s="1605"/>
      <c r="BV634" s="1605"/>
      <c r="BW634" s="1605"/>
      <c r="BX634" s="1605"/>
      <c r="BY634" s="1605"/>
      <c r="BZ634" s="1605"/>
      <c r="CA634" s="1605"/>
      <c r="CB634" s="1605"/>
      <c r="CC634" s="1605"/>
      <c r="CD634" s="1605"/>
      <c r="CE634" s="1605"/>
      <c r="CF634" s="1605"/>
      <c r="CG634" s="1605"/>
      <c r="CH634" s="1605"/>
      <c r="CI634" s="1605"/>
      <c r="CJ634" s="1605"/>
      <c r="CK634" s="1605"/>
      <c r="CL634" s="1605"/>
      <c r="CM634" s="1605"/>
      <c r="CN634" s="1605"/>
      <c r="CO634" s="1605"/>
      <c r="CP634" s="1605"/>
      <c r="CQ634" s="1605"/>
      <c r="CR634" s="1605"/>
      <c r="CS634" s="1605"/>
      <c r="CT634" s="1605"/>
      <c r="CU634" s="1605"/>
      <c r="CV634" s="1605"/>
      <c r="CW634" s="1605"/>
      <c r="CX634" s="1605"/>
      <c r="CY634" s="1605"/>
      <c r="CZ634" s="1605"/>
      <c r="DA634" s="1605"/>
      <c r="DB634" s="1605"/>
      <c r="DC634" s="1605"/>
      <c r="DD634" s="1605"/>
      <c r="DE634" s="1605"/>
      <c r="DF634" s="1605"/>
      <c r="DG634" s="1605"/>
      <c r="DH634" s="1605"/>
      <c r="DI634" s="1605"/>
      <c r="DJ634" s="1605"/>
      <c r="DK634" s="1605"/>
      <c r="DL634" s="1605"/>
      <c r="DM634" s="1605"/>
      <c r="DN634" s="1605"/>
      <c r="DO634" s="1605"/>
      <c r="DP634" s="1605"/>
      <c r="DQ634" s="1605"/>
      <c r="DR634" s="1605"/>
      <c r="DS634" s="1605"/>
      <c r="DT634" s="1605"/>
      <c r="DU634" s="1605"/>
      <c r="DV634" s="1605"/>
      <c r="DW634" s="1605"/>
      <c r="DX634" s="1605"/>
      <c r="DY634" s="1605"/>
      <c r="DZ634" s="1605"/>
      <c r="EA634" s="1605"/>
      <c r="EB634" s="1605"/>
      <c r="EC634" s="1605"/>
      <c r="ED634" s="1605"/>
      <c r="EE634" s="1605"/>
      <c r="EF634" s="1605"/>
      <c r="EG634" s="1605"/>
      <c r="EH634" s="1605"/>
      <c r="EI634" s="1605"/>
      <c r="EJ634" s="1605"/>
      <c r="EK634" s="1605"/>
      <c r="EL634" s="1605"/>
      <c r="EM634" s="1605"/>
      <c r="EN634" s="1605"/>
      <c r="EO634" s="1605"/>
      <c r="EP634" s="1605"/>
      <c r="EQ634" s="1605"/>
      <c r="ER634" s="1605"/>
      <c r="ES634" s="1605"/>
      <c r="ET634" s="1605"/>
      <c r="EU634" s="1605"/>
      <c r="EV634" s="1605"/>
      <c r="EW634" s="1605"/>
      <c r="EX634" s="1605"/>
      <c r="EY634" s="1605"/>
      <c r="EZ634" s="1605"/>
      <c r="FA634" s="1605"/>
      <c r="FB634" s="1605"/>
      <c r="FC634" s="1605"/>
      <c r="FD634" s="1605"/>
      <c r="FE634" s="1605"/>
      <c r="FF634" s="1605"/>
      <c r="FG634" s="1605"/>
      <c r="FH634" s="1605"/>
      <c r="FI634" s="1605"/>
      <c r="FJ634" s="1605"/>
      <c r="FK634" s="1605"/>
      <c r="FL634" s="1605"/>
      <c r="FM634" s="1605"/>
      <c r="FN634" s="1605"/>
      <c r="FO634" s="1605"/>
      <c r="FP634" s="1605"/>
      <c r="FQ634" s="1605"/>
      <c r="FR634" s="1605"/>
      <c r="FS634" s="1605"/>
      <c r="FT634" s="1605"/>
      <c r="FU634" s="1605"/>
      <c r="FV634" s="1605"/>
      <c r="FW634" s="1605"/>
      <c r="FX634" s="1605"/>
      <c r="FY634" s="1605"/>
      <c r="FZ634" s="1605"/>
      <c r="GA634" s="1605"/>
      <c r="GB634" s="1605"/>
      <c r="GC634" s="1605"/>
      <c r="GD634" s="1605"/>
      <c r="GE634" s="1605"/>
      <c r="GF634" s="1605"/>
      <c r="GG634" s="1605"/>
      <c r="GH634" s="1605"/>
      <c r="GI634" s="1605"/>
      <c r="GJ634" s="1605"/>
      <c r="GK634" s="1605"/>
      <c r="GL634" s="1605"/>
      <c r="GM634" s="1605"/>
      <c r="GN634" s="1605"/>
      <c r="GO634" s="1605"/>
      <c r="GP634" s="1605"/>
      <c r="GQ634" s="1605"/>
      <c r="GR634" s="1605"/>
      <c r="GS634" s="1605"/>
      <c r="GT634" s="1605"/>
      <c r="GU634" s="1605"/>
      <c r="GV634" s="1605"/>
      <c r="GW634" s="1605"/>
      <c r="GX634" s="1605"/>
      <c r="GY634" s="1605"/>
      <c r="GZ634" s="1605"/>
      <c r="HA634" s="1605"/>
      <c r="HB634" s="1605"/>
      <c r="HC634" s="1605"/>
      <c r="HD634" s="1605"/>
      <c r="HE634" s="1605"/>
      <c r="HF634" s="1605"/>
      <c r="HG634" s="1605"/>
      <c r="HH634" s="1605"/>
      <c r="HI634" s="1605"/>
      <c r="HJ634" s="1605"/>
      <c r="HK634" s="1605"/>
      <c r="HL634" s="1605"/>
      <c r="HM634" s="1605"/>
      <c r="HN634" s="1605"/>
      <c r="HO634" s="1605"/>
      <c r="HP634" s="1605"/>
      <c r="HQ634" s="1605"/>
      <c r="HR634" s="1605"/>
      <c r="HS634" s="1605"/>
      <c r="HT634" s="1605"/>
      <c r="HU634" s="1605"/>
      <c r="HV634" s="1605"/>
      <c r="HW634" s="1605"/>
      <c r="HX634" s="1605"/>
      <c r="HY634" s="1605"/>
      <c r="HZ634" s="1605"/>
      <c r="IA634" s="1605"/>
      <c r="IB634" s="1605"/>
      <c r="IC634" s="1605"/>
      <c r="ID634" s="1605"/>
      <c r="IE634" s="1605"/>
      <c r="IF634" s="1605"/>
      <c r="IG634" s="1605"/>
      <c r="IH634" s="1605"/>
      <c r="II634" s="1605"/>
      <c r="IJ634" s="1605"/>
      <c r="IK634" s="1605"/>
      <c r="IL634" s="1605"/>
      <c r="IM634" s="1605"/>
      <c r="IN634" s="1605"/>
      <c r="IO634" s="1605"/>
      <c r="IP634" s="1605"/>
      <c r="IQ634" s="1605"/>
      <c r="IR634" s="1605"/>
      <c r="IS634" s="1605"/>
      <c r="IT634" s="1605"/>
      <c r="IU634" s="1605"/>
      <c r="IV634" s="1605"/>
      <c r="IW634" s="1605"/>
      <c r="IX634" s="1605"/>
      <c r="IY634" s="1605"/>
      <c r="IZ634" s="1605"/>
      <c r="JA634" s="1605"/>
      <c r="JB634" s="1605"/>
      <c r="JC634" s="1605"/>
      <c r="JD634" s="1605"/>
      <c r="JE634" s="1605"/>
      <c r="JF634" s="1605"/>
      <c r="JG634" s="1605"/>
      <c r="JH634" s="1605"/>
      <c r="JI634" s="1605"/>
      <c r="JJ634" s="1605"/>
      <c r="JK634" s="1605"/>
      <c r="JL634" s="1605"/>
      <c r="JM634" s="1605"/>
      <c r="JN634" s="1605"/>
      <c r="JO634" s="1605"/>
      <c r="JP634" s="1605"/>
      <c r="JQ634" s="1605"/>
      <c r="JR634" s="1605"/>
      <c r="JS634" s="1605"/>
      <c r="JT634" s="1605"/>
      <c r="JU634" s="1605"/>
      <c r="JV634" s="1605"/>
      <c r="JW634" s="1605"/>
      <c r="JX634" s="1605"/>
      <c r="JY634" s="1605"/>
      <c r="JZ634" s="1605"/>
      <c r="KA634" s="1605"/>
      <c r="KB634" s="1606"/>
    </row>
    <row r="635" spans="1:289" ht="15" customHeight="1" x14ac:dyDescent="0.25">
      <c r="B635" s="216" t="str">
        <f t="shared" si="54"/>
        <v>Desk 5</v>
      </c>
      <c r="C635" s="218" t="str">
        <v/>
      </c>
      <c r="D635" s="218" t="str">
        <v/>
      </c>
      <c r="E635" s="218" t="str">
        <v/>
      </c>
      <c r="F635" s="218" t="str">
        <v/>
      </c>
      <c r="G635" s="402" t="str">
        <v/>
      </c>
      <c r="H635" s="1605"/>
      <c r="I635" s="1605"/>
      <c r="J635" s="1605"/>
      <c r="K635" s="1605"/>
      <c r="L635" s="1605"/>
      <c r="M635" s="1605"/>
      <c r="N635" s="1605"/>
      <c r="O635" s="1605"/>
      <c r="P635" s="1605"/>
      <c r="Q635" s="1605"/>
      <c r="R635" s="1605"/>
      <c r="S635" s="1605"/>
      <c r="T635" s="1605"/>
      <c r="U635" s="1605"/>
      <c r="V635" s="1605"/>
      <c r="W635" s="1605"/>
      <c r="X635" s="1605"/>
      <c r="Y635" s="1605"/>
      <c r="Z635" s="1605"/>
      <c r="AA635" s="1605"/>
      <c r="AB635" s="1605"/>
      <c r="AC635" s="1605"/>
      <c r="AD635" s="1605"/>
      <c r="AE635" s="1605"/>
      <c r="AF635" s="1605"/>
      <c r="AG635" s="1605"/>
      <c r="AH635" s="1605"/>
      <c r="AI635" s="1605"/>
      <c r="AJ635" s="1605"/>
      <c r="AK635" s="1605"/>
      <c r="AL635" s="1605"/>
      <c r="AM635" s="1605"/>
      <c r="AN635" s="1605"/>
      <c r="AO635" s="1605"/>
      <c r="AP635" s="1605"/>
      <c r="AQ635" s="1605"/>
      <c r="AR635" s="1605"/>
      <c r="AS635" s="1605"/>
      <c r="AT635" s="1605"/>
      <c r="AU635" s="1605"/>
      <c r="AV635" s="1605"/>
      <c r="AW635" s="1605"/>
      <c r="AX635" s="1605"/>
      <c r="AY635" s="1605"/>
      <c r="AZ635" s="1605"/>
      <c r="BA635" s="1605"/>
      <c r="BB635" s="1605"/>
      <c r="BC635" s="1605"/>
      <c r="BD635" s="1605"/>
      <c r="BE635" s="1605"/>
      <c r="BF635" s="1605"/>
      <c r="BG635" s="1605"/>
      <c r="BH635" s="1605"/>
      <c r="BI635" s="1605"/>
      <c r="BJ635" s="1605"/>
      <c r="BK635" s="1605"/>
      <c r="BL635" s="1605"/>
      <c r="BM635" s="1605"/>
      <c r="BN635" s="1605"/>
      <c r="BO635" s="1605"/>
      <c r="BP635" s="1605"/>
      <c r="BQ635" s="1605"/>
      <c r="BR635" s="1605"/>
      <c r="BS635" s="1605"/>
      <c r="BT635" s="1605"/>
      <c r="BU635" s="1605"/>
      <c r="BV635" s="1605"/>
      <c r="BW635" s="1605"/>
      <c r="BX635" s="1605"/>
      <c r="BY635" s="1605"/>
      <c r="BZ635" s="1605"/>
      <c r="CA635" s="1605"/>
      <c r="CB635" s="1605"/>
      <c r="CC635" s="1605"/>
      <c r="CD635" s="1605"/>
      <c r="CE635" s="1605"/>
      <c r="CF635" s="1605"/>
      <c r="CG635" s="1605"/>
      <c r="CH635" s="1605"/>
      <c r="CI635" s="1605"/>
      <c r="CJ635" s="1605"/>
      <c r="CK635" s="1605"/>
      <c r="CL635" s="1605"/>
      <c r="CM635" s="1605"/>
      <c r="CN635" s="1605"/>
      <c r="CO635" s="1605"/>
      <c r="CP635" s="1605"/>
      <c r="CQ635" s="1605"/>
      <c r="CR635" s="1605"/>
      <c r="CS635" s="1605"/>
      <c r="CT635" s="1605"/>
      <c r="CU635" s="1605"/>
      <c r="CV635" s="1605"/>
      <c r="CW635" s="1605"/>
      <c r="CX635" s="1605"/>
      <c r="CY635" s="1605"/>
      <c r="CZ635" s="1605"/>
      <c r="DA635" s="1605"/>
      <c r="DB635" s="1605"/>
      <c r="DC635" s="1605"/>
      <c r="DD635" s="1605"/>
      <c r="DE635" s="1605"/>
      <c r="DF635" s="1605"/>
      <c r="DG635" s="1605"/>
      <c r="DH635" s="1605"/>
      <c r="DI635" s="1605"/>
      <c r="DJ635" s="1605"/>
      <c r="DK635" s="1605"/>
      <c r="DL635" s="1605"/>
      <c r="DM635" s="1605"/>
      <c r="DN635" s="1605"/>
      <c r="DO635" s="1605"/>
      <c r="DP635" s="1605"/>
      <c r="DQ635" s="1605"/>
      <c r="DR635" s="1605"/>
      <c r="DS635" s="1605"/>
      <c r="DT635" s="1605"/>
      <c r="DU635" s="1605"/>
      <c r="DV635" s="1605"/>
      <c r="DW635" s="1605"/>
      <c r="DX635" s="1605"/>
      <c r="DY635" s="1605"/>
      <c r="DZ635" s="1605"/>
      <c r="EA635" s="1605"/>
      <c r="EB635" s="1605"/>
      <c r="EC635" s="1605"/>
      <c r="ED635" s="1605"/>
      <c r="EE635" s="1605"/>
      <c r="EF635" s="1605"/>
      <c r="EG635" s="1605"/>
      <c r="EH635" s="1605"/>
      <c r="EI635" s="1605"/>
      <c r="EJ635" s="1605"/>
      <c r="EK635" s="1605"/>
      <c r="EL635" s="1605"/>
      <c r="EM635" s="1605"/>
      <c r="EN635" s="1605"/>
      <c r="EO635" s="1605"/>
      <c r="EP635" s="1605"/>
      <c r="EQ635" s="1605"/>
      <c r="ER635" s="1605"/>
      <c r="ES635" s="1605"/>
      <c r="ET635" s="1605"/>
      <c r="EU635" s="1605"/>
      <c r="EV635" s="1605"/>
      <c r="EW635" s="1605"/>
      <c r="EX635" s="1605"/>
      <c r="EY635" s="1605"/>
      <c r="EZ635" s="1605"/>
      <c r="FA635" s="1605"/>
      <c r="FB635" s="1605"/>
      <c r="FC635" s="1605"/>
      <c r="FD635" s="1605"/>
      <c r="FE635" s="1605"/>
      <c r="FF635" s="1605"/>
      <c r="FG635" s="1605"/>
      <c r="FH635" s="1605"/>
      <c r="FI635" s="1605"/>
      <c r="FJ635" s="1605"/>
      <c r="FK635" s="1605"/>
      <c r="FL635" s="1605"/>
      <c r="FM635" s="1605"/>
      <c r="FN635" s="1605"/>
      <c r="FO635" s="1605"/>
      <c r="FP635" s="1605"/>
      <c r="FQ635" s="1605"/>
      <c r="FR635" s="1605"/>
      <c r="FS635" s="1605"/>
      <c r="FT635" s="1605"/>
      <c r="FU635" s="1605"/>
      <c r="FV635" s="1605"/>
      <c r="FW635" s="1605"/>
      <c r="FX635" s="1605"/>
      <c r="FY635" s="1605"/>
      <c r="FZ635" s="1605"/>
      <c r="GA635" s="1605"/>
      <c r="GB635" s="1605"/>
      <c r="GC635" s="1605"/>
      <c r="GD635" s="1605"/>
      <c r="GE635" s="1605"/>
      <c r="GF635" s="1605"/>
      <c r="GG635" s="1605"/>
      <c r="GH635" s="1605"/>
      <c r="GI635" s="1605"/>
      <c r="GJ635" s="1605"/>
      <c r="GK635" s="1605"/>
      <c r="GL635" s="1605"/>
      <c r="GM635" s="1605"/>
      <c r="GN635" s="1605"/>
      <c r="GO635" s="1605"/>
      <c r="GP635" s="1605"/>
      <c r="GQ635" s="1605"/>
      <c r="GR635" s="1605"/>
      <c r="GS635" s="1605"/>
      <c r="GT635" s="1605"/>
      <c r="GU635" s="1605"/>
      <c r="GV635" s="1605"/>
      <c r="GW635" s="1605"/>
      <c r="GX635" s="1605"/>
      <c r="GY635" s="1605"/>
      <c r="GZ635" s="1605"/>
      <c r="HA635" s="1605"/>
      <c r="HB635" s="1605"/>
      <c r="HC635" s="1605"/>
      <c r="HD635" s="1605"/>
      <c r="HE635" s="1605"/>
      <c r="HF635" s="1605"/>
      <c r="HG635" s="1605"/>
      <c r="HH635" s="1605"/>
      <c r="HI635" s="1605"/>
      <c r="HJ635" s="1605"/>
      <c r="HK635" s="1605"/>
      <c r="HL635" s="1605"/>
      <c r="HM635" s="1605"/>
      <c r="HN635" s="1605"/>
      <c r="HO635" s="1605"/>
      <c r="HP635" s="1605"/>
      <c r="HQ635" s="1605"/>
      <c r="HR635" s="1605"/>
      <c r="HS635" s="1605"/>
      <c r="HT635" s="1605"/>
      <c r="HU635" s="1605"/>
      <c r="HV635" s="1605"/>
      <c r="HW635" s="1605"/>
      <c r="HX635" s="1605"/>
      <c r="HY635" s="1605"/>
      <c r="HZ635" s="1605"/>
      <c r="IA635" s="1605"/>
      <c r="IB635" s="1605"/>
      <c r="IC635" s="1605"/>
      <c r="ID635" s="1605"/>
      <c r="IE635" s="1605"/>
      <c r="IF635" s="1605"/>
      <c r="IG635" s="1605"/>
      <c r="IH635" s="1605"/>
      <c r="II635" s="1605"/>
      <c r="IJ635" s="1605"/>
      <c r="IK635" s="1605"/>
      <c r="IL635" s="1605"/>
      <c r="IM635" s="1605"/>
      <c r="IN635" s="1605"/>
      <c r="IO635" s="1605"/>
      <c r="IP635" s="1605"/>
      <c r="IQ635" s="1605"/>
      <c r="IR635" s="1605"/>
      <c r="IS635" s="1605"/>
      <c r="IT635" s="1605"/>
      <c r="IU635" s="1605"/>
      <c r="IV635" s="1605"/>
      <c r="IW635" s="1605"/>
      <c r="IX635" s="1605"/>
      <c r="IY635" s="1605"/>
      <c r="IZ635" s="1605"/>
      <c r="JA635" s="1605"/>
      <c r="JB635" s="1605"/>
      <c r="JC635" s="1605"/>
      <c r="JD635" s="1605"/>
      <c r="JE635" s="1605"/>
      <c r="JF635" s="1605"/>
      <c r="JG635" s="1605"/>
      <c r="JH635" s="1605"/>
      <c r="JI635" s="1605"/>
      <c r="JJ635" s="1605"/>
      <c r="JK635" s="1605"/>
      <c r="JL635" s="1605"/>
      <c r="JM635" s="1605"/>
      <c r="JN635" s="1605"/>
      <c r="JO635" s="1605"/>
      <c r="JP635" s="1605"/>
      <c r="JQ635" s="1605"/>
      <c r="JR635" s="1605"/>
      <c r="JS635" s="1605"/>
      <c r="JT635" s="1605"/>
      <c r="JU635" s="1605"/>
      <c r="JV635" s="1605"/>
      <c r="JW635" s="1605"/>
      <c r="JX635" s="1605"/>
      <c r="JY635" s="1605"/>
      <c r="JZ635" s="1605"/>
      <c r="KA635" s="1605"/>
      <c r="KB635" s="1606"/>
    </row>
    <row r="636" spans="1:289" ht="15" customHeight="1" x14ac:dyDescent="0.25">
      <c r="B636" s="216" t="str">
        <f t="shared" si="54"/>
        <v>Desk 6</v>
      </c>
      <c r="C636" s="218" t="str">
        <v/>
      </c>
      <c r="D636" s="218" t="str">
        <v/>
      </c>
      <c r="E636" s="218" t="str">
        <v/>
      </c>
      <c r="F636" s="218" t="str">
        <v/>
      </c>
      <c r="G636" s="402" t="str">
        <v/>
      </c>
      <c r="H636" s="1605"/>
      <c r="I636" s="1605"/>
      <c r="J636" s="1605"/>
      <c r="K636" s="1605"/>
      <c r="L636" s="1605"/>
      <c r="M636" s="1605"/>
      <c r="N636" s="1605"/>
      <c r="O636" s="1605"/>
      <c r="P636" s="1605"/>
      <c r="Q636" s="1605"/>
      <c r="R636" s="1605"/>
      <c r="S636" s="1605"/>
      <c r="T636" s="1605"/>
      <c r="U636" s="1605"/>
      <c r="V636" s="1605"/>
      <c r="W636" s="1605"/>
      <c r="X636" s="1605"/>
      <c r="Y636" s="1605"/>
      <c r="Z636" s="1605"/>
      <c r="AA636" s="1605"/>
      <c r="AB636" s="1605"/>
      <c r="AC636" s="1605"/>
      <c r="AD636" s="1605"/>
      <c r="AE636" s="1605"/>
      <c r="AF636" s="1605"/>
      <c r="AG636" s="1605"/>
      <c r="AH636" s="1605"/>
      <c r="AI636" s="1605"/>
      <c r="AJ636" s="1605"/>
      <c r="AK636" s="1605"/>
      <c r="AL636" s="1605"/>
      <c r="AM636" s="1605"/>
      <c r="AN636" s="1605"/>
      <c r="AO636" s="1605"/>
      <c r="AP636" s="1605"/>
      <c r="AQ636" s="1605"/>
      <c r="AR636" s="1605"/>
      <c r="AS636" s="1605"/>
      <c r="AT636" s="1605"/>
      <c r="AU636" s="1605"/>
      <c r="AV636" s="1605"/>
      <c r="AW636" s="1605"/>
      <c r="AX636" s="1605"/>
      <c r="AY636" s="1605"/>
      <c r="AZ636" s="1605"/>
      <c r="BA636" s="1605"/>
      <c r="BB636" s="1605"/>
      <c r="BC636" s="1605"/>
      <c r="BD636" s="1605"/>
      <c r="BE636" s="1605"/>
      <c r="BF636" s="1605"/>
      <c r="BG636" s="1605"/>
      <c r="BH636" s="1605"/>
      <c r="BI636" s="1605"/>
      <c r="BJ636" s="1605"/>
      <c r="BK636" s="1605"/>
      <c r="BL636" s="1605"/>
      <c r="BM636" s="1605"/>
      <c r="BN636" s="1605"/>
      <c r="BO636" s="1605"/>
      <c r="BP636" s="1605"/>
      <c r="BQ636" s="1605"/>
      <c r="BR636" s="1605"/>
      <c r="BS636" s="1605"/>
      <c r="BT636" s="1605"/>
      <c r="BU636" s="1605"/>
      <c r="BV636" s="1605"/>
      <c r="BW636" s="1605"/>
      <c r="BX636" s="1605"/>
      <c r="BY636" s="1605"/>
      <c r="BZ636" s="1605"/>
      <c r="CA636" s="1605"/>
      <c r="CB636" s="1605"/>
      <c r="CC636" s="1605"/>
      <c r="CD636" s="1605"/>
      <c r="CE636" s="1605"/>
      <c r="CF636" s="1605"/>
      <c r="CG636" s="1605"/>
      <c r="CH636" s="1605"/>
      <c r="CI636" s="1605"/>
      <c r="CJ636" s="1605"/>
      <c r="CK636" s="1605"/>
      <c r="CL636" s="1605"/>
      <c r="CM636" s="1605"/>
      <c r="CN636" s="1605"/>
      <c r="CO636" s="1605"/>
      <c r="CP636" s="1605"/>
      <c r="CQ636" s="1605"/>
      <c r="CR636" s="1605"/>
      <c r="CS636" s="1605"/>
      <c r="CT636" s="1605"/>
      <c r="CU636" s="1605"/>
      <c r="CV636" s="1605"/>
      <c r="CW636" s="1605"/>
      <c r="CX636" s="1605"/>
      <c r="CY636" s="1605"/>
      <c r="CZ636" s="1605"/>
      <c r="DA636" s="1605"/>
      <c r="DB636" s="1605"/>
      <c r="DC636" s="1605"/>
      <c r="DD636" s="1605"/>
      <c r="DE636" s="1605"/>
      <c r="DF636" s="1605"/>
      <c r="DG636" s="1605"/>
      <c r="DH636" s="1605"/>
      <c r="DI636" s="1605"/>
      <c r="DJ636" s="1605"/>
      <c r="DK636" s="1605"/>
      <c r="DL636" s="1605"/>
      <c r="DM636" s="1605"/>
      <c r="DN636" s="1605"/>
      <c r="DO636" s="1605"/>
      <c r="DP636" s="1605"/>
      <c r="DQ636" s="1605"/>
      <c r="DR636" s="1605"/>
      <c r="DS636" s="1605"/>
      <c r="DT636" s="1605"/>
      <c r="DU636" s="1605"/>
      <c r="DV636" s="1605"/>
      <c r="DW636" s="1605"/>
      <c r="DX636" s="1605"/>
      <c r="DY636" s="1605"/>
      <c r="DZ636" s="1605"/>
      <c r="EA636" s="1605"/>
      <c r="EB636" s="1605"/>
      <c r="EC636" s="1605"/>
      <c r="ED636" s="1605"/>
      <c r="EE636" s="1605"/>
      <c r="EF636" s="1605"/>
      <c r="EG636" s="1605"/>
      <c r="EH636" s="1605"/>
      <c r="EI636" s="1605"/>
      <c r="EJ636" s="1605"/>
      <c r="EK636" s="1605"/>
      <c r="EL636" s="1605"/>
      <c r="EM636" s="1605"/>
      <c r="EN636" s="1605"/>
      <c r="EO636" s="1605"/>
      <c r="EP636" s="1605"/>
      <c r="EQ636" s="1605"/>
      <c r="ER636" s="1605"/>
      <c r="ES636" s="1605"/>
      <c r="ET636" s="1605"/>
      <c r="EU636" s="1605"/>
      <c r="EV636" s="1605"/>
      <c r="EW636" s="1605"/>
      <c r="EX636" s="1605"/>
      <c r="EY636" s="1605"/>
      <c r="EZ636" s="1605"/>
      <c r="FA636" s="1605"/>
      <c r="FB636" s="1605"/>
      <c r="FC636" s="1605"/>
      <c r="FD636" s="1605"/>
      <c r="FE636" s="1605"/>
      <c r="FF636" s="1605"/>
      <c r="FG636" s="1605"/>
      <c r="FH636" s="1605"/>
      <c r="FI636" s="1605"/>
      <c r="FJ636" s="1605"/>
      <c r="FK636" s="1605"/>
      <c r="FL636" s="1605"/>
      <c r="FM636" s="1605"/>
      <c r="FN636" s="1605"/>
      <c r="FO636" s="1605"/>
      <c r="FP636" s="1605"/>
      <c r="FQ636" s="1605"/>
      <c r="FR636" s="1605"/>
      <c r="FS636" s="1605"/>
      <c r="FT636" s="1605"/>
      <c r="FU636" s="1605"/>
      <c r="FV636" s="1605"/>
      <c r="FW636" s="1605"/>
      <c r="FX636" s="1605"/>
      <c r="FY636" s="1605"/>
      <c r="FZ636" s="1605"/>
      <c r="GA636" s="1605"/>
      <c r="GB636" s="1605"/>
      <c r="GC636" s="1605"/>
      <c r="GD636" s="1605"/>
      <c r="GE636" s="1605"/>
      <c r="GF636" s="1605"/>
      <c r="GG636" s="1605"/>
      <c r="GH636" s="1605"/>
      <c r="GI636" s="1605"/>
      <c r="GJ636" s="1605"/>
      <c r="GK636" s="1605"/>
      <c r="GL636" s="1605"/>
      <c r="GM636" s="1605"/>
      <c r="GN636" s="1605"/>
      <c r="GO636" s="1605"/>
      <c r="GP636" s="1605"/>
      <c r="GQ636" s="1605"/>
      <c r="GR636" s="1605"/>
      <c r="GS636" s="1605"/>
      <c r="GT636" s="1605"/>
      <c r="GU636" s="1605"/>
      <c r="GV636" s="1605"/>
      <c r="GW636" s="1605"/>
      <c r="GX636" s="1605"/>
      <c r="GY636" s="1605"/>
      <c r="GZ636" s="1605"/>
      <c r="HA636" s="1605"/>
      <c r="HB636" s="1605"/>
      <c r="HC636" s="1605"/>
      <c r="HD636" s="1605"/>
      <c r="HE636" s="1605"/>
      <c r="HF636" s="1605"/>
      <c r="HG636" s="1605"/>
      <c r="HH636" s="1605"/>
      <c r="HI636" s="1605"/>
      <c r="HJ636" s="1605"/>
      <c r="HK636" s="1605"/>
      <c r="HL636" s="1605"/>
      <c r="HM636" s="1605"/>
      <c r="HN636" s="1605"/>
      <c r="HO636" s="1605"/>
      <c r="HP636" s="1605"/>
      <c r="HQ636" s="1605"/>
      <c r="HR636" s="1605"/>
      <c r="HS636" s="1605"/>
      <c r="HT636" s="1605"/>
      <c r="HU636" s="1605"/>
      <c r="HV636" s="1605"/>
      <c r="HW636" s="1605"/>
      <c r="HX636" s="1605"/>
      <c r="HY636" s="1605"/>
      <c r="HZ636" s="1605"/>
      <c r="IA636" s="1605"/>
      <c r="IB636" s="1605"/>
      <c r="IC636" s="1605"/>
      <c r="ID636" s="1605"/>
      <c r="IE636" s="1605"/>
      <c r="IF636" s="1605"/>
      <c r="IG636" s="1605"/>
      <c r="IH636" s="1605"/>
      <c r="II636" s="1605"/>
      <c r="IJ636" s="1605"/>
      <c r="IK636" s="1605"/>
      <c r="IL636" s="1605"/>
      <c r="IM636" s="1605"/>
      <c r="IN636" s="1605"/>
      <c r="IO636" s="1605"/>
      <c r="IP636" s="1605"/>
      <c r="IQ636" s="1605"/>
      <c r="IR636" s="1605"/>
      <c r="IS636" s="1605"/>
      <c r="IT636" s="1605"/>
      <c r="IU636" s="1605"/>
      <c r="IV636" s="1605"/>
      <c r="IW636" s="1605"/>
      <c r="IX636" s="1605"/>
      <c r="IY636" s="1605"/>
      <c r="IZ636" s="1605"/>
      <c r="JA636" s="1605"/>
      <c r="JB636" s="1605"/>
      <c r="JC636" s="1605"/>
      <c r="JD636" s="1605"/>
      <c r="JE636" s="1605"/>
      <c r="JF636" s="1605"/>
      <c r="JG636" s="1605"/>
      <c r="JH636" s="1605"/>
      <c r="JI636" s="1605"/>
      <c r="JJ636" s="1605"/>
      <c r="JK636" s="1605"/>
      <c r="JL636" s="1605"/>
      <c r="JM636" s="1605"/>
      <c r="JN636" s="1605"/>
      <c r="JO636" s="1605"/>
      <c r="JP636" s="1605"/>
      <c r="JQ636" s="1605"/>
      <c r="JR636" s="1605"/>
      <c r="JS636" s="1605"/>
      <c r="JT636" s="1605"/>
      <c r="JU636" s="1605"/>
      <c r="JV636" s="1605"/>
      <c r="JW636" s="1605"/>
      <c r="JX636" s="1605"/>
      <c r="JY636" s="1605"/>
      <c r="JZ636" s="1605"/>
      <c r="KA636" s="1605"/>
      <c r="KB636" s="1606"/>
    </row>
    <row r="637" spans="1:289" ht="15" customHeight="1" x14ac:dyDescent="0.25">
      <c r="B637" s="216" t="str">
        <f t="shared" si="54"/>
        <v>Desk 7</v>
      </c>
      <c r="C637" s="218" t="str">
        <v/>
      </c>
      <c r="D637" s="218" t="str">
        <v/>
      </c>
      <c r="E637" s="218" t="str">
        <v/>
      </c>
      <c r="F637" s="218" t="str">
        <v/>
      </c>
      <c r="G637" s="402" t="str">
        <v/>
      </c>
      <c r="H637" s="1605"/>
      <c r="I637" s="1605"/>
      <c r="J637" s="1605"/>
      <c r="K637" s="1605"/>
      <c r="L637" s="1605"/>
      <c r="M637" s="1605"/>
      <c r="N637" s="1605"/>
      <c r="O637" s="1605"/>
      <c r="P637" s="1605"/>
      <c r="Q637" s="1605"/>
      <c r="R637" s="1605"/>
      <c r="S637" s="1605"/>
      <c r="T637" s="1605"/>
      <c r="U637" s="1605"/>
      <c r="V637" s="1605"/>
      <c r="W637" s="1605"/>
      <c r="X637" s="1605"/>
      <c r="Y637" s="1605"/>
      <c r="Z637" s="1605"/>
      <c r="AA637" s="1605"/>
      <c r="AB637" s="1605"/>
      <c r="AC637" s="1605"/>
      <c r="AD637" s="1605"/>
      <c r="AE637" s="1605"/>
      <c r="AF637" s="1605"/>
      <c r="AG637" s="1605"/>
      <c r="AH637" s="1605"/>
      <c r="AI637" s="1605"/>
      <c r="AJ637" s="1605"/>
      <c r="AK637" s="1605"/>
      <c r="AL637" s="1605"/>
      <c r="AM637" s="1605"/>
      <c r="AN637" s="1605"/>
      <c r="AO637" s="1605"/>
      <c r="AP637" s="1605"/>
      <c r="AQ637" s="1605"/>
      <c r="AR637" s="1605"/>
      <c r="AS637" s="1605"/>
      <c r="AT637" s="1605"/>
      <c r="AU637" s="1605"/>
      <c r="AV637" s="1605"/>
      <c r="AW637" s="1605"/>
      <c r="AX637" s="1605"/>
      <c r="AY637" s="1605"/>
      <c r="AZ637" s="1605"/>
      <c r="BA637" s="1605"/>
      <c r="BB637" s="1605"/>
      <c r="BC637" s="1605"/>
      <c r="BD637" s="1605"/>
      <c r="BE637" s="1605"/>
      <c r="BF637" s="1605"/>
      <c r="BG637" s="1605"/>
      <c r="BH637" s="1605"/>
      <c r="BI637" s="1605"/>
      <c r="BJ637" s="1605"/>
      <c r="BK637" s="1605"/>
      <c r="BL637" s="1605"/>
      <c r="BM637" s="1605"/>
      <c r="BN637" s="1605"/>
      <c r="BO637" s="1605"/>
      <c r="BP637" s="1605"/>
      <c r="BQ637" s="1605"/>
      <c r="BR637" s="1605"/>
      <c r="BS637" s="1605"/>
      <c r="BT637" s="1605"/>
      <c r="BU637" s="1605"/>
      <c r="BV637" s="1605"/>
      <c r="BW637" s="1605"/>
      <c r="BX637" s="1605"/>
      <c r="BY637" s="1605"/>
      <c r="BZ637" s="1605"/>
      <c r="CA637" s="1605"/>
      <c r="CB637" s="1605"/>
      <c r="CC637" s="1605"/>
      <c r="CD637" s="1605"/>
      <c r="CE637" s="1605"/>
      <c r="CF637" s="1605"/>
      <c r="CG637" s="1605"/>
      <c r="CH637" s="1605"/>
      <c r="CI637" s="1605"/>
      <c r="CJ637" s="1605"/>
      <c r="CK637" s="1605"/>
      <c r="CL637" s="1605"/>
      <c r="CM637" s="1605"/>
      <c r="CN637" s="1605"/>
      <c r="CO637" s="1605"/>
      <c r="CP637" s="1605"/>
      <c r="CQ637" s="1605"/>
      <c r="CR637" s="1605"/>
      <c r="CS637" s="1605"/>
      <c r="CT637" s="1605"/>
      <c r="CU637" s="1605"/>
      <c r="CV637" s="1605"/>
      <c r="CW637" s="1605"/>
      <c r="CX637" s="1605"/>
      <c r="CY637" s="1605"/>
      <c r="CZ637" s="1605"/>
      <c r="DA637" s="1605"/>
      <c r="DB637" s="1605"/>
      <c r="DC637" s="1605"/>
      <c r="DD637" s="1605"/>
      <c r="DE637" s="1605"/>
      <c r="DF637" s="1605"/>
      <c r="DG637" s="1605"/>
      <c r="DH637" s="1605"/>
      <c r="DI637" s="1605"/>
      <c r="DJ637" s="1605"/>
      <c r="DK637" s="1605"/>
      <c r="DL637" s="1605"/>
      <c r="DM637" s="1605"/>
      <c r="DN637" s="1605"/>
      <c r="DO637" s="1605"/>
      <c r="DP637" s="1605"/>
      <c r="DQ637" s="1605"/>
      <c r="DR637" s="1605"/>
      <c r="DS637" s="1605"/>
      <c r="DT637" s="1605"/>
      <c r="DU637" s="1605"/>
      <c r="DV637" s="1605"/>
      <c r="DW637" s="1605"/>
      <c r="DX637" s="1605"/>
      <c r="DY637" s="1605"/>
      <c r="DZ637" s="1605"/>
      <c r="EA637" s="1605"/>
      <c r="EB637" s="1605"/>
      <c r="EC637" s="1605"/>
      <c r="ED637" s="1605"/>
      <c r="EE637" s="1605"/>
      <c r="EF637" s="1605"/>
      <c r="EG637" s="1605"/>
      <c r="EH637" s="1605"/>
      <c r="EI637" s="1605"/>
      <c r="EJ637" s="1605"/>
      <c r="EK637" s="1605"/>
      <c r="EL637" s="1605"/>
      <c r="EM637" s="1605"/>
      <c r="EN637" s="1605"/>
      <c r="EO637" s="1605"/>
      <c r="EP637" s="1605"/>
      <c r="EQ637" s="1605"/>
      <c r="ER637" s="1605"/>
      <c r="ES637" s="1605"/>
      <c r="ET637" s="1605"/>
      <c r="EU637" s="1605"/>
      <c r="EV637" s="1605"/>
      <c r="EW637" s="1605"/>
      <c r="EX637" s="1605"/>
      <c r="EY637" s="1605"/>
      <c r="EZ637" s="1605"/>
      <c r="FA637" s="1605"/>
      <c r="FB637" s="1605"/>
      <c r="FC637" s="1605"/>
      <c r="FD637" s="1605"/>
      <c r="FE637" s="1605"/>
      <c r="FF637" s="1605"/>
      <c r="FG637" s="1605"/>
      <c r="FH637" s="1605"/>
      <c r="FI637" s="1605"/>
      <c r="FJ637" s="1605"/>
      <c r="FK637" s="1605"/>
      <c r="FL637" s="1605"/>
      <c r="FM637" s="1605"/>
      <c r="FN637" s="1605"/>
      <c r="FO637" s="1605"/>
      <c r="FP637" s="1605"/>
      <c r="FQ637" s="1605"/>
      <c r="FR637" s="1605"/>
      <c r="FS637" s="1605"/>
      <c r="FT637" s="1605"/>
      <c r="FU637" s="1605"/>
      <c r="FV637" s="1605"/>
      <c r="FW637" s="1605"/>
      <c r="FX637" s="1605"/>
      <c r="FY637" s="1605"/>
      <c r="FZ637" s="1605"/>
      <c r="GA637" s="1605"/>
      <c r="GB637" s="1605"/>
      <c r="GC637" s="1605"/>
      <c r="GD637" s="1605"/>
      <c r="GE637" s="1605"/>
      <c r="GF637" s="1605"/>
      <c r="GG637" s="1605"/>
      <c r="GH637" s="1605"/>
      <c r="GI637" s="1605"/>
      <c r="GJ637" s="1605"/>
      <c r="GK637" s="1605"/>
      <c r="GL637" s="1605"/>
      <c r="GM637" s="1605"/>
      <c r="GN637" s="1605"/>
      <c r="GO637" s="1605"/>
      <c r="GP637" s="1605"/>
      <c r="GQ637" s="1605"/>
      <c r="GR637" s="1605"/>
      <c r="GS637" s="1605"/>
      <c r="GT637" s="1605"/>
      <c r="GU637" s="1605"/>
      <c r="GV637" s="1605"/>
      <c r="GW637" s="1605"/>
      <c r="GX637" s="1605"/>
      <c r="GY637" s="1605"/>
      <c r="GZ637" s="1605"/>
      <c r="HA637" s="1605"/>
      <c r="HB637" s="1605"/>
      <c r="HC637" s="1605"/>
      <c r="HD637" s="1605"/>
      <c r="HE637" s="1605"/>
      <c r="HF637" s="1605"/>
      <c r="HG637" s="1605"/>
      <c r="HH637" s="1605"/>
      <c r="HI637" s="1605"/>
      <c r="HJ637" s="1605"/>
      <c r="HK637" s="1605"/>
      <c r="HL637" s="1605"/>
      <c r="HM637" s="1605"/>
      <c r="HN637" s="1605"/>
      <c r="HO637" s="1605"/>
      <c r="HP637" s="1605"/>
      <c r="HQ637" s="1605"/>
      <c r="HR637" s="1605"/>
      <c r="HS637" s="1605"/>
      <c r="HT637" s="1605"/>
      <c r="HU637" s="1605"/>
      <c r="HV637" s="1605"/>
      <c r="HW637" s="1605"/>
      <c r="HX637" s="1605"/>
      <c r="HY637" s="1605"/>
      <c r="HZ637" s="1605"/>
      <c r="IA637" s="1605"/>
      <c r="IB637" s="1605"/>
      <c r="IC637" s="1605"/>
      <c r="ID637" s="1605"/>
      <c r="IE637" s="1605"/>
      <c r="IF637" s="1605"/>
      <c r="IG637" s="1605"/>
      <c r="IH637" s="1605"/>
      <c r="II637" s="1605"/>
      <c r="IJ637" s="1605"/>
      <c r="IK637" s="1605"/>
      <c r="IL637" s="1605"/>
      <c r="IM637" s="1605"/>
      <c r="IN637" s="1605"/>
      <c r="IO637" s="1605"/>
      <c r="IP637" s="1605"/>
      <c r="IQ637" s="1605"/>
      <c r="IR637" s="1605"/>
      <c r="IS637" s="1605"/>
      <c r="IT637" s="1605"/>
      <c r="IU637" s="1605"/>
      <c r="IV637" s="1605"/>
      <c r="IW637" s="1605"/>
      <c r="IX637" s="1605"/>
      <c r="IY637" s="1605"/>
      <c r="IZ637" s="1605"/>
      <c r="JA637" s="1605"/>
      <c r="JB637" s="1605"/>
      <c r="JC637" s="1605"/>
      <c r="JD637" s="1605"/>
      <c r="JE637" s="1605"/>
      <c r="JF637" s="1605"/>
      <c r="JG637" s="1605"/>
      <c r="JH637" s="1605"/>
      <c r="JI637" s="1605"/>
      <c r="JJ637" s="1605"/>
      <c r="JK637" s="1605"/>
      <c r="JL637" s="1605"/>
      <c r="JM637" s="1605"/>
      <c r="JN637" s="1605"/>
      <c r="JO637" s="1605"/>
      <c r="JP637" s="1605"/>
      <c r="JQ637" s="1605"/>
      <c r="JR637" s="1605"/>
      <c r="JS637" s="1605"/>
      <c r="JT637" s="1605"/>
      <c r="JU637" s="1605"/>
      <c r="JV637" s="1605"/>
      <c r="JW637" s="1605"/>
      <c r="JX637" s="1605"/>
      <c r="JY637" s="1605"/>
      <c r="JZ637" s="1605"/>
      <c r="KA637" s="1605"/>
      <c r="KB637" s="1606"/>
    </row>
    <row r="638" spans="1:289" ht="15" customHeight="1" x14ac:dyDescent="0.25">
      <c r="B638" s="216" t="str">
        <f t="shared" si="54"/>
        <v>Desk 8</v>
      </c>
      <c r="C638" s="218" t="str">
        <v/>
      </c>
      <c r="D638" s="218" t="str">
        <v/>
      </c>
      <c r="E638" s="218" t="str">
        <v/>
      </c>
      <c r="F638" s="218" t="str">
        <v/>
      </c>
      <c r="G638" s="402" t="str">
        <v/>
      </c>
      <c r="H638" s="1605"/>
      <c r="I638" s="1605"/>
      <c r="J638" s="1605"/>
      <c r="K638" s="1605"/>
      <c r="L638" s="1605"/>
      <c r="M638" s="1605"/>
      <c r="N638" s="1605"/>
      <c r="O638" s="1605"/>
      <c r="P638" s="1605"/>
      <c r="Q638" s="1605"/>
      <c r="R638" s="1605"/>
      <c r="S638" s="1605"/>
      <c r="T638" s="1605"/>
      <c r="U638" s="1605"/>
      <c r="V638" s="1605"/>
      <c r="W638" s="1605"/>
      <c r="X638" s="1605"/>
      <c r="Y638" s="1605"/>
      <c r="Z638" s="1605"/>
      <c r="AA638" s="1605"/>
      <c r="AB638" s="1605"/>
      <c r="AC638" s="1605"/>
      <c r="AD638" s="1605"/>
      <c r="AE638" s="1605"/>
      <c r="AF638" s="1605"/>
      <c r="AG638" s="1605"/>
      <c r="AH638" s="1605"/>
      <c r="AI638" s="1605"/>
      <c r="AJ638" s="1605"/>
      <c r="AK638" s="1605"/>
      <c r="AL638" s="1605"/>
      <c r="AM638" s="1605"/>
      <c r="AN638" s="1605"/>
      <c r="AO638" s="1605"/>
      <c r="AP638" s="1605"/>
      <c r="AQ638" s="1605"/>
      <c r="AR638" s="1605"/>
      <c r="AS638" s="1605"/>
      <c r="AT638" s="1605"/>
      <c r="AU638" s="1605"/>
      <c r="AV638" s="1605"/>
      <c r="AW638" s="1605"/>
      <c r="AX638" s="1605"/>
      <c r="AY638" s="1605"/>
      <c r="AZ638" s="1605"/>
      <c r="BA638" s="1605"/>
      <c r="BB638" s="1605"/>
      <c r="BC638" s="1605"/>
      <c r="BD638" s="1605"/>
      <c r="BE638" s="1605"/>
      <c r="BF638" s="1605"/>
      <c r="BG638" s="1605"/>
      <c r="BH638" s="1605"/>
      <c r="BI638" s="1605"/>
      <c r="BJ638" s="1605"/>
      <c r="BK638" s="1605"/>
      <c r="BL638" s="1605"/>
      <c r="BM638" s="1605"/>
      <c r="BN638" s="1605"/>
      <c r="BO638" s="1605"/>
      <c r="BP638" s="1605"/>
      <c r="BQ638" s="1605"/>
      <c r="BR638" s="1605"/>
      <c r="BS638" s="1605"/>
      <c r="BT638" s="1605"/>
      <c r="BU638" s="1605"/>
      <c r="BV638" s="1605"/>
      <c r="BW638" s="1605"/>
      <c r="BX638" s="1605"/>
      <c r="BY638" s="1605"/>
      <c r="BZ638" s="1605"/>
      <c r="CA638" s="1605"/>
      <c r="CB638" s="1605"/>
      <c r="CC638" s="1605"/>
      <c r="CD638" s="1605"/>
      <c r="CE638" s="1605"/>
      <c r="CF638" s="1605"/>
      <c r="CG638" s="1605"/>
      <c r="CH638" s="1605"/>
      <c r="CI638" s="1605"/>
      <c r="CJ638" s="1605"/>
      <c r="CK638" s="1605"/>
      <c r="CL638" s="1605"/>
      <c r="CM638" s="1605"/>
      <c r="CN638" s="1605"/>
      <c r="CO638" s="1605"/>
      <c r="CP638" s="1605"/>
      <c r="CQ638" s="1605"/>
      <c r="CR638" s="1605"/>
      <c r="CS638" s="1605"/>
      <c r="CT638" s="1605"/>
      <c r="CU638" s="1605"/>
      <c r="CV638" s="1605"/>
      <c r="CW638" s="1605"/>
      <c r="CX638" s="1605"/>
      <c r="CY638" s="1605"/>
      <c r="CZ638" s="1605"/>
      <c r="DA638" s="1605"/>
      <c r="DB638" s="1605"/>
      <c r="DC638" s="1605"/>
      <c r="DD638" s="1605"/>
      <c r="DE638" s="1605"/>
      <c r="DF638" s="1605"/>
      <c r="DG638" s="1605"/>
      <c r="DH638" s="1605"/>
      <c r="DI638" s="1605"/>
      <c r="DJ638" s="1605"/>
      <c r="DK638" s="1605"/>
      <c r="DL638" s="1605"/>
      <c r="DM638" s="1605"/>
      <c r="DN638" s="1605"/>
      <c r="DO638" s="1605"/>
      <c r="DP638" s="1605"/>
      <c r="DQ638" s="1605"/>
      <c r="DR638" s="1605"/>
      <c r="DS638" s="1605"/>
      <c r="DT638" s="1605"/>
      <c r="DU638" s="1605"/>
      <c r="DV638" s="1605"/>
      <c r="DW638" s="1605"/>
      <c r="DX638" s="1605"/>
      <c r="DY638" s="1605"/>
      <c r="DZ638" s="1605"/>
      <c r="EA638" s="1605"/>
      <c r="EB638" s="1605"/>
      <c r="EC638" s="1605"/>
      <c r="ED638" s="1605"/>
      <c r="EE638" s="1605"/>
      <c r="EF638" s="1605"/>
      <c r="EG638" s="1605"/>
      <c r="EH638" s="1605"/>
      <c r="EI638" s="1605"/>
      <c r="EJ638" s="1605"/>
      <c r="EK638" s="1605"/>
      <c r="EL638" s="1605"/>
      <c r="EM638" s="1605"/>
      <c r="EN638" s="1605"/>
      <c r="EO638" s="1605"/>
      <c r="EP638" s="1605"/>
      <c r="EQ638" s="1605"/>
      <c r="ER638" s="1605"/>
      <c r="ES638" s="1605"/>
      <c r="ET638" s="1605"/>
      <c r="EU638" s="1605"/>
      <c r="EV638" s="1605"/>
      <c r="EW638" s="1605"/>
      <c r="EX638" s="1605"/>
      <c r="EY638" s="1605"/>
      <c r="EZ638" s="1605"/>
      <c r="FA638" s="1605"/>
      <c r="FB638" s="1605"/>
      <c r="FC638" s="1605"/>
      <c r="FD638" s="1605"/>
      <c r="FE638" s="1605"/>
      <c r="FF638" s="1605"/>
      <c r="FG638" s="1605"/>
      <c r="FH638" s="1605"/>
      <c r="FI638" s="1605"/>
      <c r="FJ638" s="1605"/>
      <c r="FK638" s="1605"/>
      <c r="FL638" s="1605"/>
      <c r="FM638" s="1605"/>
      <c r="FN638" s="1605"/>
      <c r="FO638" s="1605"/>
      <c r="FP638" s="1605"/>
      <c r="FQ638" s="1605"/>
      <c r="FR638" s="1605"/>
      <c r="FS638" s="1605"/>
      <c r="FT638" s="1605"/>
      <c r="FU638" s="1605"/>
      <c r="FV638" s="1605"/>
      <c r="FW638" s="1605"/>
      <c r="FX638" s="1605"/>
      <c r="FY638" s="1605"/>
      <c r="FZ638" s="1605"/>
      <c r="GA638" s="1605"/>
      <c r="GB638" s="1605"/>
      <c r="GC638" s="1605"/>
      <c r="GD638" s="1605"/>
      <c r="GE638" s="1605"/>
      <c r="GF638" s="1605"/>
      <c r="GG638" s="1605"/>
      <c r="GH638" s="1605"/>
      <c r="GI638" s="1605"/>
      <c r="GJ638" s="1605"/>
      <c r="GK638" s="1605"/>
      <c r="GL638" s="1605"/>
      <c r="GM638" s="1605"/>
      <c r="GN638" s="1605"/>
      <c r="GO638" s="1605"/>
      <c r="GP638" s="1605"/>
      <c r="GQ638" s="1605"/>
      <c r="GR638" s="1605"/>
      <c r="GS638" s="1605"/>
      <c r="GT638" s="1605"/>
      <c r="GU638" s="1605"/>
      <c r="GV638" s="1605"/>
      <c r="GW638" s="1605"/>
      <c r="GX638" s="1605"/>
      <c r="GY638" s="1605"/>
      <c r="GZ638" s="1605"/>
      <c r="HA638" s="1605"/>
      <c r="HB638" s="1605"/>
      <c r="HC638" s="1605"/>
      <c r="HD638" s="1605"/>
      <c r="HE638" s="1605"/>
      <c r="HF638" s="1605"/>
      <c r="HG638" s="1605"/>
      <c r="HH638" s="1605"/>
      <c r="HI638" s="1605"/>
      <c r="HJ638" s="1605"/>
      <c r="HK638" s="1605"/>
      <c r="HL638" s="1605"/>
      <c r="HM638" s="1605"/>
      <c r="HN638" s="1605"/>
      <c r="HO638" s="1605"/>
      <c r="HP638" s="1605"/>
      <c r="HQ638" s="1605"/>
      <c r="HR638" s="1605"/>
      <c r="HS638" s="1605"/>
      <c r="HT638" s="1605"/>
      <c r="HU638" s="1605"/>
      <c r="HV638" s="1605"/>
      <c r="HW638" s="1605"/>
      <c r="HX638" s="1605"/>
      <c r="HY638" s="1605"/>
      <c r="HZ638" s="1605"/>
      <c r="IA638" s="1605"/>
      <c r="IB638" s="1605"/>
      <c r="IC638" s="1605"/>
      <c r="ID638" s="1605"/>
      <c r="IE638" s="1605"/>
      <c r="IF638" s="1605"/>
      <c r="IG638" s="1605"/>
      <c r="IH638" s="1605"/>
      <c r="II638" s="1605"/>
      <c r="IJ638" s="1605"/>
      <c r="IK638" s="1605"/>
      <c r="IL638" s="1605"/>
      <c r="IM638" s="1605"/>
      <c r="IN638" s="1605"/>
      <c r="IO638" s="1605"/>
      <c r="IP638" s="1605"/>
      <c r="IQ638" s="1605"/>
      <c r="IR638" s="1605"/>
      <c r="IS638" s="1605"/>
      <c r="IT638" s="1605"/>
      <c r="IU638" s="1605"/>
      <c r="IV638" s="1605"/>
      <c r="IW638" s="1605"/>
      <c r="IX638" s="1605"/>
      <c r="IY638" s="1605"/>
      <c r="IZ638" s="1605"/>
      <c r="JA638" s="1605"/>
      <c r="JB638" s="1605"/>
      <c r="JC638" s="1605"/>
      <c r="JD638" s="1605"/>
      <c r="JE638" s="1605"/>
      <c r="JF638" s="1605"/>
      <c r="JG638" s="1605"/>
      <c r="JH638" s="1605"/>
      <c r="JI638" s="1605"/>
      <c r="JJ638" s="1605"/>
      <c r="JK638" s="1605"/>
      <c r="JL638" s="1605"/>
      <c r="JM638" s="1605"/>
      <c r="JN638" s="1605"/>
      <c r="JO638" s="1605"/>
      <c r="JP638" s="1605"/>
      <c r="JQ638" s="1605"/>
      <c r="JR638" s="1605"/>
      <c r="JS638" s="1605"/>
      <c r="JT638" s="1605"/>
      <c r="JU638" s="1605"/>
      <c r="JV638" s="1605"/>
      <c r="JW638" s="1605"/>
      <c r="JX638" s="1605"/>
      <c r="JY638" s="1605"/>
      <c r="JZ638" s="1605"/>
      <c r="KA638" s="1605"/>
      <c r="KB638" s="1606"/>
    </row>
    <row r="639" spans="1:289" ht="15" customHeight="1" x14ac:dyDescent="0.25">
      <c r="B639" s="216" t="str">
        <f t="shared" si="54"/>
        <v>Desk 9</v>
      </c>
      <c r="C639" s="218" t="str">
        <v/>
      </c>
      <c r="D639" s="218" t="str">
        <v/>
      </c>
      <c r="E639" s="218" t="str">
        <v/>
      </c>
      <c r="F639" s="218" t="str">
        <v/>
      </c>
      <c r="G639" s="402" t="str">
        <v/>
      </c>
      <c r="H639" s="1605"/>
      <c r="I639" s="1605"/>
      <c r="J639" s="1605"/>
      <c r="K639" s="1605"/>
      <c r="L639" s="1605"/>
      <c r="M639" s="1605"/>
      <c r="N639" s="1605"/>
      <c r="O639" s="1605"/>
      <c r="P639" s="1605"/>
      <c r="Q639" s="1605"/>
      <c r="R639" s="1605"/>
      <c r="S639" s="1605"/>
      <c r="T639" s="1605"/>
      <c r="U639" s="1605"/>
      <c r="V639" s="1605"/>
      <c r="W639" s="1605"/>
      <c r="X639" s="1605"/>
      <c r="Y639" s="1605"/>
      <c r="Z639" s="1605"/>
      <c r="AA639" s="1605"/>
      <c r="AB639" s="1605"/>
      <c r="AC639" s="1605"/>
      <c r="AD639" s="1605"/>
      <c r="AE639" s="1605"/>
      <c r="AF639" s="1605"/>
      <c r="AG639" s="1605"/>
      <c r="AH639" s="1605"/>
      <c r="AI639" s="1605"/>
      <c r="AJ639" s="1605"/>
      <c r="AK639" s="1605"/>
      <c r="AL639" s="1605"/>
      <c r="AM639" s="1605"/>
      <c r="AN639" s="1605"/>
      <c r="AO639" s="1605"/>
      <c r="AP639" s="1605"/>
      <c r="AQ639" s="1605"/>
      <c r="AR639" s="1605"/>
      <c r="AS639" s="1605"/>
      <c r="AT639" s="1605"/>
      <c r="AU639" s="1605"/>
      <c r="AV639" s="1605"/>
      <c r="AW639" s="1605"/>
      <c r="AX639" s="1605"/>
      <c r="AY639" s="1605"/>
      <c r="AZ639" s="1605"/>
      <c r="BA639" s="1605"/>
      <c r="BB639" s="1605"/>
      <c r="BC639" s="1605"/>
      <c r="BD639" s="1605"/>
      <c r="BE639" s="1605"/>
      <c r="BF639" s="1605"/>
      <c r="BG639" s="1605"/>
      <c r="BH639" s="1605"/>
      <c r="BI639" s="1605"/>
      <c r="BJ639" s="1605"/>
      <c r="BK639" s="1605"/>
      <c r="BL639" s="1605"/>
      <c r="BM639" s="1605"/>
      <c r="BN639" s="1605"/>
      <c r="BO639" s="1605"/>
      <c r="BP639" s="1605"/>
      <c r="BQ639" s="1605"/>
      <c r="BR639" s="1605"/>
      <c r="BS639" s="1605"/>
      <c r="BT639" s="1605"/>
      <c r="BU639" s="1605"/>
      <c r="BV639" s="1605"/>
      <c r="BW639" s="1605"/>
      <c r="BX639" s="1605"/>
      <c r="BY639" s="1605"/>
      <c r="BZ639" s="1605"/>
      <c r="CA639" s="1605"/>
      <c r="CB639" s="1605"/>
      <c r="CC639" s="1605"/>
      <c r="CD639" s="1605"/>
      <c r="CE639" s="1605"/>
      <c r="CF639" s="1605"/>
      <c r="CG639" s="1605"/>
      <c r="CH639" s="1605"/>
      <c r="CI639" s="1605"/>
      <c r="CJ639" s="1605"/>
      <c r="CK639" s="1605"/>
      <c r="CL639" s="1605"/>
      <c r="CM639" s="1605"/>
      <c r="CN639" s="1605"/>
      <c r="CO639" s="1605"/>
      <c r="CP639" s="1605"/>
      <c r="CQ639" s="1605"/>
      <c r="CR639" s="1605"/>
      <c r="CS639" s="1605"/>
      <c r="CT639" s="1605"/>
      <c r="CU639" s="1605"/>
      <c r="CV639" s="1605"/>
      <c r="CW639" s="1605"/>
      <c r="CX639" s="1605"/>
      <c r="CY639" s="1605"/>
      <c r="CZ639" s="1605"/>
      <c r="DA639" s="1605"/>
      <c r="DB639" s="1605"/>
      <c r="DC639" s="1605"/>
      <c r="DD639" s="1605"/>
      <c r="DE639" s="1605"/>
      <c r="DF639" s="1605"/>
      <c r="DG639" s="1605"/>
      <c r="DH639" s="1605"/>
      <c r="DI639" s="1605"/>
      <c r="DJ639" s="1605"/>
      <c r="DK639" s="1605"/>
      <c r="DL639" s="1605"/>
      <c r="DM639" s="1605"/>
      <c r="DN639" s="1605"/>
      <c r="DO639" s="1605"/>
      <c r="DP639" s="1605"/>
      <c r="DQ639" s="1605"/>
      <c r="DR639" s="1605"/>
      <c r="DS639" s="1605"/>
      <c r="DT639" s="1605"/>
      <c r="DU639" s="1605"/>
      <c r="DV639" s="1605"/>
      <c r="DW639" s="1605"/>
      <c r="DX639" s="1605"/>
      <c r="DY639" s="1605"/>
      <c r="DZ639" s="1605"/>
      <c r="EA639" s="1605"/>
      <c r="EB639" s="1605"/>
      <c r="EC639" s="1605"/>
      <c r="ED639" s="1605"/>
      <c r="EE639" s="1605"/>
      <c r="EF639" s="1605"/>
      <c r="EG639" s="1605"/>
      <c r="EH639" s="1605"/>
      <c r="EI639" s="1605"/>
      <c r="EJ639" s="1605"/>
      <c r="EK639" s="1605"/>
      <c r="EL639" s="1605"/>
      <c r="EM639" s="1605"/>
      <c r="EN639" s="1605"/>
      <c r="EO639" s="1605"/>
      <c r="EP639" s="1605"/>
      <c r="EQ639" s="1605"/>
      <c r="ER639" s="1605"/>
      <c r="ES639" s="1605"/>
      <c r="ET639" s="1605"/>
      <c r="EU639" s="1605"/>
      <c r="EV639" s="1605"/>
      <c r="EW639" s="1605"/>
      <c r="EX639" s="1605"/>
      <c r="EY639" s="1605"/>
      <c r="EZ639" s="1605"/>
      <c r="FA639" s="1605"/>
      <c r="FB639" s="1605"/>
      <c r="FC639" s="1605"/>
      <c r="FD639" s="1605"/>
      <c r="FE639" s="1605"/>
      <c r="FF639" s="1605"/>
      <c r="FG639" s="1605"/>
      <c r="FH639" s="1605"/>
      <c r="FI639" s="1605"/>
      <c r="FJ639" s="1605"/>
      <c r="FK639" s="1605"/>
      <c r="FL639" s="1605"/>
      <c r="FM639" s="1605"/>
      <c r="FN639" s="1605"/>
      <c r="FO639" s="1605"/>
      <c r="FP639" s="1605"/>
      <c r="FQ639" s="1605"/>
      <c r="FR639" s="1605"/>
      <c r="FS639" s="1605"/>
      <c r="FT639" s="1605"/>
      <c r="FU639" s="1605"/>
      <c r="FV639" s="1605"/>
      <c r="FW639" s="1605"/>
      <c r="FX639" s="1605"/>
      <c r="FY639" s="1605"/>
      <c r="FZ639" s="1605"/>
      <c r="GA639" s="1605"/>
      <c r="GB639" s="1605"/>
      <c r="GC639" s="1605"/>
      <c r="GD639" s="1605"/>
      <c r="GE639" s="1605"/>
      <c r="GF639" s="1605"/>
      <c r="GG639" s="1605"/>
      <c r="GH639" s="1605"/>
      <c r="GI639" s="1605"/>
      <c r="GJ639" s="1605"/>
      <c r="GK639" s="1605"/>
      <c r="GL639" s="1605"/>
      <c r="GM639" s="1605"/>
      <c r="GN639" s="1605"/>
      <c r="GO639" s="1605"/>
      <c r="GP639" s="1605"/>
      <c r="GQ639" s="1605"/>
      <c r="GR639" s="1605"/>
      <c r="GS639" s="1605"/>
      <c r="GT639" s="1605"/>
      <c r="GU639" s="1605"/>
      <c r="GV639" s="1605"/>
      <c r="GW639" s="1605"/>
      <c r="GX639" s="1605"/>
      <c r="GY639" s="1605"/>
      <c r="GZ639" s="1605"/>
      <c r="HA639" s="1605"/>
      <c r="HB639" s="1605"/>
      <c r="HC639" s="1605"/>
      <c r="HD639" s="1605"/>
      <c r="HE639" s="1605"/>
      <c r="HF639" s="1605"/>
      <c r="HG639" s="1605"/>
      <c r="HH639" s="1605"/>
      <c r="HI639" s="1605"/>
      <c r="HJ639" s="1605"/>
      <c r="HK639" s="1605"/>
      <c r="HL639" s="1605"/>
      <c r="HM639" s="1605"/>
      <c r="HN639" s="1605"/>
      <c r="HO639" s="1605"/>
      <c r="HP639" s="1605"/>
      <c r="HQ639" s="1605"/>
      <c r="HR639" s="1605"/>
      <c r="HS639" s="1605"/>
      <c r="HT639" s="1605"/>
      <c r="HU639" s="1605"/>
      <c r="HV639" s="1605"/>
      <c r="HW639" s="1605"/>
      <c r="HX639" s="1605"/>
      <c r="HY639" s="1605"/>
      <c r="HZ639" s="1605"/>
      <c r="IA639" s="1605"/>
      <c r="IB639" s="1605"/>
      <c r="IC639" s="1605"/>
      <c r="ID639" s="1605"/>
      <c r="IE639" s="1605"/>
      <c r="IF639" s="1605"/>
      <c r="IG639" s="1605"/>
      <c r="IH639" s="1605"/>
      <c r="II639" s="1605"/>
      <c r="IJ639" s="1605"/>
      <c r="IK639" s="1605"/>
      <c r="IL639" s="1605"/>
      <c r="IM639" s="1605"/>
      <c r="IN639" s="1605"/>
      <c r="IO639" s="1605"/>
      <c r="IP639" s="1605"/>
      <c r="IQ639" s="1605"/>
      <c r="IR639" s="1605"/>
      <c r="IS639" s="1605"/>
      <c r="IT639" s="1605"/>
      <c r="IU639" s="1605"/>
      <c r="IV639" s="1605"/>
      <c r="IW639" s="1605"/>
      <c r="IX639" s="1605"/>
      <c r="IY639" s="1605"/>
      <c r="IZ639" s="1605"/>
      <c r="JA639" s="1605"/>
      <c r="JB639" s="1605"/>
      <c r="JC639" s="1605"/>
      <c r="JD639" s="1605"/>
      <c r="JE639" s="1605"/>
      <c r="JF639" s="1605"/>
      <c r="JG639" s="1605"/>
      <c r="JH639" s="1605"/>
      <c r="JI639" s="1605"/>
      <c r="JJ639" s="1605"/>
      <c r="JK639" s="1605"/>
      <c r="JL639" s="1605"/>
      <c r="JM639" s="1605"/>
      <c r="JN639" s="1605"/>
      <c r="JO639" s="1605"/>
      <c r="JP639" s="1605"/>
      <c r="JQ639" s="1605"/>
      <c r="JR639" s="1605"/>
      <c r="JS639" s="1605"/>
      <c r="JT639" s="1605"/>
      <c r="JU639" s="1605"/>
      <c r="JV639" s="1605"/>
      <c r="JW639" s="1605"/>
      <c r="JX639" s="1605"/>
      <c r="JY639" s="1605"/>
      <c r="JZ639" s="1605"/>
      <c r="KA639" s="1605"/>
      <c r="KB639" s="1606"/>
    </row>
    <row r="640" spans="1:289" ht="15" customHeight="1" x14ac:dyDescent="0.25">
      <c r="B640" s="216" t="str">
        <f t="shared" si="54"/>
        <v>Desk 10</v>
      </c>
      <c r="C640" s="218" t="str">
        <v/>
      </c>
      <c r="D640" s="218" t="str">
        <v/>
      </c>
      <c r="E640" s="218" t="str">
        <v/>
      </c>
      <c r="F640" s="218" t="str">
        <v/>
      </c>
      <c r="G640" s="402" t="str">
        <v/>
      </c>
      <c r="H640" s="1605"/>
      <c r="I640" s="1605"/>
      <c r="J640" s="1605"/>
      <c r="K640" s="1605"/>
      <c r="L640" s="1605"/>
      <c r="M640" s="1605"/>
      <c r="N640" s="1605"/>
      <c r="O640" s="1605"/>
      <c r="P640" s="1605"/>
      <c r="Q640" s="1605"/>
      <c r="R640" s="1605"/>
      <c r="S640" s="1605"/>
      <c r="T640" s="1605"/>
      <c r="U640" s="1605"/>
      <c r="V640" s="1605"/>
      <c r="W640" s="1605"/>
      <c r="X640" s="1605"/>
      <c r="Y640" s="1605"/>
      <c r="Z640" s="1605"/>
      <c r="AA640" s="1605"/>
      <c r="AB640" s="1605"/>
      <c r="AC640" s="1605"/>
      <c r="AD640" s="1605"/>
      <c r="AE640" s="1605"/>
      <c r="AF640" s="1605"/>
      <c r="AG640" s="1605"/>
      <c r="AH640" s="1605"/>
      <c r="AI640" s="1605"/>
      <c r="AJ640" s="1605"/>
      <c r="AK640" s="1605"/>
      <c r="AL640" s="1605"/>
      <c r="AM640" s="1605"/>
      <c r="AN640" s="1605"/>
      <c r="AO640" s="1605"/>
      <c r="AP640" s="1605"/>
      <c r="AQ640" s="1605"/>
      <c r="AR640" s="1605"/>
      <c r="AS640" s="1605"/>
      <c r="AT640" s="1605"/>
      <c r="AU640" s="1605"/>
      <c r="AV640" s="1605"/>
      <c r="AW640" s="1605"/>
      <c r="AX640" s="1605"/>
      <c r="AY640" s="1605"/>
      <c r="AZ640" s="1605"/>
      <c r="BA640" s="1605"/>
      <c r="BB640" s="1605"/>
      <c r="BC640" s="1605"/>
      <c r="BD640" s="1605"/>
      <c r="BE640" s="1605"/>
      <c r="BF640" s="1605"/>
      <c r="BG640" s="1605"/>
      <c r="BH640" s="1605"/>
      <c r="BI640" s="1605"/>
      <c r="BJ640" s="1605"/>
      <c r="BK640" s="1605"/>
      <c r="BL640" s="1605"/>
      <c r="BM640" s="1605"/>
      <c r="BN640" s="1605"/>
      <c r="BO640" s="1605"/>
      <c r="BP640" s="1605"/>
      <c r="BQ640" s="1605"/>
      <c r="BR640" s="1605"/>
      <c r="BS640" s="1605"/>
      <c r="BT640" s="1605"/>
      <c r="BU640" s="1605"/>
      <c r="BV640" s="1605"/>
      <c r="BW640" s="1605"/>
      <c r="BX640" s="1605"/>
      <c r="BY640" s="1605"/>
      <c r="BZ640" s="1605"/>
      <c r="CA640" s="1605"/>
      <c r="CB640" s="1605"/>
      <c r="CC640" s="1605"/>
      <c r="CD640" s="1605"/>
      <c r="CE640" s="1605"/>
      <c r="CF640" s="1605"/>
      <c r="CG640" s="1605"/>
      <c r="CH640" s="1605"/>
      <c r="CI640" s="1605"/>
      <c r="CJ640" s="1605"/>
      <c r="CK640" s="1605"/>
      <c r="CL640" s="1605"/>
      <c r="CM640" s="1605"/>
      <c r="CN640" s="1605"/>
      <c r="CO640" s="1605"/>
      <c r="CP640" s="1605"/>
      <c r="CQ640" s="1605"/>
      <c r="CR640" s="1605"/>
      <c r="CS640" s="1605"/>
      <c r="CT640" s="1605"/>
      <c r="CU640" s="1605"/>
      <c r="CV640" s="1605"/>
      <c r="CW640" s="1605"/>
      <c r="CX640" s="1605"/>
      <c r="CY640" s="1605"/>
      <c r="CZ640" s="1605"/>
      <c r="DA640" s="1605"/>
      <c r="DB640" s="1605"/>
      <c r="DC640" s="1605"/>
      <c r="DD640" s="1605"/>
      <c r="DE640" s="1605"/>
      <c r="DF640" s="1605"/>
      <c r="DG640" s="1605"/>
      <c r="DH640" s="1605"/>
      <c r="DI640" s="1605"/>
      <c r="DJ640" s="1605"/>
      <c r="DK640" s="1605"/>
      <c r="DL640" s="1605"/>
      <c r="DM640" s="1605"/>
      <c r="DN640" s="1605"/>
      <c r="DO640" s="1605"/>
      <c r="DP640" s="1605"/>
      <c r="DQ640" s="1605"/>
      <c r="DR640" s="1605"/>
      <c r="DS640" s="1605"/>
      <c r="DT640" s="1605"/>
      <c r="DU640" s="1605"/>
      <c r="DV640" s="1605"/>
      <c r="DW640" s="1605"/>
      <c r="DX640" s="1605"/>
      <c r="DY640" s="1605"/>
      <c r="DZ640" s="1605"/>
      <c r="EA640" s="1605"/>
      <c r="EB640" s="1605"/>
      <c r="EC640" s="1605"/>
      <c r="ED640" s="1605"/>
      <c r="EE640" s="1605"/>
      <c r="EF640" s="1605"/>
      <c r="EG640" s="1605"/>
      <c r="EH640" s="1605"/>
      <c r="EI640" s="1605"/>
      <c r="EJ640" s="1605"/>
      <c r="EK640" s="1605"/>
      <c r="EL640" s="1605"/>
      <c r="EM640" s="1605"/>
      <c r="EN640" s="1605"/>
      <c r="EO640" s="1605"/>
      <c r="EP640" s="1605"/>
      <c r="EQ640" s="1605"/>
      <c r="ER640" s="1605"/>
      <c r="ES640" s="1605"/>
      <c r="ET640" s="1605"/>
      <c r="EU640" s="1605"/>
      <c r="EV640" s="1605"/>
      <c r="EW640" s="1605"/>
      <c r="EX640" s="1605"/>
      <c r="EY640" s="1605"/>
      <c r="EZ640" s="1605"/>
      <c r="FA640" s="1605"/>
      <c r="FB640" s="1605"/>
      <c r="FC640" s="1605"/>
      <c r="FD640" s="1605"/>
      <c r="FE640" s="1605"/>
      <c r="FF640" s="1605"/>
      <c r="FG640" s="1605"/>
      <c r="FH640" s="1605"/>
      <c r="FI640" s="1605"/>
      <c r="FJ640" s="1605"/>
      <c r="FK640" s="1605"/>
      <c r="FL640" s="1605"/>
      <c r="FM640" s="1605"/>
      <c r="FN640" s="1605"/>
      <c r="FO640" s="1605"/>
      <c r="FP640" s="1605"/>
      <c r="FQ640" s="1605"/>
      <c r="FR640" s="1605"/>
      <c r="FS640" s="1605"/>
      <c r="FT640" s="1605"/>
      <c r="FU640" s="1605"/>
      <c r="FV640" s="1605"/>
      <c r="FW640" s="1605"/>
      <c r="FX640" s="1605"/>
      <c r="FY640" s="1605"/>
      <c r="FZ640" s="1605"/>
      <c r="GA640" s="1605"/>
      <c r="GB640" s="1605"/>
      <c r="GC640" s="1605"/>
      <c r="GD640" s="1605"/>
      <c r="GE640" s="1605"/>
      <c r="GF640" s="1605"/>
      <c r="GG640" s="1605"/>
      <c r="GH640" s="1605"/>
      <c r="GI640" s="1605"/>
      <c r="GJ640" s="1605"/>
      <c r="GK640" s="1605"/>
      <c r="GL640" s="1605"/>
      <c r="GM640" s="1605"/>
      <c r="GN640" s="1605"/>
      <c r="GO640" s="1605"/>
      <c r="GP640" s="1605"/>
      <c r="GQ640" s="1605"/>
      <c r="GR640" s="1605"/>
      <c r="GS640" s="1605"/>
      <c r="GT640" s="1605"/>
      <c r="GU640" s="1605"/>
      <c r="GV640" s="1605"/>
      <c r="GW640" s="1605"/>
      <c r="GX640" s="1605"/>
      <c r="GY640" s="1605"/>
      <c r="GZ640" s="1605"/>
      <c r="HA640" s="1605"/>
      <c r="HB640" s="1605"/>
      <c r="HC640" s="1605"/>
      <c r="HD640" s="1605"/>
      <c r="HE640" s="1605"/>
      <c r="HF640" s="1605"/>
      <c r="HG640" s="1605"/>
      <c r="HH640" s="1605"/>
      <c r="HI640" s="1605"/>
      <c r="HJ640" s="1605"/>
      <c r="HK640" s="1605"/>
      <c r="HL640" s="1605"/>
      <c r="HM640" s="1605"/>
      <c r="HN640" s="1605"/>
      <c r="HO640" s="1605"/>
      <c r="HP640" s="1605"/>
      <c r="HQ640" s="1605"/>
      <c r="HR640" s="1605"/>
      <c r="HS640" s="1605"/>
      <c r="HT640" s="1605"/>
      <c r="HU640" s="1605"/>
      <c r="HV640" s="1605"/>
      <c r="HW640" s="1605"/>
      <c r="HX640" s="1605"/>
      <c r="HY640" s="1605"/>
      <c r="HZ640" s="1605"/>
      <c r="IA640" s="1605"/>
      <c r="IB640" s="1605"/>
      <c r="IC640" s="1605"/>
      <c r="ID640" s="1605"/>
      <c r="IE640" s="1605"/>
      <c r="IF640" s="1605"/>
      <c r="IG640" s="1605"/>
      <c r="IH640" s="1605"/>
      <c r="II640" s="1605"/>
      <c r="IJ640" s="1605"/>
      <c r="IK640" s="1605"/>
      <c r="IL640" s="1605"/>
      <c r="IM640" s="1605"/>
      <c r="IN640" s="1605"/>
      <c r="IO640" s="1605"/>
      <c r="IP640" s="1605"/>
      <c r="IQ640" s="1605"/>
      <c r="IR640" s="1605"/>
      <c r="IS640" s="1605"/>
      <c r="IT640" s="1605"/>
      <c r="IU640" s="1605"/>
      <c r="IV640" s="1605"/>
      <c r="IW640" s="1605"/>
      <c r="IX640" s="1605"/>
      <c r="IY640" s="1605"/>
      <c r="IZ640" s="1605"/>
      <c r="JA640" s="1605"/>
      <c r="JB640" s="1605"/>
      <c r="JC640" s="1605"/>
      <c r="JD640" s="1605"/>
      <c r="JE640" s="1605"/>
      <c r="JF640" s="1605"/>
      <c r="JG640" s="1605"/>
      <c r="JH640" s="1605"/>
      <c r="JI640" s="1605"/>
      <c r="JJ640" s="1605"/>
      <c r="JK640" s="1605"/>
      <c r="JL640" s="1605"/>
      <c r="JM640" s="1605"/>
      <c r="JN640" s="1605"/>
      <c r="JO640" s="1605"/>
      <c r="JP640" s="1605"/>
      <c r="JQ640" s="1605"/>
      <c r="JR640" s="1605"/>
      <c r="JS640" s="1605"/>
      <c r="JT640" s="1605"/>
      <c r="JU640" s="1605"/>
      <c r="JV640" s="1605"/>
      <c r="JW640" s="1605"/>
      <c r="JX640" s="1605"/>
      <c r="JY640" s="1605"/>
      <c r="JZ640" s="1605"/>
      <c r="KA640" s="1605"/>
      <c r="KB640" s="1606"/>
    </row>
    <row r="641" spans="2:288" ht="15" customHeight="1" x14ac:dyDescent="0.25">
      <c r="B641" s="216" t="str">
        <f t="shared" si="54"/>
        <v>Desk 11</v>
      </c>
      <c r="C641" s="218" t="str">
        <v/>
      </c>
      <c r="D641" s="218" t="str">
        <v/>
      </c>
      <c r="E641" s="218" t="str">
        <v/>
      </c>
      <c r="F641" s="218" t="str">
        <v/>
      </c>
      <c r="G641" s="402" t="str">
        <v/>
      </c>
      <c r="H641" s="1605"/>
      <c r="I641" s="1605"/>
      <c r="J641" s="1605"/>
      <c r="K641" s="1605"/>
      <c r="L641" s="1605"/>
      <c r="M641" s="1605"/>
      <c r="N641" s="1605"/>
      <c r="O641" s="1605"/>
      <c r="P641" s="1605"/>
      <c r="Q641" s="1605"/>
      <c r="R641" s="1605"/>
      <c r="S641" s="1605"/>
      <c r="T641" s="1605"/>
      <c r="U641" s="1605"/>
      <c r="V641" s="1605"/>
      <c r="W641" s="1605"/>
      <c r="X641" s="1605"/>
      <c r="Y641" s="1605"/>
      <c r="Z641" s="1605"/>
      <c r="AA641" s="1605"/>
      <c r="AB641" s="1605"/>
      <c r="AC641" s="1605"/>
      <c r="AD641" s="1605"/>
      <c r="AE641" s="1605"/>
      <c r="AF641" s="1605"/>
      <c r="AG641" s="1605"/>
      <c r="AH641" s="1605"/>
      <c r="AI641" s="1605"/>
      <c r="AJ641" s="1605"/>
      <c r="AK641" s="1605"/>
      <c r="AL641" s="1605"/>
      <c r="AM641" s="1605"/>
      <c r="AN641" s="1605"/>
      <c r="AO641" s="1605"/>
      <c r="AP641" s="1605"/>
      <c r="AQ641" s="1605"/>
      <c r="AR641" s="1605"/>
      <c r="AS641" s="1605"/>
      <c r="AT641" s="1605"/>
      <c r="AU641" s="1605"/>
      <c r="AV641" s="1605"/>
      <c r="AW641" s="1605"/>
      <c r="AX641" s="1605"/>
      <c r="AY641" s="1605"/>
      <c r="AZ641" s="1605"/>
      <c r="BA641" s="1605"/>
      <c r="BB641" s="1605"/>
      <c r="BC641" s="1605"/>
      <c r="BD641" s="1605"/>
      <c r="BE641" s="1605"/>
      <c r="BF641" s="1605"/>
      <c r="BG641" s="1605"/>
      <c r="BH641" s="1605"/>
      <c r="BI641" s="1605"/>
      <c r="BJ641" s="1605"/>
      <c r="BK641" s="1605"/>
      <c r="BL641" s="1605"/>
      <c r="BM641" s="1605"/>
      <c r="BN641" s="1605"/>
      <c r="BO641" s="1605"/>
      <c r="BP641" s="1605"/>
      <c r="BQ641" s="1605"/>
      <c r="BR641" s="1605"/>
      <c r="BS641" s="1605"/>
      <c r="BT641" s="1605"/>
      <c r="BU641" s="1605"/>
      <c r="BV641" s="1605"/>
      <c r="BW641" s="1605"/>
      <c r="BX641" s="1605"/>
      <c r="BY641" s="1605"/>
      <c r="BZ641" s="1605"/>
      <c r="CA641" s="1605"/>
      <c r="CB641" s="1605"/>
      <c r="CC641" s="1605"/>
      <c r="CD641" s="1605"/>
      <c r="CE641" s="1605"/>
      <c r="CF641" s="1605"/>
      <c r="CG641" s="1605"/>
      <c r="CH641" s="1605"/>
      <c r="CI641" s="1605"/>
      <c r="CJ641" s="1605"/>
      <c r="CK641" s="1605"/>
      <c r="CL641" s="1605"/>
      <c r="CM641" s="1605"/>
      <c r="CN641" s="1605"/>
      <c r="CO641" s="1605"/>
      <c r="CP641" s="1605"/>
      <c r="CQ641" s="1605"/>
      <c r="CR641" s="1605"/>
      <c r="CS641" s="1605"/>
      <c r="CT641" s="1605"/>
      <c r="CU641" s="1605"/>
      <c r="CV641" s="1605"/>
      <c r="CW641" s="1605"/>
      <c r="CX641" s="1605"/>
      <c r="CY641" s="1605"/>
      <c r="CZ641" s="1605"/>
      <c r="DA641" s="1605"/>
      <c r="DB641" s="1605"/>
      <c r="DC641" s="1605"/>
      <c r="DD641" s="1605"/>
      <c r="DE641" s="1605"/>
      <c r="DF641" s="1605"/>
      <c r="DG641" s="1605"/>
      <c r="DH641" s="1605"/>
      <c r="DI641" s="1605"/>
      <c r="DJ641" s="1605"/>
      <c r="DK641" s="1605"/>
      <c r="DL641" s="1605"/>
      <c r="DM641" s="1605"/>
      <c r="DN641" s="1605"/>
      <c r="DO641" s="1605"/>
      <c r="DP641" s="1605"/>
      <c r="DQ641" s="1605"/>
      <c r="DR641" s="1605"/>
      <c r="DS641" s="1605"/>
      <c r="DT641" s="1605"/>
      <c r="DU641" s="1605"/>
      <c r="DV641" s="1605"/>
      <c r="DW641" s="1605"/>
      <c r="DX641" s="1605"/>
      <c r="DY641" s="1605"/>
      <c r="DZ641" s="1605"/>
      <c r="EA641" s="1605"/>
      <c r="EB641" s="1605"/>
      <c r="EC641" s="1605"/>
      <c r="ED641" s="1605"/>
      <c r="EE641" s="1605"/>
      <c r="EF641" s="1605"/>
      <c r="EG641" s="1605"/>
      <c r="EH641" s="1605"/>
      <c r="EI641" s="1605"/>
      <c r="EJ641" s="1605"/>
      <c r="EK641" s="1605"/>
      <c r="EL641" s="1605"/>
      <c r="EM641" s="1605"/>
      <c r="EN641" s="1605"/>
      <c r="EO641" s="1605"/>
      <c r="EP641" s="1605"/>
      <c r="EQ641" s="1605"/>
      <c r="ER641" s="1605"/>
      <c r="ES641" s="1605"/>
      <c r="ET641" s="1605"/>
      <c r="EU641" s="1605"/>
      <c r="EV641" s="1605"/>
      <c r="EW641" s="1605"/>
      <c r="EX641" s="1605"/>
      <c r="EY641" s="1605"/>
      <c r="EZ641" s="1605"/>
      <c r="FA641" s="1605"/>
      <c r="FB641" s="1605"/>
      <c r="FC641" s="1605"/>
      <c r="FD641" s="1605"/>
      <c r="FE641" s="1605"/>
      <c r="FF641" s="1605"/>
      <c r="FG641" s="1605"/>
      <c r="FH641" s="1605"/>
      <c r="FI641" s="1605"/>
      <c r="FJ641" s="1605"/>
      <c r="FK641" s="1605"/>
      <c r="FL641" s="1605"/>
      <c r="FM641" s="1605"/>
      <c r="FN641" s="1605"/>
      <c r="FO641" s="1605"/>
      <c r="FP641" s="1605"/>
      <c r="FQ641" s="1605"/>
      <c r="FR641" s="1605"/>
      <c r="FS641" s="1605"/>
      <c r="FT641" s="1605"/>
      <c r="FU641" s="1605"/>
      <c r="FV641" s="1605"/>
      <c r="FW641" s="1605"/>
      <c r="FX641" s="1605"/>
      <c r="FY641" s="1605"/>
      <c r="FZ641" s="1605"/>
      <c r="GA641" s="1605"/>
      <c r="GB641" s="1605"/>
      <c r="GC641" s="1605"/>
      <c r="GD641" s="1605"/>
      <c r="GE641" s="1605"/>
      <c r="GF641" s="1605"/>
      <c r="GG641" s="1605"/>
      <c r="GH641" s="1605"/>
      <c r="GI641" s="1605"/>
      <c r="GJ641" s="1605"/>
      <c r="GK641" s="1605"/>
      <c r="GL641" s="1605"/>
      <c r="GM641" s="1605"/>
      <c r="GN641" s="1605"/>
      <c r="GO641" s="1605"/>
      <c r="GP641" s="1605"/>
      <c r="GQ641" s="1605"/>
      <c r="GR641" s="1605"/>
      <c r="GS641" s="1605"/>
      <c r="GT641" s="1605"/>
      <c r="GU641" s="1605"/>
      <c r="GV641" s="1605"/>
      <c r="GW641" s="1605"/>
      <c r="GX641" s="1605"/>
      <c r="GY641" s="1605"/>
      <c r="GZ641" s="1605"/>
      <c r="HA641" s="1605"/>
      <c r="HB641" s="1605"/>
      <c r="HC641" s="1605"/>
      <c r="HD641" s="1605"/>
      <c r="HE641" s="1605"/>
      <c r="HF641" s="1605"/>
      <c r="HG641" s="1605"/>
      <c r="HH641" s="1605"/>
      <c r="HI641" s="1605"/>
      <c r="HJ641" s="1605"/>
      <c r="HK641" s="1605"/>
      <c r="HL641" s="1605"/>
      <c r="HM641" s="1605"/>
      <c r="HN641" s="1605"/>
      <c r="HO641" s="1605"/>
      <c r="HP641" s="1605"/>
      <c r="HQ641" s="1605"/>
      <c r="HR641" s="1605"/>
      <c r="HS641" s="1605"/>
      <c r="HT641" s="1605"/>
      <c r="HU641" s="1605"/>
      <c r="HV641" s="1605"/>
      <c r="HW641" s="1605"/>
      <c r="HX641" s="1605"/>
      <c r="HY641" s="1605"/>
      <c r="HZ641" s="1605"/>
      <c r="IA641" s="1605"/>
      <c r="IB641" s="1605"/>
      <c r="IC641" s="1605"/>
      <c r="ID641" s="1605"/>
      <c r="IE641" s="1605"/>
      <c r="IF641" s="1605"/>
      <c r="IG641" s="1605"/>
      <c r="IH641" s="1605"/>
      <c r="II641" s="1605"/>
      <c r="IJ641" s="1605"/>
      <c r="IK641" s="1605"/>
      <c r="IL641" s="1605"/>
      <c r="IM641" s="1605"/>
      <c r="IN641" s="1605"/>
      <c r="IO641" s="1605"/>
      <c r="IP641" s="1605"/>
      <c r="IQ641" s="1605"/>
      <c r="IR641" s="1605"/>
      <c r="IS641" s="1605"/>
      <c r="IT641" s="1605"/>
      <c r="IU641" s="1605"/>
      <c r="IV641" s="1605"/>
      <c r="IW641" s="1605"/>
      <c r="IX641" s="1605"/>
      <c r="IY641" s="1605"/>
      <c r="IZ641" s="1605"/>
      <c r="JA641" s="1605"/>
      <c r="JB641" s="1605"/>
      <c r="JC641" s="1605"/>
      <c r="JD641" s="1605"/>
      <c r="JE641" s="1605"/>
      <c r="JF641" s="1605"/>
      <c r="JG641" s="1605"/>
      <c r="JH641" s="1605"/>
      <c r="JI641" s="1605"/>
      <c r="JJ641" s="1605"/>
      <c r="JK641" s="1605"/>
      <c r="JL641" s="1605"/>
      <c r="JM641" s="1605"/>
      <c r="JN641" s="1605"/>
      <c r="JO641" s="1605"/>
      <c r="JP641" s="1605"/>
      <c r="JQ641" s="1605"/>
      <c r="JR641" s="1605"/>
      <c r="JS641" s="1605"/>
      <c r="JT641" s="1605"/>
      <c r="JU641" s="1605"/>
      <c r="JV641" s="1605"/>
      <c r="JW641" s="1605"/>
      <c r="JX641" s="1605"/>
      <c r="JY641" s="1605"/>
      <c r="JZ641" s="1605"/>
      <c r="KA641" s="1605"/>
      <c r="KB641" s="1606"/>
    </row>
    <row r="642" spans="2:288" ht="15" customHeight="1" x14ac:dyDescent="0.25">
      <c r="B642" s="216" t="str">
        <f t="shared" si="54"/>
        <v>Desk 12</v>
      </c>
      <c r="C642" s="218" t="str">
        <v/>
      </c>
      <c r="D642" s="218" t="str">
        <v/>
      </c>
      <c r="E642" s="218" t="str">
        <v/>
      </c>
      <c r="F642" s="218" t="str">
        <v/>
      </c>
      <c r="G642" s="402" t="str">
        <v/>
      </c>
      <c r="H642" s="1605"/>
      <c r="I642" s="1605"/>
      <c r="J642" s="1605"/>
      <c r="K642" s="1605"/>
      <c r="L642" s="1605"/>
      <c r="M642" s="1605"/>
      <c r="N642" s="1605"/>
      <c r="O642" s="1605"/>
      <c r="P642" s="1605"/>
      <c r="Q642" s="1605"/>
      <c r="R642" s="1605"/>
      <c r="S642" s="1605"/>
      <c r="T642" s="1605"/>
      <c r="U642" s="1605"/>
      <c r="V642" s="1605"/>
      <c r="W642" s="1605"/>
      <c r="X642" s="1605"/>
      <c r="Y642" s="1605"/>
      <c r="Z642" s="1605"/>
      <c r="AA642" s="1605"/>
      <c r="AB642" s="1605"/>
      <c r="AC642" s="1605"/>
      <c r="AD642" s="1605"/>
      <c r="AE642" s="1605"/>
      <c r="AF642" s="1605"/>
      <c r="AG642" s="1605"/>
      <c r="AH642" s="1605"/>
      <c r="AI642" s="1605"/>
      <c r="AJ642" s="1605"/>
      <c r="AK642" s="1605"/>
      <c r="AL642" s="1605"/>
      <c r="AM642" s="1605"/>
      <c r="AN642" s="1605"/>
      <c r="AO642" s="1605"/>
      <c r="AP642" s="1605"/>
      <c r="AQ642" s="1605"/>
      <c r="AR642" s="1605"/>
      <c r="AS642" s="1605"/>
      <c r="AT642" s="1605"/>
      <c r="AU642" s="1605"/>
      <c r="AV642" s="1605"/>
      <c r="AW642" s="1605"/>
      <c r="AX642" s="1605"/>
      <c r="AY642" s="1605"/>
      <c r="AZ642" s="1605"/>
      <c r="BA642" s="1605"/>
      <c r="BB642" s="1605"/>
      <c r="BC642" s="1605"/>
      <c r="BD642" s="1605"/>
      <c r="BE642" s="1605"/>
      <c r="BF642" s="1605"/>
      <c r="BG642" s="1605"/>
      <c r="BH642" s="1605"/>
      <c r="BI642" s="1605"/>
      <c r="BJ642" s="1605"/>
      <c r="BK642" s="1605"/>
      <c r="BL642" s="1605"/>
      <c r="BM642" s="1605"/>
      <c r="BN642" s="1605"/>
      <c r="BO642" s="1605"/>
      <c r="BP642" s="1605"/>
      <c r="BQ642" s="1605"/>
      <c r="BR642" s="1605"/>
      <c r="BS642" s="1605"/>
      <c r="BT642" s="1605"/>
      <c r="BU642" s="1605"/>
      <c r="BV642" s="1605"/>
      <c r="BW642" s="1605"/>
      <c r="BX642" s="1605"/>
      <c r="BY642" s="1605"/>
      <c r="BZ642" s="1605"/>
      <c r="CA642" s="1605"/>
      <c r="CB642" s="1605"/>
      <c r="CC642" s="1605"/>
      <c r="CD642" s="1605"/>
      <c r="CE642" s="1605"/>
      <c r="CF642" s="1605"/>
      <c r="CG642" s="1605"/>
      <c r="CH642" s="1605"/>
      <c r="CI642" s="1605"/>
      <c r="CJ642" s="1605"/>
      <c r="CK642" s="1605"/>
      <c r="CL642" s="1605"/>
      <c r="CM642" s="1605"/>
      <c r="CN642" s="1605"/>
      <c r="CO642" s="1605"/>
      <c r="CP642" s="1605"/>
      <c r="CQ642" s="1605"/>
      <c r="CR642" s="1605"/>
      <c r="CS642" s="1605"/>
      <c r="CT642" s="1605"/>
      <c r="CU642" s="1605"/>
      <c r="CV642" s="1605"/>
      <c r="CW642" s="1605"/>
      <c r="CX642" s="1605"/>
      <c r="CY642" s="1605"/>
      <c r="CZ642" s="1605"/>
      <c r="DA642" s="1605"/>
      <c r="DB642" s="1605"/>
      <c r="DC642" s="1605"/>
      <c r="DD642" s="1605"/>
      <c r="DE642" s="1605"/>
      <c r="DF642" s="1605"/>
      <c r="DG642" s="1605"/>
      <c r="DH642" s="1605"/>
      <c r="DI642" s="1605"/>
      <c r="DJ642" s="1605"/>
      <c r="DK642" s="1605"/>
      <c r="DL642" s="1605"/>
      <c r="DM642" s="1605"/>
      <c r="DN642" s="1605"/>
      <c r="DO642" s="1605"/>
      <c r="DP642" s="1605"/>
      <c r="DQ642" s="1605"/>
      <c r="DR642" s="1605"/>
      <c r="DS642" s="1605"/>
      <c r="DT642" s="1605"/>
      <c r="DU642" s="1605"/>
      <c r="DV642" s="1605"/>
      <c r="DW642" s="1605"/>
      <c r="DX642" s="1605"/>
      <c r="DY642" s="1605"/>
      <c r="DZ642" s="1605"/>
      <c r="EA642" s="1605"/>
      <c r="EB642" s="1605"/>
      <c r="EC642" s="1605"/>
      <c r="ED642" s="1605"/>
      <c r="EE642" s="1605"/>
      <c r="EF642" s="1605"/>
      <c r="EG642" s="1605"/>
      <c r="EH642" s="1605"/>
      <c r="EI642" s="1605"/>
      <c r="EJ642" s="1605"/>
      <c r="EK642" s="1605"/>
      <c r="EL642" s="1605"/>
      <c r="EM642" s="1605"/>
      <c r="EN642" s="1605"/>
      <c r="EO642" s="1605"/>
      <c r="EP642" s="1605"/>
      <c r="EQ642" s="1605"/>
      <c r="ER642" s="1605"/>
      <c r="ES642" s="1605"/>
      <c r="ET642" s="1605"/>
      <c r="EU642" s="1605"/>
      <c r="EV642" s="1605"/>
      <c r="EW642" s="1605"/>
      <c r="EX642" s="1605"/>
      <c r="EY642" s="1605"/>
      <c r="EZ642" s="1605"/>
      <c r="FA642" s="1605"/>
      <c r="FB642" s="1605"/>
      <c r="FC642" s="1605"/>
      <c r="FD642" s="1605"/>
      <c r="FE642" s="1605"/>
      <c r="FF642" s="1605"/>
      <c r="FG642" s="1605"/>
      <c r="FH642" s="1605"/>
      <c r="FI642" s="1605"/>
      <c r="FJ642" s="1605"/>
      <c r="FK642" s="1605"/>
      <c r="FL642" s="1605"/>
      <c r="FM642" s="1605"/>
      <c r="FN642" s="1605"/>
      <c r="FO642" s="1605"/>
      <c r="FP642" s="1605"/>
      <c r="FQ642" s="1605"/>
      <c r="FR642" s="1605"/>
      <c r="FS642" s="1605"/>
      <c r="FT642" s="1605"/>
      <c r="FU642" s="1605"/>
      <c r="FV642" s="1605"/>
      <c r="FW642" s="1605"/>
      <c r="FX642" s="1605"/>
      <c r="FY642" s="1605"/>
      <c r="FZ642" s="1605"/>
      <c r="GA642" s="1605"/>
      <c r="GB642" s="1605"/>
      <c r="GC642" s="1605"/>
      <c r="GD642" s="1605"/>
      <c r="GE642" s="1605"/>
      <c r="GF642" s="1605"/>
      <c r="GG642" s="1605"/>
      <c r="GH642" s="1605"/>
      <c r="GI642" s="1605"/>
      <c r="GJ642" s="1605"/>
      <c r="GK642" s="1605"/>
      <c r="GL642" s="1605"/>
      <c r="GM642" s="1605"/>
      <c r="GN642" s="1605"/>
      <c r="GO642" s="1605"/>
      <c r="GP642" s="1605"/>
      <c r="GQ642" s="1605"/>
      <c r="GR642" s="1605"/>
      <c r="GS642" s="1605"/>
      <c r="GT642" s="1605"/>
      <c r="GU642" s="1605"/>
      <c r="GV642" s="1605"/>
      <c r="GW642" s="1605"/>
      <c r="GX642" s="1605"/>
      <c r="GY642" s="1605"/>
      <c r="GZ642" s="1605"/>
      <c r="HA642" s="1605"/>
      <c r="HB642" s="1605"/>
      <c r="HC642" s="1605"/>
      <c r="HD642" s="1605"/>
      <c r="HE642" s="1605"/>
      <c r="HF642" s="1605"/>
      <c r="HG642" s="1605"/>
      <c r="HH642" s="1605"/>
      <c r="HI642" s="1605"/>
      <c r="HJ642" s="1605"/>
      <c r="HK642" s="1605"/>
      <c r="HL642" s="1605"/>
      <c r="HM642" s="1605"/>
      <c r="HN642" s="1605"/>
      <c r="HO642" s="1605"/>
      <c r="HP642" s="1605"/>
      <c r="HQ642" s="1605"/>
      <c r="HR642" s="1605"/>
      <c r="HS642" s="1605"/>
      <c r="HT642" s="1605"/>
      <c r="HU642" s="1605"/>
      <c r="HV642" s="1605"/>
      <c r="HW642" s="1605"/>
      <c r="HX642" s="1605"/>
      <c r="HY642" s="1605"/>
      <c r="HZ642" s="1605"/>
      <c r="IA642" s="1605"/>
      <c r="IB642" s="1605"/>
      <c r="IC642" s="1605"/>
      <c r="ID642" s="1605"/>
      <c r="IE642" s="1605"/>
      <c r="IF642" s="1605"/>
      <c r="IG642" s="1605"/>
      <c r="IH642" s="1605"/>
      <c r="II642" s="1605"/>
      <c r="IJ642" s="1605"/>
      <c r="IK642" s="1605"/>
      <c r="IL642" s="1605"/>
      <c r="IM642" s="1605"/>
      <c r="IN642" s="1605"/>
      <c r="IO642" s="1605"/>
      <c r="IP642" s="1605"/>
      <c r="IQ642" s="1605"/>
      <c r="IR642" s="1605"/>
      <c r="IS642" s="1605"/>
      <c r="IT642" s="1605"/>
      <c r="IU642" s="1605"/>
      <c r="IV642" s="1605"/>
      <c r="IW642" s="1605"/>
      <c r="IX642" s="1605"/>
      <c r="IY642" s="1605"/>
      <c r="IZ642" s="1605"/>
      <c r="JA642" s="1605"/>
      <c r="JB642" s="1605"/>
      <c r="JC642" s="1605"/>
      <c r="JD642" s="1605"/>
      <c r="JE642" s="1605"/>
      <c r="JF642" s="1605"/>
      <c r="JG642" s="1605"/>
      <c r="JH642" s="1605"/>
      <c r="JI642" s="1605"/>
      <c r="JJ642" s="1605"/>
      <c r="JK642" s="1605"/>
      <c r="JL642" s="1605"/>
      <c r="JM642" s="1605"/>
      <c r="JN642" s="1605"/>
      <c r="JO642" s="1605"/>
      <c r="JP642" s="1605"/>
      <c r="JQ642" s="1605"/>
      <c r="JR642" s="1605"/>
      <c r="JS642" s="1605"/>
      <c r="JT642" s="1605"/>
      <c r="JU642" s="1605"/>
      <c r="JV642" s="1605"/>
      <c r="JW642" s="1605"/>
      <c r="JX642" s="1605"/>
      <c r="JY642" s="1605"/>
      <c r="JZ642" s="1605"/>
      <c r="KA642" s="1605"/>
      <c r="KB642" s="1606"/>
    </row>
    <row r="643" spans="2:288" ht="15" customHeight="1" x14ac:dyDescent="0.25">
      <c r="B643" s="216" t="str">
        <f t="shared" si="54"/>
        <v>Desk 13</v>
      </c>
      <c r="C643" s="218" t="str">
        <v/>
      </c>
      <c r="D643" s="218" t="str">
        <v/>
      </c>
      <c r="E643" s="218" t="str">
        <v/>
      </c>
      <c r="F643" s="218" t="str">
        <v/>
      </c>
      <c r="G643" s="402" t="str">
        <v/>
      </c>
      <c r="H643" s="1605"/>
      <c r="I643" s="1605"/>
      <c r="J643" s="1605"/>
      <c r="K643" s="1605"/>
      <c r="L643" s="1605"/>
      <c r="M643" s="1605"/>
      <c r="N643" s="1605"/>
      <c r="O643" s="1605"/>
      <c r="P643" s="1605"/>
      <c r="Q643" s="1605"/>
      <c r="R643" s="1605"/>
      <c r="S643" s="1605"/>
      <c r="T643" s="1605"/>
      <c r="U643" s="1605"/>
      <c r="V643" s="1605"/>
      <c r="W643" s="1605"/>
      <c r="X643" s="1605"/>
      <c r="Y643" s="1605"/>
      <c r="Z643" s="1605"/>
      <c r="AA643" s="1605"/>
      <c r="AB643" s="1605"/>
      <c r="AC643" s="1605"/>
      <c r="AD643" s="1605"/>
      <c r="AE643" s="1605"/>
      <c r="AF643" s="1605"/>
      <c r="AG643" s="1605"/>
      <c r="AH643" s="1605"/>
      <c r="AI643" s="1605"/>
      <c r="AJ643" s="1605"/>
      <c r="AK643" s="1605"/>
      <c r="AL643" s="1605"/>
      <c r="AM643" s="1605"/>
      <c r="AN643" s="1605"/>
      <c r="AO643" s="1605"/>
      <c r="AP643" s="1605"/>
      <c r="AQ643" s="1605"/>
      <c r="AR643" s="1605"/>
      <c r="AS643" s="1605"/>
      <c r="AT643" s="1605"/>
      <c r="AU643" s="1605"/>
      <c r="AV643" s="1605"/>
      <c r="AW643" s="1605"/>
      <c r="AX643" s="1605"/>
      <c r="AY643" s="1605"/>
      <c r="AZ643" s="1605"/>
      <c r="BA643" s="1605"/>
      <c r="BB643" s="1605"/>
      <c r="BC643" s="1605"/>
      <c r="BD643" s="1605"/>
      <c r="BE643" s="1605"/>
      <c r="BF643" s="1605"/>
      <c r="BG643" s="1605"/>
      <c r="BH643" s="1605"/>
      <c r="BI643" s="1605"/>
      <c r="BJ643" s="1605"/>
      <c r="BK643" s="1605"/>
      <c r="BL643" s="1605"/>
      <c r="BM643" s="1605"/>
      <c r="BN643" s="1605"/>
      <c r="BO643" s="1605"/>
      <c r="BP643" s="1605"/>
      <c r="BQ643" s="1605"/>
      <c r="BR643" s="1605"/>
      <c r="BS643" s="1605"/>
      <c r="BT643" s="1605"/>
      <c r="BU643" s="1605"/>
      <c r="BV643" s="1605"/>
      <c r="BW643" s="1605"/>
      <c r="BX643" s="1605"/>
      <c r="BY643" s="1605"/>
      <c r="BZ643" s="1605"/>
      <c r="CA643" s="1605"/>
      <c r="CB643" s="1605"/>
      <c r="CC643" s="1605"/>
      <c r="CD643" s="1605"/>
      <c r="CE643" s="1605"/>
      <c r="CF643" s="1605"/>
      <c r="CG643" s="1605"/>
      <c r="CH643" s="1605"/>
      <c r="CI643" s="1605"/>
      <c r="CJ643" s="1605"/>
      <c r="CK643" s="1605"/>
      <c r="CL643" s="1605"/>
      <c r="CM643" s="1605"/>
      <c r="CN643" s="1605"/>
      <c r="CO643" s="1605"/>
      <c r="CP643" s="1605"/>
      <c r="CQ643" s="1605"/>
      <c r="CR643" s="1605"/>
      <c r="CS643" s="1605"/>
      <c r="CT643" s="1605"/>
      <c r="CU643" s="1605"/>
      <c r="CV643" s="1605"/>
      <c r="CW643" s="1605"/>
      <c r="CX643" s="1605"/>
      <c r="CY643" s="1605"/>
      <c r="CZ643" s="1605"/>
      <c r="DA643" s="1605"/>
      <c r="DB643" s="1605"/>
      <c r="DC643" s="1605"/>
      <c r="DD643" s="1605"/>
      <c r="DE643" s="1605"/>
      <c r="DF643" s="1605"/>
      <c r="DG643" s="1605"/>
      <c r="DH643" s="1605"/>
      <c r="DI643" s="1605"/>
      <c r="DJ643" s="1605"/>
      <c r="DK643" s="1605"/>
      <c r="DL643" s="1605"/>
      <c r="DM643" s="1605"/>
      <c r="DN643" s="1605"/>
      <c r="DO643" s="1605"/>
      <c r="DP643" s="1605"/>
      <c r="DQ643" s="1605"/>
      <c r="DR643" s="1605"/>
      <c r="DS643" s="1605"/>
      <c r="DT643" s="1605"/>
      <c r="DU643" s="1605"/>
      <c r="DV643" s="1605"/>
      <c r="DW643" s="1605"/>
      <c r="DX643" s="1605"/>
      <c r="DY643" s="1605"/>
      <c r="DZ643" s="1605"/>
      <c r="EA643" s="1605"/>
      <c r="EB643" s="1605"/>
      <c r="EC643" s="1605"/>
      <c r="ED643" s="1605"/>
      <c r="EE643" s="1605"/>
      <c r="EF643" s="1605"/>
      <c r="EG643" s="1605"/>
      <c r="EH643" s="1605"/>
      <c r="EI643" s="1605"/>
      <c r="EJ643" s="1605"/>
      <c r="EK643" s="1605"/>
      <c r="EL643" s="1605"/>
      <c r="EM643" s="1605"/>
      <c r="EN643" s="1605"/>
      <c r="EO643" s="1605"/>
      <c r="EP643" s="1605"/>
      <c r="EQ643" s="1605"/>
      <c r="ER643" s="1605"/>
      <c r="ES643" s="1605"/>
      <c r="ET643" s="1605"/>
      <c r="EU643" s="1605"/>
      <c r="EV643" s="1605"/>
      <c r="EW643" s="1605"/>
      <c r="EX643" s="1605"/>
      <c r="EY643" s="1605"/>
      <c r="EZ643" s="1605"/>
      <c r="FA643" s="1605"/>
      <c r="FB643" s="1605"/>
      <c r="FC643" s="1605"/>
      <c r="FD643" s="1605"/>
      <c r="FE643" s="1605"/>
      <c r="FF643" s="1605"/>
      <c r="FG643" s="1605"/>
      <c r="FH643" s="1605"/>
      <c r="FI643" s="1605"/>
      <c r="FJ643" s="1605"/>
      <c r="FK643" s="1605"/>
      <c r="FL643" s="1605"/>
      <c r="FM643" s="1605"/>
      <c r="FN643" s="1605"/>
      <c r="FO643" s="1605"/>
      <c r="FP643" s="1605"/>
      <c r="FQ643" s="1605"/>
      <c r="FR643" s="1605"/>
      <c r="FS643" s="1605"/>
      <c r="FT643" s="1605"/>
      <c r="FU643" s="1605"/>
      <c r="FV643" s="1605"/>
      <c r="FW643" s="1605"/>
      <c r="FX643" s="1605"/>
      <c r="FY643" s="1605"/>
      <c r="FZ643" s="1605"/>
      <c r="GA643" s="1605"/>
      <c r="GB643" s="1605"/>
      <c r="GC643" s="1605"/>
      <c r="GD643" s="1605"/>
      <c r="GE643" s="1605"/>
      <c r="GF643" s="1605"/>
      <c r="GG643" s="1605"/>
      <c r="GH643" s="1605"/>
      <c r="GI643" s="1605"/>
      <c r="GJ643" s="1605"/>
      <c r="GK643" s="1605"/>
      <c r="GL643" s="1605"/>
      <c r="GM643" s="1605"/>
      <c r="GN643" s="1605"/>
      <c r="GO643" s="1605"/>
      <c r="GP643" s="1605"/>
      <c r="GQ643" s="1605"/>
      <c r="GR643" s="1605"/>
      <c r="GS643" s="1605"/>
      <c r="GT643" s="1605"/>
      <c r="GU643" s="1605"/>
      <c r="GV643" s="1605"/>
      <c r="GW643" s="1605"/>
      <c r="GX643" s="1605"/>
      <c r="GY643" s="1605"/>
      <c r="GZ643" s="1605"/>
      <c r="HA643" s="1605"/>
      <c r="HB643" s="1605"/>
      <c r="HC643" s="1605"/>
      <c r="HD643" s="1605"/>
      <c r="HE643" s="1605"/>
      <c r="HF643" s="1605"/>
      <c r="HG643" s="1605"/>
      <c r="HH643" s="1605"/>
      <c r="HI643" s="1605"/>
      <c r="HJ643" s="1605"/>
      <c r="HK643" s="1605"/>
      <c r="HL643" s="1605"/>
      <c r="HM643" s="1605"/>
      <c r="HN643" s="1605"/>
      <c r="HO643" s="1605"/>
      <c r="HP643" s="1605"/>
      <c r="HQ643" s="1605"/>
      <c r="HR643" s="1605"/>
      <c r="HS643" s="1605"/>
      <c r="HT643" s="1605"/>
      <c r="HU643" s="1605"/>
      <c r="HV643" s="1605"/>
      <c r="HW643" s="1605"/>
      <c r="HX643" s="1605"/>
      <c r="HY643" s="1605"/>
      <c r="HZ643" s="1605"/>
      <c r="IA643" s="1605"/>
      <c r="IB643" s="1605"/>
      <c r="IC643" s="1605"/>
      <c r="ID643" s="1605"/>
      <c r="IE643" s="1605"/>
      <c r="IF643" s="1605"/>
      <c r="IG643" s="1605"/>
      <c r="IH643" s="1605"/>
      <c r="II643" s="1605"/>
      <c r="IJ643" s="1605"/>
      <c r="IK643" s="1605"/>
      <c r="IL643" s="1605"/>
      <c r="IM643" s="1605"/>
      <c r="IN643" s="1605"/>
      <c r="IO643" s="1605"/>
      <c r="IP643" s="1605"/>
      <c r="IQ643" s="1605"/>
      <c r="IR643" s="1605"/>
      <c r="IS643" s="1605"/>
      <c r="IT643" s="1605"/>
      <c r="IU643" s="1605"/>
      <c r="IV643" s="1605"/>
      <c r="IW643" s="1605"/>
      <c r="IX643" s="1605"/>
      <c r="IY643" s="1605"/>
      <c r="IZ643" s="1605"/>
      <c r="JA643" s="1605"/>
      <c r="JB643" s="1605"/>
      <c r="JC643" s="1605"/>
      <c r="JD643" s="1605"/>
      <c r="JE643" s="1605"/>
      <c r="JF643" s="1605"/>
      <c r="JG643" s="1605"/>
      <c r="JH643" s="1605"/>
      <c r="JI643" s="1605"/>
      <c r="JJ643" s="1605"/>
      <c r="JK643" s="1605"/>
      <c r="JL643" s="1605"/>
      <c r="JM643" s="1605"/>
      <c r="JN643" s="1605"/>
      <c r="JO643" s="1605"/>
      <c r="JP643" s="1605"/>
      <c r="JQ643" s="1605"/>
      <c r="JR643" s="1605"/>
      <c r="JS643" s="1605"/>
      <c r="JT643" s="1605"/>
      <c r="JU643" s="1605"/>
      <c r="JV643" s="1605"/>
      <c r="JW643" s="1605"/>
      <c r="JX643" s="1605"/>
      <c r="JY643" s="1605"/>
      <c r="JZ643" s="1605"/>
      <c r="KA643" s="1605"/>
      <c r="KB643" s="1606"/>
    </row>
    <row r="644" spans="2:288" ht="15" customHeight="1" x14ac:dyDescent="0.25">
      <c r="B644" s="216" t="str">
        <f t="shared" si="54"/>
        <v>Desk 14</v>
      </c>
      <c r="C644" s="218" t="str">
        <v/>
      </c>
      <c r="D644" s="218" t="str">
        <v/>
      </c>
      <c r="E644" s="218" t="str">
        <v/>
      </c>
      <c r="F644" s="218" t="str">
        <v/>
      </c>
      <c r="G644" s="402" t="str">
        <v/>
      </c>
      <c r="H644" s="1605"/>
      <c r="I644" s="1605"/>
      <c r="J644" s="1605"/>
      <c r="K644" s="1605"/>
      <c r="L644" s="1605"/>
      <c r="M644" s="1605"/>
      <c r="N644" s="1605"/>
      <c r="O644" s="1605"/>
      <c r="P644" s="1605"/>
      <c r="Q644" s="1605"/>
      <c r="R644" s="1605"/>
      <c r="S644" s="1605"/>
      <c r="T644" s="1605"/>
      <c r="U644" s="1605"/>
      <c r="V644" s="1605"/>
      <c r="W644" s="1605"/>
      <c r="X644" s="1605"/>
      <c r="Y644" s="1605"/>
      <c r="Z644" s="1605"/>
      <c r="AA644" s="1605"/>
      <c r="AB644" s="1605"/>
      <c r="AC644" s="1605"/>
      <c r="AD644" s="1605"/>
      <c r="AE644" s="1605"/>
      <c r="AF644" s="1605"/>
      <c r="AG644" s="1605"/>
      <c r="AH644" s="1605"/>
      <c r="AI644" s="1605"/>
      <c r="AJ644" s="1605"/>
      <c r="AK644" s="1605"/>
      <c r="AL644" s="1605"/>
      <c r="AM644" s="1605"/>
      <c r="AN644" s="1605"/>
      <c r="AO644" s="1605"/>
      <c r="AP644" s="1605"/>
      <c r="AQ644" s="1605"/>
      <c r="AR644" s="1605"/>
      <c r="AS644" s="1605"/>
      <c r="AT644" s="1605"/>
      <c r="AU644" s="1605"/>
      <c r="AV644" s="1605"/>
      <c r="AW644" s="1605"/>
      <c r="AX644" s="1605"/>
      <c r="AY644" s="1605"/>
      <c r="AZ644" s="1605"/>
      <c r="BA644" s="1605"/>
      <c r="BB644" s="1605"/>
      <c r="BC644" s="1605"/>
      <c r="BD644" s="1605"/>
      <c r="BE644" s="1605"/>
      <c r="BF644" s="1605"/>
      <c r="BG644" s="1605"/>
      <c r="BH644" s="1605"/>
      <c r="BI644" s="1605"/>
      <c r="BJ644" s="1605"/>
      <c r="BK644" s="1605"/>
      <c r="BL644" s="1605"/>
      <c r="BM644" s="1605"/>
      <c r="BN644" s="1605"/>
      <c r="BO644" s="1605"/>
      <c r="BP644" s="1605"/>
      <c r="BQ644" s="1605"/>
      <c r="BR644" s="1605"/>
      <c r="BS644" s="1605"/>
      <c r="BT644" s="1605"/>
      <c r="BU644" s="1605"/>
      <c r="BV644" s="1605"/>
      <c r="BW644" s="1605"/>
      <c r="BX644" s="1605"/>
      <c r="BY644" s="1605"/>
      <c r="BZ644" s="1605"/>
      <c r="CA644" s="1605"/>
      <c r="CB644" s="1605"/>
      <c r="CC644" s="1605"/>
      <c r="CD644" s="1605"/>
      <c r="CE644" s="1605"/>
      <c r="CF644" s="1605"/>
      <c r="CG644" s="1605"/>
      <c r="CH644" s="1605"/>
      <c r="CI644" s="1605"/>
      <c r="CJ644" s="1605"/>
      <c r="CK644" s="1605"/>
      <c r="CL644" s="1605"/>
      <c r="CM644" s="1605"/>
      <c r="CN644" s="1605"/>
      <c r="CO644" s="1605"/>
      <c r="CP644" s="1605"/>
      <c r="CQ644" s="1605"/>
      <c r="CR644" s="1605"/>
      <c r="CS644" s="1605"/>
      <c r="CT644" s="1605"/>
      <c r="CU644" s="1605"/>
      <c r="CV644" s="1605"/>
      <c r="CW644" s="1605"/>
      <c r="CX644" s="1605"/>
      <c r="CY644" s="1605"/>
      <c r="CZ644" s="1605"/>
      <c r="DA644" s="1605"/>
      <c r="DB644" s="1605"/>
      <c r="DC644" s="1605"/>
      <c r="DD644" s="1605"/>
      <c r="DE644" s="1605"/>
      <c r="DF644" s="1605"/>
      <c r="DG644" s="1605"/>
      <c r="DH644" s="1605"/>
      <c r="DI644" s="1605"/>
      <c r="DJ644" s="1605"/>
      <c r="DK644" s="1605"/>
      <c r="DL644" s="1605"/>
      <c r="DM644" s="1605"/>
      <c r="DN644" s="1605"/>
      <c r="DO644" s="1605"/>
      <c r="DP644" s="1605"/>
      <c r="DQ644" s="1605"/>
      <c r="DR644" s="1605"/>
      <c r="DS644" s="1605"/>
      <c r="DT644" s="1605"/>
      <c r="DU644" s="1605"/>
      <c r="DV644" s="1605"/>
      <c r="DW644" s="1605"/>
      <c r="DX644" s="1605"/>
      <c r="DY644" s="1605"/>
      <c r="DZ644" s="1605"/>
      <c r="EA644" s="1605"/>
      <c r="EB644" s="1605"/>
      <c r="EC644" s="1605"/>
      <c r="ED644" s="1605"/>
      <c r="EE644" s="1605"/>
      <c r="EF644" s="1605"/>
      <c r="EG644" s="1605"/>
      <c r="EH644" s="1605"/>
      <c r="EI644" s="1605"/>
      <c r="EJ644" s="1605"/>
      <c r="EK644" s="1605"/>
      <c r="EL644" s="1605"/>
      <c r="EM644" s="1605"/>
      <c r="EN644" s="1605"/>
      <c r="EO644" s="1605"/>
      <c r="EP644" s="1605"/>
      <c r="EQ644" s="1605"/>
      <c r="ER644" s="1605"/>
      <c r="ES644" s="1605"/>
      <c r="ET644" s="1605"/>
      <c r="EU644" s="1605"/>
      <c r="EV644" s="1605"/>
      <c r="EW644" s="1605"/>
      <c r="EX644" s="1605"/>
      <c r="EY644" s="1605"/>
      <c r="EZ644" s="1605"/>
      <c r="FA644" s="1605"/>
      <c r="FB644" s="1605"/>
      <c r="FC644" s="1605"/>
      <c r="FD644" s="1605"/>
      <c r="FE644" s="1605"/>
      <c r="FF644" s="1605"/>
      <c r="FG644" s="1605"/>
      <c r="FH644" s="1605"/>
      <c r="FI644" s="1605"/>
      <c r="FJ644" s="1605"/>
      <c r="FK644" s="1605"/>
      <c r="FL644" s="1605"/>
      <c r="FM644" s="1605"/>
      <c r="FN644" s="1605"/>
      <c r="FO644" s="1605"/>
      <c r="FP644" s="1605"/>
      <c r="FQ644" s="1605"/>
      <c r="FR644" s="1605"/>
      <c r="FS644" s="1605"/>
      <c r="FT644" s="1605"/>
      <c r="FU644" s="1605"/>
      <c r="FV644" s="1605"/>
      <c r="FW644" s="1605"/>
      <c r="FX644" s="1605"/>
      <c r="FY644" s="1605"/>
      <c r="FZ644" s="1605"/>
      <c r="GA644" s="1605"/>
      <c r="GB644" s="1605"/>
      <c r="GC644" s="1605"/>
      <c r="GD644" s="1605"/>
      <c r="GE644" s="1605"/>
      <c r="GF644" s="1605"/>
      <c r="GG644" s="1605"/>
      <c r="GH644" s="1605"/>
      <c r="GI644" s="1605"/>
      <c r="GJ644" s="1605"/>
      <c r="GK644" s="1605"/>
      <c r="GL644" s="1605"/>
      <c r="GM644" s="1605"/>
      <c r="GN644" s="1605"/>
      <c r="GO644" s="1605"/>
      <c r="GP644" s="1605"/>
      <c r="GQ644" s="1605"/>
      <c r="GR644" s="1605"/>
      <c r="GS644" s="1605"/>
      <c r="GT644" s="1605"/>
      <c r="GU644" s="1605"/>
      <c r="GV644" s="1605"/>
      <c r="GW644" s="1605"/>
      <c r="GX644" s="1605"/>
      <c r="GY644" s="1605"/>
      <c r="GZ644" s="1605"/>
      <c r="HA644" s="1605"/>
      <c r="HB644" s="1605"/>
      <c r="HC644" s="1605"/>
      <c r="HD644" s="1605"/>
      <c r="HE644" s="1605"/>
      <c r="HF644" s="1605"/>
      <c r="HG644" s="1605"/>
      <c r="HH644" s="1605"/>
      <c r="HI644" s="1605"/>
      <c r="HJ644" s="1605"/>
      <c r="HK644" s="1605"/>
      <c r="HL644" s="1605"/>
      <c r="HM644" s="1605"/>
      <c r="HN644" s="1605"/>
      <c r="HO644" s="1605"/>
      <c r="HP644" s="1605"/>
      <c r="HQ644" s="1605"/>
      <c r="HR644" s="1605"/>
      <c r="HS644" s="1605"/>
      <c r="HT644" s="1605"/>
      <c r="HU644" s="1605"/>
      <c r="HV644" s="1605"/>
      <c r="HW644" s="1605"/>
      <c r="HX644" s="1605"/>
      <c r="HY644" s="1605"/>
      <c r="HZ644" s="1605"/>
      <c r="IA644" s="1605"/>
      <c r="IB644" s="1605"/>
      <c r="IC644" s="1605"/>
      <c r="ID644" s="1605"/>
      <c r="IE644" s="1605"/>
      <c r="IF644" s="1605"/>
      <c r="IG644" s="1605"/>
      <c r="IH644" s="1605"/>
      <c r="II644" s="1605"/>
      <c r="IJ644" s="1605"/>
      <c r="IK644" s="1605"/>
      <c r="IL644" s="1605"/>
      <c r="IM644" s="1605"/>
      <c r="IN644" s="1605"/>
      <c r="IO644" s="1605"/>
      <c r="IP644" s="1605"/>
      <c r="IQ644" s="1605"/>
      <c r="IR644" s="1605"/>
      <c r="IS644" s="1605"/>
      <c r="IT644" s="1605"/>
      <c r="IU644" s="1605"/>
      <c r="IV644" s="1605"/>
      <c r="IW644" s="1605"/>
      <c r="IX644" s="1605"/>
      <c r="IY644" s="1605"/>
      <c r="IZ644" s="1605"/>
      <c r="JA644" s="1605"/>
      <c r="JB644" s="1605"/>
      <c r="JC644" s="1605"/>
      <c r="JD644" s="1605"/>
      <c r="JE644" s="1605"/>
      <c r="JF644" s="1605"/>
      <c r="JG644" s="1605"/>
      <c r="JH644" s="1605"/>
      <c r="JI644" s="1605"/>
      <c r="JJ644" s="1605"/>
      <c r="JK644" s="1605"/>
      <c r="JL644" s="1605"/>
      <c r="JM644" s="1605"/>
      <c r="JN644" s="1605"/>
      <c r="JO644" s="1605"/>
      <c r="JP644" s="1605"/>
      <c r="JQ644" s="1605"/>
      <c r="JR644" s="1605"/>
      <c r="JS644" s="1605"/>
      <c r="JT644" s="1605"/>
      <c r="JU644" s="1605"/>
      <c r="JV644" s="1605"/>
      <c r="JW644" s="1605"/>
      <c r="JX644" s="1605"/>
      <c r="JY644" s="1605"/>
      <c r="JZ644" s="1605"/>
      <c r="KA644" s="1605"/>
      <c r="KB644" s="1606"/>
    </row>
    <row r="645" spans="2:288" ht="15" customHeight="1" x14ac:dyDescent="0.25">
      <c r="B645" s="216" t="str">
        <f t="shared" si="54"/>
        <v>Desk 15</v>
      </c>
      <c r="C645" s="218" t="str">
        <v/>
      </c>
      <c r="D645" s="218" t="str">
        <v/>
      </c>
      <c r="E645" s="218" t="str">
        <v/>
      </c>
      <c r="F645" s="218" t="str">
        <v/>
      </c>
      <c r="G645" s="402" t="str">
        <v/>
      </c>
      <c r="H645" s="1605"/>
      <c r="I645" s="1605"/>
      <c r="J645" s="1605"/>
      <c r="K645" s="1605"/>
      <c r="L645" s="1605"/>
      <c r="M645" s="1605"/>
      <c r="N645" s="1605"/>
      <c r="O645" s="1605"/>
      <c r="P645" s="1605"/>
      <c r="Q645" s="1605"/>
      <c r="R645" s="1605"/>
      <c r="S645" s="1605"/>
      <c r="T645" s="1605"/>
      <c r="U645" s="1605"/>
      <c r="V645" s="1605"/>
      <c r="W645" s="1605"/>
      <c r="X645" s="1605"/>
      <c r="Y645" s="1605"/>
      <c r="Z645" s="1605"/>
      <c r="AA645" s="1605"/>
      <c r="AB645" s="1605"/>
      <c r="AC645" s="1605"/>
      <c r="AD645" s="1605"/>
      <c r="AE645" s="1605"/>
      <c r="AF645" s="1605"/>
      <c r="AG645" s="1605"/>
      <c r="AH645" s="1605"/>
      <c r="AI645" s="1605"/>
      <c r="AJ645" s="1605"/>
      <c r="AK645" s="1605"/>
      <c r="AL645" s="1605"/>
      <c r="AM645" s="1605"/>
      <c r="AN645" s="1605"/>
      <c r="AO645" s="1605"/>
      <c r="AP645" s="1605"/>
      <c r="AQ645" s="1605"/>
      <c r="AR645" s="1605"/>
      <c r="AS645" s="1605"/>
      <c r="AT645" s="1605"/>
      <c r="AU645" s="1605"/>
      <c r="AV645" s="1605"/>
      <c r="AW645" s="1605"/>
      <c r="AX645" s="1605"/>
      <c r="AY645" s="1605"/>
      <c r="AZ645" s="1605"/>
      <c r="BA645" s="1605"/>
      <c r="BB645" s="1605"/>
      <c r="BC645" s="1605"/>
      <c r="BD645" s="1605"/>
      <c r="BE645" s="1605"/>
      <c r="BF645" s="1605"/>
      <c r="BG645" s="1605"/>
      <c r="BH645" s="1605"/>
      <c r="BI645" s="1605"/>
      <c r="BJ645" s="1605"/>
      <c r="BK645" s="1605"/>
      <c r="BL645" s="1605"/>
      <c r="BM645" s="1605"/>
      <c r="BN645" s="1605"/>
      <c r="BO645" s="1605"/>
      <c r="BP645" s="1605"/>
      <c r="BQ645" s="1605"/>
      <c r="BR645" s="1605"/>
      <c r="BS645" s="1605"/>
      <c r="BT645" s="1605"/>
      <c r="BU645" s="1605"/>
      <c r="BV645" s="1605"/>
      <c r="BW645" s="1605"/>
      <c r="BX645" s="1605"/>
      <c r="BY645" s="1605"/>
      <c r="BZ645" s="1605"/>
      <c r="CA645" s="1605"/>
      <c r="CB645" s="1605"/>
      <c r="CC645" s="1605"/>
      <c r="CD645" s="1605"/>
      <c r="CE645" s="1605"/>
      <c r="CF645" s="1605"/>
      <c r="CG645" s="1605"/>
      <c r="CH645" s="1605"/>
      <c r="CI645" s="1605"/>
      <c r="CJ645" s="1605"/>
      <c r="CK645" s="1605"/>
      <c r="CL645" s="1605"/>
      <c r="CM645" s="1605"/>
      <c r="CN645" s="1605"/>
      <c r="CO645" s="1605"/>
      <c r="CP645" s="1605"/>
      <c r="CQ645" s="1605"/>
      <c r="CR645" s="1605"/>
      <c r="CS645" s="1605"/>
      <c r="CT645" s="1605"/>
      <c r="CU645" s="1605"/>
      <c r="CV645" s="1605"/>
      <c r="CW645" s="1605"/>
      <c r="CX645" s="1605"/>
      <c r="CY645" s="1605"/>
      <c r="CZ645" s="1605"/>
      <c r="DA645" s="1605"/>
      <c r="DB645" s="1605"/>
      <c r="DC645" s="1605"/>
      <c r="DD645" s="1605"/>
      <c r="DE645" s="1605"/>
      <c r="DF645" s="1605"/>
      <c r="DG645" s="1605"/>
      <c r="DH645" s="1605"/>
      <c r="DI645" s="1605"/>
      <c r="DJ645" s="1605"/>
      <c r="DK645" s="1605"/>
      <c r="DL645" s="1605"/>
      <c r="DM645" s="1605"/>
      <c r="DN645" s="1605"/>
      <c r="DO645" s="1605"/>
      <c r="DP645" s="1605"/>
      <c r="DQ645" s="1605"/>
      <c r="DR645" s="1605"/>
      <c r="DS645" s="1605"/>
      <c r="DT645" s="1605"/>
      <c r="DU645" s="1605"/>
      <c r="DV645" s="1605"/>
      <c r="DW645" s="1605"/>
      <c r="DX645" s="1605"/>
      <c r="DY645" s="1605"/>
      <c r="DZ645" s="1605"/>
      <c r="EA645" s="1605"/>
      <c r="EB645" s="1605"/>
      <c r="EC645" s="1605"/>
      <c r="ED645" s="1605"/>
      <c r="EE645" s="1605"/>
      <c r="EF645" s="1605"/>
      <c r="EG645" s="1605"/>
      <c r="EH645" s="1605"/>
      <c r="EI645" s="1605"/>
      <c r="EJ645" s="1605"/>
      <c r="EK645" s="1605"/>
      <c r="EL645" s="1605"/>
      <c r="EM645" s="1605"/>
      <c r="EN645" s="1605"/>
      <c r="EO645" s="1605"/>
      <c r="EP645" s="1605"/>
      <c r="EQ645" s="1605"/>
      <c r="ER645" s="1605"/>
      <c r="ES645" s="1605"/>
      <c r="ET645" s="1605"/>
      <c r="EU645" s="1605"/>
      <c r="EV645" s="1605"/>
      <c r="EW645" s="1605"/>
      <c r="EX645" s="1605"/>
      <c r="EY645" s="1605"/>
      <c r="EZ645" s="1605"/>
      <c r="FA645" s="1605"/>
      <c r="FB645" s="1605"/>
      <c r="FC645" s="1605"/>
      <c r="FD645" s="1605"/>
      <c r="FE645" s="1605"/>
      <c r="FF645" s="1605"/>
      <c r="FG645" s="1605"/>
      <c r="FH645" s="1605"/>
      <c r="FI645" s="1605"/>
      <c r="FJ645" s="1605"/>
      <c r="FK645" s="1605"/>
      <c r="FL645" s="1605"/>
      <c r="FM645" s="1605"/>
      <c r="FN645" s="1605"/>
      <c r="FO645" s="1605"/>
      <c r="FP645" s="1605"/>
      <c r="FQ645" s="1605"/>
      <c r="FR645" s="1605"/>
      <c r="FS645" s="1605"/>
      <c r="FT645" s="1605"/>
      <c r="FU645" s="1605"/>
      <c r="FV645" s="1605"/>
      <c r="FW645" s="1605"/>
      <c r="FX645" s="1605"/>
      <c r="FY645" s="1605"/>
      <c r="FZ645" s="1605"/>
      <c r="GA645" s="1605"/>
      <c r="GB645" s="1605"/>
      <c r="GC645" s="1605"/>
      <c r="GD645" s="1605"/>
      <c r="GE645" s="1605"/>
      <c r="GF645" s="1605"/>
      <c r="GG645" s="1605"/>
      <c r="GH645" s="1605"/>
      <c r="GI645" s="1605"/>
      <c r="GJ645" s="1605"/>
      <c r="GK645" s="1605"/>
      <c r="GL645" s="1605"/>
      <c r="GM645" s="1605"/>
      <c r="GN645" s="1605"/>
      <c r="GO645" s="1605"/>
      <c r="GP645" s="1605"/>
      <c r="GQ645" s="1605"/>
      <c r="GR645" s="1605"/>
      <c r="GS645" s="1605"/>
      <c r="GT645" s="1605"/>
      <c r="GU645" s="1605"/>
      <c r="GV645" s="1605"/>
      <c r="GW645" s="1605"/>
      <c r="GX645" s="1605"/>
      <c r="GY645" s="1605"/>
      <c r="GZ645" s="1605"/>
      <c r="HA645" s="1605"/>
      <c r="HB645" s="1605"/>
      <c r="HC645" s="1605"/>
      <c r="HD645" s="1605"/>
      <c r="HE645" s="1605"/>
      <c r="HF645" s="1605"/>
      <c r="HG645" s="1605"/>
      <c r="HH645" s="1605"/>
      <c r="HI645" s="1605"/>
      <c r="HJ645" s="1605"/>
      <c r="HK645" s="1605"/>
      <c r="HL645" s="1605"/>
      <c r="HM645" s="1605"/>
      <c r="HN645" s="1605"/>
      <c r="HO645" s="1605"/>
      <c r="HP645" s="1605"/>
      <c r="HQ645" s="1605"/>
      <c r="HR645" s="1605"/>
      <c r="HS645" s="1605"/>
      <c r="HT645" s="1605"/>
      <c r="HU645" s="1605"/>
      <c r="HV645" s="1605"/>
      <c r="HW645" s="1605"/>
      <c r="HX645" s="1605"/>
      <c r="HY645" s="1605"/>
      <c r="HZ645" s="1605"/>
      <c r="IA645" s="1605"/>
      <c r="IB645" s="1605"/>
      <c r="IC645" s="1605"/>
      <c r="ID645" s="1605"/>
      <c r="IE645" s="1605"/>
      <c r="IF645" s="1605"/>
      <c r="IG645" s="1605"/>
      <c r="IH645" s="1605"/>
      <c r="II645" s="1605"/>
      <c r="IJ645" s="1605"/>
      <c r="IK645" s="1605"/>
      <c r="IL645" s="1605"/>
      <c r="IM645" s="1605"/>
      <c r="IN645" s="1605"/>
      <c r="IO645" s="1605"/>
      <c r="IP645" s="1605"/>
      <c r="IQ645" s="1605"/>
      <c r="IR645" s="1605"/>
      <c r="IS645" s="1605"/>
      <c r="IT645" s="1605"/>
      <c r="IU645" s="1605"/>
      <c r="IV645" s="1605"/>
      <c r="IW645" s="1605"/>
      <c r="IX645" s="1605"/>
      <c r="IY645" s="1605"/>
      <c r="IZ645" s="1605"/>
      <c r="JA645" s="1605"/>
      <c r="JB645" s="1605"/>
      <c r="JC645" s="1605"/>
      <c r="JD645" s="1605"/>
      <c r="JE645" s="1605"/>
      <c r="JF645" s="1605"/>
      <c r="JG645" s="1605"/>
      <c r="JH645" s="1605"/>
      <c r="JI645" s="1605"/>
      <c r="JJ645" s="1605"/>
      <c r="JK645" s="1605"/>
      <c r="JL645" s="1605"/>
      <c r="JM645" s="1605"/>
      <c r="JN645" s="1605"/>
      <c r="JO645" s="1605"/>
      <c r="JP645" s="1605"/>
      <c r="JQ645" s="1605"/>
      <c r="JR645" s="1605"/>
      <c r="JS645" s="1605"/>
      <c r="JT645" s="1605"/>
      <c r="JU645" s="1605"/>
      <c r="JV645" s="1605"/>
      <c r="JW645" s="1605"/>
      <c r="JX645" s="1605"/>
      <c r="JY645" s="1605"/>
      <c r="JZ645" s="1605"/>
      <c r="KA645" s="1605"/>
      <c r="KB645" s="1606"/>
    </row>
    <row r="646" spans="2:288" ht="15" customHeight="1" x14ac:dyDescent="0.25">
      <c r="B646" s="216" t="str">
        <f t="shared" si="54"/>
        <v>Desk 16</v>
      </c>
      <c r="C646" s="218" t="str">
        <v/>
      </c>
      <c r="D646" s="218" t="str">
        <v/>
      </c>
      <c r="E646" s="218" t="str">
        <v/>
      </c>
      <c r="F646" s="218" t="str">
        <v/>
      </c>
      <c r="G646" s="402" t="str">
        <v/>
      </c>
      <c r="H646" s="1605"/>
      <c r="I646" s="1605"/>
      <c r="J646" s="1605"/>
      <c r="K646" s="1605"/>
      <c r="L646" s="1605"/>
      <c r="M646" s="1605"/>
      <c r="N646" s="1605"/>
      <c r="O646" s="1605"/>
      <c r="P646" s="1605"/>
      <c r="Q646" s="1605"/>
      <c r="R646" s="1605"/>
      <c r="S646" s="1605"/>
      <c r="T646" s="1605"/>
      <c r="U646" s="1605"/>
      <c r="V646" s="1605"/>
      <c r="W646" s="1605"/>
      <c r="X646" s="1605"/>
      <c r="Y646" s="1605"/>
      <c r="Z646" s="1605"/>
      <c r="AA646" s="1605"/>
      <c r="AB646" s="1605"/>
      <c r="AC646" s="1605"/>
      <c r="AD646" s="1605"/>
      <c r="AE646" s="1605"/>
      <c r="AF646" s="1605"/>
      <c r="AG646" s="1605"/>
      <c r="AH646" s="1605"/>
      <c r="AI646" s="1605"/>
      <c r="AJ646" s="1605"/>
      <c r="AK646" s="1605"/>
      <c r="AL646" s="1605"/>
      <c r="AM646" s="1605"/>
      <c r="AN646" s="1605"/>
      <c r="AO646" s="1605"/>
      <c r="AP646" s="1605"/>
      <c r="AQ646" s="1605"/>
      <c r="AR646" s="1605"/>
      <c r="AS646" s="1605"/>
      <c r="AT646" s="1605"/>
      <c r="AU646" s="1605"/>
      <c r="AV646" s="1605"/>
      <c r="AW646" s="1605"/>
      <c r="AX646" s="1605"/>
      <c r="AY646" s="1605"/>
      <c r="AZ646" s="1605"/>
      <c r="BA646" s="1605"/>
      <c r="BB646" s="1605"/>
      <c r="BC646" s="1605"/>
      <c r="BD646" s="1605"/>
      <c r="BE646" s="1605"/>
      <c r="BF646" s="1605"/>
      <c r="BG646" s="1605"/>
      <c r="BH646" s="1605"/>
      <c r="BI646" s="1605"/>
      <c r="BJ646" s="1605"/>
      <c r="BK646" s="1605"/>
      <c r="BL646" s="1605"/>
      <c r="BM646" s="1605"/>
      <c r="BN646" s="1605"/>
      <c r="BO646" s="1605"/>
      <c r="BP646" s="1605"/>
      <c r="BQ646" s="1605"/>
      <c r="BR646" s="1605"/>
      <c r="BS646" s="1605"/>
      <c r="BT646" s="1605"/>
      <c r="BU646" s="1605"/>
      <c r="BV646" s="1605"/>
      <c r="BW646" s="1605"/>
      <c r="BX646" s="1605"/>
      <c r="BY646" s="1605"/>
      <c r="BZ646" s="1605"/>
      <c r="CA646" s="1605"/>
      <c r="CB646" s="1605"/>
      <c r="CC646" s="1605"/>
      <c r="CD646" s="1605"/>
      <c r="CE646" s="1605"/>
      <c r="CF646" s="1605"/>
      <c r="CG646" s="1605"/>
      <c r="CH646" s="1605"/>
      <c r="CI646" s="1605"/>
      <c r="CJ646" s="1605"/>
      <c r="CK646" s="1605"/>
      <c r="CL646" s="1605"/>
      <c r="CM646" s="1605"/>
      <c r="CN646" s="1605"/>
      <c r="CO646" s="1605"/>
      <c r="CP646" s="1605"/>
      <c r="CQ646" s="1605"/>
      <c r="CR646" s="1605"/>
      <c r="CS646" s="1605"/>
      <c r="CT646" s="1605"/>
      <c r="CU646" s="1605"/>
      <c r="CV646" s="1605"/>
      <c r="CW646" s="1605"/>
      <c r="CX646" s="1605"/>
      <c r="CY646" s="1605"/>
      <c r="CZ646" s="1605"/>
      <c r="DA646" s="1605"/>
      <c r="DB646" s="1605"/>
      <c r="DC646" s="1605"/>
      <c r="DD646" s="1605"/>
      <c r="DE646" s="1605"/>
      <c r="DF646" s="1605"/>
      <c r="DG646" s="1605"/>
      <c r="DH646" s="1605"/>
      <c r="DI646" s="1605"/>
      <c r="DJ646" s="1605"/>
      <c r="DK646" s="1605"/>
      <c r="DL646" s="1605"/>
      <c r="DM646" s="1605"/>
      <c r="DN646" s="1605"/>
      <c r="DO646" s="1605"/>
      <c r="DP646" s="1605"/>
      <c r="DQ646" s="1605"/>
      <c r="DR646" s="1605"/>
      <c r="DS646" s="1605"/>
      <c r="DT646" s="1605"/>
      <c r="DU646" s="1605"/>
      <c r="DV646" s="1605"/>
      <c r="DW646" s="1605"/>
      <c r="DX646" s="1605"/>
      <c r="DY646" s="1605"/>
      <c r="DZ646" s="1605"/>
      <c r="EA646" s="1605"/>
      <c r="EB646" s="1605"/>
      <c r="EC646" s="1605"/>
      <c r="ED646" s="1605"/>
      <c r="EE646" s="1605"/>
      <c r="EF646" s="1605"/>
      <c r="EG646" s="1605"/>
      <c r="EH646" s="1605"/>
      <c r="EI646" s="1605"/>
      <c r="EJ646" s="1605"/>
      <c r="EK646" s="1605"/>
      <c r="EL646" s="1605"/>
      <c r="EM646" s="1605"/>
      <c r="EN646" s="1605"/>
      <c r="EO646" s="1605"/>
      <c r="EP646" s="1605"/>
      <c r="EQ646" s="1605"/>
      <c r="ER646" s="1605"/>
      <c r="ES646" s="1605"/>
      <c r="ET646" s="1605"/>
      <c r="EU646" s="1605"/>
      <c r="EV646" s="1605"/>
      <c r="EW646" s="1605"/>
      <c r="EX646" s="1605"/>
      <c r="EY646" s="1605"/>
      <c r="EZ646" s="1605"/>
      <c r="FA646" s="1605"/>
      <c r="FB646" s="1605"/>
      <c r="FC646" s="1605"/>
      <c r="FD646" s="1605"/>
      <c r="FE646" s="1605"/>
      <c r="FF646" s="1605"/>
      <c r="FG646" s="1605"/>
      <c r="FH646" s="1605"/>
      <c r="FI646" s="1605"/>
      <c r="FJ646" s="1605"/>
      <c r="FK646" s="1605"/>
      <c r="FL646" s="1605"/>
      <c r="FM646" s="1605"/>
      <c r="FN646" s="1605"/>
      <c r="FO646" s="1605"/>
      <c r="FP646" s="1605"/>
      <c r="FQ646" s="1605"/>
      <c r="FR646" s="1605"/>
      <c r="FS646" s="1605"/>
      <c r="FT646" s="1605"/>
      <c r="FU646" s="1605"/>
      <c r="FV646" s="1605"/>
      <c r="FW646" s="1605"/>
      <c r="FX646" s="1605"/>
      <c r="FY646" s="1605"/>
      <c r="FZ646" s="1605"/>
      <c r="GA646" s="1605"/>
      <c r="GB646" s="1605"/>
      <c r="GC646" s="1605"/>
      <c r="GD646" s="1605"/>
      <c r="GE646" s="1605"/>
      <c r="GF646" s="1605"/>
      <c r="GG646" s="1605"/>
      <c r="GH646" s="1605"/>
      <c r="GI646" s="1605"/>
      <c r="GJ646" s="1605"/>
      <c r="GK646" s="1605"/>
      <c r="GL646" s="1605"/>
      <c r="GM646" s="1605"/>
      <c r="GN646" s="1605"/>
      <c r="GO646" s="1605"/>
      <c r="GP646" s="1605"/>
      <c r="GQ646" s="1605"/>
      <c r="GR646" s="1605"/>
      <c r="GS646" s="1605"/>
      <c r="GT646" s="1605"/>
      <c r="GU646" s="1605"/>
      <c r="GV646" s="1605"/>
      <c r="GW646" s="1605"/>
      <c r="GX646" s="1605"/>
      <c r="GY646" s="1605"/>
      <c r="GZ646" s="1605"/>
      <c r="HA646" s="1605"/>
      <c r="HB646" s="1605"/>
      <c r="HC646" s="1605"/>
      <c r="HD646" s="1605"/>
      <c r="HE646" s="1605"/>
      <c r="HF646" s="1605"/>
      <c r="HG646" s="1605"/>
      <c r="HH646" s="1605"/>
      <c r="HI646" s="1605"/>
      <c r="HJ646" s="1605"/>
      <c r="HK646" s="1605"/>
      <c r="HL646" s="1605"/>
      <c r="HM646" s="1605"/>
      <c r="HN646" s="1605"/>
      <c r="HO646" s="1605"/>
      <c r="HP646" s="1605"/>
      <c r="HQ646" s="1605"/>
      <c r="HR646" s="1605"/>
      <c r="HS646" s="1605"/>
      <c r="HT646" s="1605"/>
      <c r="HU646" s="1605"/>
      <c r="HV646" s="1605"/>
      <c r="HW646" s="1605"/>
      <c r="HX646" s="1605"/>
      <c r="HY646" s="1605"/>
      <c r="HZ646" s="1605"/>
      <c r="IA646" s="1605"/>
      <c r="IB646" s="1605"/>
      <c r="IC646" s="1605"/>
      <c r="ID646" s="1605"/>
      <c r="IE646" s="1605"/>
      <c r="IF646" s="1605"/>
      <c r="IG646" s="1605"/>
      <c r="IH646" s="1605"/>
      <c r="II646" s="1605"/>
      <c r="IJ646" s="1605"/>
      <c r="IK646" s="1605"/>
      <c r="IL646" s="1605"/>
      <c r="IM646" s="1605"/>
      <c r="IN646" s="1605"/>
      <c r="IO646" s="1605"/>
      <c r="IP646" s="1605"/>
      <c r="IQ646" s="1605"/>
      <c r="IR646" s="1605"/>
      <c r="IS646" s="1605"/>
      <c r="IT646" s="1605"/>
      <c r="IU646" s="1605"/>
      <c r="IV646" s="1605"/>
      <c r="IW646" s="1605"/>
      <c r="IX646" s="1605"/>
      <c r="IY646" s="1605"/>
      <c r="IZ646" s="1605"/>
      <c r="JA646" s="1605"/>
      <c r="JB646" s="1605"/>
      <c r="JC646" s="1605"/>
      <c r="JD646" s="1605"/>
      <c r="JE646" s="1605"/>
      <c r="JF646" s="1605"/>
      <c r="JG646" s="1605"/>
      <c r="JH646" s="1605"/>
      <c r="JI646" s="1605"/>
      <c r="JJ646" s="1605"/>
      <c r="JK646" s="1605"/>
      <c r="JL646" s="1605"/>
      <c r="JM646" s="1605"/>
      <c r="JN646" s="1605"/>
      <c r="JO646" s="1605"/>
      <c r="JP646" s="1605"/>
      <c r="JQ646" s="1605"/>
      <c r="JR646" s="1605"/>
      <c r="JS646" s="1605"/>
      <c r="JT646" s="1605"/>
      <c r="JU646" s="1605"/>
      <c r="JV646" s="1605"/>
      <c r="JW646" s="1605"/>
      <c r="JX646" s="1605"/>
      <c r="JY646" s="1605"/>
      <c r="JZ646" s="1605"/>
      <c r="KA646" s="1605"/>
      <c r="KB646" s="1606"/>
    </row>
    <row r="647" spans="2:288" ht="15" customHeight="1" x14ac:dyDescent="0.25">
      <c r="B647" s="216" t="str">
        <f t="shared" si="54"/>
        <v>Desk 17</v>
      </c>
      <c r="C647" s="218" t="str">
        <v/>
      </c>
      <c r="D647" s="218" t="str">
        <v/>
      </c>
      <c r="E647" s="218" t="str">
        <v/>
      </c>
      <c r="F647" s="218" t="str">
        <v/>
      </c>
      <c r="G647" s="402" t="str">
        <v/>
      </c>
      <c r="H647" s="1605"/>
      <c r="I647" s="1605"/>
      <c r="J647" s="1605"/>
      <c r="K647" s="1605"/>
      <c r="L647" s="1605"/>
      <c r="M647" s="1605"/>
      <c r="N647" s="1605"/>
      <c r="O647" s="1605"/>
      <c r="P647" s="1605"/>
      <c r="Q647" s="1605"/>
      <c r="R647" s="1605"/>
      <c r="S647" s="1605"/>
      <c r="T647" s="1605"/>
      <c r="U647" s="1605"/>
      <c r="V647" s="1605"/>
      <c r="W647" s="1605"/>
      <c r="X647" s="1605"/>
      <c r="Y647" s="1605"/>
      <c r="Z647" s="1605"/>
      <c r="AA647" s="1605"/>
      <c r="AB647" s="1605"/>
      <c r="AC647" s="1605"/>
      <c r="AD647" s="1605"/>
      <c r="AE647" s="1605"/>
      <c r="AF647" s="1605"/>
      <c r="AG647" s="1605"/>
      <c r="AH647" s="1605"/>
      <c r="AI647" s="1605"/>
      <c r="AJ647" s="1605"/>
      <c r="AK647" s="1605"/>
      <c r="AL647" s="1605"/>
      <c r="AM647" s="1605"/>
      <c r="AN647" s="1605"/>
      <c r="AO647" s="1605"/>
      <c r="AP647" s="1605"/>
      <c r="AQ647" s="1605"/>
      <c r="AR647" s="1605"/>
      <c r="AS647" s="1605"/>
      <c r="AT647" s="1605"/>
      <c r="AU647" s="1605"/>
      <c r="AV647" s="1605"/>
      <c r="AW647" s="1605"/>
      <c r="AX647" s="1605"/>
      <c r="AY647" s="1605"/>
      <c r="AZ647" s="1605"/>
      <c r="BA647" s="1605"/>
      <c r="BB647" s="1605"/>
      <c r="BC647" s="1605"/>
      <c r="BD647" s="1605"/>
      <c r="BE647" s="1605"/>
      <c r="BF647" s="1605"/>
      <c r="BG647" s="1605"/>
      <c r="BH647" s="1605"/>
      <c r="BI647" s="1605"/>
      <c r="BJ647" s="1605"/>
      <c r="BK647" s="1605"/>
      <c r="BL647" s="1605"/>
      <c r="BM647" s="1605"/>
      <c r="BN647" s="1605"/>
      <c r="BO647" s="1605"/>
      <c r="BP647" s="1605"/>
      <c r="BQ647" s="1605"/>
      <c r="BR647" s="1605"/>
      <c r="BS647" s="1605"/>
      <c r="BT647" s="1605"/>
      <c r="BU647" s="1605"/>
      <c r="BV647" s="1605"/>
      <c r="BW647" s="1605"/>
      <c r="BX647" s="1605"/>
      <c r="BY647" s="1605"/>
      <c r="BZ647" s="1605"/>
      <c r="CA647" s="1605"/>
      <c r="CB647" s="1605"/>
      <c r="CC647" s="1605"/>
      <c r="CD647" s="1605"/>
      <c r="CE647" s="1605"/>
      <c r="CF647" s="1605"/>
      <c r="CG647" s="1605"/>
      <c r="CH647" s="1605"/>
      <c r="CI647" s="1605"/>
      <c r="CJ647" s="1605"/>
      <c r="CK647" s="1605"/>
      <c r="CL647" s="1605"/>
      <c r="CM647" s="1605"/>
      <c r="CN647" s="1605"/>
      <c r="CO647" s="1605"/>
      <c r="CP647" s="1605"/>
      <c r="CQ647" s="1605"/>
      <c r="CR647" s="1605"/>
      <c r="CS647" s="1605"/>
      <c r="CT647" s="1605"/>
      <c r="CU647" s="1605"/>
      <c r="CV647" s="1605"/>
      <c r="CW647" s="1605"/>
      <c r="CX647" s="1605"/>
      <c r="CY647" s="1605"/>
      <c r="CZ647" s="1605"/>
      <c r="DA647" s="1605"/>
      <c r="DB647" s="1605"/>
      <c r="DC647" s="1605"/>
      <c r="DD647" s="1605"/>
      <c r="DE647" s="1605"/>
      <c r="DF647" s="1605"/>
      <c r="DG647" s="1605"/>
      <c r="DH647" s="1605"/>
      <c r="DI647" s="1605"/>
      <c r="DJ647" s="1605"/>
      <c r="DK647" s="1605"/>
      <c r="DL647" s="1605"/>
      <c r="DM647" s="1605"/>
      <c r="DN647" s="1605"/>
      <c r="DO647" s="1605"/>
      <c r="DP647" s="1605"/>
      <c r="DQ647" s="1605"/>
      <c r="DR647" s="1605"/>
      <c r="DS647" s="1605"/>
      <c r="DT647" s="1605"/>
      <c r="DU647" s="1605"/>
      <c r="DV647" s="1605"/>
      <c r="DW647" s="1605"/>
      <c r="DX647" s="1605"/>
      <c r="DY647" s="1605"/>
      <c r="DZ647" s="1605"/>
      <c r="EA647" s="1605"/>
      <c r="EB647" s="1605"/>
      <c r="EC647" s="1605"/>
      <c r="ED647" s="1605"/>
      <c r="EE647" s="1605"/>
      <c r="EF647" s="1605"/>
      <c r="EG647" s="1605"/>
      <c r="EH647" s="1605"/>
      <c r="EI647" s="1605"/>
      <c r="EJ647" s="1605"/>
      <c r="EK647" s="1605"/>
      <c r="EL647" s="1605"/>
      <c r="EM647" s="1605"/>
      <c r="EN647" s="1605"/>
      <c r="EO647" s="1605"/>
      <c r="EP647" s="1605"/>
      <c r="EQ647" s="1605"/>
      <c r="ER647" s="1605"/>
      <c r="ES647" s="1605"/>
      <c r="ET647" s="1605"/>
      <c r="EU647" s="1605"/>
      <c r="EV647" s="1605"/>
      <c r="EW647" s="1605"/>
      <c r="EX647" s="1605"/>
      <c r="EY647" s="1605"/>
      <c r="EZ647" s="1605"/>
      <c r="FA647" s="1605"/>
      <c r="FB647" s="1605"/>
      <c r="FC647" s="1605"/>
      <c r="FD647" s="1605"/>
      <c r="FE647" s="1605"/>
      <c r="FF647" s="1605"/>
      <c r="FG647" s="1605"/>
      <c r="FH647" s="1605"/>
      <c r="FI647" s="1605"/>
      <c r="FJ647" s="1605"/>
      <c r="FK647" s="1605"/>
      <c r="FL647" s="1605"/>
      <c r="FM647" s="1605"/>
      <c r="FN647" s="1605"/>
      <c r="FO647" s="1605"/>
      <c r="FP647" s="1605"/>
      <c r="FQ647" s="1605"/>
      <c r="FR647" s="1605"/>
      <c r="FS647" s="1605"/>
      <c r="FT647" s="1605"/>
      <c r="FU647" s="1605"/>
      <c r="FV647" s="1605"/>
      <c r="FW647" s="1605"/>
      <c r="FX647" s="1605"/>
      <c r="FY647" s="1605"/>
      <c r="FZ647" s="1605"/>
      <c r="GA647" s="1605"/>
      <c r="GB647" s="1605"/>
      <c r="GC647" s="1605"/>
      <c r="GD647" s="1605"/>
      <c r="GE647" s="1605"/>
      <c r="GF647" s="1605"/>
      <c r="GG647" s="1605"/>
      <c r="GH647" s="1605"/>
      <c r="GI647" s="1605"/>
      <c r="GJ647" s="1605"/>
      <c r="GK647" s="1605"/>
      <c r="GL647" s="1605"/>
      <c r="GM647" s="1605"/>
      <c r="GN647" s="1605"/>
      <c r="GO647" s="1605"/>
      <c r="GP647" s="1605"/>
      <c r="GQ647" s="1605"/>
      <c r="GR647" s="1605"/>
      <c r="GS647" s="1605"/>
      <c r="GT647" s="1605"/>
      <c r="GU647" s="1605"/>
      <c r="GV647" s="1605"/>
      <c r="GW647" s="1605"/>
      <c r="GX647" s="1605"/>
      <c r="GY647" s="1605"/>
      <c r="GZ647" s="1605"/>
      <c r="HA647" s="1605"/>
      <c r="HB647" s="1605"/>
      <c r="HC647" s="1605"/>
      <c r="HD647" s="1605"/>
      <c r="HE647" s="1605"/>
      <c r="HF647" s="1605"/>
      <c r="HG647" s="1605"/>
      <c r="HH647" s="1605"/>
      <c r="HI647" s="1605"/>
      <c r="HJ647" s="1605"/>
      <c r="HK647" s="1605"/>
      <c r="HL647" s="1605"/>
      <c r="HM647" s="1605"/>
      <c r="HN647" s="1605"/>
      <c r="HO647" s="1605"/>
      <c r="HP647" s="1605"/>
      <c r="HQ647" s="1605"/>
      <c r="HR647" s="1605"/>
      <c r="HS647" s="1605"/>
      <c r="HT647" s="1605"/>
      <c r="HU647" s="1605"/>
      <c r="HV647" s="1605"/>
      <c r="HW647" s="1605"/>
      <c r="HX647" s="1605"/>
      <c r="HY647" s="1605"/>
      <c r="HZ647" s="1605"/>
      <c r="IA647" s="1605"/>
      <c r="IB647" s="1605"/>
      <c r="IC647" s="1605"/>
      <c r="ID647" s="1605"/>
      <c r="IE647" s="1605"/>
      <c r="IF647" s="1605"/>
      <c r="IG647" s="1605"/>
      <c r="IH647" s="1605"/>
      <c r="II647" s="1605"/>
      <c r="IJ647" s="1605"/>
      <c r="IK647" s="1605"/>
      <c r="IL647" s="1605"/>
      <c r="IM647" s="1605"/>
      <c r="IN647" s="1605"/>
      <c r="IO647" s="1605"/>
      <c r="IP647" s="1605"/>
      <c r="IQ647" s="1605"/>
      <c r="IR647" s="1605"/>
      <c r="IS647" s="1605"/>
      <c r="IT647" s="1605"/>
      <c r="IU647" s="1605"/>
      <c r="IV647" s="1605"/>
      <c r="IW647" s="1605"/>
      <c r="IX647" s="1605"/>
      <c r="IY647" s="1605"/>
      <c r="IZ647" s="1605"/>
      <c r="JA647" s="1605"/>
      <c r="JB647" s="1605"/>
      <c r="JC647" s="1605"/>
      <c r="JD647" s="1605"/>
      <c r="JE647" s="1605"/>
      <c r="JF647" s="1605"/>
      <c r="JG647" s="1605"/>
      <c r="JH647" s="1605"/>
      <c r="JI647" s="1605"/>
      <c r="JJ647" s="1605"/>
      <c r="JK647" s="1605"/>
      <c r="JL647" s="1605"/>
      <c r="JM647" s="1605"/>
      <c r="JN647" s="1605"/>
      <c r="JO647" s="1605"/>
      <c r="JP647" s="1605"/>
      <c r="JQ647" s="1605"/>
      <c r="JR647" s="1605"/>
      <c r="JS647" s="1605"/>
      <c r="JT647" s="1605"/>
      <c r="JU647" s="1605"/>
      <c r="JV647" s="1605"/>
      <c r="JW647" s="1605"/>
      <c r="JX647" s="1605"/>
      <c r="JY647" s="1605"/>
      <c r="JZ647" s="1605"/>
      <c r="KA647" s="1605"/>
      <c r="KB647" s="1606"/>
    </row>
    <row r="648" spans="2:288" ht="15" customHeight="1" x14ac:dyDescent="0.25">
      <c r="B648" s="216" t="str">
        <f t="shared" si="54"/>
        <v>Desk 18</v>
      </c>
      <c r="C648" s="218" t="str">
        <v/>
      </c>
      <c r="D648" s="218" t="str">
        <v/>
      </c>
      <c r="E648" s="218" t="str">
        <v/>
      </c>
      <c r="F648" s="218" t="str">
        <v/>
      </c>
      <c r="G648" s="402" t="str">
        <v/>
      </c>
      <c r="H648" s="1605"/>
      <c r="I648" s="1605"/>
      <c r="J648" s="1605"/>
      <c r="K648" s="1605"/>
      <c r="L648" s="1605"/>
      <c r="M648" s="1605"/>
      <c r="N648" s="1605"/>
      <c r="O648" s="1605"/>
      <c r="P648" s="1605"/>
      <c r="Q648" s="1605"/>
      <c r="R648" s="1605"/>
      <c r="S648" s="1605"/>
      <c r="T648" s="1605"/>
      <c r="U648" s="1605"/>
      <c r="V648" s="1605"/>
      <c r="W648" s="1605"/>
      <c r="X648" s="1605"/>
      <c r="Y648" s="1605"/>
      <c r="Z648" s="1605"/>
      <c r="AA648" s="1605"/>
      <c r="AB648" s="1605"/>
      <c r="AC648" s="1605"/>
      <c r="AD648" s="1605"/>
      <c r="AE648" s="1605"/>
      <c r="AF648" s="1605"/>
      <c r="AG648" s="1605"/>
      <c r="AH648" s="1605"/>
      <c r="AI648" s="1605"/>
      <c r="AJ648" s="1605"/>
      <c r="AK648" s="1605"/>
      <c r="AL648" s="1605"/>
      <c r="AM648" s="1605"/>
      <c r="AN648" s="1605"/>
      <c r="AO648" s="1605"/>
      <c r="AP648" s="1605"/>
      <c r="AQ648" s="1605"/>
      <c r="AR648" s="1605"/>
      <c r="AS648" s="1605"/>
      <c r="AT648" s="1605"/>
      <c r="AU648" s="1605"/>
      <c r="AV648" s="1605"/>
      <c r="AW648" s="1605"/>
      <c r="AX648" s="1605"/>
      <c r="AY648" s="1605"/>
      <c r="AZ648" s="1605"/>
      <c r="BA648" s="1605"/>
      <c r="BB648" s="1605"/>
      <c r="BC648" s="1605"/>
      <c r="BD648" s="1605"/>
      <c r="BE648" s="1605"/>
      <c r="BF648" s="1605"/>
      <c r="BG648" s="1605"/>
      <c r="BH648" s="1605"/>
      <c r="BI648" s="1605"/>
      <c r="BJ648" s="1605"/>
      <c r="BK648" s="1605"/>
      <c r="BL648" s="1605"/>
      <c r="BM648" s="1605"/>
      <c r="BN648" s="1605"/>
      <c r="BO648" s="1605"/>
      <c r="BP648" s="1605"/>
      <c r="BQ648" s="1605"/>
      <c r="BR648" s="1605"/>
      <c r="BS648" s="1605"/>
      <c r="BT648" s="1605"/>
      <c r="BU648" s="1605"/>
      <c r="BV648" s="1605"/>
      <c r="BW648" s="1605"/>
      <c r="BX648" s="1605"/>
      <c r="BY648" s="1605"/>
      <c r="BZ648" s="1605"/>
      <c r="CA648" s="1605"/>
      <c r="CB648" s="1605"/>
      <c r="CC648" s="1605"/>
      <c r="CD648" s="1605"/>
      <c r="CE648" s="1605"/>
      <c r="CF648" s="1605"/>
      <c r="CG648" s="1605"/>
      <c r="CH648" s="1605"/>
      <c r="CI648" s="1605"/>
      <c r="CJ648" s="1605"/>
      <c r="CK648" s="1605"/>
      <c r="CL648" s="1605"/>
      <c r="CM648" s="1605"/>
      <c r="CN648" s="1605"/>
      <c r="CO648" s="1605"/>
      <c r="CP648" s="1605"/>
      <c r="CQ648" s="1605"/>
      <c r="CR648" s="1605"/>
      <c r="CS648" s="1605"/>
      <c r="CT648" s="1605"/>
      <c r="CU648" s="1605"/>
      <c r="CV648" s="1605"/>
      <c r="CW648" s="1605"/>
      <c r="CX648" s="1605"/>
      <c r="CY648" s="1605"/>
      <c r="CZ648" s="1605"/>
      <c r="DA648" s="1605"/>
      <c r="DB648" s="1605"/>
      <c r="DC648" s="1605"/>
      <c r="DD648" s="1605"/>
      <c r="DE648" s="1605"/>
      <c r="DF648" s="1605"/>
      <c r="DG648" s="1605"/>
      <c r="DH648" s="1605"/>
      <c r="DI648" s="1605"/>
      <c r="DJ648" s="1605"/>
      <c r="DK648" s="1605"/>
      <c r="DL648" s="1605"/>
      <c r="DM648" s="1605"/>
      <c r="DN648" s="1605"/>
      <c r="DO648" s="1605"/>
      <c r="DP648" s="1605"/>
      <c r="DQ648" s="1605"/>
      <c r="DR648" s="1605"/>
      <c r="DS648" s="1605"/>
      <c r="DT648" s="1605"/>
      <c r="DU648" s="1605"/>
      <c r="DV648" s="1605"/>
      <c r="DW648" s="1605"/>
      <c r="DX648" s="1605"/>
      <c r="DY648" s="1605"/>
      <c r="DZ648" s="1605"/>
      <c r="EA648" s="1605"/>
      <c r="EB648" s="1605"/>
      <c r="EC648" s="1605"/>
      <c r="ED648" s="1605"/>
      <c r="EE648" s="1605"/>
      <c r="EF648" s="1605"/>
      <c r="EG648" s="1605"/>
      <c r="EH648" s="1605"/>
      <c r="EI648" s="1605"/>
      <c r="EJ648" s="1605"/>
      <c r="EK648" s="1605"/>
      <c r="EL648" s="1605"/>
      <c r="EM648" s="1605"/>
      <c r="EN648" s="1605"/>
      <c r="EO648" s="1605"/>
      <c r="EP648" s="1605"/>
      <c r="EQ648" s="1605"/>
      <c r="ER648" s="1605"/>
      <c r="ES648" s="1605"/>
      <c r="ET648" s="1605"/>
      <c r="EU648" s="1605"/>
      <c r="EV648" s="1605"/>
      <c r="EW648" s="1605"/>
      <c r="EX648" s="1605"/>
      <c r="EY648" s="1605"/>
      <c r="EZ648" s="1605"/>
      <c r="FA648" s="1605"/>
      <c r="FB648" s="1605"/>
      <c r="FC648" s="1605"/>
      <c r="FD648" s="1605"/>
      <c r="FE648" s="1605"/>
      <c r="FF648" s="1605"/>
      <c r="FG648" s="1605"/>
      <c r="FH648" s="1605"/>
      <c r="FI648" s="1605"/>
      <c r="FJ648" s="1605"/>
      <c r="FK648" s="1605"/>
      <c r="FL648" s="1605"/>
      <c r="FM648" s="1605"/>
      <c r="FN648" s="1605"/>
      <c r="FO648" s="1605"/>
      <c r="FP648" s="1605"/>
      <c r="FQ648" s="1605"/>
      <c r="FR648" s="1605"/>
      <c r="FS648" s="1605"/>
      <c r="FT648" s="1605"/>
      <c r="FU648" s="1605"/>
      <c r="FV648" s="1605"/>
      <c r="FW648" s="1605"/>
      <c r="FX648" s="1605"/>
      <c r="FY648" s="1605"/>
      <c r="FZ648" s="1605"/>
      <c r="GA648" s="1605"/>
      <c r="GB648" s="1605"/>
      <c r="GC648" s="1605"/>
      <c r="GD648" s="1605"/>
      <c r="GE648" s="1605"/>
      <c r="GF648" s="1605"/>
      <c r="GG648" s="1605"/>
      <c r="GH648" s="1605"/>
      <c r="GI648" s="1605"/>
      <c r="GJ648" s="1605"/>
      <c r="GK648" s="1605"/>
      <c r="GL648" s="1605"/>
      <c r="GM648" s="1605"/>
      <c r="GN648" s="1605"/>
      <c r="GO648" s="1605"/>
      <c r="GP648" s="1605"/>
      <c r="GQ648" s="1605"/>
      <c r="GR648" s="1605"/>
      <c r="GS648" s="1605"/>
      <c r="GT648" s="1605"/>
      <c r="GU648" s="1605"/>
      <c r="GV648" s="1605"/>
      <c r="GW648" s="1605"/>
      <c r="GX648" s="1605"/>
      <c r="GY648" s="1605"/>
      <c r="GZ648" s="1605"/>
      <c r="HA648" s="1605"/>
      <c r="HB648" s="1605"/>
      <c r="HC648" s="1605"/>
      <c r="HD648" s="1605"/>
      <c r="HE648" s="1605"/>
      <c r="HF648" s="1605"/>
      <c r="HG648" s="1605"/>
      <c r="HH648" s="1605"/>
      <c r="HI648" s="1605"/>
      <c r="HJ648" s="1605"/>
      <c r="HK648" s="1605"/>
      <c r="HL648" s="1605"/>
      <c r="HM648" s="1605"/>
      <c r="HN648" s="1605"/>
      <c r="HO648" s="1605"/>
      <c r="HP648" s="1605"/>
      <c r="HQ648" s="1605"/>
      <c r="HR648" s="1605"/>
      <c r="HS648" s="1605"/>
      <c r="HT648" s="1605"/>
      <c r="HU648" s="1605"/>
      <c r="HV648" s="1605"/>
      <c r="HW648" s="1605"/>
      <c r="HX648" s="1605"/>
      <c r="HY648" s="1605"/>
      <c r="HZ648" s="1605"/>
      <c r="IA648" s="1605"/>
      <c r="IB648" s="1605"/>
      <c r="IC648" s="1605"/>
      <c r="ID648" s="1605"/>
      <c r="IE648" s="1605"/>
      <c r="IF648" s="1605"/>
      <c r="IG648" s="1605"/>
      <c r="IH648" s="1605"/>
      <c r="II648" s="1605"/>
      <c r="IJ648" s="1605"/>
      <c r="IK648" s="1605"/>
      <c r="IL648" s="1605"/>
      <c r="IM648" s="1605"/>
      <c r="IN648" s="1605"/>
      <c r="IO648" s="1605"/>
      <c r="IP648" s="1605"/>
      <c r="IQ648" s="1605"/>
      <c r="IR648" s="1605"/>
      <c r="IS648" s="1605"/>
      <c r="IT648" s="1605"/>
      <c r="IU648" s="1605"/>
      <c r="IV648" s="1605"/>
      <c r="IW648" s="1605"/>
      <c r="IX648" s="1605"/>
      <c r="IY648" s="1605"/>
      <c r="IZ648" s="1605"/>
      <c r="JA648" s="1605"/>
      <c r="JB648" s="1605"/>
      <c r="JC648" s="1605"/>
      <c r="JD648" s="1605"/>
      <c r="JE648" s="1605"/>
      <c r="JF648" s="1605"/>
      <c r="JG648" s="1605"/>
      <c r="JH648" s="1605"/>
      <c r="JI648" s="1605"/>
      <c r="JJ648" s="1605"/>
      <c r="JK648" s="1605"/>
      <c r="JL648" s="1605"/>
      <c r="JM648" s="1605"/>
      <c r="JN648" s="1605"/>
      <c r="JO648" s="1605"/>
      <c r="JP648" s="1605"/>
      <c r="JQ648" s="1605"/>
      <c r="JR648" s="1605"/>
      <c r="JS648" s="1605"/>
      <c r="JT648" s="1605"/>
      <c r="JU648" s="1605"/>
      <c r="JV648" s="1605"/>
      <c r="JW648" s="1605"/>
      <c r="JX648" s="1605"/>
      <c r="JY648" s="1605"/>
      <c r="JZ648" s="1605"/>
      <c r="KA648" s="1605"/>
      <c r="KB648" s="1606"/>
    </row>
    <row r="649" spans="2:288" ht="15" customHeight="1" x14ac:dyDescent="0.25">
      <c r="B649" s="216" t="str">
        <f t="shared" si="54"/>
        <v>Desk 19</v>
      </c>
      <c r="C649" s="218" t="str">
        <v/>
      </c>
      <c r="D649" s="218" t="str">
        <v/>
      </c>
      <c r="E649" s="218" t="str">
        <v/>
      </c>
      <c r="F649" s="218" t="str">
        <v/>
      </c>
      <c r="G649" s="402" t="str">
        <v/>
      </c>
      <c r="H649" s="1605"/>
      <c r="I649" s="1605"/>
      <c r="J649" s="1605"/>
      <c r="K649" s="1605"/>
      <c r="L649" s="1605"/>
      <c r="M649" s="1605"/>
      <c r="N649" s="1605"/>
      <c r="O649" s="1605"/>
      <c r="P649" s="1605"/>
      <c r="Q649" s="1605"/>
      <c r="R649" s="1605"/>
      <c r="S649" s="1605"/>
      <c r="T649" s="1605"/>
      <c r="U649" s="1605"/>
      <c r="V649" s="1605"/>
      <c r="W649" s="1605"/>
      <c r="X649" s="1605"/>
      <c r="Y649" s="1605"/>
      <c r="Z649" s="1605"/>
      <c r="AA649" s="1605"/>
      <c r="AB649" s="1605"/>
      <c r="AC649" s="1605"/>
      <c r="AD649" s="1605"/>
      <c r="AE649" s="1605"/>
      <c r="AF649" s="1605"/>
      <c r="AG649" s="1605"/>
      <c r="AH649" s="1605"/>
      <c r="AI649" s="1605"/>
      <c r="AJ649" s="1605"/>
      <c r="AK649" s="1605"/>
      <c r="AL649" s="1605"/>
      <c r="AM649" s="1605"/>
      <c r="AN649" s="1605"/>
      <c r="AO649" s="1605"/>
      <c r="AP649" s="1605"/>
      <c r="AQ649" s="1605"/>
      <c r="AR649" s="1605"/>
      <c r="AS649" s="1605"/>
      <c r="AT649" s="1605"/>
      <c r="AU649" s="1605"/>
      <c r="AV649" s="1605"/>
      <c r="AW649" s="1605"/>
      <c r="AX649" s="1605"/>
      <c r="AY649" s="1605"/>
      <c r="AZ649" s="1605"/>
      <c r="BA649" s="1605"/>
      <c r="BB649" s="1605"/>
      <c r="BC649" s="1605"/>
      <c r="BD649" s="1605"/>
      <c r="BE649" s="1605"/>
      <c r="BF649" s="1605"/>
      <c r="BG649" s="1605"/>
      <c r="BH649" s="1605"/>
      <c r="BI649" s="1605"/>
      <c r="BJ649" s="1605"/>
      <c r="BK649" s="1605"/>
      <c r="BL649" s="1605"/>
      <c r="BM649" s="1605"/>
      <c r="BN649" s="1605"/>
      <c r="BO649" s="1605"/>
      <c r="BP649" s="1605"/>
      <c r="BQ649" s="1605"/>
      <c r="BR649" s="1605"/>
      <c r="BS649" s="1605"/>
      <c r="BT649" s="1605"/>
      <c r="BU649" s="1605"/>
      <c r="BV649" s="1605"/>
      <c r="BW649" s="1605"/>
      <c r="BX649" s="1605"/>
      <c r="BY649" s="1605"/>
      <c r="BZ649" s="1605"/>
      <c r="CA649" s="1605"/>
      <c r="CB649" s="1605"/>
      <c r="CC649" s="1605"/>
      <c r="CD649" s="1605"/>
      <c r="CE649" s="1605"/>
      <c r="CF649" s="1605"/>
      <c r="CG649" s="1605"/>
      <c r="CH649" s="1605"/>
      <c r="CI649" s="1605"/>
      <c r="CJ649" s="1605"/>
      <c r="CK649" s="1605"/>
      <c r="CL649" s="1605"/>
      <c r="CM649" s="1605"/>
      <c r="CN649" s="1605"/>
      <c r="CO649" s="1605"/>
      <c r="CP649" s="1605"/>
      <c r="CQ649" s="1605"/>
      <c r="CR649" s="1605"/>
      <c r="CS649" s="1605"/>
      <c r="CT649" s="1605"/>
      <c r="CU649" s="1605"/>
      <c r="CV649" s="1605"/>
      <c r="CW649" s="1605"/>
      <c r="CX649" s="1605"/>
      <c r="CY649" s="1605"/>
      <c r="CZ649" s="1605"/>
      <c r="DA649" s="1605"/>
      <c r="DB649" s="1605"/>
      <c r="DC649" s="1605"/>
      <c r="DD649" s="1605"/>
      <c r="DE649" s="1605"/>
      <c r="DF649" s="1605"/>
      <c r="DG649" s="1605"/>
      <c r="DH649" s="1605"/>
      <c r="DI649" s="1605"/>
      <c r="DJ649" s="1605"/>
      <c r="DK649" s="1605"/>
      <c r="DL649" s="1605"/>
      <c r="DM649" s="1605"/>
      <c r="DN649" s="1605"/>
      <c r="DO649" s="1605"/>
      <c r="DP649" s="1605"/>
      <c r="DQ649" s="1605"/>
      <c r="DR649" s="1605"/>
      <c r="DS649" s="1605"/>
      <c r="DT649" s="1605"/>
      <c r="DU649" s="1605"/>
      <c r="DV649" s="1605"/>
      <c r="DW649" s="1605"/>
      <c r="DX649" s="1605"/>
      <c r="DY649" s="1605"/>
      <c r="DZ649" s="1605"/>
      <c r="EA649" s="1605"/>
      <c r="EB649" s="1605"/>
      <c r="EC649" s="1605"/>
      <c r="ED649" s="1605"/>
      <c r="EE649" s="1605"/>
      <c r="EF649" s="1605"/>
      <c r="EG649" s="1605"/>
      <c r="EH649" s="1605"/>
      <c r="EI649" s="1605"/>
      <c r="EJ649" s="1605"/>
      <c r="EK649" s="1605"/>
      <c r="EL649" s="1605"/>
      <c r="EM649" s="1605"/>
      <c r="EN649" s="1605"/>
      <c r="EO649" s="1605"/>
      <c r="EP649" s="1605"/>
      <c r="EQ649" s="1605"/>
      <c r="ER649" s="1605"/>
      <c r="ES649" s="1605"/>
      <c r="ET649" s="1605"/>
      <c r="EU649" s="1605"/>
      <c r="EV649" s="1605"/>
      <c r="EW649" s="1605"/>
      <c r="EX649" s="1605"/>
      <c r="EY649" s="1605"/>
      <c r="EZ649" s="1605"/>
      <c r="FA649" s="1605"/>
      <c r="FB649" s="1605"/>
      <c r="FC649" s="1605"/>
      <c r="FD649" s="1605"/>
      <c r="FE649" s="1605"/>
      <c r="FF649" s="1605"/>
      <c r="FG649" s="1605"/>
      <c r="FH649" s="1605"/>
      <c r="FI649" s="1605"/>
      <c r="FJ649" s="1605"/>
      <c r="FK649" s="1605"/>
      <c r="FL649" s="1605"/>
      <c r="FM649" s="1605"/>
      <c r="FN649" s="1605"/>
      <c r="FO649" s="1605"/>
      <c r="FP649" s="1605"/>
      <c r="FQ649" s="1605"/>
      <c r="FR649" s="1605"/>
      <c r="FS649" s="1605"/>
      <c r="FT649" s="1605"/>
      <c r="FU649" s="1605"/>
      <c r="FV649" s="1605"/>
      <c r="FW649" s="1605"/>
      <c r="FX649" s="1605"/>
      <c r="FY649" s="1605"/>
      <c r="FZ649" s="1605"/>
      <c r="GA649" s="1605"/>
      <c r="GB649" s="1605"/>
      <c r="GC649" s="1605"/>
      <c r="GD649" s="1605"/>
      <c r="GE649" s="1605"/>
      <c r="GF649" s="1605"/>
      <c r="GG649" s="1605"/>
      <c r="GH649" s="1605"/>
      <c r="GI649" s="1605"/>
      <c r="GJ649" s="1605"/>
      <c r="GK649" s="1605"/>
      <c r="GL649" s="1605"/>
      <c r="GM649" s="1605"/>
      <c r="GN649" s="1605"/>
      <c r="GO649" s="1605"/>
      <c r="GP649" s="1605"/>
      <c r="GQ649" s="1605"/>
      <c r="GR649" s="1605"/>
      <c r="GS649" s="1605"/>
      <c r="GT649" s="1605"/>
      <c r="GU649" s="1605"/>
      <c r="GV649" s="1605"/>
      <c r="GW649" s="1605"/>
      <c r="GX649" s="1605"/>
      <c r="GY649" s="1605"/>
      <c r="GZ649" s="1605"/>
      <c r="HA649" s="1605"/>
      <c r="HB649" s="1605"/>
      <c r="HC649" s="1605"/>
      <c r="HD649" s="1605"/>
      <c r="HE649" s="1605"/>
      <c r="HF649" s="1605"/>
      <c r="HG649" s="1605"/>
      <c r="HH649" s="1605"/>
      <c r="HI649" s="1605"/>
      <c r="HJ649" s="1605"/>
      <c r="HK649" s="1605"/>
      <c r="HL649" s="1605"/>
      <c r="HM649" s="1605"/>
      <c r="HN649" s="1605"/>
      <c r="HO649" s="1605"/>
      <c r="HP649" s="1605"/>
      <c r="HQ649" s="1605"/>
      <c r="HR649" s="1605"/>
      <c r="HS649" s="1605"/>
      <c r="HT649" s="1605"/>
      <c r="HU649" s="1605"/>
      <c r="HV649" s="1605"/>
      <c r="HW649" s="1605"/>
      <c r="HX649" s="1605"/>
      <c r="HY649" s="1605"/>
      <c r="HZ649" s="1605"/>
      <c r="IA649" s="1605"/>
      <c r="IB649" s="1605"/>
      <c r="IC649" s="1605"/>
      <c r="ID649" s="1605"/>
      <c r="IE649" s="1605"/>
      <c r="IF649" s="1605"/>
      <c r="IG649" s="1605"/>
      <c r="IH649" s="1605"/>
      <c r="II649" s="1605"/>
      <c r="IJ649" s="1605"/>
      <c r="IK649" s="1605"/>
      <c r="IL649" s="1605"/>
      <c r="IM649" s="1605"/>
      <c r="IN649" s="1605"/>
      <c r="IO649" s="1605"/>
      <c r="IP649" s="1605"/>
      <c r="IQ649" s="1605"/>
      <c r="IR649" s="1605"/>
      <c r="IS649" s="1605"/>
      <c r="IT649" s="1605"/>
      <c r="IU649" s="1605"/>
      <c r="IV649" s="1605"/>
      <c r="IW649" s="1605"/>
      <c r="IX649" s="1605"/>
      <c r="IY649" s="1605"/>
      <c r="IZ649" s="1605"/>
      <c r="JA649" s="1605"/>
      <c r="JB649" s="1605"/>
      <c r="JC649" s="1605"/>
      <c r="JD649" s="1605"/>
      <c r="JE649" s="1605"/>
      <c r="JF649" s="1605"/>
      <c r="JG649" s="1605"/>
      <c r="JH649" s="1605"/>
      <c r="JI649" s="1605"/>
      <c r="JJ649" s="1605"/>
      <c r="JK649" s="1605"/>
      <c r="JL649" s="1605"/>
      <c r="JM649" s="1605"/>
      <c r="JN649" s="1605"/>
      <c r="JO649" s="1605"/>
      <c r="JP649" s="1605"/>
      <c r="JQ649" s="1605"/>
      <c r="JR649" s="1605"/>
      <c r="JS649" s="1605"/>
      <c r="JT649" s="1605"/>
      <c r="JU649" s="1605"/>
      <c r="JV649" s="1605"/>
      <c r="JW649" s="1605"/>
      <c r="JX649" s="1605"/>
      <c r="JY649" s="1605"/>
      <c r="JZ649" s="1605"/>
      <c r="KA649" s="1605"/>
      <c r="KB649" s="1606"/>
    </row>
    <row r="650" spans="2:288" ht="15" customHeight="1" x14ac:dyDescent="0.25">
      <c r="B650" s="216" t="str">
        <f t="shared" si="54"/>
        <v>Desk 20</v>
      </c>
      <c r="C650" s="218" t="str">
        <v/>
      </c>
      <c r="D650" s="218" t="str">
        <v/>
      </c>
      <c r="E650" s="218" t="str">
        <v/>
      </c>
      <c r="F650" s="218" t="str">
        <v/>
      </c>
      <c r="G650" s="402" t="str">
        <v/>
      </c>
      <c r="H650" s="1605"/>
      <c r="I650" s="1605"/>
      <c r="J650" s="1605"/>
      <c r="K650" s="1605"/>
      <c r="L650" s="1605"/>
      <c r="M650" s="1605"/>
      <c r="N650" s="1605"/>
      <c r="O650" s="1605"/>
      <c r="P650" s="1605"/>
      <c r="Q650" s="1605"/>
      <c r="R650" s="1605"/>
      <c r="S650" s="1605"/>
      <c r="T650" s="1605"/>
      <c r="U650" s="1605"/>
      <c r="V650" s="1605"/>
      <c r="W650" s="1605"/>
      <c r="X650" s="1605"/>
      <c r="Y650" s="1605"/>
      <c r="Z650" s="1605"/>
      <c r="AA650" s="1605"/>
      <c r="AB650" s="1605"/>
      <c r="AC650" s="1605"/>
      <c r="AD650" s="1605"/>
      <c r="AE650" s="1605"/>
      <c r="AF650" s="1605"/>
      <c r="AG650" s="1605"/>
      <c r="AH650" s="1605"/>
      <c r="AI650" s="1605"/>
      <c r="AJ650" s="1605"/>
      <c r="AK650" s="1605"/>
      <c r="AL650" s="1605"/>
      <c r="AM650" s="1605"/>
      <c r="AN650" s="1605"/>
      <c r="AO650" s="1605"/>
      <c r="AP650" s="1605"/>
      <c r="AQ650" s="1605"/>
      <c r="AR650" s="1605"/>
      <c r="AS650" s="1605"/>
      <c r="AT650" s="1605"/>
      <c r="AU650" s="1605"/>
      <c r="AV650" s="1605"/>
      <c r="AW650" s="1605"/>
      <c r="AX650" s="1605"/>
      <c r="AY650" s="1605"/>
      <c r="AZ650" s="1605"/>
      <c r="BA650" s="1605"/>
      <c r="BB650" s="1605"/>
      <c r="BC650" s="1605"/>
      <c r="BD650" s="1605"/>
      <c r="BE650" s="1605"/>
      <c r="BF650" s="1605"/>
      <c r="BG650" s="1605"/>
      <c r="BH650" s="1605"/>
      <c r="BI650" s="1605"/>
      <c r="BJ650" s="1605"/>
      <c r="BK650" s="1605"/>
      <c r="BL650" s="1605"/>
      <c r="BM650" s="1605"/>
      <c r="BN650" s="1605"/>
      <c r="BO650" s="1605"/>
      <c r="BP650" s="1605"/>
      <c r="BQ650" s="1605"/>
      <c r="BR650" s="1605"/>
      <c r="BS650" s="1605"/>
      <c r="BT650" s="1605"/>
      <c r="BU650" s="1605"/>
      <c r="BV650" s="1605"/>
      <c r="BW650" s="1605"/>
      <c r="BX650" s="1605"/>
      <c r="BY650" s="1605"/>
      <c r="BZ650" s="1605"/>
      <c r="CA650" s="1605"/>
      <c r="CB650" s="1605"/>
      <c r="CC650" s="1605"/>
      <c r="CD650" s="1605"/>
      <c r="CE650" s="1605"/>
      <c r="CF650" s="1605"/>
      <c r="CG650" s="1605"/>
      <c r="CH650" s="1605"/>
      <c r="CI650" s="1605"/>
      <c r="CJ650" s="1605"/>
      <c r="CK650" s="1605"/>
      <c r="CL650" s="1605"/>
      <c r="CM650" s="1605"/>
      <c r="CN650" s="1605"/>
      <c r="CO650" s="1605"/>
      <c r="CP650" s="1605"/>
      <c r="CQ650" s="1605"/>
      <c r="CR650" s="1605"/>
      <c r="CS650" s="1605"/>
      <c r="CT650" s="1605"/>
      <c r="CU650" s="1605"/>
      <c r="CV650" s="1605"/>
      <c r="CW650" s="1605"/>
      <c r="CX650" s="1605"/>
      <c r="CY650" s="1605"/>
      <c r="CZ650" s="1605"/>
      <c r="DA650" s="1605"/>
      <c r="DB650" s="1605"/>
      <c r="DC650" s="1605"/>
      <c r="DD650" s="1605"/>
      <c r="DE650" s="1605"/>
      <c r="DF650" s="1605"/>
      <c r="DG650" s="1605"/>
      <c r="DH650" s="1605"/>
      <c r="DI650" s="1605"/>
      <c r="DJ650" s="1605"/>
      <c r="DK650" s="1605"/>
      <c r="DL650" s="1605"/>
      <c r="DM650" s="1605"/>
      <c r="DN650" s="1605"/>
      <c r="DO650" s="1605"/>
      <c r="DP650" s="1605"/>
      <c r="DQ650" s="1605"/>
      <c r="DR650" s="1605"/>
      <c r="DS650" s="1605"/>
      <c r="DT650" s="1605"/>
      <c r="DU650" s="1605"/>
      <c r="DV650" s="1605"/>
      <c r="DW650" s="1605"/>
      <c r="DX650" s="1605"/>
      <c r="DY650" s="1605"/>
      <c r="DZ650" s="1605"/>
      <c r="EA650" s="1605"/>
      <c r="EB650" s="1605"/>
      <c r="EC650" s="1605"/>
      <c r="ED650" s="1605"/>
      <c r="EE650" s="1605"/>
      <c r="EF650" s="1605"/>
      <c r="EG650" s="1605"/>
      <c r="EH650" s="1605"/>
      <c r="EI650" s="1605"/>
      <c r="EJ650" s="1605"/>
      <c r="EK650" s="1605"/>
      <c r="EL650" s="1605"/>
      <c r="EM650" s="1605"/>
      <c r="EN650" s="1605"/>
      <c r="EO650" s="1605"/>
      <c r="EP650" s="1605"/>
      <c r="EQ650" s="1605"/>
      <c r="ER650" s="1605"/>
      <c r="ES650" s="1605"/>
      <c r="ET650" s="1605"/>
      <c r="EU650" s="1605"/>
      <c r="EV650" s="1605"/>
      <c r="EW650" s="1605"/>
      <c r="EX650" s="1605"/>
      <c r="EY650" s="1605"/>
      <c r="EZ650" s="1605"/>
      <c r="FA650" s="1605"/>
      <c r="FB650" s="1605"/>
      <c r="FC650" s="1605"/>
      <c r="FD650" s="1605"/>
      <c r="FE650" s="1605"/>
      <c r="FF650" s="1605"/>
      <c r="FG650" s="1605"/>
      <c r="FH650" s="1605"/>
      <c r="FI650" s="1605"/>
      <c r="FJ650" s="1605"/>
      <c r="FK650" s="1605"/>
      <c r="FL650" s="1605"/>
      <c r="FM650" s="1605"/>
      <c r="FN650" s="1605"/>
      <c r="FO650" s="1605"/>
      <c r="FP650" s="1605"/>
      <c r="FQ650" s="1605"/>
      <c r="FR650" s="1605"/>
      <c r="FS650" s="1605"/>
      <c r="FT650" s="1605"/>
      <c r="FU650" s="1605"/>
      <c r="FV650" s="1605"/>
      <c r="FW650" s="1605"/>
      <c r="FX650" s="1605"/>
      <c r="FY650" s="1605"/>
      <c r="FZ650" s="1605"/>
      <c r="GA650" s="1605"/>
      <c r="GB650" s="1605"/>
      <c r="GC650" s="1605"/>
      <c r="GD650" s="1605"/>
      <c r="GE650" s="1605"/>
      <c r="GF650" s="1605"/>
      <c r="GG650" s="1605"/>
      <c r="GH650" s="1605"/>
      <c r="GI650" s="1605"/>
      <c r="GJ650" s="1605"/>
      <c r="GK650" s="1605"/>
      <c r="GL650" s="1605"/>
      <c r="GM650" s="1605"/>
      <c r="GN650" s="1605"/>
      <c r="GO650" s="1605"/>
      <c r="GP650" s="1605"/>
      <c r="GQ650" s="1605"/>
      <c r="GR650" s="1605"/>
      <c r="GS650" s="1605"/>
      <c r="GT650" s="1605"/>
      <c r="GU650" s="1605"/>
      <c r="GV650" s="1605"/>
      <c r="GW650" s="1605"/>
      <c r="GX650" s="1605"/>
      <c r="GY650" s="1605"/>
      <c r="GZ650" s="1605"/>
      <c r="HA650" s="1605"/>
      <c r="HB650" s="1605"/>
      <c r="HC650" s="1605"/>
      <c r="HD650" s="1605"/>
      <c r="HE650" s="1605"/>
      <c r="HF650" s="1605"/>
      <c r="HG650" s="1605"/>
      <c r="HH650" s="1605"/>
      <c r="HI650" s="1605"/>
      <c r="HJ650" s="1605"/>
      <c r="HK650" s="1605"/>
      <c r="HL650" s="1605"/>
      <c r="HM650" s="1605"/>
      <c r="HN650" s="1605"/>
      <c r="HO650" s="1605"/>
      <c r="HP650" s="1605"/>
      <c r="HQ650" s="1605"/>
      <c r="HR650" s="1605"/>
      <c r="HS650" s="1605"/>
      <c r="HT650" s="1605"/>
      <c r="HU650" s="1605"/>
      <c r="HV650" s="1605"/>
      <c r="HW650" s="1605"/>
      <c r="HX650" s="1605"/>
      <c r="HY650" s="1605"/>
      <c r="HZ650" s="1605"/>
      <c r="IA650" s="1605"/>
      <c r="IB650" s="1605"/>
      <c r="IC650" s="1605"/>
      <c r="ID650" s="1605"/>
      <c r="IE650" s="1605"/>
      <c r="IF650" s="1605"/>
      <c r="IG650" s="1605"/>
      <c r="IH650" s="1605"/>
      <c r="II650" s="1605"/>
      <c r="IJ650" s="1605"/>
      <c r="IK650" s="1605"/>
      <c r="IL650" s="1605"/>
      <c r="IM650" s="1605"/>
      <c r="IN650" s="1605"/>
      <c r="IO650" s="1605"/>
      <c r="IP650" s="1605"/>
      <c r="IQ650" s="1605"/>
      <c r="IR650" s="1605"/>
      <c r="IS650" s="1605"/>
      <c r="IT650" s="1605"/>
      <c r="IU650" s="1605"/>
      <c r="IV650" s="1605"/>
      <c r="IW650" s="1605"/>
      <c r="IX650" s="1605"/>
      <c r="IY650" s="1605"/>
      <c r="IZ650" s="1605"/>
      <c r="JA650" s="1605"/>
      <c r="JB650" s="1605"/>
      <c r="JC650" s="1605"/>
      <c r="JD650" s="1605"/>
      <c r="JE650" s="1605"/>
      <c r="JF650" s="1605"/>
      <c r="JG650" s="1605"/>
      <c r="JH650" s="1605"/>
      <c r="JI650" s="1605"/>
      <c r="JJ650" s="1605"/>
      <c r="JK650" s="1605"/>
      <c r="JL650" s="1605"/>
      <c r="JM650" s="1605"/>
      <c r="JN650" s="1605"/>
      <c r="JO650" s="1605"/>
      <c r="JP650" s="1605"/>
      <c r="JQ650" s="1605"/>
      <c r="JR650" s="1605"/>
      <c r="JS650" s="1605"/>
      <c r="JT650" s="1605"/>
      <c r="JU650" s="1605"/>
      <c r="JV650" s="1605"/>
      <c r="JW650" s="1605"/>
      <c r="JX650" s="1605"/>
      <c r="JY650" s="1605"/>
      <c r="JZ650" s="1605"/>
      <c r="KA650" s="1605"/>
      <c r="KB650" s="1606"/>
    </row>
    <row r="651" spans="2:288" ht="15" customHeight="1" x14ac:dyDescent="0.25">
      <c r="B651" s="216" t="str">
        <f t="shared" si="54"/>
        <v>Desk 21</v>
      </c>
      <c r="C651" s="218" t="str">
        <v/>
      </c>
      <c r="D651" s="218" t="str">
        <v/>
      </c>
      <c r="E651" s="218" t="str">
        <v/>
      </c>
      <c r="F651" s="218" t="str">
        <v/>
      </c>
      <c r="G651" s="402" t="str">
        <v/>
      </c>
      <c r="H651" s="1605"/>
      <c r="I651" s="1605"/>
      <c r="J651" s="1605"/>
      <c r="K651" s="1605"/>
      <c r="L651" s="1605"/>
      <c r="M651" s="1605"/>
      <c r="N651" s="1605"/>
      <c r="O651" s="1605"/>
      <c r="P651" s="1605"/>
      <c r="Q651" s="1605"/>
      <c r="R651" s="1605"/>
      <c r="S651" s="1605"/>
      <c r="T651" s="1605"/>
      <c r="U651" s="1605"/>
      <c r="V651" s="1605"/>
      <c r="W651" s="1605"/>
      <c r="X651" s="1605"/>
      <c r="Y651" s="1605"/>
      <c r="Z651" s="1605"/>
      <c r="AA651" s="1605"/>
      <c r="AB651" s="1605"/>
      <c r="AC651" s="1605"/>
      <c r="AD651" s="1605"/>
      <c r="AE651" s="1605"/>
      <c r="AF651" s="1605"/>
      <c r="AG651" s="1605"/>
      <c r="AH651" s="1605"/>
      <c r="AI651" s="1605"/>
      <c r="AJ651" s="1605"/>
      <c r="AK651" s="1605"/>
      <c r="AL651" s="1605"/>
      <c r="AM651" s="1605"/>
      <c r="AN651" s="1605"/>
      <c r="AO651" s="1605"/>
      <c r="AP651" s="1605"/>
      <c r="AQ651" s="1605"/>
      <c r="AR651" s="1605"/>
      <c r="AS651" s="1605"/>
      <c r="AT651" s="1605"/>
      <c r="AU651" s="1605"/>
      <c r="AV651" s="1605"/>
      <c r="AW651" s="1605"/>
      <c r="AX651" s="1605"/>
      <c r="AY651" s="1605"/>
      <c r="AZ651" s="1605"/>
      <c r="BA651" s="1605"/>
      <c r="BB651" s="1605"/>
      <c r="BC651" s="1605"/>
      <c r="BD651" s="1605"/>
      <c r="BE651" s="1605"/>
      <c r="BF651" s="1605"/>
      <c r="BG651" s="1605"/>
      <c r="BH651" s="1605"/>
      <c r="BI651" s="1605"/>
      <c r="BJ651" s="1605"/>
      <c r="BK651" s="1605"/>
      <c r="BL651" s="1605"/>
      <c r="BM651" s="1605"/>
      <c r="BN651" s="1605"/>
      <c r="BO651" s="1605"/>
      <c r="BP651" s="1605"/>
      <c r="BQ651" s="1605"/>
      <c r="BR651" s="1605"/>
      <c r="BS651" s="1605"/>
      <c r="BT651" s="1605"/>
      <c r="BU651" s="1605"/>
      <c r="BV651" s="1605"/>
      <c r="BW651" s="1605"/>
      <c r="BX651" s="1605"/>
      <c r="BY651" s="1605"/>
      <c r="BZ651" s="1605"/>
      <c r="CA651" s="1605"/>
      <c r="CB651" s="1605"/>
      <c r="CC651" s="1605"/>
      <c r="CD651" s="1605"/>
      <c r="CE651" s="1605"/>
      <c r="CF651" s="1605"/>
      <c r="CG651" s="1605"/>
      <c r="CH651" s="1605"/>
      <c r="CI651" s="1605"/>
      <c r="CJ651" s="1605"/>
      <c r="CK651" s="1605"/>
      <c r="CL651" s="1605"/>
      <c r="CM651" s="1605"/>
      <c r="CN651" s="1605"/>
      <c r="CO651" s="1605"/>
      <c r="CP651" s="1605"/>
      <c r="CQ651" s="1605"/>
      <c r="CR651" s="1605"/>
      <c r="CS651" s="1605"/>
      <c r="CT651" s="1605"/>
      <c r="CU651" s="1605"/>
      <c r="CV651" s="1605"/>
      <c r="CW651" s="1605"/>
      <c r="CX651" s="1605"/>
      <c r="CY651" s="1605"/>
      <c r="CZ651" s="1605"/>
      <c r="DA651" s="1605"/>
      <c r="DB651" s="1605"/>
      <c r="DC651" s="1605"/>
      <c r="DD651" s="1605"/>
      <c r="DE651" s="1605"/>
      <c r="DF651" s="1605"/>
      <c r="DG651" s="1605"/>
      <c r="DH651" s="1605"/>
      <c r="DI651" s="1605"/>
      <c r="DJ651" s="1605"/>
      <c r="DK651" s="1605"/>
      <c r="DL651" s="1605"/>
      <c r="DM651" s="1605"/>
      <c r="DN651" s="1605"/>
      <c r="DO651" s="1605"/>
      <c r="DP651" s="1605"/>
      <c r="DQ651" s="1605"/>
      <c r="DR651" s="1605"/>
      <c r="DS651" s="1605"/>
      <c r="DT651" s="1605"/>
      <c r="DU651" s="1605"/>
      <c r="DV651" s="1605"/>
      <c r="DW651" s="1605"/>
      <c r="DX651" s="1605"/>
      <c r="DY651" s="1605"/>
      <c r="DZ651" s="1605"/>
      <c r="EA651" s="1605"/>
      <c r="EB651" s="1605"/>
      <c r="EC651" s="1605"/>
      <c r="ED651" s="1605"/>
      <c r="EE651" s="1605"/>
      <c r="EF651" s="1605"/>
      <c r="EG651" s="1605"/>
      <c r="EH651" s="1605"/>
      <c r="EI651" s="1605"/>
      <c r="EJ651" s="1605"/>
      <c r="EK651" s="1605"/>
      <c r="EL651" s="1605"/>
      <c r="EM651" s="1605"/>
      <c r="EN651" s="1605"/>
      <c r="EO651" s="1605"/>
      <c r="EP651" s="1605"/>
      <c r="EQ651" s="1605"/>
      <c r="ER651" s="1605"/>
      <c r="ES651" s="1605"/>
      <c r="ET651" s="1605"/>
      <c r="EU651" s="1605"/>
      <c r="EV651" s="1605"/>
      <c r="EW651" s="1605"/>
      <c r="EX651" s="1605"/>
      <c r="EY651" s="1605"/>
      <c r="EZ651" s="1605"/>
      <c r="FA651" s="1605"/>
      <c r="FB651" s="1605"/>
      <c r="FC651" s="1605"/>
      <c r="FD651" s="1605"/>
      <c r="FE651" s="1605"/>
      <c r="FF651" s="1605"/>
      <c r="FG651" s="1605"/>
      <c r="FH651" s="1605"/>
      <c r="FI651" s="1605"/>
      <c r="FJ651" s="1605"/>
      <c r="FK651" s="1605"/>
      <c r="FL651" s="1605"/>
      <c r="FM651" s="1605"/>
      <c r="FN651" s="1605"/>
      <c r="FO651" s="1605"/>
      <c r="FP651" s="1605"/>
      <c r="FQ651" s="1605"/>
      <c r="FR651" s="1605"/>
      <c r="FS651" s="1605"/>
      <c r="FT651" s="1605"/>
      <c r="FU651" s="1605"/>
      <c r="FV651" s="1605"/>
      <c r="FW651" s="1605"/>
      <c r="FX651" s="1605"/>
      <c r="FY651" s="1605"/>
      <c r="FZ651" s="1605"/>
      <c r="GA651" s="1605"/>
      <c r="GB651" s="1605"/>
      <c r="GC651" s="1605"/>
      <c r="GD651" s="1605"/>
      <c r="GE651" s="1605"/>
      <c r="GF651" s="1605"/>
      <c r="GG651" s="1605"/>
      <c r="GH651" s="1605"/>
      <c r="GI651" s="1605"/>
      <c r="GJ651" s="1605"/>
      <c r="GK651" s="1605"/>
      <c r="GL651" s="1605"/>
      <c r="GM651" s="1605"/>
      <c r="GN651" s="1605"/>
      <c r="GO651" s="1605"/>
      <c r="GP651" s="1605"/>
      <c r="GQ651" s="1605"/>
      <c r="GR651" s="1605"/>
      <c r="GS651" s="1605"/>
      <c r="GT651" s="1605"/>
      <c r="GU651" s="1605"/>
      <c r="GV651" s="1605"/>
      <c r="GW651" s="1605"/>
      <c r="GX651" s="1605"/>
      <c r="GY651" s="1605"/>
      <c r="GZ651" s="1605"/>
      <c r="HA651" s="1605"/>
      <c r="HB651" s="1605"/>
      <c r="HC651" s="1605"/>
      <c r="HD651" s="1605"/>
      <c r="HE651" s="1605"/>
      <c r="HF651" s="1605"/>
      <c r="HG651" s="1605"/>
      <c r="HH651" s="1605"/>
      <c r="HI651" s="1605"/>
      <c r="HJ651" s="1605"/>
      <c r="HK651" s="1605"/>
      <c r="HL651" s="1605"/>
      <c r="HM651" s="1605"/>
      <c r="HN651" s="1605"/>
      <c r="HO651" s="1605"/>
      <c r="HP651" s="1605"/>
      <c r="HQ651" s="1605"/>
      <c r="HR651" s="1605"/>
      <c r="HS651" s="1605"/>
      <c r="HT651" s="1605"/>
      <c r="HU651" s="1605"/>
      <c r="HV651" s="1605"/>
      <c r="HW651" s="1605"/>
      <c r="HX651" s="1605"/>
      <c r="HY651" s="1605"/>
      <c r="HZ651" s="1605"/>
      <c r="IA651" s="1605"/>
      <c r="IB651" s="1605"/>
      <c r="IC651" s="1605"/>
      <c r="ID651" s="1605"/>
      <c r="IE651" s="1605"/>
      <c r="IF651" s="1605"/>
      <c r="IG651" s="1605"/>
      <c r="IH651" s="1605"/>
      <c r="II651" s="1605"/>
      <c r="IJ651" s="1605"/>
      <c r="IK651" s="1605"/>
      <c r="IL651" s="1605"/>
      <c r="IM651" s="1605"/>
      <c r="IN651" s="1605"/>
      <c r="IO651" s="1605"/>
      <c r="IP651" s="1605"/>
      <c r="IQ651" s="1605"/>
      <c r="IR651" s="1605"/>
      <c r="IS651" s="1605"/>
      <c r="IT651" s="1605"/>
      <c r="IU651" s="1605"/>
      <c r="IV651" s="1605"/>
      <c r="IW651" s="1605"/>
      <c r="IX651" s="1605"/>
      <c r="IY651" s="1605"/>
      <c r="IZ651" s="1605"/>
      <c r="JA651" s="1605"/>
      <c r="JB651" s="1605"/>
      <c r="JC651" s="1605"/>
      <c r="JD651" s="1605"/>
      <c r="JE651" s="1605"/>
      <c r="JF651" s="1605"/>
      <c r="JG651" s="1605"/>
      <c r="JH651" s="1605"/>
      <c r="JI651" s="1605"/>
      <c r="JJ651" s="1605"/>
      <c r="JK651" s="1605"/>
      <c r="JL651" s="1605"/>
      <c r="JM651" s="1605"/>
      <c r="JN651" s="1605"/>
      <c r="JO651" s="1605"/>
      <c r="JP651" s="1605"/>
      <c r="JQ651" s="1605"/>
      <c r="JR651" s="1605"/>
      <c r="JS651" s="1605"/>
      <c r="JT651" s="1605"/>
      <c r="JU651" s="1605"/>
      <c r="JV651" s="1605"/>
      <c r="JW651" s="1605"/>
      <c r="JX651" s="1605"/>
      <c r="JY651" s="1605"/>
      <c r="JZ651" s="1605"/>
      <c r="KA651" s="1605"/>
      <c r="KB651" s="1606"/>
    </row>
    <row r="652" spans="2:288" ht="15" customHeight="1" x14ac:dyDescent="0.25">
      <c r="B652" s="216" t="str">
        <f t="shared" si="54"/>
        <v>Desk 22</v>
      </c>
      <c r="C652" s="218" t="str">
        <v/>
      </c>
      <c r="D652" s="218" t="str">
        <v/>
      </c>
      <c r="E652" s="218" t="str">
        <v/>
      </c>
      <c r="F652" s="218" t="str">
        <v/>
      </c>
      <c r="G652" s="402" t="str">
        <v/>
      </c>
      <c r="H652" s="1605"/>
      <c r="I652" s="1605"/>
      <c r="J652" s="1605"/>
      <c r="K652" s="1605"/>
      <c r="L652" s="1605"/>
      <c r="M652" s="1605"/>
      <c r="N652" s="1605"/>
      <c r="O652" s="1605"/>
      <c r="P652" s="1605"/>
      <c r="Q652" s="1605"/>
      <c r="R652" s="1605"/>
      <c r="S652" s="1605"/>
      <c r="T652" s="1605"/>
      <c r="U652" s="1605"/>
      <c r="V652" s="1605"/>
      <c r="W652" s="1605"/>
      <c r="X652" s="1605"/>
      <c r="Y652" s="1605"/>
      <c r="Z652" s="1605"/>
      <c r="AA652" s="1605"/>
      <c r="AB652" s="1605"/>
      <c r="AC652" s="1605"/>
      <c r="AD652" s="1605"/>
      <c r="AE652" s="1605"/>
      <c r="AF652" s="1605"/>
      <c r="AG652" s="1605"/>
      <c r="AH652" s="1605"/>
      <c r="AI652" s="1605"/>
      <c r="AJ652" s="1605"/>
      <c r="AK652" s="1605"/>
      <c r="AL652" s="1605"/>
      <c r="AM652" s="1605"/>
      <c r="AN652" s="1605"/>
      <c r="AO652" s="1605"/>
      <c r="AP652" s="1605"/>
      <c r="AQ652" s="1605"/>
      <c r="AR652" s="1605"/>
      <c r="AS652" s="1605"/>
      <c r="AT652" s="1605"/>
      <c r="AU652" s="1605"/>
      <c r="AV652" s="1605"/>
      <c r="AW652" s="1605"/>
      <c r="AX652" s="1605"/>
      <c r="AY652" s="1605"/>
      <c r="AZ652" s="1605"/>
      <c r="BA652" s="1605"/>
      <c r="BB652" s="1605"/>
      <c r="BC652" s="1605"/>
      <c r="BD652" s="1605"/>
      <c r="BE652" s="1605"/>
      <c r="BF652" s="1605"/>
      <c r="BG652" s="1605"/>
      <c r="BH652" s="1605"/>
      <c r="BI652" s="1605"/>
      <c r="BJ652" s="1605"/>
      <c r="BK652" s="1605"/>
      <c r="BL652" s="1605"/>
      <c r="BM652" s="1605"/>
      <c r="BN652" s="1605"/>
      <c r="BO652" s="1605"/>
      <c r="BP652" s="1605"/>
      <c r="BQ652" s="1605"/>
      <c r="BR652" s="1605"/>
      <c r="BS652" s="1605"/>
      <c r="BT652" s="1605"/>
      <c r="BU652" s="1605"/>
      <c r="BV652" s="1605"/>
      <c r="BW652" s="1605"/>
      <c r="BX652" s="1605"/>
      <c r="BY652" s="1605"/>
      <c r="BZ652" s="1605"/>
      <c r="CA652" s="1605"/>
      <c r="CB652" s="1605"/>
      <c r="CC652" s="1605"/>
      <c r="CD652" s="1605"/>
      <c r="CE652" s="1605"/>
      <c r="CF652" s="1605"/>
      <c r="CG652" s="1605"/>
      <c r="CH652" s="1605"/>
      <c r="CI652" s="1605"/>
      <c r="CJ652" s="1605"/>
      <c r="CK652" s="1605"/>
      <c r="CL652" s="1605"/>
      <c r="CM652" s="1605"/>
      <c r="CN652" s="1605"/>
      <c r="CO652" s="1605"/>
      <c r="CP652" s="1605"/>
      <c r="CQ652" s="1605"/>
      <c r="CR652" s="1605"/>
      <c r="CS652" s="1605"/>
      <c r="CT652" s="1605"/>
      <c r="CU652" s="1605"/>
      <c r="CV652" s="1605"/>
      <c r="CW652" s="1605"/>
      <c r="CX652" s="1605"/>
      <c r="CY652" s="1605"/>
      <c r="CZ652" s="1605"/>
      <c r="DA652" s="1605"/>
      <c r="DB652" s="1605"/>
      <c r="DC652" s="1605"/>
      <c r="DD652" s="1605"/>
      <c r="DE652" s="1605"/>
      <c r="DF652" s="1605"/>
      <c r="DG652" s="1605"/>
      <c r="DH652" s="1605"/>
      <c r="DI652" s="1605"/>
      <c r="DJ652" s="1605"/>
      <c r="DK652" s="1605"/>
      <c r="DL652" s="1605"/>
      <c r="DM652" s="1605"/>
      <c r="DN652" s="1605"/>
      <c r="DO652" s="1605"/>
      <c r="DP652" s="1605"/>
      <c r="DQ652" s="1605"/>
      <c r="DR652" s="1605"/>
      <c r="DS652" s="1605"/>
      <c r="DT652" s="1605"/>
      <c r="DU652" s="1605"/>
      <c r="DV652" s="1605"/>
      <c r="DW652" s="1605"/>
      <c r="DX652" s="1605"/>
      <c r="DY652" s="1605"/>
      <c r="DZ652" s="1605"/>
      <c r="EA652" s="1605"/>
      <c r="EB652" s="1605"/>
      <c r="EC652" s="1605"/>
      <c r="ED652" s="1605"/>
      <c r="EE652" s="1605"/>
      <c r="EF652" s="1605"/>
      <c r="EG652" s="1605"/>
      <c r="EH652" s="1605"/>
      <c r="EI652" s="1605"/>
      <c r="EJ652" s="1605"/>
      <c r="EK652" s="1605"/>
      <c r="EL652" s="1605"/>
      <c r="EM652" s="1605"/>
      <c r="EN652" s="1605"/>
      <c r="EO652" s="1605"/>
      <c r="EP652" s="1605"/>
      <c r="EQ652" s="1605"/>
      <c r="ER652" s="1605"/>
      <c r="ES652" s="1605"/>
      <c r="ET652" s="1605"/>
      <c r="EU652" s="1605"/>
      <c r="EV652" s="1605"/>
      <c r="EW652" s="1605"/>
      <c r="EX652" s="1605"/>
      <c r="EY652" s="1605"/>
      <c r="EZ652" s="1605"/>
      <c r="FA652" s="1605"/>
      <c r="FB652" s="1605"/>
      <c r="FC652" s="1605"/>
      <c r="FD652" s="1605"/>
      <c r="FE652" s="1605"/>
      <c r="FF652" s="1605"/>
      <c r="FG652" s="1605"/>
      <c r="FH652" s="1605"/>
      <c r="FI652" s="1605"/>
      <c r="FJ652" s="1605"/>
      <c r="FK652" s="1605"/>
      <c r="FL652" s="1605"/>
      <c r="FM652" s="1605"/>
      <c r="FN652" s="1605"/>
      <c r="FO652" s="1605"/>
      <c r="FP652" s="1605"/>
      <c r="FQ652" s="1605"/>
      <c r="FR652" s="1605"/>
      <c r="FS652" s="1605"/>
      <c r="FT652" s="1605"/>
      <c r="FU652" s="1605"/>
      <c r="FV652" s="1605"/>
      <c r="FW652" s="1605"/>
      <c r="FX652" s="1605"/>
      <c r="FY652" s="1605"/>
      <c r="FZ652" s="1605"/>
      <c r="GA652" s="1605"/>
      <c r="GB652" s="1605"/>
      <c r="GC652" s="1605"/>
      <c r="GD652" s="1605"/>
      <c r="GE652" s="1605"/>
      <c r="GF652" s="1605"/>
      <c r="GG652" s="1605"/>
      <c r="GH652" s="1605"/>
      <c r="GI652" s="1605"/>
      <c r="GJ652" s="1605"/>
      <c r="GK652" s="1605"/>
      <c r="GL652" s="1605"/>
      <c r="GM652" s="1605"/>
      <c r="GN652" s="1605"/>
      <c r="GO652" s="1605"/>
      <c r="GP652" s="1605"/>
      <c r="GQ652" s="1605"/>
      <c r="GR652" s="1605"/>
      <c r="GS652" s="1605"/>
      <c r="GT652" s="1605"/>
      <c r="GU652" s="1605"/>
      <c r="GV652" s="1605"/>
      <c r="GW652" s="1605"/>
      <c r="GX652" s="1605"/>
      <c r="GY652" s="1605"/>
      <c r="GZ652" s="1605"/>
      <c r="HA652" s="1605"/>
      <c r="HB652" s="1605"/>
      <c r="HC652" s="1605"/>
      <c r="HD652" s="1605"/>
      <c r="HE652" s="1605"/>
      <c r="HF652" s="1605"/>
      <c r="HG652" s="1605"/>
      <c r="HH652" s="1605"/>
      <c r="HI652" s="1605"/>
      <c r="HJ652" s="1605"/>
      <c r="HK652" s="1605"/>
      <c r="HL652" s="1605"/>
      <c r="HM652" s="1605"/>
      <c r="HN652" s="1605"/>
      <c r="HO652" s="1605"/>
      <c r="HP652" s="1605"/>
      <c r="HQ652" s="1605"/>
      <c r="HR652" s="1605"/>
      <c r="HS652" s="1605"/>
      <c r="HT652" s="1605"/>
      <c r="HU652" s="1605"/>
      <c r="HV652" s="1605"/>
      <c r="HW652" s="1605"/>
      <c r="HX652" s="1605"/>
      <c r="HY652" s="1605"/>
      <c r="HZ652" s="1605"/>
      <c r="IA652" s="1605"/>
      <c r="IB652" s="1605"/>
      <c r="IC652" s="1605"/>
      <c r="ID652" s="1605"/>
      <c r="IE652" s="1605"/>
      <c r="IF652" s="1605"/>
      <c r="IG652" s="1605"/>
      <c r="IH652" s="1605"/>
      <c r="II652" s="1605"/>
      <c r="IJ652" s="1605"/>
      <c r="IK652" s="1605"/>
      <c r="IL652" s="1605"/>
      <c r="IM652" s="1605"/>
      <c r="IN652" s="1605"/>
      <c r="IO652" s="1605"/>
      <c r="IP652" s="1605"/>
      <c r="IQ652" s="1605"/>
      <c r="IR652" s="1605"/>
      <c r="IS652" s="1605"/>
      <c r="IT652" s="1605"/>
      <c r="IU652" s="1605"/>
      <c r="IV652" s="1605"/>
      <c r="IW652" s="1605"/>
      <c r="IX652" s="1605"/>
      <c r="IY652" s="1605"/>
      <c r="IZ652" s="1605"/>
      <c r="JA652" s="1605"/>
      <c r="JB652" s="1605"/>
      <c r="JC652" s="1605"/>
      <c r="JD652" s="1605"/>
      <c r="JE652" s="1605"/>
      <c r="JF652" s="1605"/>
      <c r="JG652" s="1605"/>
      <c r="JH652" s="1605"/>
      <c r="JI652" s="1605"/>
      <c r="JJ652" s="1605"/>
      <c r="JK652" s="1605"/>
      <c r="JL652" s="1605"/>
      <c r="JM652" s="1605"/>
      <c r="JN652" s="1605"/>
      <c r="JO652" s="1605"/>
      <c r="JP652" s="1605"/>
      <c r="JQ652" s="1605"/>
      <c r="JR652" s="1605"/>
      <c r="JS652" s="1605"/>
      <c r="JT652" s="1605"/>
      <c r="JU652" s="1605"/>
      <c r="JV652" s="1605"/>
      <c r="JW652" s="1605"/>
      <c r="JX652" s="1605"/>
      <c r="JY652" s="1605"/>
      <c r="JZ652" s="1605"/>
      <c r="KA652" s="1605"/>
      <c r="KB652" s="1606"/>
    </row>
    <row r="653" spans="2:288" ht="15" customHeight="1" x14ac:dyDescent="0.25">
      <c r="B653" s="216" t="str">
        <f t="shared" si="54"/>
        <v>Desk 23</v>
      </c>
      <c r="C653" s="218" t="str">
        <v/>
      </c>
      <c r="D653" s="218" t="str">
        <v/>
      </c>
      <c r="E653" s="218" t="str">
        <v/>
      </c>
      <c r="F653" s="218" t="str">
        <v/>
      </c>
      <c r="G653" s="402" t="str">
        <v/>
      </c>
      <c r="H653" s="1605"/>
      <c r="I653" s="1605"/>
      <c r="J653" s="1605"/>
      <c r="K653" s="1605"/>
      <c r="L653" s="1605"/>
      <c r="M653" s="1605"/>
      <c r="N653" s="1605"/>
      <c r="O653" s="1605"/>
      <c r="P653" s="1605"/>
      <c r="Q653" s="1605"/>
      <c r="R653" s="1605"/>
      <c r="S653" s="1605"/>
      <c r="T653" s="1605"/>
      <c r="U653" s="1605"/>
      <c r="V653" s="1605"/>
      <c r="W653" s="1605"/>
      <c r="X653" s="1605"/>
      <c r="Y653" s="1605"/>
      <c r="Z653" s="1605"/>
      <c r="AA653" s="1605"/>
      <c r="AB653" s="1605"/>
      <c r="AC653" s="1605"/>
      <c r="AD653" s="1605"/>
      <c r="AE653" s="1605"/>
      <c r="AF653" s="1605"/>
      <c r="AG653" s="1605"/>
      <c r="AH653" s="1605"/>
      <c r="AI653" s="1605"/>
      <c r="AJ653" s="1605"/>
      <c r="AK653" s="1605"/>
      <c r="AL653" s="1605"/>
      <c r="AM653" s="1605"/>
      <c r="AN653" s="1605"/>
      <c r="AO653" s="1605"/>
      <c r="AP653" s="1605"/>
      <c r="AQ653" s="1605"/>
      <c r="AR653" s="1605"/>
      <c r="AS653" s="1605"/>
      <c r="AT653" s="1605"/>
      <c r="AU653" s="1605"/>
      <c r="AV653" s="1605"/>
      <c r="AW653" s="1605"/>
      <c r="AX653" s="1605"/>
      <c r="AY653" s="1605"/>
      <c r="AZ653" s="1605"/>
      <c r="BA653" s="1605"/>
      <c r="BB653" s="1605"/>
      <c r="BC653" s="1605"/>
      <c r="BD653" s="1605"/>
      <c r="BE653" s="1605"/>
      <c r="BF653" s="1605"/>
      <c r="BG653" s="1605"/>
      <c r="BH653" s="1605"/>
      <c r="BI653" s="1605"/>
      <c r="BJ653" s="1605"/>
      <c r="BK653" s="1605"/>
      <c r="BL653" s="1605"/>
      <c r="BM653" s="1605"/>
      <c r="BN653" s="1605"/>
      <c r="BO653" s="1605"/>
      <c r="BP653" s="1605"/>
      <c r="BQ653" s="1605"/>
      <c r="BR653" s="1605"/>
      <c r="BS653" s="1605"/>
      <c r="BT653" s="1605"/>
      <c r="BU653" s="1605"/>
      <c r="BV653" s="1605"/>
      <c r="BW653" s="1605"/>
      <c r="BX653" s="1605"/>
      <c r="BY653" s="1605"/>
      <c r="BZ653" s="1605"/>
      <c r="CA653" s="1605"/>
      <c r="CB653" s="1605"/>
      <c r="CC653" s="1605"/>
      <c r="CD653" s="1605"/>
      <c r="CE653" s="1605"/>
      <c r="CF653" s="1605"/>
      <c r="CG653" s="1605"/>
      <c r="CH653" s="1605"/>
      <c r="CI653" s="1605"/>
      <c r="CJ653" s="1605"/>
      <c r="CK653" s="1605"/>
      <c r="CL653" s="1605"/>
      <c r="CM653" s="1605"/>
      <c r="CN653" s="1605"/>
      <c r="CO653" s="1605"/>
      <c r="CP653" s="1605"/>
      <c r="CQ653" s="1605"/>
      <c r="CR653" s="1605"/>
      <c r="CS653" s="1605"/>
      <c r="CT653" s="1605"/>
      <c r="CU653" s="1605"/>
      <c r="CV653" s="1605"/>
      <c r="CW653" s="1605"/>
      <c r="CX653" s="1605"/>
      <c r="CY653" s="1605"/>
      <c r="CZ653" s="1605"/>
      <c r="DA653" s="1605"/>
      <c r="DB653" s="1605"/>
      <c r="DC653" s="1605"/>
      <c r="DD653" s="1605"/>
      <c r="DE653" s="1605"/>
      <c r="DF653" s="1605"/>
      <c r="DG653" s="1605"/>
      <c r="DH653" s="1605"/>
      <c r="DI653" s="1605"/>
      <c r="DJ653" s="1605"/>
      <c r="DK653" s="1605"/>
      <c r="DL653" s="1605"/>
      <c r="DM653" s="1605"/>
      <c r="DN653" s="1605"/>
      <c r="DO653" s="1605"/>
      <c r="DP653" s="1605"/>
      <c r="DQ653" s="1605"/>
      <c r="DR653" s="1605"/>
      <c r="DS653" s="1605"/>
      <c r="DT653" s="1605"/>
      <c r="DU653" s="1605"/>
      <c r="DV653" s="1605"/>
      <c r="DW653" s="1605"/>
      <c r="DX653" s="1605"/>
      <c r="DY653" s="1605"/>
      <c r="DZ653" s="1605"/>
      <c r="EA653" s="1605"/>
      <c r="EB653" s="1605"/>
      <c r="EC653" s="1605"/>
      <c r="ED653" s="1605"/>
      <c r="EE653" s="1605"/>
      <c r="EF653" s="1605"/>
      <c r="EG653" s="1605"/>
      <c r="EH653" s="1605"/>
      <c r="EI653" s="1605"/>
      <c r="EJ653" s="1605"/>
      <c r="EK653" s="1605"/>
      <c r="EL653" s="1605"/>
      <c r="EM653" s="1605"/>
      <c r="EN653" s="1605"/>
      <c r="EO653" s="1605"/>
      <c r="EP653" s="1605"/>
      <c r="EQ653" s="1605"/>
      <c r="ER653" s="1605"/>
      <c r="ES653" s="1605"/>
      <c r="ET653" s="1605"/>
      <c r="EU653" s="1605"/>
      <c r="EV653" s="1605"/>
      <c r="EW653" s="1605"/>
      <c r="EX653" s="1605"/>
      <c r="EY653" s="1605"/>
      <c r="EZ653" s="1605"/>
      <c r="FA653" s="1605"/>
      <c r="FB653" s="1605"/>
      <c r="FC653" s="1605"/>
      <c r="FD653" s="1605"/>
      <c r="FE653" s="1605"/>
      <c r="FF653" s="1605"/>
      <c r="FG653" s="1605"/>
      <c r="FH653" s="1605"/>
      <c r="FI653" s="1605"/>
      <c r="FJ653" s="1605"/>
      <c r="FK653" s="1605"/>
      <c r="FL653" s="1605"/>
      <c r="FM653" s="1605"/>
      <c r="FN653" s="1605"/>
      <c r="FO653" s="1605"/>
      <c r="FP653" s="1605"/>
      <c r="FQ653" s="1605"/>
      <c r="FR653" s="1605"/>
      <c r="FS653" s="1605"/>
      <c r="FT653" s="1605"/>
      <c r="FU653" s="1605"/>
      <c r="FV653" s="1605"/>
      <c r="FW653" s="1605"/>
      <c r="FX653" s="1605"/>
      <c r="FY653" s="1605"/>
      <c r="FZ653" s="1605"/>
      <c r="GA653" s="1605"/>
      <c r="GB653" s="1605"/>
      <c r="GC653" s="1605"/>
      <c r="GD653" s="1605"/>
      <c r="GE653" s="1605"/>
      <c r="GF653" s="1605"/>
      <c r="GG653" s="1605"/>
      <c r="GH653" s="1605"/>
      <c r="GI653" s="1605"/>
      <c r="GJ653" s="1605"/>
      <c r="GK653" s="1605"/>
      <c r="GL653" s="1605"/>
      <c r="GM653" s="1605"/>
      <c r="GN653" s="1605"/>
      <c r="GO653" s="1605"/>
      <c r="GP653" s="1605"/>
      <c r="GQ653" s="1605"/>
      <c r="GR653" s="1605"/>
      <c r="GS653" s="1605"/>
      <c r="GT653" s="1605"/>
      <c r="GU653" s="1605"/>
      <c r="GV653" s="1605"/>
      <c r="GW653" s="1605"/>
      <c r="GX653" s="1605"/>
      <c r="GY653" s="1605"/>
      <c r="GZ653" s="1605"/>
      <c r="HA653" s="1605"/>
      <c r="HB653" s="1605"/>
      <c r="HC653" s="1605"/>
      <c r="HD653" s="1605"/>
      <c r="HE653" s="1605"/>
      <c r="HF653" s="1605"/>
      <c r="HG653" s="1605"/>
      <c r="HH653" s="1605"/>
      <c r="HI653" s="1605"/>
      <c r="HJ653" s="1605"/>
      <c r="HK653" s="1605"/>
      <c r="HL653" s="1605"/>
      <c r="HM653" s="1605"/>
      <c r="HN653" s="1605"/>
      <c r="HO653" s="1605"/>
      <c r="HP653" s="1605"/>
      <c r="HQ653" s="1605"/>
      <c r="HR653" s="1605"/>
      <c r="HS653" s="1605"/>
      <c r="HT653" s="1605"/>
      <c r="HU653" s="1605"/>
      <c r="HV653" s="1605"/>
      <c r="HW653" s="1605"/>
      <c r="HX653" s="1605"/>
      <c r="HY653" s="1605"/>
      <c r="HZ653" s="1605"/>
      <c r="IA653" s="1605"/>
      <c r="IB653" s="1605"/>
      <c r="IC653" s="1605"/>
      <c r="ID653" s="1605"/>
      <c r="IE653" s="1605"/>
      <c r="IF653" s="1605"/>
      <c r="IG653" s="1605"/>
      <c r="IH653" s="1605"/>
      <c r="II653" s="1605"/>
      <c r="IJ653" s="1605"/>
      <c r="IK653" s="1605"/>
      <c r="IL653" s="1605"/>
      <c r="IM653" s="1605"/>
      <c r="IN653" s="1605"/>
      <c r="IO653" s="1605"/>
      <c r="IP653" s="1605"/>
      <c r="IQ653" s="1605"/>
      <c r="IR653" s="1605"/>
      <c r="IS653" s="1605"/>
      <c r="IT653" s="1605"/>
      <c r="IU653" s="1605"/>
      <c r="IV653" s="1605"/>
      <c r="IW653" s="1605"/>
      <c r="IX653" s="1605"/>
      <c r="IY653" s="1605"/>
      <c r="IZ653" s="1605"/>
      <c r="JA653" s="1605"/>
      <c r="JB653" s="1605"/>
      <c r="JC653" s="1605"/>
      <c r="JD653" s="1605"/>
      <c r="JE653" s="1605"/>
      <c r="JF653" s="1605"/>
      <c r="JG653" s="1605"/>
      <c r="JH653" s="1605"/>
      <c r="JI653" s="1605"/>
      <c r="JJ653" s="1605"/>
      <c r="JK653" s="1605"/>
      <c r="JL653" s="1605"/>
      <c r="JM653" s="1605"/>
      <c r="JN653" s="1605"/>
      <c r="JO653" s="1605"/>
      <c r="JP653" s="1605"/>
      <c r="JQ653" s="1605"/>
      <c r="JR653" s="1605"/>
      <c r="JS653" s="1605"/>
      <c r="JT653" s="1605"/>
      <c r="JU653" s="1605"/>
      <c r="JV653" s="1605"/>
      <c r="JW653" s="1605"/>
      <c r="JX653" s="1605"/>
      <c r="JY653" s="1605"/>
      <c r="JZ653" s="1605"/>
      <c r="KA653" s="1605"/>
      <c r="KB653" s="1606"/>
    </row>
    <row r="654" spans="2:288" ht="15" customHeight="1" x14ac:dyDescent="0.25">
      <c r="B654" s="216" t="str">
        <f t="shared" si="54"/>
        <v>Desk 24</v>
      </c>
      <c r="C654" s="218" t="str">
        <v/>
      </c>
      <c r="D654" s="218" t="str">
        <v/>
      </c>
      <c r="E654" s="218" t="str">
        <v/>
      </c>
      <c r="F654" s="218" t="str">
        <v/>
      </c>
      <c r="G654" s="402" t="str">
        <v/>
      </c>
      <c r="H654" s="1605"/>
      <c r="I654" s="1605"/>
      <c r="J654" s="1605"/>
      <c r="K654" s="1605"/>
      <c r="L654" s="1605"/>
      <c r="M654" s="1605"/>
      <c r="N654" s="1605"/>
      <c r="O654" s="1605"/>
      <c r="P654" s="1605"/>
      <c r="Q654" s="1605"/>
      <c r="R654" s="1605"/>
      <c r="S654" s="1605"/>
      <c r="T654" s="1605"/>
      <c r="U654" s="1605"/>
      <c r="V654" s="1605"/>
      <c r="W654" s="1605"/>
      <c r="X654" s="1605"/>
      <c r="Y654" s="1605"/>
      <c r="Z654" s="1605"/>
      <c r="AA654" s="1605"/>
      <c r="AB654" s="1605"/>
      <c r="AC654" s="1605"/>
      <c r="AD654" s="1605"/>
      <c r="AE654" s="1605"/>
      <c r="AF654" s="1605"/>
      <c r="AG654" s="1605"/>
      <c r="AH654" s="1605"/>
      <c r="AI654" s="1605"/>
      <c r="AJ654" s="1605"/>
      <c r="AK654" s="1605"/>
      <c r="AL654" s="1605"/>
      <c r="AM654" s="1605"/>
      <c r="AN654" s="1605"/>
      <c r="AO654" s="1605"/>
      <c r="AP654" s="1605"/>
      <c r="AQ654" s="1605"/>
      <c r="AR654" s="1605"/>
      <c r="AS654" s="1605"/>
      <c r="AT654" s="1605"/>
      <c r="AU654" s="1605"/>
      <c r="AV654" s="1605"/>
      <c r="AW654" s="1605"/>
      <c r="AX654" s="1605"/>
      <c r="AY654" s="1605"/>
      <c r="AZ654" s="1605"/>
      <c r="BA654" s="1605"/>
      <c r="BB654" s="1605"/>
      <c r="BC654" s="1605"/>
      <c r="BD654" s="1605"/>
      <c r="BE654" s="1605"/>
      <c r="BF654" s="1605"/>
      <c r="BG654" s="1605"/>
      <c r="BH654" s="1605"/>
      <c r="BI654" s="1605"/>
      <c r="BJ654" s="1605"/>
      <c r="BK654" s="1605"/>
      <c r="BL654" s="1605"/>
      <c r="BM654" s="1605"/>
      <c r="BN654" s="1605"/>
      <c r="BO654" s="1605"/>
      <c r="BP654" s="1605"/>
      <c r="BQ654" s="1605"/>
      <c r="BR654" s="1605"/>
      <c r="BS654" s="1605"/>
      <c r="BT654" s="1605"/>
      <c r="BU654" s="1605"/>
      <c r="BV654" s="1605"/>
      <c r="BW654" s="1605"/>
      <c r="BX654" s="1605"/>
      <c r="BY654" s="1605"/>
      <c r="BZ654" s="1605"/>
      <c r="CA654" s="1605"/>
      <c r="CB654" s="1605"/>
      <c r="CC654" s="1605"/>
      <c r="CD654" s="1605"/>
      <c r="CE654" s="1605"/>
      <c r="CF654" s="1605"/>
      <c r="CG654" s="1605"/>
      <c r="CH654" s="1605"/>
      <c r="CI654" s="1605"/>
      <c r="CJ654" s="1605"/>
      <c r="CK654" s="1605"/>
      <c r="CL654" s="1605"/>
      <c r="CM654" s="1605"/>
      <c r="CN654" s="1605"/>
      <c r="CO654" s="1605"/>
      <c r="CP654" s="1605"/>
      <c r="CQ654" s="1605"/>
      <c r="CR654" s="1605"/>
      <c r="CS654" s="1605"/>
      <c r="CT654" s="1605"/>
      <c r="CU654" s="1605"/>
      <c r="CV654" s="1605"/>
      <c r="CW654" s="1605"/>
      <c r="CX654" s="1605"/>
      <c r="CY654" s="1605"/>
      <c r="CZ654" s="1605"/>
      <c r="DA654" s="1605"/>
      <c r="DB654" s="1605"/>
      <c r="DC654" s="1605"/>
      <c r="DD654" s="1605"/>
      <c r="DE654" s="1605"/>
      <c r="DF654" s="1605"/>
      <c r="DG654" s="1605"/>
      <c r="DH654" s="1605"/>
      <c r="DI654" s="1605"/>
      <c r="DJ654" s="1605"/>
      <c r="DK654" s="1605"/>
      <c r="DL654" s="1605"/>
      <c r="DM654" s="1605"/>
      <c r="DN654" s="1605"/>
      <c r="DO654" s="1605"/>
      <c r="DP654" s="1605"/>
      <c r="DQ654" s="1605"/>
      <c r="DR654" s="1605"/>
      <c r="DS654" s="1605"/>
      <c r="DT654" s="1605"/>
      <c r="DU654" s="1605"/>
      <c r="DV654" s="1605"/>
      <c r="DW654" s="1605"/>
      <c r="DX654" s="1605"/>
      <c r="DY654" s="1605"/>
      <c r="DZ654" s="1605"/>
      <c r="EA654" s="1605"/>
      <c r="EB654" s="1605"/>
      <c r="EC654" s="1605"/>
      <c r="ED654" s="1605"/>
      <c r="EE654" s="1605"/>
      <c r="EF654" s="1605"/>
      <c r="EG654" s="1605"/>
      <c r="EH654" s="1605"/>
      <c r="EI654" s="1605"/>
      <c r="EJ654" s="1605"/>
      <c r="EK654" s="1605"/>
      <c r="EL654" s="1605"/>
      <c r="EM654" s="1605"/>
      <c r="EN654" s="1605"/>
      <c r="EO654" s="1605"/>
      <c r="EP654" s="1605"/>
      <c r="EQ654" s="1605"/>
      <c r="ER654" s="1605"/>
      <c r="ES654" s="1605"/>
      <c r="ET654" s="1605"/>
      <c r="EU654" s="1605"/>
      <c r="EV654" s="1605"/>
      <c r="EW654" s="1605"/>
      <c r="EX654" s="1605"/>
      <c r="EY654" s="1605"/>
      <c r="EZ654" s="1605"/>
      <c r="FA654" s="1605"/>
      <c r="FB654" s="1605"/>
      <c r="FC654" s="1605"/>
      <c r="FD654" s="1605"/>
      <c r="FE654" s="1605"/>
      <c r="FF654" s="1605"/>
      <c r="FG654" s="1605"/>
      <c r="FH654" s="1605"/>
      <c r="FI654" s="1605"/>
      <c r="FJ654" s="1605"/>
      <c r="FK654" s="1605"/>
      <c r="FL654" s="1605"/>
      <c r="FM654" s="1605"/>
      <c r="FN654" s="1605"/>
      <c r="FO654" s="1605"/>
      <c r="FP654" s="1605"/>
      <c r="FQ654" s="1605"/>
      <c r="FR654" s="1605"/>
      <c r="FS654" s="1605"/>
      <c r="FT654" s="1605"/>
      <c r="FU654" s="1605"/>
      <c r="FV654" s="1605"/>
      <c r="FW654" s="1605"/>
      <c r="FX654" s="1605"/>
      <c r="FY654" s="1605"/>
      <c r="FZ654" s="1605"/>
      <c r="GA654" s="1605"/>
      <c r="GB654" s="1605"/>
      <c r="GC654" s="1605"/>
      <c r="GD654" s="1605"/>
      <c r="GE654" s="1605"/>
      <c r="GF654" s="1605"/>
      <c r="GG654" s="1605"/>
      <c r="GH654" s="1605"/>
      <c r="GI654" s="1605"/>
      <c r="GJ654" s="1605"/>
      <c r="GK654" s="1605"/>
      <c r="GL654" s="1605"/>
      <c r="GM654" s="1605"/>
      <c r="GN654" s="1605"/>
      <c r="GO654" s="1605"/>
      <c r="GP654" s="1605"/>
      <c r="GQ654" s="1605"/>
      <c r="GR654" s="1605"/>
      <c r="GS654" s="1605"/>
      <c r="GT654" s="1605"/>
      <c r="GU654" s="1605"/>
      <c r="GV654" s="1605"/>
      <c r="GW654" s="1605"/>
      <c r="GX654" s="1605"/>
      <c r="GY654" s="1605"/>
      <c r="GZ654" s="1605"/>
      <c r="HA654" s="1605"/>
      <c r="HB654" s="1605"/>
      <c r="HC654" s="1605"/>
      <c r="HD654" s="1605"/>
      <c r="HE654" s="1605"/>
      <c r="HF654" s="1605"/>
      <c r="HG654" s="1605"/>
      <c r="HH654" s="1605"/>
      <c r="HI654" s="1605"/>
      <c r="HJ654" s="1605"/>
      <c r="HK654" s="1605"/>
      <c r="HL654" s="1605"/>
      <c r="HM654" s="1605"/>
      <c r="HN654" s="1605"/>
      <c r="HO654" s="1605"/>
      <c r="HP654" s="1605"/>
      <c r="HQ654" s="1605"/>
      <c r="HR654" s="1605"/>
      <c r="HS654" s="1605"/>
      <c r="HT654" s="1605"/>
      <c r="HU654" s="1605"/>
      <c r="HV654" s="1605"/>
      <c r="HW654" s="1605"/>
      <c r="HX654" s="1605"/>
      <c r="HY654" s="1605"/>
      <c r="HZ654" s="1605"/>
      <c r="IA654" s="1605"/>
      <c r="IB654" s="1605"/>
      <c r="IC654" s="1605"/>
      <c r="ID654" s="1605"/>
      <c r="IE654" s="1605"/>
      <c r="IF654" s="1605"/>
      <c r="IG654" s="1605"/>
      <c r="IH654" s="1605"/>
      <c r="II654" s="1605"/>
      <c r="IJ654" s="1605"/>
      <c r="IK654" s="1605"/>
      <c r="IL654" s="1605"/>
      <c r="IM654" s="1605"/>
      <c r="IN654" s="1605"/>
      <c r="IO654" s="1605"/>
      <c r="IP654" s="1605"/>
      <c r="IQ654" s="1605"/>
      <c r="IR654" s="1605"/>
      <c r="IS654" s="1605"/>
      <c r="IT654" s="1605"/>
      <c r="IU654" s="1605"/>
      <c r="IV654" s="1605"/>
      <c r="IW654" s="1605"/>
      <c r="IX654" s="1605"/>
      <c r="IY654" s="1605"/>
      <c r="IZ654" s="1605"/>
      <c r="JA654" s="1605"/>
      <c r="JB654" s="1605"/>
      <c r="JC654" s="1605"/>
      <c r="JD654" s="1605"/>
      <c r="JE654" s="1605"/>
      <c r="JF654" s="1605"/>
      <c r="JG654" s="1605"/>
      <c r="JH654" s="1605"/>
      <c r="JI654" s="1605"/>
      <c r="JJ654" s="1605"/>
      <c r="JK654" s="1605"/>
      <c r="JL654" s="1605"/>
      <c r="JM654" s="1605"/>
      <c r="JN654" s="1605"/>
      <c r="JO654" s="1605"/>
      <c r="JP654" s="1605"/>
      <c r="JQ654" s="1605"/>
      <c r="JR654" s="1605"/>
      <c r="JS654" s="1605"/>
      <c r="JT654" s="1605"/>
      <c r="JU654" s="1605"/>
      <c r="JV654" s="1605"/>
      <c r="JW654" s="1605"/>
      <c r="JX654" s="1605"/>
      <c r="JY654" s="1605"/>
      <c r="JZ654" s="1605"/>
      <c r="KA654" s="1605"/>
      <c r="KB654" s="1606"/>
    </row>
    <row r="655" spans="2:288" ht="15" customHeight="1" x14ac:dyDescent="0.25">
      <c r="B655" s="216" t="str">
        <f t="shared" si="54"/>
        <v>Desk 25</v>
      </c>
      <c r="C655" s="218" t="str">
        <v/>
      </c>
      <c r="D655" s="218" t="str">
        <v/>
      </c>
      <c r="E655" s="218" t="str">
        <v/>
      </c>
      <c r="F655" s="218" t="str">
        <v/>
      </c>
      <c r="G655" s="402" t="str">
        <v/>
      </c>
      <c r="H655" s="1605"/>
      <c r="I655" s="1605"/>
      <c r="J655" s="1605"/>
      <c r="K655" s="1605"/>
      <c r="L655" s="1605"/>
      <c r="M655" s="1605"/>
      <c r="N655" s="1605"/>
      <c r="O655" s="1605"/>
      <c r="P655" s="1605"/>
      <c r="Q655" s="1605"/>
      <c r="R655" s="1605"/>
      <c r="S655" s="1605"/>
      <c r="T655" s="1605"/>
      <c r="U655" s="1605"/>
      <c r="V655" s="1605"/>
      <c r="W655" s="1605"/>
      <c r="X655" s="1605"/>
      <c r="Y655" s="1605"/>
      <c r="Z655" s="1605"/>
      <c r="AA655" s="1605"/>
      <c r="AB655" s="1605"/>
      <c r="AC655" s="1605"/>
      <c r="AD655" s="1605"/>
      <c r="AE655" s="1605"/>
      <c r="AF655" s="1605"/>
      <c r="AG655" s="1605"/>
      <c r="AH655" s="1605"/>
      <c r="AI655" s="1605"/>
      <c r="AJ655" s="1605"/>
      <c r="AK655" s="1605"/>
      <c r="AL655" s="1605"/>
      <c r="AM655" s="1605"/>
      <c r="AN655" s="1605"/>
      <c r="AO655" s="1605"/>
      <c r="AP655" s="1605"/>
      <c r="AQ655" s="1605"/>
      <c r="AR655" s="1605"/>
      <c r="AS655" s="1605"/>
      <c r="AT655" s="1605"/>
      <c r="AU655" s="1605"/>
      <c r="AV655" s="1605"/>
      <c r="AW655" s="1605"/>
      <c r="AX655" s="1605"/>
      <c r="AY655" s="1605"/>
      <c r="AZ655" s="1605"/>
      <c r="BA655" s="1605"/>
      <c r="BB655" s="1605"/>
      <c r="BC655" s="1605"/>
      <c r="BD655" s="1605"/>
      <c r="BE655" s="1605"/>
      <c r="BF655" s="1605"/>
      <c r="BG655" s="1605"/>
      <c r="BH655" s="1605"/>
      <c r="BI655" s="1605"/>
      <c r="BJ655" s="1605"/>
      <c r="BK655" s="1605"/>
      <c r="BL655" s="1605"/>
      <c r="BM655" s="1605"/>
      <c r="BN655" s="1605"/>
      <c r="BO655" s="1605"/>
      <c r="BP655" s="1605"/>
      <c r="BQ655" s="1605"/>
      <c r="BR655" s="1605"/>
      <c r="BS655" s="1605"/>
      <c r="BT655" s="1605"/>
      <c r="BU655" s="1605"/>
      <c r="BV655" s="1605"/>
      <c r="BW655" s="1605"/>
      <c r="BX655" s="1605"/>
      <c r="BY655" s="1605"/>
      <c r="BZ655" s="1605"/>
      <c r="CA655" s="1605"/>
      <c r="CB655" s="1605"/>
      <c r="CC655" s="1605"/>
      <c r="CD655" s="1605"/>
      <c r="CE655" s="1605"/>
      <c r="CF655" s="1605"/>
      <c r="CG655" s="1605"/>
      <c r="CH655" s="1605"/>
      <c r="CI655" s="1605"/>
      <c r="CJ655" s="1605"/>
      <c r="CK655" s="1605"/>
      <c r="CL655" s="1605"/>
      <c r="CM655" s="1605"/>
      <c r="CN655" s="1605"/>
      <c r="CO655" s="1605"/>
      <c r="CP655" s="1605"/>
      <c r="CQ655" s="1605"/>
      <c r="CR655" s="1605"/>
      <c r="CS655" s="1605"/>
      <c r="CT655" s="1605"/>
      <c r="CU655" s="1605"/>
      <c r="CV655" s="1605"/>
      <c r="CW655" s="1605"/>
      <c r="CX655" s="1605"/>
      <c r="CY655" s="1605"/>
      <c r="CZ655" s="1605"/>
      <c r="DA655" s="1605"/>
      <c r="DB655" s="1605"/>
      <c r="DC655" s="1605"/>
      <c r="DD655" s="1605"/>
      <c r="DE655" s="1605"/>
      <c r="DF655" s="1605"/>
      <c r="DG655" s="1605"/>
      <c r="DH655" s="1605"/>
      <c r="DI655" s="1605"/>
      <c r="DJ655" s="1605"/>
      <c r="DK655" s="1605"/>
      <c r="DL655" s="1605"/>
      <c r="DM655" s="1605"/>
      <c r="DN655" s="1605"/>
      <c r="DO655" s="1605"/>
      <c r="DP655" s="1605"/>
      <c r="DQ655" s="1605"/>
      <c r="DR655" s="1605"/>
      <c r="DS655" s="1605"/>
      <c r="DT655" s="1605"/>
      <c r="DU655" s="1605"/>
      <c r="DV655" s="1605"/>
      <c r="DW655" s="1605"/>
      <c r="DX655" s="1605"/>
      <c r="DY655" s="1605"/>
      <c r="DZ655" s="1605"/>
      <c r="EA655" s="1605"/>
      <c r="EB655" s="1605"/>
      <c r="EC655" s="1605"/>
      <c r="ED655" s="1605"/>
      <c r="EE655" s="1605"/>
      <c r="EF655" s="1605"/>
      <c r="EG655" s="1605"/>
      <c r="EH655" s="1605"/>
      <c r="EI655" s="1605"/>
      <c r="EJ655" s="1605"/>
      <c r="EK655" s="1605"/>
      <c r="EL655" s="1605"/>
      <c r="EM655" s="1605"/>
      <c r="EN655" s="1605"/>
      <c r="EO655" s="1605"/>
      <c r="EP655" s="1605"/>
      <c r="EQ655" s="1605"/>
      <c r="ER655" s="1605"/>
      <c r="ES655" s="1605"/>
      <c r="ET655" s="1605"/>
      <c r="EU655" s="1605"/>
      <c r="EV655" s="1605"/>
      <c r="EW655" s="1605"/>
      <c r="EX655" s="1605"/>
      <c r="EY655" s="1605"/>
      <c r="EZ655" s="1605"/>
      <c r="FA655" s="1605"/>
      <c r="FB655" s="1605"/>
      <c r="FC655" s="1605"/>
      <c r="FD655" s="1605"/>
      <c r="FE655" s="1605"/>
      <c r="FF655" s="1605"/>
      <c r="FG655" s="1605"/>
      <c r="FH655" s="1605"/>
      <c r="FI655" s="1605"/>
      <c r="FJ655" s="1605"/>
      <c r="FK655" s="1605"/>
      <c r="FL655" s="1605"/>
      <c r="FM655" s="1605"/>
      <c r="FN655" s="1605"/>
      <c r="FO655" s="1605"/>
      <c r="FP655" s="1605"/>
      <c r="FQ655" s="1605"/>
      <c r="FR655" s="1605"/>
      <c r="FS655" s="1605"/>
      <c r="FT655" s="1605"/>
      <c r="FU655" s="1605"/>
      <c r="FV655" s="1605"/>
      <c r="FW655" s="1605"/>
      <c r="FX655" s="1605"/>
      <c r="FY655" s="1605"/>
      <c r="FZ655" s="1605"/>
      <c r="GA655" s="1605"/>
      <c r="GB655" s="1605"/>
      <c r="GC655" s="1605"/>
      <c r="GD655" s="1605"/>
      <c r="GE655" s="1605"/>
      <c r="GF655" s="1605"/>
      <c r="GG655" s="1605"/>
      <c r="GH655" s="1605"/>
      <c r="GI655" s="1605"/>
      <c r="GJ655" s="1605"/>
      <c r="GK655" s="1605"/>
      <c r="GL655" s="1605"/>
      <c r="GM655" s="1605"/>
      <c r="GN655" s="1605"/>
      <c r="GO655" s="1605"/>
      <c r="GP655" s="1605"/>
      <c r="GQ655" s="1605"/>
      <c r="GR655" s="1605"/>
      <c r="GS655" s="1605"/>
      <c r="GT655" s="1605"/>
      <c r="GU655" s="1605"/>
      <c r="GV655" s="1605"/>
      <c r="GW655" s="1605"/>
      <c r="GX655" s="1605"/>
      <c r="GY655" s="1605"/>
      <c r="GZ655" s="1605"/>
      <c r="HA655" s="1605"/>
      <c r="HB655" s="1605"/>
      <c r="HC655" s="1605"/>
      <c r="HD655" s="1605"/>
      <c r="HE655" s="1605"/>
      <c r="HF655" s="1605"/>
      <c r="HG655" s="1605"/>
      <c r="HH655" s="1605"/>
      <c r="HI655" s="1605"/>
      <c r="HJ655" s="1605"/>
      <c r="HK655" s="1605"/>
      <c r="HL655" s="1605"/>
      <c r="HM655" s="1605"/>
      <c r="HN655" s="1605"/>
      <c r="HO655" s="1605"/>
      <c r="HP655" s="1605"/>
      <c r="HQ655" s="1605"/>
      <c r="HR655" s="1605"/>
      <c r="HS655" s="1605"/>
      <c r="HT655" s="1605"/>
      <c r="HU655" s="1605"/>
      <c r="HV655" s="1605"/>
      <c r="HW655" s="1605"/>
      <c r="HX655" s="1605"/>
      <c r="HY655" s="1605"/>
      <c r="HZ655" s="1605"/>
      <c r="IA655" s="1605"/>
      <c r="IB655" s="1605"/>
      <c r="IC655" s="1605"/>
      <c r="ID655" s="1605"/>
      <c r="IE655" s="1605"/>
      <c r="IF655" s="1605"/>
      <c r="IG655" s="1605"/>
      <c r="IH655" s="1605"/>
      <c r="II655" s="1605"/>
      <c r="IJ655" s="1605"/>
      <c r="IK655" s="1605"/>
      <c r="IL655" s="1605"/>
      <c r="IM655" s="1605"/>
      <c r="IN655" s="1605"/>
      <c r="IO655" s="1605"/>
      <c r="IP655" s="1605"/>
      <c r="IQ655" s="1605"/>
      <c r="IR655" s="1605"/>
      <c r="IS655" s="1605"/>
      <c r="IT655" s="1605"/>
      <c r="IU655" s="1605"/>
      <c r="IV655" s="1605"/>
      <c r="IW655" s="1605"/>
      <c r="IX655" s="1605"/>
      <c r="IY655" s="1605"/>
      <c r="IZ655" s="1605"/>
      <c r="JA655" s="1605"/>
      <c r="JB655" s="1605"/>
      <c r="JC655" s="1605"/>
      <c r="JD655" s="1605"/>
      <c r="JE655" s="1605"/>
      <c r="JF655" s="1605"/>
      <c r="JG655" s="1605"/>
      <c r="JH655" s="1605"/>
      <c r="JI655" s="1605"/>
      <c r="JJ655" s="1605"/>
      <c r="JK655" s="1605"/>
      <c r="JL655" s="1605"/>
      <c r="JM655" s="1605"/>
      <c r="JN655" s="1605"/>
      <c r="JO655" s="1605"/>
      <c r="JP655" s="1605"/>
      <c r="JQ655" s="1605"/>
      <c r="JR655" s="1605"/>
      <c r="JS655" s="1605"/>
      <c r="JT655" s="1605"/>
      <c r="JU655" s="1605"/>
      <c r="JV655" s="1605"/>
      <c r="JW655" s="1605"/>
      <c r="JX655" s="1605"/>
      <c r="JY655" s="1605"/>
      <c r="JZ655" s="1605"/>
      <c r="KA655" s="1605"/>
      <c r="KB655" s="1606"/>
    </row>
    <row r="656" spans="2:288" ht="15" customHeight="1" x14ac:dyDescent="0.25">
      <c r="B656" s="216" t="str">
        <f t="shared" si="54"/>
        <v>Desk 26</v>
      </c>
      <c r="C656" s="218" t="str">
        <v/>
      </c>
      <c r="D656" s="218" t="str">
        <v/>
      </c>
      <c r="E656" s="218" t="str">
        <v/>
      </c>
      <c r="F656" s="218" t="str">
        <v/>
      </c>
      <c r="G656" s="402" t="str">
        <v/>
      </c>
      <c r="H656" s="1605"/>
      <c r="I656" s="1605"/>
      <c r="J656" s="1605"/>
      <c r="K656" s="1605"/>
      <c r="L656" s="1605"/>
      <c r="M656" s="1605"/>
      <c r="N656" s="1605"/>
      <c r="O656" s="1605"/>
      <c r="P656" s="1605"/>
      <c r="Q656" s="1605"/>
      <c r="R656" s="1605"/>
      <c r="S656" s="1605"/>
      <c r="T656" s="1605"/>
      <c r="U656" s="1605"/>
      <c r="V656" s="1605"/>
      <c r="W656" s="1605"/>
      <c r="X656" s="1605"/>
      <c r="Y656" s="1605"/>
      <c r="Z656" s="1605"/>
      <c r="AA656" s="1605"/>
      <c r="AB656" s="1605"/>
      <c r="AC656" s="1605"/>
      <c r="AD656" s="1605"/>
      <c r="AE656" s="1605"/>
      <c r="AF656" s="1605"/>
      <c r="AG656" s="1605"/>
      <c r="AH656" s="1605"/>
      <c r="AI656" s="1605"/>
      <c r="AJ656" s="1605"/>
      <c r="AK656" s="1605"/>
      <c r="AL656" s="1605"/>
      <c r="AM656" s="1605"/>
      <c r="AN656" s="1605"/>
      <c r="AO656" s="1605"/>
      <c r="AP656" s="1605"/>
      <c r="AQ656" s="1605"/>
      <c r="AR656" s="1605"/>
      <c r="AS656" s="1605"/>
      <c r="AT656" s="1605"/>
      <c r="AU656" s="1605"/>
      <c r="AV656" s="1605"/>
      <c r="AW656" s="1605"/>
      <c r="AX656" s="1605"/>
      <c r="AY656" s="1605"/>
      <c r="AZ656" s="1605"/>
      <c r="BA656" s="1605"/>
      <c r="BB656" s="1605"/>
      <c r="BC656" s="1605"/>
      <c r="BD656" s="1605"/>
      <c r="BE656" s="1605"/>
      <c r="BF656" s="1605"/>
      <c r="BG656" s="1605"/>
      <c r="BH656" s="1605"/>
      <c r="BI656" s="1605"/>
      <c r="BJ656" s="1605"/>
      <c r="BK656" s="1605"/>
      <c r="BL656" s="1605"/>
      <c r="BM656" s="1605"/>
      <c r="BN656" s="1605"/>
      <c r="BO656" s="1605"/>
      <c r="BP656" s="1605"/>
      <c r="BQ656" s="1605"/>
      <c r="BR656" s="1605"/>
      <c r="BS656" s="1605"/>
      <c r="BT656" s="1605"/>
      <c r="BU656" s="1605"/>
      <c r="BV656" s="1605"/>
      <c r="BW656" s="1605"/>
      <c r="BX656" s="1605"/>
      <c r="BY656" s="1605"/>
      <c r="BZ656" s="1605"/>
      <c r="CA656" s="1605"/>
      <c r="CB656" s="1605"/>
      <c r="CC656" s="1605"/>
      <c r="CD656" s="1605"/>
      <c r="CE656" s="1605"/>
      <c r="CF656" s="1605"/>
      <c r="CG656" s="1605"/>
      <c r="CH656" s="1605"/>
      <c r="CI656" s="1605"/>
      <c r="CJ656" s="1605"/>
      <c r="CK656" s="1605"/>
      <c r="CL656" s="1605"/>
      <c r="CM656" s="1605"/>
      <c r="CN656" s="1605"/>
      <c r="CO656" s="1605"/>
      <c r="CP656" s="1605"/>
      <c r="CQ656" s="1605"/>
      <c r="CR656" s="1605"/>
      <c r="CS656" s="1605"/>
      <c r="CT656" s="1605"/>
      <c r="CU656" s="1605"/>
      <c r="CV656" s="1605"/>
      <c r="CW656" s="1605"/>
      <c r="CX656" s="1605"/>
      <c r="CY656" s="1605"/>
      <c r="CZ656" s="1605"/>
      <c r="DA656" s="1605"/>
      <c r="DB656" s="1605"/>
      <c r="DC656" s="1605"/>
      <c r="DD656" s="1605"/>
      <c r="DE656" s="1605"/>
      <c r="DF656" s="1605"/>
      <c r="DG656" s="1605"/>
      <c r="DH656" s="1605"/>
      <c r="DI656" s="1605"/>
      <c r="DJ656" s="1605"/>
      <c r="DK656" s="1605"/>
      <c r="DL656" s="1605"/>
      <c r="DM656" s="1605"/>
      <c r="DN656" s="1605"/>
      <c r="DO656" s="1605"/>
      <c r="DP656" s="1605"/>
      <c r="DQ656" s="1605"/>
      <c r="DR656" s="1605"/>
      <c r="DS656" s="1605"/>
      <c r="DT656" s="1605"/>
      <c r="DU656" s="1605"/>
      <c r="DV656" s="1605"/>
      <c r="DW656" s="1605"/>
      <c r="DX656" s="1605"/>
      <c r="DY656" s="1605"/>
      <c r="DZ656" s="1605"/>
      <c r="EA656" s="1605"/>
      <c r="EB656" s="1605"/>
      <c r="EC656" s="1605"/>
      <c r="ED656" s="1605"/>
      <c r="EE656" s="1605"/>
      <c r="EF656" s="1605"/>
      <c r="EG656" s="1605"/>
      <c r="EH656" s="1605"/>
      <c r="EI656" s="1605"/>
      <c r="EJ656" s="1605"/>
      <c r="EK656" s="1605"/>
      <c r="EL656" s="1605"/>
      <c r="EM656" s="1605"/>
      <c r="EN656" s="1605"/>
      <c r="EO656" s="1605"/>
      <c r="EP656" s="1605"/>
      <c r="EQ656" s="1605"/>
      <c r="ER656" s="1605"/>
      <c r="ES656" s="1605"/>
      <c r="ET656" s="1605"/>
      <c r="EU656" s="1605"/>
      <c r="EV656" s="1605"/>
      <c r="EW656" s="1605"/>
      <c r="EX656" s="1605"/>
      <c r="EY656" s="1605"/>
      <c r="EZ656" s="1605"/>
      <c r="FA656" s="1605"/>
      <c r="FB656" s="1605"/>
      <c r="FC656" s="1605"/>
      <c r="FD656" s="1605"/>
      <c r="FE656" s="1605"/>
      <c r="FF656" s="1605"/>
      <c r="FG656" s="1605"/>
      <c r="FH656" s="1605"/>
      <c r="FI656" s="1605"/>
      <c r="FJ656" s="1605"/>
      <c r="FK656" s="1605"/>
      <c r="FL656" s="1605"/>
      <c r="FM656" s="1605"/>
      <c r="FN656" s="1605"/>
      <c r="FO656" s="1605"/>
      <c r="FP656" s="1605"/>
      <c r="FQ656" s="1605"/>
      <c r="FR656" s="1605"/>
      <c r="FS656" s="1605"/>
      <c r="FT656" s="1605"/>
      <c r="FU656" s="1605"/>
      <c r="FV656" s="1605"/>
      <c r="FW656" s="1605"/>
      <c r="FX656" s="1605"/>
      <c r="FY656" s="1605"/>
      <c r="FZ656" s="1605"/>
      <c r="GA656" s="1605"/>
      <c r="GB656" s="1605"/>
      <c r="GC656" s="1605"/>
      <c r="GD656" s="1605"/>
      <c r="GE656" s="1605"/>
      <c r="GF656" s="1605"/>
      <c r="GG656" s="1605"/>
      <c r="GH656" s="1605"/>
      <c r="GI656" s="1605"/>
      <c r="GJ656" s="1605"/>
      <c r="GK656" s="1605"/>
      <c r="GL656" s="1605"/>
      <c r="GM656" s="1605"/>
      <c r="GN656" s="1605"/>
      <c r="GO656" s="1605"/>
      <c r="GP656" s="1605"/>
      <c r="GQ656" s="1605"/>
      <c r="GR656" s="1605"/>
      <c r="GS656" s="1605"/>
      <c r="GT656" s="1605"/>
      <c r="GU656" s="1605"/>
      <c r="GV656" s="1605"/>
      <c r="GW656" s="1605"/>
      <c r="GX656" s="1605"/>
      <c r="GY656" s="1605"/>
      <c r="GZ656" s="1605"/>
      <c r="HA656" s="1605"/>
      <c r="HB656" s="1605"/>
      <c r="HC656" s="1605"/>
      <c r="HD656" s="1605"/>
      <c r="HE656" s="1605"/>
      <c r="HF656" s="1605"/>
      <c r="HG656" s="1605"/>
      <c r="HH656" s="1605"/>
      <c r="HI656" s="1605"/>
      <c r="HJ656" s="1605"/>
      <c r="HK656" s="1605"/>
      <c r="HL656" s="1605"/>
      <c r="HM656" s="1605"/>
      <c r="HN656" s="1605"/>
      <c r="HO656" s="1605"/>
      <c r="HP656" s="1605"/>
      <c r="HQ656" s="1605"/>
      <c r="HR656" s="1605"/>
      <c r="HS656" s="1605"/>
      <c r="HT656" s="1605"/>
      <c r="HU656" s="1605"/>
      <c r="HV656" s="1605"/>
      <c r="HW656" s="1605"/>
      <c r="HX656" s="1605"/>
      <c r="HY656" s="1605"/>
      <c r="HZ656" s="1605"/>
      <c r="IA656" s="1605"/>
      <c r="IB656" s="1605"/>
      <c r="IC656" s="1605"/>
      <c r="ID656" s="1605"/>
      <c r="IE656" s="1605"/>
      <c r="IF656" s="1605"/>
      <c r="IG656" s="1605"/>
      <c r="IH656" s="1605"/>
      <c r="II656" s="1605"/>
      <c r="IJ656" s="1605"/>
      <c r="IK656" s="1605"/>
      <c r="IL656" s="1605"/>
      <c r="IM656" s="1605"/>
      <c r="IN656" s="1605"/>
      <c r="IO656" s="1605"/>
      <c r="IP656" s="1605"/>
      <c r="IQ656" s="1605"/>
      <c r="IR656" s="1605"/>
      <c r="IS656" s="1605"/>
      <c r="IT656" s="1605"/>
      <c r="IU656" s="1605"/>
      <c r="IV656" s="1605"/>
      <c r="IW656" s="1605"/>
      <c r="IX656" s="1605"/>
      <c r="IY656" s="1605"/>
      <c r="IZ656" s="1605"/>
      <c r="JA656" s="1605"/>
      <c r="JB656" s="1605"/>
      <c r="JC656" s="1605"/>
      <c r="JD656" s="1605"/>
      <c r="JE656" s="1605"/>
      <c r="JF656" s="1605"/>
      <c r="JG656" s="1605"/>
      <c r="JH656" s="1605"/>
      <c r="JI656" s="1605"/>
      <c r="JJ656" s="1605"/>
      <c r="JK656" s="1605"/>
      <c r="JL656" s="1605"/>
      <c r="JM656" s="1605"/>
      <c r="JN656" s="1605"/>
      <c r="JO656" s="1605"/>
      <c r="JP656" s="1605"/>
      <c r="JQ656" s="1605"/>
      <c r="JR656" s="1605"/>
      <c r="JS656" s="1605"/>
      <c r="JT656" s="1605"/>
      <c r="JU656" s="1605"/>
      <c r="JV656" s="1605"/>
      <c r="JW656" s="1605"/>
      <c r="JX656" s="1605"/>
      <c r="JY656" s="1605"/>
      <c r="JZ656" s="1605"/>
      <c r="KA656" s="1605"/>
      <c r="KB656" s="1606"/>
    </row>
    <row r="657" spans="2:288" ht="15" customHeight="1" x14ac:dyDescent="0.25">
      <c r="B657" s="216" t="str">
        <f t="shared" si="54"/>
        <v>Desk 27</v>
      </c>
      <c r="C657" s="218" t="str">
        <v/>
      </c>
      <c r="D657" s="218" t="str">
        <v/>
      </c>
      <c r="E657" s="218" t="str">
        <v/>
      </c>
      <c r="F657" s="218" t="str">
        <v/>
      </c>
      <c r="G657" s="402" t="str">
        <v/>
      </c>
      <c r="H657" s="1605"/>
      <c r="I657" s="1605"/>
      <c r="J657" s="1605"/>
      <c r="K657" s="1605"/>
      <c r="L657" s="1605"/>
      <c r="M657" s="1605"/>
      <c r="N657" s="1605"/>
      <c r="O657" s="1605"/>
      <c r="P657" s="1605"/>
      <c r="Q657" s="1605"/>
      <c r="R657" s="1605"/>
      <c r="S657" s="1605"/>
      <c r="T657" s="1605"/>
      <c r="U657" s="1605"/>
      <c r="V657" s="1605"/>
      <c r="W657" s="1605"/>
      <c r="X657" s="1605"/>
      <c r="Y657" s="1605"/>
      <c r="Z657" s="1605"/>
      <c r="AA657" s="1605"/>
      <c r="AB657" s="1605"/>
      <c r="AC657" s="1605"/>
      <c r="AD657" s="1605"/>
      <c r="AE657" s="1605"/>
      <c r="AF657" s="1605"/>
      <c r="AG657" s="1605"/>
      <c r="AH657" s="1605"/>
      <c r="AI657" s="1605"/>
      <c r="AJ657" s="1605"/>
      <c r="AK657" s="1605"/>
      <c r="AL657" s="1605"/>
      <c r="AM657" s="1605"/>
      <c r="AN657" s="1605"/>
      <c r="AO657" s="1605"/>
      <c r="AP657" s="1605"/>
      <c r="AQ657" s="1605"/>
      <c r="AR657" s="1605"/>
      <c r="AS657" s="1605"/>
      <c r="AT657" s="1605"/>
      <c r="AU657" s="1605"/>
      <c r="AV657" s="1605"/>
      <c r="AW657" s="1605"/>
      <c r="AX657" s="1605"/>
      <c r="AY657" s="1605"/>
      <c r="AZ657" s="1605"/>
      <c r="BA657" s="1605"/>
      <c r="BB657" s="1605"/>
      <c r="BC657" s="1605"/>
      <c r="BD657" s="1605"/>
      <c r="BE657" s="1605"/>
      <c r="BF657" s="1605"/>
      <c r="BG657" s="1605"/>
      <c r="BH657" s="1605"/>
      <c r="BI657" s="1605"/>
      <c r="BJ657" s="1605"/>
      <c r="BK657" s="1605"/>
      <c r="BL657" s="1605"/>
      <c r="BM657" s="1605"/>
      <c r="BN657" s="1605"/>
      <c r="BO657" s="1605"/>
      <c r="BP657" s="1605"/>
      <c r="BQ657" s="1605"/>
      <c r="BR657" s="1605"/>
      <c r="BS657" s="1605"/>
      <c r="BT657" s="1605"/>
      <c r="BU657" s="1605"/>
      <c r="BV657" s="1605"/>
      <c r="BW657" s="1605"/>
      <c r="BX657" s="1605"/>
      <c r="BY657" s="1605"/>
      <c r="BZ657" s="1605"/>
      <c r="CA657" s="1605"/>
      <c r="CB657" s="1605"/>
      <c r="CC657" s="1605"/>
      <c r="CD657" s="1605"/>
      <c r="CE657" s="1605"/>
      <c r="CF657" s="1605"/>
      <c r="CG657" s="1605"/>
      <c r="CH657" s="1605"/>
      <c r="CI657" s="1605"/>
      <c r="CJ657" s="1605"/>
      <c r="CK657" s="1605"/>
      <c r="CL657" s="1605"/>
      <c r="CM657" s="1605"/>
      <c r="CN657" s="1605"/>
      <c r="CO657" s="1605"/>
      <c r="CP657" s="1605"/>
      <c r="CQ657" s="1605"/>
      <c r="CR657" s="1605"/>
      <c r="CS657" s="1605"/>
      <c r="CT657" s="1605"/>
      <c r="CU657" s="1605"/>
      <c r="CV657" s="1605"/>
      <c r="CW657" s="1605"/>
      <c r="CX657" s="1605"/>
      <c r="CY657" s="1605"/>
      <c r="CZ657" s="1605"/>
      <c r="DA657" s="1605"/>
      <c r="DB657" s="1605"/>
      <c r="DC657" s="1605"/>
      <c r="DD657" s="1605"/>
      <c r="DE657" s="1605"/>
      <c r="DF657" s="1605"/>
      <c r="DG657" s="1605"/>
      <c r="DH657" s="1605"/>
      <c r="DI657" s="1605"/>
      <c r="DJ657" s="1605"/>
      <c r="DK657" s="1605"/>
      <c r="DL657" s="1605"/>
      <c r="DM657" s="1605"/>
      <c r="DN657" s="1605"/>
      <c r="DO657" s="1605"/>
      <c r="DP657" s="1605"/>
      <c r="DQ657" s="1605"/>
      <c r="DR657" s="1605"/>
      <c r="DS657" s="1605"/>
      <c r="DT657" s="1605"/>
      <c r="DU657" s="1605"/>
      <c r="DV657" s="1605"/>
      <c r="DW657" s="1605"/>
      <c r="DX657" s="1605"/>
      <c r="DY657" s="1605"/>
      <c r="DZ657" s="1605"/>
      <c r="EA657" s="1605"/>
      <c r="EB657" s="1605"/>
      <c r="EC657" s="1605"/>
      <c r="ED657" s="1605"/>
      <c r="EE657" s="1605"/>
      <c r="EF657" s="1605"/>
      <c r="EG657" s="1605"/>
      <c r="EH657" s="1605"/>
      <c r="EI657" s="1605"/>
      <c r="EJ657" s="1605"/>
      <c r="EK657" s="1605"/>
      <c r="EL657" s="1605"/>
      <c r="EM657" s="1605"/>
      <c r="EN657" s="1605"/>
      <c r="EO657" s="1605"/>
      <c r="EP657" s="1605"/>
      <c r="EQ657" s="1605"/>
      <c r="ER657" s="1605"/>
      <c r="ES657" s="1605"/>
      <c r="ET657" s="1605"/>
      <c r="EU657" s="1605"/>
      <c r="EV657" s="1605"/>
      <c r="EW657" s="1605"/>
      <c r="EX657" s="1605"/>
      <c r="EY657" s="1605"/>
      <c r="EZ657" s="1605"/>
      <c r="FA657" s="1605"/>
      <c r="FB657" s="1605"/>
      <c r="FC657" s="1605"/>
      <c r="FD657" s="1605"/>
      <c r="FE657" s="1605"/>
      <c r="FF657" s="1605"/>
      <c r="FG657" s="1605"/>
      <c r="FH657" s="1605"/>
      <c r="FI657" s="1605"/>
      <c r="FJ657" s="1605"/>
      <c r="FK657" s="1605"/>
      <c r="FL657" s="1605"/>
      <c r="FM657" s="1605"/>
      <c r="FN657" s="1605"/>
      <c r="FO657" s="1605"/>
      <c r="FP657" s="1605"/>
      <c r="FQ657" s="1605"/>
      <c r="FR657" s="1605"/>
      <c r="FS657" s="1605"/>
      <c r="FT657" s="1605"/>
      <c r="FU657" s="1605"/>
      <c r="FV657" s="1605"/>
      <c r="FW657" s="1605"/>
      <c r="FX657" s="1605"/>
      <c r="FY657" s="1605"/>
      <c r="FZ657" s="1605"/>
      <c r="GA657" s="1605"/>
      <c r="GB657" s="1605"/>
      <c r="GC657" s="1605"/>
      <c r="GD657" s="1605"/>
      <c r="GE657" s="1605"/>
      <c r="GF657" s="1605"/>
      <c r="GG657" s="1605"/>
      <c r="GH657" s="1605"/>
      <c r="GI657" s="1605"/>
      <c r="GJ657" s="1605"/>
      <c r="GK657" s="1605"/>
      <c r="GL657" s="1605"/>
      <c r="GM657" s="1605"/>
      <c r="GN657" s="1605"/>
      <c r="GO657" s="1605"/>
      <c r="GP657" s="1605"/>
      <c r="GQ657" s="1605"/>
      <c r="GR657" s="1605"/>
      <c r="GS657" s="1605"/>
      <c r="GT657" s="1605"/>
      <c r="GU657" s="1605"/>
      <c r="GV657" s="1605"/>
      <c r="GW657" s="1605"/>
      <c r="GX657" s="1605"/>
      <c r="GY657" s="1605"/>
      <c r="GZ657" s="1605"/>
      <c r="HA657" s="1605"/>
      <c r="HB657" s="1605"/>
      <c r="HC657" s="1605"/>
      <c r="HD657" s="1605"/>
      <c r="HE657" s="1605"/>
      <c r="HF657" s="1605"/>
      <c r="HG657" s="1605"/>
      <c r="HH657" s="1605"/>
      <c r="HI657" s="1605"/>
      <c r="HJ657" s="1605"/>
      <c r="HK657" s="1605"/>
      <c r="HL657" s="1605"/>
      <c r="HM657" s="1605"/>
      <c r="HN657" s="1605"/>
      <c r="HO657" s="1605"/>
      <c r="HP657" s="1605"/>
      <c r="HQ657" s="1605"/>
      <c r="HR657" s="1605"/>
      <c r="HS657" s="1605"/>
      <c r="HT657" s="1605"/>
      <c r="HU657" s="1605"/>
      <c r="HV657" s="1605"/>
      <c r="HW657" s="1605"/>
      <c r="HX657" s="1605"/>
      <c r="HY657" s="1605"/>
      <c r="HZ657" s="1605"/>
      <c r="IA657" s="1605"/>
      <c r="IB657" s="1605"/>
      <c r="IC657" s="1605"/>
      <c r="ID657" s="1605"/>
      <c r="IE657" s="1605"/>
      <c r="IF657" s="1605"/>
      <c r="IG657" s="1605"/>
      <c r="IH657" s="1605"/>
      <c r="II657" s="1605"/>
      <c r="IJ657" s="1605"/>
      <c r="IK657" s="1605"/>
      <c r="IL657" s="1605"/>
      <c r="IM657" s="1605"/>
      <c r="IN657" s="1605"/>
      <c r="IO657" s="1605"/>
      <c r="IP657" s="1605"/>
      <c r="IQ657" s="1605"/>
      <c r="IR657" s="1605"/>
      <c r="IS657" s="1605"/>
      <c r="IT657" s="1605"/>
      <c r="IU657" s="1605"/>
      <c r="IV657" s="1605"/>
      <c r="IW657" s="1605"/>
      <c r="IX657" s="1605"/>
      <c r="IY657" s="1605"/>
      <c r="IZ657" s="1605"/>
      <c r="JA657" s="1605"/>
      <c r="JB657" s="1605"/>
      <c r="JC657" s="1605"/>
      <c r="JD657" s="1605"/>
      <c r="JE657" s="1605"/>
      <c r="JF657" s="1605"/>
      <c r="JG657" s="1605"/>
      <c r="JH657" s="1605"/>
      <c r="JI657" s="1605"/>
      <c r="JJ657" s="1605"/>
      <c r="JK657" s="1605"/>
      <c r="JL657" s="1605"/>
      <c r="JM657" s="1605"/>
      <c r="JN657" s="1605"/>
      <c r="JO657" s="1605"/>
      <c r="JP657" s="1605"/>
      <c r="JQ657" s="1605"/>
      <c r="JR657" s="1605"/>
      <c r="JS657" s="1605"/>
      <c r="JT657" s="1605"/>
      <c r="JU657" s="1605"/>
      <c r="JV657" s="1605"/>
      <c r="JW657" s="1605"/>
      <c r="JX657" s="1605"/>
      <c r="JY657" s="1605"/>
      <c r="JZ657" s="1605"/>
      <c r="KA657" s="1605"/>
      <c r="KB657" s="1606"/>
    </row>
    <row r="658" spans="2:288" ht="15" customHeight="1" x14ac:dyDescent="0.25">
      <c r="B658" s="216" t="str">
        <f t="shared" si="54"/>
        <v>Desk 28</v>
      </c>
      <c r="C658" s="218" t="str">
        <v/>
      </c>
      <c r="D658" s="218" t="str">
        <v/>
      </c>
      <c r="E658" s="218" t="str">
        <v/>
      </c>
      <c r="F658" s="218" t="str">
        <v/>
      </c>
      <c r="G658" s="402" t="str">
        <v/>
      </c>
      <c r="H658" s="1605"/>
      <c r="I658" s="1605"/>
      <c r="J658" s="1605"/>
      <c r="K658" s="1605"/>
      <c r="L658" s="1605"/>
      <c r="M658" s="1605"/>
      <c r="N658" s="1605"/>
      <c r="O658" s="1605"/>
      <c r="P658" s="1605"/>
      <c r="Q658" s="1605"/>
      <c r="R658" s="1605"/>
      <c r="S658" s="1605"/>
      <c r="T658" s="1605"/>
      <c r="U658" s="1605"/>
      <c r="V658" s="1605"/>
      <c r="W658" s="1605"/>
      <c r="X658" s="1605"/>
      <c r="Y658" s="1605"/>
      <c r="Z658" s="1605"/>
      <c r="AA658" s="1605"/>
      <c r="AB658" s="1605"/>
      <c r="AC658" s="1605"/>
      <c r="AD658" s="1605"/>
      <c r="AE658" s="1605"/>
      <c r="AF658" s="1605"/>
      <c r="AG658" s="1605"/>
      <c r="AH658" s="1605"/>
      <c r="AI658" s="1605"/>
      <c r="AJ658" s="1605"/>
      <c r="AK658" s="1605"/>
      <c r="AL658" s="1605"/>
      <c r="AM658" s="1605"/>
      <c r="AN658" s="1605"/>
      <c r="AO658" s="1605"/>
      <c r="AP658" s="1605"/>
      <c r="AQ658" s="1605"/>
      <c r="AR658" s="1605"/>
      <c r="AS658" s="1605"/>
      <c r="AT658" s="1605"/>
      <c r="AU658" s="1605"/>
      <c r="AV658" s="1605"/>
      <c r="AW658" s="1605"/>
      <c r="AX658" s="1605"/>
      <c r="AY658" s="1605"/>
      <c r="AZ658" s="1605"/>
      <c r="BA658" s="1605"/>
      <c r="BB658" s="1605"/>
      <c r="BC658" s="1605"/>
      <c r="BD658" s="1605"/>
      <c r="BE658" s="1605"/>
      <c r="BF658" s="1605"/>
      <c r="BG658" s="1605"/>
      <c r="BH658" s="1605"/>
      <c r="BI658" s="1605"/>
      <c r="BJ658" s="1605"/>
      <c r="BK658" s="1605"/>
      <c r="BL658" s="1605"/>
      <c r="BM658" s="1605"/>
      <c r="BN658" s="1605"/>
      <c r="BO658" s="1605"/>
      <c r="BP658" s="1605"/>
      <c r="BQ658" s="1605"/>
      <c r="BR658" s="1605"/>
      <c r="BS658" s="1605"/>
      <c r="BT658" s="1605"/>
      <c r="BU658" s="1605"/>
      <c r="BV658" s="1605"/>
      <c r="BW658" s="1605"/>
      <c r="BX658" s="1605"/>
      <c r="BY658" s="1605"/>
      <c r="BZ658" s="1605"/>
      <c r="CA658" s="1605"/>
      <c r="CB658" s="1605"/>
      <c r="CC658" s="1605"/>
      <c r="CD658" s="1605"/>
      <c r="CE658" s="1605"/>
      <c r="CF658" s="1605"/>
      <c r="CG658" s="1605"/>
      <c r="CH658" s="1605"/>
      <c r="CI658" s="1605"/>
      <c r="CJ658" s="1605"/>
      <c r="CK658" s="1605"/>
      <c r="CL658" s="1605"/>
      <c r="CM658" s="1605"/>
      <c r="CN658" s="1605"/>
      <c r="CO658" s="1605"/>
      <c r="CP658" s="1605"/>
      <c r="CQ658" s="1605"/>
      <c r="CR658" s="1605"/>
      <c r="CS658" s="1605"/>
      <c r="CT658" s="1605"/>
      <c r="CU658" s="1605"/>
      <c r="CV658" s="1605"/>
      <c r="CW658" s="1605"/>
      <c r="CX658" s="1605"/>
      <c r="CY658" s="1605"/>
      <c r="CZ658" s="1605"/>
      <c r="DA658" s="1605"/>
      <c r="DB658" s="1605"/>
      <c r="DC658" s="1605"/>
      <c r="DD658" s="1605"/>
      <c r="DE658" s="1605"/>
      <c r="DF658" s="1605"/>
      <c r="DG658" s="1605"/>
      <c r="DH658" s="1605"/>
      <c r="DI658" s="1605"/>
      <c r="DJ658" s="1605"/>
      <c r="DK658" s="1605"/>
      <c r="DL658" s="1605"/>
      <c r="DM658" s="1605"/>
      <c r="DN658" s="1605"/>
      <c r="DO658" s="1605"/>
      <c r="DP658" s="1605"/>
      <c r="DQ658" s="1605"/>
      <c r="DR658" s="1605"/>
      <c r="DS658" s="1605"/>
      <c r="DT658" s="1605"/>
      <c r="DU658" s="1605"/>
      <c r="DV658" s="1605"/>
      <c r="DW658" s="1605"/>
      <c r="DX658" s="1605"/>
      <c r="DY658" s="1605"/>
      <c r="DZ658" s="1605"/>
      <c r="EA658" s="1605"/>
      <c r="EB658" s="1605"/>
      <c r="EC658" s="1605"/>
      <c r="ED658" s="1605"/>
      <c r="EE658" s="1605"/>
      <c r="EF658" s="1605"/>
      <c r="EG658" s="1605"/>
      <c r="EH658" s="1605"/>
      <c r="EI658" s="1605"/>
      <c r="EJ658" s="1605"/>
      <c r="EK658" s="1605"/>
      <c r="EL658" s="1605"/>
      <c r="EM658" s="1605"/>
      <c r="EN658" s="1605"/>
      <c r="EO658" s="1605"/>
      <c r="EP658" s="1605"/>
      <c r="EQ658" s="1605"/>
      <c r="ER658" s="1605"/>
      <c r="ES658" s="1605"/>
      <c r="ET658" s="1605"/>
      <c r="EU658" s="1605"/>
      <c r="EV658" s="1605"/>
      <c r="EW658" s="1605"/>
      <c r="EX658" s="1605"/>
      <c r="EY658" s="1605"/>
      <c r="EZ658" s="1605"/>
      <c r="FA658" s="1605"/>
      <c r="FB658" s="1605"/>
      <c r="FC658" s="1605"/>
      <c r="FD658" s="1605"/>
      <c r="FE658" s="1605"/>
      <c r="FF658" s="1605"/>
      <c r="FG658" s="1605"/>
      <c r="FH658" s="1605"/>
      <c r="FI658" s="1605"/>
      <c r="FJ658" s="1605"/>
      <c r="FK658" s="1605"/>
      <c r="FL658" s="1605"/>
      <c r="FM658" s="1605"/>
      <c r="FN658" s="1605"/>
      <c r="FO658" s="1605"/>
      <c r="FP658" s="1605"/>
      <c r="FQ658" s="1605"/>
      <c r="FR658" s="1605"/>
      <c r="FS658" s="1605"/>
      <c r="FT658" s="1605"/>
      <c r="FU658" s="1605"/>
      <c r="FV658" s="1605"/>
      <c r="FW658" s="1605"/>
      <c r="FX658" s="1605"/>
      <c r="FY658" s="1605"/>
      <c r="FZ658" s="1605"/>
      <c r="GA658" s="1605"/>
      <c r="GB658" s="1605"/>
      <c r="GC658" s="1605"/>
      <c r="GD658" s="1605"/>
      <c r="GE658" s="1605"/>
      <c r="GF658" s="1605"/>
      <c r="GG658" s="1605"/>
      <c r="GH658" s="1605"/>
      <c r="GI658" s="1605"/>
      <c r="GJ658" s="1605"/>
      <c r="GK658" s="1605"/>
      <c r="GL658" s="1605"/>
      <c r="GM658" s="1605"/>
      <c r="GN658" s="1605"/>
      <c r="GO658" s="1605"/>
      <c r="GP658" s="1605"/>
      <c r="GQ658" s="1605"/>
      <c r="GR658" s="1605"/>
      <c r="GS658" s="1605"/>
      <c r="GT658" s="1605"/>
      <c r="GU658" s="1605"/>
      <c r="GV658" s="1605"/>
      <c r="GW658" s="1605"/>
      <c r="GX658" s="1605"/>
      <c r="GY658" s="1605"/>
      <c r="GZ658" s="1605"/>
      <c r="HA658" s="1605"/>
      <c r="HB658" s="1605"/>
      <c r="HC658" s="1605"/>
      <c r="HD658" s="1605"/>
      <c r="HE658" s="1605"/>
      <c r="HF658" s="1605"/>
      <c r="HG658" s="1605"/>
      <c r="HH658" s="1605"/>
      <c r="HI658" s="1605"/>
      <c r="HJ658" s="1605"/>
      <c r="HK658" s="1605"/>
      <c r="HL658" s="1605"/>
      <c r="HM658" s="1605"/>
      <c r="HN658" s="1605"/>
      <c r="HO658" s="1605"/>
      <c r="HP658" s="1605"/>
      <c r="HQ658" s="1605"/>
      <c r="HR658" s="1605"/>
      <c r="HS658" s="1605"/>
      <c r="HT658" s="1605"/>
      <c r="HU658" s="1605"/>
      <c r="HV658" s="1605"/>
      <c r="HW658" s="1605"/>
      <c r="HX658" s="1605"/>
      <c r="HY658" s="1605"/>
      <c r="HZ658" s="1605"/>
      <c r="IA658" s="1605"/>
      <c r="IB658" s="1605"/>
      <c r="IC658" s="1605"/>
      <c r="ID658" s="1605"/>
      <c r="IE658" s="1605"/>
      <c r="IF658" s="1605"/>
      <c r="IG658" s="1605"/>
      <c r="IH658" s="1605"/>
      <c r="II658" s="1605"/>
      <c r="IJ658" s="1605"/>
      <c r="IK658" s="1605"/>
      <c r="IL658" s="1605"/>
      <c r="IM658" s="1605"/>
      <c r="IN658" s="1605"/>
      <c r="IO658" s="1605"/>
      <c r="IP658" s="1605"/>
      <c r="IQ658" s="1605"/>
      <c r="IR658" s="1605"/>
      <c r="IS658" s="1605"/>
      <c r="IT658" s="1605"/>
      <c r="IU658" s="1605"/>
      <c r="IV658" s="1605"/>
      <c r="IW658" s="1605"/>
      <c r="IX658" s="1605"/>
      <c r="IY658" s="1605"/>
      <c r="IZ658" s="1605"/>
      <c r="JA658" s="1605"/>
      <c r="JB658" s="1605"/>
      <c r="JC658" s="1605"/>
      <c r="JD658" s="1605"/>
      <c r="JE658" s="1605"/>
      <c r="JF658" s="1605"/>
      <c r="JG658" s="1605"/>
      <c r="JH658" s="1605"/>
      <c r="JI658" s="1605"/>
      <c r="JJ658" s="1605"/>
      <c r="JK658" s="1605"/>
      <c r="JL658" s="1605"/>
      <c r="JM658" s="1605"/>
      <c r="JN658" s="1605"/>
      <c r="JO658" s="1605"/>
      <c r="JP658" s="1605"/>
      <c r="JQ658" s="1605"/>
      <c r="JR658" s="1605"/>
      <c r="JS658" s="1605"/>
      <c r="JT658" s="1605"/>
      <c r="JU658" s="1605"/>
      <c r="JV658" s="1605"/>
      <c r="JW658" s="1605"/>
      <c r="JX658" s="1605"/>
      <c r="JY658" s="1605"/>
      <c r="JZ658" s="1605"/>
      <c r="KA658" s="1605"/>
      <c r="KB658" s="1606"/>
    </row>
    <row r="659" spans="2:288" ht="15" customHeight="1" x14ac:dyDescent="0.25">
      <c r="B659" s="216" t="str">
        <f t="shared" si="54"/>
        <v>Desk 29</v>
      </c>
      <c r="C659" s="218" t="str">
        <v/>
      </c>
      <c r="D659" s="218" t="str">
        <v/>
      </c>
      <c r="E659" s="218" t="str">
        <v/>
      </c>
      <c r="F659" s="218" t="str">
        <v/>
      </c>
      <c r="G659" s="402" t="str">
        <v/>
      </c>
      <c r="H659" s="1605"/>
      <c r="I659" s="1605"/>
      <c r="J659" s="1605"/>
      <c r="K659" s="1605"/>
      <c r="L659" s="1605"/>
      <c r="M659" s="1605"/>
      <c r="N659" s="1605"/>
      <c r="O659" s="1605"/>
      <c r="P659" s="1605"/>
      <c r="Q659" s="1605"/>
      <c r="R659" s="1605"/>
      <c r="S659" s="1605"/>
      <c r="T659" s="1605"/>
      <c r="U659" s="1605"/>
      <c r="V659" s="1605"/>
      <c r="W659" s="1605"/>
      <c r="X659" s="1605"/>
      <c r="Y659" s="1605"/>
      <c r="Z659" s="1605"/>
      <c r="AA659" s="1605"/>
      <c r="AB659" s="1605"/>
      <c r="AC659" s="1605"/>
      <c r="AD659" s="1605"/>
      <c r="AE659" s="1605"/>
      <c r="AF659" s="1605"/>
      <c r="AG659" s="1605"/>
      <c r="AH659" s="1605"/>
      <c r="AI659" s="1605"/>
      <c r="AJ659" s="1605"/>
      <c r="AK659" s="1605"/>
      <c r="AL659" s="1605"/>
      <c r="AM659" s="1605"/>
      <c r="AN659" s="1605"/>
      <c r="AO659" s="1605"/>
      <c r="AP659" s="1605"/>
      <c r="AQ659" s="1605"/>
      <c r="AR659" s="1605"/>
      <c r="AS659" s="1605"/>
      <c r="AT659" s="1605"/>
      <c r="AU659" s="1605"/>
      <c r="AV659" s="1605"/>
      <c r="AW659" s="1605"/>
      <c r="AX659" s="1605"/>
      <c r="AY659" s="1605"/>
      <c r="AZ659" s="1605"/>
      <c r="BA659" s="1605"/>
      <c r="BB659" s="1605"/>
      <c r="BC659" s="1605"/>
      <c r="BD659" s="1605"/>
      <c r="BE659" s="1605"/>
      <c r="BF659" s="1605"/>
      <c r="BG659" s="1605"/>
      <c r="BH659" s="1605"/>
      <c r="BI659" s="1605"/>
      <c r="BJ659" s="1605"/>
      <c r="BK659" s="1605"/>
      <c r="BL659" s="1605"/>
      <c r="BM659" s="1605"/>
      <c r="BN659" s="1605"/>
      <c r="BO659" s="1605"/>
      <c r="BP659" s="1605"/>
      <c r="BQ659" s="1605"/>
      <c r="BR659" s="1605"/>
      <c r="BS659" s="1605"/>
      <c r="BT659" s="1605"/>
      <c r="BU659" s="1605"/>
      <c r="BV659" s="1605"/>
      <c r="BW659" s="1605"/>
      <c r="BX659" s="1605"/>
      <c r="BY659" s="1605"/>
      <c r="BZ659" s="1605"/>
      <c r="CA659" s="1605"/>
      <c r="CB659" s="1605"/>
      <c r="CC659" s="1605"/>
      <c r="CD659" s="1605"/>
      <c r="CE659" s="1605"/>
      <c r="CF659" s="1605"/>
      <c r="CG659" s="1605"/>
      <c r="CH659" s="1605"/>
      <c r="CI659" s="1605"/>
      <c r="CJ659" s="1605"/>
      <c r="CK659" s="1605"/>
      <c r="CL659" s="1605"/>
      <c r="CM659" s="1605"/>
      <c r="CN659" s="1605"/>
      <c r="CO659" s="1605"/>
      <c r="CP659" s="1605"/>
      <c r="CQ659" s="1605"/>
      <c r="CR659" s="1605"/>
      <c r="CS659" s="1605"/>
      <c r="CT659" s="1605"/>
      <c r="CU659" s="1605"/>
      <c r="CV659" s="1605"/>
      <c r="CW659" s="1605"/>
      <c r="CX659" s="1605"/>
      <c r="CY659" s="1605"/>
      <c r="CZ659" s="1605"/>
      <c r="DA659" s="1605"/>
      <c r="DB659" s="1605"/>
      <c r="DC659" s="1605"/>
      <c r="DD659" s="1605"/>
      <c r="DE659" s="1605"/>
      <c r="DF659" s="1605"/>
      <c r="DG659" s="1605"/>
      <c r="DH659" s="1605"/>
      <c r="DI659" s="1605"/>
      <c r="DJ659" s="1605"/>
      <c r="DK659" s="1605"/>
      <c r="DL659" s="1605"/>
      <c r="DM659" s="1605"/>
      <c r="DN659" s="1605"/>
      <c r="DO659" s="1605"/>
      <c r="DP659" s="1605"/>
      <c r="DQ659" s="1605"/>
      <c r="DR659" s="1605"/>
      <c r="DS659" s="1605"/>
      <c r="DT659" s="1605"/>
      <c r="DU659" s="1605"/>
      <c r="DV659" s="1605"/>
      <c r="DW659" s="1605"/>
      <c r="DX659" s="1605"/>
      <c r="DY659" s="1605"/>
      <c r="DZ659" s="1605"/>
      <c r="EA659" s="1605"/>
      <c r="EB659" s="1605"/>
      <c r="EC659" s="1605"/>
      <c r="ED659" s="1605"/>
      <c r="EE659" s="1605"/>
      <c r="EF659" s="1605"/>
      <c r="EG659" s="1605"/>
      <c r="EH659" s="1605"/>
      <c r="EI659" s="1605"/>
      <c r="EJ659" s="1605"/>
      <c r="EK659" s="1605"/>
      <c r="EL659" s="1605"/>
      <c r="EM659" s="1605"/>
      <c r="EN659" s="1605"/>
      <c r="EO659" s="1605"/>
      <c r="EP659" s="1605"/>
      <c r="EQ659" s="1605"/>
      <c r="ER659" s="1605"/>
      <c r="ES659" s="1605"/>
      <c r="ET659" s="1605"/>
      <c r="EU659" s="1605"/>
      <c r="EV659" s="1605"/>
      <c r="EW659" s="1605"/>
      <c r="EX659" s="1605"/>
      <c r="EY659" s="1605"/>
      <c r="EZ659" s="1605"/>
      <c r="FA659" s="1605"/>
      <c r="FB659" s="1605"/>
      <c r="FC659" s="1605"/>
      <c r="FD659" s="1605"/>
      <c r="FE659" s="1605"/>
      <c r="FF659" s="1605"/>
      <c r="FG659" s="1605"/>
      <c r="FH659" s="1605"/>
      <c r="FI659" s="1605"/>
      <c r="FJ659" s="1605"/>
      <c r="FK659" s="1605"/>
      <c r="FL659" s="1605"/>
      <c r="FM659" s="1605"/>
      <c r="FN659" s="1605"/>
      <c r="FO659" s="1605"/>
      <c r="FP659" s="1605"/>
      <c r="FQ659" s="1605"/>
      <c r="FR659" s="1605"/>
      <c r="FS659" s="1605"/>
      <c r="FT659" s="1605"/>
      <c r="FU659" s="1605"/>
      <c r="FV659" s="1605"/>
      <c r="FW659" s="1605"/>
      <c r="FX659" s="1605"/>
      <c r="FY659" s="1605"/>
      <c r="FZ659" s="1605"/>
      <c r="GA659" s="1605"/>
      <c r="GB659" s="1605"/>
      <c r="GC659" s="1605"/>
      <c r="GD659" s="1605"/>
      <c r="GE659" s="1605"/>
      <c r="GF659" s="1605"/>
      <c r="GG659" s="1605"/>
      <c r="GH659" s="1605"/>
      <c r="GI659" s="1605"/>
      <c r="GJ659" s="1605"/>
      <c r="GK659" s="1605"/>
      <c r="GL659" s="1605"/>
      <c r="GM659" s="1605"/>
      <c r="GN659" s="1605"/>
      <c r="GO659" s="1605"/>
      <c r="GP659" s="1605"/>
      <c r="GQ659" s="1605"/>
      <c r="GR659" s="1605"/>
      <c r="GS659" s="1605"/>
      <c r="GT659" s="1605"/>
      <c r="GU659" s="1605"/>
      <c r="GV659" s="1605"/>
      <c r="GW659" s="1605"/>
      <c r="GX659" s="1605"/>
      <c r="GY659" s="1605"/>
      <c r="GZ659" s="1605"/>
      <c r="HA659" s="1605"/>
      <c r="HB659" s="1605"/>
      <c r="HC659" s="1605"/>
      <c r="HD659" s="1605"/>
      <c r="HE659" s="1605"/>
      <c r="HF659" s="1605"/>
      <c r="HG659" s="1605"/>
      <c r="HH659" s="1605"/>
      <c r="HI659" s="1605"/>
      <c r="HJ659" s="1605"/>
      <c r="HK659" s="1605"/>
      <c r="HL659" s="1605"/>
      <c r="HM659" s="1605"/>
      <c r="HN659" s="1605"/>
      <c r="HO659" s="1605"/>
      <c r="HP659" s="1605"/>
      <c r="HQ659" s="1605"/>
      <c r="HR659" s="1605"/>
      <c r="HS659" s="1605"/>
      <c r="HT659" s="1605"/>
      <c r="HU659" s="1605"/>
      <c r="HV659" s="1605"/>
      <c r="HW659" s="1605"/>
      <c r="HX659" s="1605"/>
      <c r="HY659" s="1605"/>
      <c r="HZ659" s="1605"/>
      <c r="IA659" s="1605"/>
      <c r="IB659" s="1605"/>
      <c r="IC659" s="1605"/>
      <c r="ID659" s="1605"/>
      <c r="IE659" s="1605"/>
      <c r="IF659" s="1605"/>
      <c r="IG659" s="1605"/>
      <c r="IH659" s="1605"/>
      <c r="II659" s="1605"/>
      <c r="IJ659" s="1605"/>
      <c r="IK659" s="1605"/>
      <c r="IL659" s="1605"/>
      <c r="IM659" s="1605"/>
      <c r="IN659" s="1605"/>
      <c r="IO659" s="1605"/>
      <c r="IP659" s="1605"/>
      <c r="IQ659" s="1605"/>
      <c r="IR659" s="1605"/>
      <c r="IS659" s="1605"/>
      <c r="IT659" s="1605"/>
      <c r="IU659" s="1605"/>
      <c r="IV659" s="1605"/>
      <c r="IW659" s="1605"/>
      <c r="IX659" s="1605"/>
      <c r="IY659" s="1605"/>
      <c r="IZ659" s="1605"/>
      <c r="JA659" s="1605"/>
      <c r="JB659" s="1605"/>
      <c r="JC659" s="1605"/>
      <c r="JD659" s="1605"/>
      <c r="JE659" s="1605"/>
      <c r="JF659" s="1605"/>
      <c r="JG659" s="1605"/>
      <c r="JH659" s="1605"/>
      <c r="JI659" s="1605"/>
      <c r="JJ659" s="1605"/>
      <c r="JK659" s="1605"/>
      <c r="JL659" s="1605"/>
      <c r="JM659" s="1605"/>
      <c r="JN659" s="1605"/>
      <c r="JO659" s="1605"/>
      <c r="JP659" s="1605"/>
      <c r="JQ659" s="1605"/>
      <c r="JR659" s="1605"/>
      <c r="JS659" s="1605"/>
      <c r="JT659" s="1605"/>
      <c r="JU659" s="1605"/>
      <c r="JV659" s="1605"/>
      <c r="JW659" s="1605"/>
      <c r="JX659" s="1605"/>
      <c r="JY659" s="1605"/>
      <c r="JZ659" s="1605"/>
      <c r="KA659" s="1605"/>
      <c r="KB659" s="1606"/>
    </row>
    <row r="660" spans="2:288" ht="15" customHeight="1" x14ac:dyDescent="0.25">
      <c r="B660" s="216" t="str">
        <f t="shared" si="54"/>
        <v>Desk 30</v>
      </c>
      <c r="C660" s="218" t="str">
        <v/>
      </c>
      <c r="D660" s="218" t="str">
        <v/>
      </c>
      <c r="E660" s="218" t="str">
        <v/>
      </c>
      <c r="F660" s="218" t="str">
        <v/>
      </c>
      <c r="G660" s="402" t="str">
        <v/>
      </c>
      <c r="H660" s="1605"/>
      <c r="I660" s="1605"/>
      <c r="J660" s="1605"/>
      <c r="K660" s="1605"/>
      <c r="L660" s="1605"/>
      <c r="M660" s="1605"/>
      <c r="N660" s="1605"/>
      <c r="O660" s="1605"/>
      <c r="P660" s="1605"/>
      <c r="Q660" s="1605"/>
      <c r="R660" s="1605"/>
      <c r="S660" s="1605"/>
      <c r="T660" s="1605"/>
      <c r="U660" s="1605"/>
      <c r="V660" s="1605"/>
      <c r="W660" s="1605"/>
      <c r="X660" s="1605"/>
      <c r="Y660" s="1605"/>
      <c r="Z660" s="1605"/>
      <c r="AA660" s="1605"/>
      <c r="AB660" s="1605"/>
      <c r="AC660" s="1605"/>
      <c r="AD660" s="1605"/>
      <c r="AE660" s="1605"/>
      <c r="AF660" s="1605"/>
      <c r="AG660" s="1605"/>
      <c r="AH660" s="1605"/>
      <c r="AI660" s="1605"/>
      <c r="AJ660" s="1605"/>
      <c r="AK660" s="1605"/>
      <c r="AL660" s="1605"/>
      <c r="AM660" s="1605"/>
      <c r="AN660" s="1605"/>
      <c r="AO660" s="1605"/>
      <c r="AP660" s="1605"/>
      <c r="AQ660" s="1605"/>
      <c r="AR660" s="1605"/>
      <c r="AS660" s="1605"/>
      <c r="AT660" s="1605"/>
      <c r="AU660" s="1605"/>
      <c r="AV660" s="1605"/>
      <c r="AW660" s="1605"/>
      <c r="AX660" s="1605"/>
      <c r="AY660" s="1605"/>
      <c r="AZ660" s="1605"/>
      <c r="BA660" s="1605"/>
      <c r="BB660" s="1605"/>
      <c r="BC660" s="1605"/>
      <c r="BD660" s="1605"/>
      <c r="BE660" s="1605"/>
      <c r="BF660" s="1605"/>
      <c r="BG660" s="1605"/>
      <c r="BH660" s="1605"/>
      <c r="BI660" s="1605"/>
      <c r="BJ660" s="1605"/>
      <c r="BK660" s="1605"/>
      <c r="BL660" s="1605"/>
      <c r="BM660" s="1605"/>
      <c r="BN660" s="1605"/>
      <c r="BO660" s="1605"/>
      <c r="BP660" s="1605"/>
      <c r="BQ660" s="1605"/>
      <c r="BR660" s="1605"/>
      <c r="BS660" s="1605"/>
      <c r="BT660" s="1605"/>
      <c r="BU660" s="1605"/>
      <c r="BV660" s="1605"/>
      <c r="BW660" s="1605"/>
      <c r="BX660" s="1605"/>
      <c r="BY660" s="1605"/>
      <c r="BZ660" s="1605"/>
      <c r="CA660" s="1605"/>
      <c r="CB660" s="1605"/>
      <c r="CC660" s="1605"/>
      <c r="CD660" s="1605"/>
      <c r="CE660" s="1605"/>
      <c r="CF660" s="1605"/>
      <c r="CG660" s="1605"/>
      <c r="CH660" s="1605"/>
      <c r="CI660" s="1605"/>
      <c r="CJ660" s="1605"/>
      <c r="CK660" s="1605"/>
      <c r="CL660" s="1605"/>
      <c r="CM660" s="1605"/>
      <c r="CN660" s="1605"/>
      <c r="CO660" s="1605"/>
      <c r="CP660" s="1605"/>
      <c r="CQ660" s="1605"/>
      <c r="CR660" s="1605"/>
      <c r="CS660" s="1605"/>
      <c r="CT660" s="1605"/>
      <c r="CU660" s="1605"/>
      <c r="CV660" s="1605"/>
      <c r="CW660" s="1605"/>
      <c r="CX660" s="1605"/>
      <c r="CY660" s="1605"/>
      <c r="CZ660" s="1605"/>
      <c r="DA660" s="1605"/>
      <c r="DB660" s="1605"/>
      <c r="DC660" s="1605"/>
      <c r="DD660" s="1605"/>
      <c r="DE660" s="1605"/>
      <c r="DF660" s="1605"/>
      <c r="DG660" s="1605"/>
      <c r="DH660" s="1605"/>
      <c r="DI660" s="1605"/>
      <c r="DJ660" s="1605"/>
      <c r="DK660" s="1605"/>
      <c r="DL660" s="1605"/>
      <c r="DM660" s="1605"/>
      <c r="DN660" s="1605"/>
      <c r="DO660" s="1605"/>
      <c r="DP660" s="1605"/>
      <c r="DQ660" s="1605"/>
      <c r="DR660" s="1605"/>
      <c r="DS660" s="1605"/>
      <c r="DT660" s="1605"/>
      <c r="DU660" s="1605"/>
      <c r="DV660" s="1605"/>
      <c r="DW660" s="1605"/>
      <c r="DX660" s="1605"/>
      <c r="DY660" s="1605"/>
      <c r="DZ660" s="1605"/>
      <c r="EA660" s="1605"/>
      <c r="EB660" s="1605"/>
      <c r="EC660" s="1605"/>
      <c r="ED660" s="1605"/>
      <c r="EE660" s="1605"/>
      <c r="EF660" s="1605"/>
      <c r="EG660" s="1605"/>
      <c r="EH660" s="1605"/>
      <c r="EI660" s="1605"/>
      <c r="EJ660" s="1605"/>
      <c r="EK660" s="1605"/>
      <c r="EL660" s="1605"/>
      <c r="EM660" s="1605"/>
      <c r="EN660" s="1605"/>
      <c r="EO660" s="1605"/>
      <c r="EP660" s="1605"/>
      <c r="EQ660" s="1605"/>
      <c r="ER660" s="1605"/>
      <c r="ES660" s="1605"/>
      <c r="ET660" s="1605"/>
      <c r="EU660" s="1605"/>
      <c r="EV660" s="1605"/>
      <c r="EW660" s="1605"/>
      <c r="EX660" s="1605"/>
      <c r="EY660" s="1605"/>
      <c r="EZ660" s="1605"/>
      <c r="FA660" s="1605"/>
      <c r="FB660" s="1605"/>
      <c r="FC660" s="1605"/>
      <c r="FD660" s="1605"/>
      <c r="FE660" s="1605"/>
      <c r="FF660" s="1605"/>
      <c r="FG660" s="1605"/>
      <c r="FH660" s="1605"/>
      <c r="FI660" s="1605"/>
      <c r="FJ660" s="1605"/>
      <c r="FK660" s="1605"/>
      <c r="FL660" s="1605"/>
      <c r="FM660" s="1605"/>
      <c r="FN660" s="1605"/>
      <c r="FO660" s="1605"/>
      <c r="FP660" s="1605"/>
      <c r="FQ660" s="1605"/>
      <c r="FR660" s="1605"/>
      <c r="FS660" s="1605"/>
      <c r="FT660" s="1605"/>
      <c r="FU660" s="1605"/>
      <c r="FV660" s="1605"/>
      <c r="FW660" s="1605"/>
      <c r="FX660" s="1605"/>
      <c r="FY660" s="1605"/>
      <c r="FZ660" s="1605"/>
      <c r="GA660" s="1605"/>
      <c r="GB660" s="1605"/>
      <c r="GC660" s="1605"/>
      <c r="GD660" s="1605"/>
      <c r="GE660" s="1605"/>
      <c r="GF660" s="1605"/>
      <c r="GG660" s="1605"/>
      <c r="GH660" s="1605"/>
      <c r="GI660" s="1605"/>
      <c r="GJ660" s="1605"/>
      <c r="GK660" s="1605"/>
      <c r="GL660" s="1605"/>
      <c r="GM660" s="1605"/>
      <c r="GN660" s="1605"/>
      <c r="GO660" s="1605"/>
      <c r="GP660" s="1605"/>
      <c r="GQ660" s="1605"/>
      <c r="GR660" s="1605"/>
      <c r="GS660" s="1605"/>
      <c r="GT660" s="1605"/>
      <c r="GU660" s="1605"/>
      <c r="GV660" s="1605"/>
      <c r="GW660" s="1605"/>
      <c r="GX660" s="1605"/>
      <c r="GY660" s="1605"/>
      <c r="GZ660" s="1605"/>
      <c r="HA660" s="1605"/>
      <c r="HB660" s="1605"/>
      <c r="HC660" s="1605"/>
      <c r="HD660" s="1605"/>
      <c r="HE660" s="1605"/>
      <c r="HF660" s="1605"/>
      <c r="HG660" s="1605"/>
      <c r="HH660" s="1605"/>
      <c r="HI660" s="1605"/>
      <c r="HJ660" s="1605"/>
      <c r="HK660" s="1605"/>
      <c r="HL660" s="1605"/>
      <c r="HM660" s="1605"/>
      <c r="HN660" s="1605"/>
      <c r="HO660" s="1605"/>
      <c r="HP660" s="1605"/>
      <c r="HQ660" s="1605"/>
      <c r="HR660" s="1605"/>
      <c r="HS660" s="1605"/>
      <c r="HT660" s="1605"/>
      <c r="HU660" s="1605"/>
      <c r="HV660" s="1605"/>
      <c r="HW660" s="1605"/>
      <c r="HX660" s="1605"/>
      <c r="HY660" s="1605"/>
      <c r="HZ660" s="1605"/>
      <c r="IA660" s="1605"/>
      <c r="IB660" s="1605"/>
      <c r="IC660" s="1605"/>
      <c r="ID660" s="1605"/>
      <c r="IE660" s="1605"/>
      <c r="IF660" s="1605"/>
      <c r="IG660" s="1605"/>
      <c r="IH660" s="1605"/>
      <c r="II660" s="1605"/>
      <c r="IJ660" s="1605"/>
      <c r="IK660" s="1605"/>
      <c r="IL660" s="1605"/>
      <c r="IM660" s="1605"/>
      <c r="IN660" s="1605"/>
      <c r="IO660" s="1605"/>
      <c r="IP660" s="1605"/>
      <c r="IQ660" s="1605"/>
      <c r="IR660" s="1605"/>
      <c r="IS660" s="1605"/>
      <c r="IT660" s="1605"/>
      <c r="IU660" s="1605"/>
      <c r="IV660" s="1605"/>
      <c r="IW660" s="1605"/>
      <c r="IX660" s="1605"/>
      <c r="IY660" s="1605"/>
      <c r="IZ660" s="1605"/>
      <c r="JA660" s="1605"/>
      <c r="JB660" s="1605"/>
      <c r="JC660" s="1605"/>
      <c r="JD660" s="1605"/>
      <c r="JE660" s="1605"/>
      <c r="JF660" s="1605"/>
      <c r="JG660" s="1605"/>
      <c r="JH660" s="1605"/>
      <c r="JI660" s="1605"/>
      <c r="JJ660" s="1605"/>
      <c r="JK660" s="1605"/>
      <c r="JL660" s="1605"/>
      <c r="JM660" s="1605"/>
      <c r="JN660" s="1605"/>
      <c r="JO660" s="1605"/>
      <c r="JP660" s="1605"/>
      <c r="JQ660" s="1605"/>
      <c r="JR660" s="1605"/>
      <c r="JS660" s="1605"/>
      <c r="JT660" s="1605"/>
      <c r="JU660" s="1605"/>
      <c r="JV660" s="1605"/>
      <c r="JW660" s="1605"/>
      <c r="JX660" s="1605"/>
      <c r="JY660" s="1605"/>
      <c r="JZ660" s="1605"/>
      <c r="KA660" s="1605"/>
      <c r="KB660" s="1606"/>
    </row>
    <row r="661" spans="2:288" ht="15" customHeight="1" x14ac:dyDescent="0.25">
      <c r="B661" s="216" t="str">
        <f t="shared" si="54"/>
        <v>Desk 31</v>
      </c>
      <c r="C661" s="218" t="str">
        <v/>
      </c>
      <c r="D661" s="218" t="str">
        <v/>
      </c>
      <c r="E661" s="218" t="str">
        <v/>
      </c>
      <c r="F661" s="218" t="str">
        <v/>
      </c>
      <c r="G661" s="402" t="str">
        <v/>
      </c>
      <c r="H661" s="1605"/>
      <c r="I661" s="1605"/>
      <c r="J661" s="1605"/>
      <c r="K661" s="1605"/>
      <c r="L661" s="1605"/>
      <c r="M661" s="1605"/>
      <c r="N661" s="1605"/>
      <c r="O661" s="1605"/>
      <c r="P661" s="1605"/>
      <c r="Q661" s="1605"/>
      <c r="R661" s="1605"/>
      <c r="S661" s="1605"/>
      <c r="T661" s="1605"/>
      <c r="U661" s="1605"/>
      <c r="V661" s="1605"/>
      <c r="W661" s="1605"/>
      <c r="X661" s="1605"/>
      <c r="Y661" s="1605"/>
      <c r="Z661" s="1605"/>
      <c r="AA661" s="1605"/>
      <c r="AB661" s="1605"/>
      <c r="AC661" s="1605"/>
      <c r="AD661" s="1605"/>
      <c r="AE661" s="1605"/>
      <c r="AF661" s="1605"/>
      <c r="AG661" s="1605"/>
      <c r="AH661" s="1605"/>
      <c r="AI661" s="1605"/>
      <c r="AJ661" s="1605"/>
      <c r="AK661" s="1605"/>
      <c r="AL661" s="1605"/>
      <c r="AM661" s="1605"/>
      <c r="AN661" s="1605"/>
      <c r="AO661" s="1605"/>
      <c r="AP661" s="1605"/>
      <c r="AQ661" s="1605"/>
      <c r="AR661" s="1605"/>
      <c r="AS661" s="1605"/>
      <c r="AT661" s="1605"/>
      <c r="AU661" s="1605"/>
      <c r="AV661" s="1605"/>
      <c r="AW661" s="1605"/>
      <c r="AX661" s="1605"/>
      <c r="AY661" s="1605"/>
      <c r="AZ661" s="1605"/>
      <c r="BA661" s="1605"/>
      <c r="BB661" s="1605"/>
      <c r="BC661" s="1605"/>
      <c r="BD661" s="1605"/>
      <c r="BE661" s="1605"/>
      <c r="BF661" s="1605"/>
      <c r="BG661" s="1605"/>
      <c r="BH661" s="1605"/>
      <c r="BI661" s="1605"/>
      <c r="BJ661" s="1605"/>
      <c r="BK661" s="1605"/>
      <c r="BL661" s="1605"/>
      <c r="BM661" s="1605"/>
      <c r="BN661" s="1605"/>
      <c r="BO661" s="1605"/>
      <c r="BP661" s="1605"/>
      <c r="BQ661" s="1605"/>
      <c r="BR661" s="1605"/>
      <c r="BS661" s="1605"/>
      <c r="BT661" s="1605"/>
      <c r="BU661" s="1605"/>
      <c r="BV661" s="1605"/>
      <c r="BW661" s="1605"/>
      <c r="BX661" s="1605"/>
      <c r="BY661" s="1605"/>
      <c r="BZ661" s="1605"/>
      <c r="CA661" s="1605"/>
      <c r="CB661" s="1605"/>
      <c r="CC661" s="1605"/>
      <c r="CD661" s="1605"/>
      <c r="CE661" s="1605"/>
      <c r="CF661" s="1605"/>
      <c r="CG661" s="1605"/>
      <c r="CH661" s="1605"/>
      <c r="CI661" s="1605"/>
      <c r="CJ661" s="1605"/>
      <c r="CK661" s="1605"/>
      <c r="CL661" s="1605"/>
      <c r="CM661" s="1605"/>
      <c r="CN661" s="1605"/>
      <c r="CO661" s="1605"/>
      <c r="CP661" s="1605"/>
      <c r="CQ661" s="1605"/>
      <c r="CR661" s="1605"/>
      <c r="CS661" s="1605"/>
      <c r="CT661" s="1605"/>
      <c r="CU661" s="1605"/>
      <c r="CV661" s="1605"/>
      <c r="CW661" s="1605"/>
      <c r="CX661" s="1605"/>
      <c r="CY661" s="1605"/>
      <c r="CZ661" s="1605"/>
      <c r="DA661" s="1605"/>
      <c r="DB661" s="1605"/>
      <c r="DC661" s="1605"/>
      <c r="DD661" s="1605"/>
      <c r="DE661" s="1605"/>
      <c r="DF661" s="1605"/>
      <c r="DG661" s="1605"/>
      <c r="DH661" s="1605"/>
      <c r="DI661" s="1605"/>
      <c r="DJ661" s="1605"/>
      <c r="DK661" s="1605"/>
      <c r="DL661" s="1605"/>
      <c r="DM661" s="1605"/>
      <c r="DN661" s="1605"/>
      <c r="DO661" s="1605"/>
      <c r="DP661" s="1605"/>
      <c r="DQ661" s="1605"/>
      <c r="DR661" s="1605"/>
      <c r="DS661" s="1605"/>
      <c r="DT661" s="1605"/>
      <c r="DU661" s="1605"/>
      <c r="DV661" s="1605"/>
      <c r="DW661" s="1605"/>
      <c r="DX661" s="1605"/>
      <c r="DY661" s="1605"/>
      <c r="DZ661" s="1605"/>
      <c r="EA661" s="1605"/>
      <c r="EB661" s="1605"/>
      <c r="EC661" s="1605"/>
      <c r="ED661" s="1605"/>
      <c r="EE661" s="1605"/>
      <c r="EF661" s="1605"/>
      <c r="EG661" s="1605"/>
      <c r="EH661" s="1605"/>
      <c r="EI661" s="1605"/>
      <c r="EJ661" s="1605"/>
      <c r="EK661" s="1605"/>
      <c r="EL661" s="1605"/>
      <c r="EM661" s="1605"/>
      <c r="EN661" s="1605"/>
      <c r="EO661" s="1605"/>
      <c r="EP661" s="1605"/>
      <c r="EQ661" s="1605"/>
      <c r="ER661" s="1605"/>
      <c r="ES661" s="1605"/>
      <c r="ET661" s="1605"/>
      <c r="EU661" s="1605"/>
      <c r="EV661" s="1605"/>
      <c r="EW661" s="1605"/>
      <c r="EX661" s="1605"/>
      <c r="EY661" s="1605"/>
      <c r="EZ661" s="1605"/>
      <c r="FA661" s="1605"/>
      <c r="FB661" s="1605"/>
      <c r="FC661" s="1605"/>
      <c r="FD661" s="1605"/>
      <c r="FE661" s="1605"/>
      <c r="FF661" s="1605"/>
      <c r="FG661" s="1605"/>
      <c r="FH661" s="1605"/>
      <c r="FI661" s="1605"/>
      <c r="FJ661" s="1605"/>
      <c r="FK661" s="1605"/>
      <c r="FL661" s="1605"/>
      <c r="FM661" s="1605"/>
      <c r="FN661" s="1605"/>
      <c r="FO661" s="1605"/>
      <c r="FP661" s="1605"/>
      <c r="FQ661" s="1605"/>
      <c r="FR661" s="1605"/>
      <c r="FS661" s="1605"/>
      <c r="FT661" s="1605"/>
      <c r="FU661" s="1605"/>
      <c r="FV661" s="1605"/>
      <c r="FW661" s="1605"/>
      <c r="FX661" s="1605"/>
      <c r="FY661" s="1605"/>
      <c r="FZ661" s="1605"/>
      <c r="GA661" s="1605"/>
      <c r="GB661" s="1605"/>
      <c r="GC661" s="1605"/>
      <c r="GD661" s="1605"/>
      <c r="GE661" s="1605"/>
      <c r="GF661" s="1605"/>
      <c r="GG661" s="1605"/>
      <c r="GH661" s="1605"/>
      <c r="GI661" s="1605"/>
      <c r="GJ661" s="1605"/>
      <c r="GK661" s="1605"/>
      <c r="GL661" s="1605"/>
      <c r="GM661" s="1605"/>
      <c r="GN661" s="1605"/>
      <c r="GO661" s="1605"/>
      <c r="GP661" s="1605"/>
      <c r="GQ661" s="1605"/>
      <c r="GR661" s="1605"/>
      <c r="GS661" s="1605"/>
      <c r="GT661" s="1605"/>
      <c r="GU661" s="1605"/>
      <c r="GV661" s="1605"/>
      <c r="GW661" s="1605"/>
      <c r="GX661" s="1605"/>
      <c r="GY661" s="1605"/>
      <c r="GZ661" s="1605"/>
      <c r="HA661" s="1605"/>
      <c r="HB661" s="1605"/>
      <c r="HC661" s="1605"/>
      <c r="HD661" s="1605"/>
      <c r="HE661" s="1605"/>
      <c r="HF661" s="1605"/>
      <c r="HG661" s="1605"/>
      <c r="HH661" s="1605"/>
      <c r="HI661" s="1605"/>
      <c r="HJ661" s="1605"/>
      <c r="HK661" s="1605"/>
      <c r="HL661" s="1605"/>
      <c r="HM661" s="1605"/>
      <c r="HN661" s="1605"/>
      <c r="HO661" s="1605"/>
      <c r="HP661" s="1605"/>
      <c r="HQ661" s="1605"/>
      <c r="HR661" s="1605"/>
      <c r="HS661" s="1605"/>
      <c r="HT661" s="1605"/>
      <c r="HU661" s="1605"/>
      <c r="HV661" s="1605"/>
      <c r="HW661" s="1605"/>
      <c r="HX661" s="1605"/>
      <c r="HY661" s="1605"/>
      <c r="HZ661" s="1605"/>
      <c r="IA661" s="1605"/>
      <c r="IB661" s="1605"/>
      <c r="IC661" s="1605"/>
      <c r="ID661" s="1605"/>
      <c r="IE661" s="1605"/>
      <c r="IF661" s="1605"/>
      <c r="IG661" s="1605"/>
      <c r="IH661" s="1605"/>
      <c r="II661" s="1605"/>
      <c r="IJ661" s="1605"/>
      <c r="IK661" s="1605"/>
      <c r="IL661" s="1605"/>
      <c r="IM661" s="1605"/>
      <c r="IN661" s="1605"/>
      <c r="IO661" s="1605"/>
      <c r="IP661" s="1605"/>
      <c r="IQ661" s="1605"/>
      <c r="IR661" s="1605"/>
      <c r="IS661" s="1605"/>
      <c r="IT661" s="1605"/>
      <c r="IU661" s="1605"/>
      <c r="IV661" s="1605"/>
      <c r="IW661" s="1605"/>
      <c r="IX661" s="1605"/>
      <c r="IY661" s="1605"/>
      <c r="IZ661" s="1605"/>
      <c r="JA661" s="1605"/>
      <c r="JB661" s="1605"/>
      <c r="JC661" s="1605"/>
      <c r="JD661" s="1605"/>
      <c r="JE661" s="1605"/>
      <c r="JF661" s="1605"/>
      <c r="JG661" s="1605"/>
      <c r="JH661" s="1605"/>
      <c r="JI661" s="1605"/>
      <c r="JJ661" s="1605"/>
      <c r="JK661" s="1605"/>
      <c r="JL661" s="1605"/>
      <c r="JM661" s="1605"/>
      <c r="JN661" s="1605"/>
      <c r="JO661" s="1605"/>
      <c r="JP661" s="1605"/>
      <c r="JQ661" s="1605"/>
      <c r="JR661" s="1605"/>
      <c r="JS661" s="1605"/>
      <c r="JT661" s="1605"/>
      <c r="JU661" s="1605"/>
      <c r="JV661" s="1605"/>
      <c r="JW661" s="1605"/>
      <c r="JX661" s="1605"/>
      <c r="JY661" s="1605"/>
      <c r="JZ661" s="1605"/>
      <c r="KA661" s="1605"/>
      <c r="KB661" s="1606"/>
    </row>
    <row r="662" spans="2:288" ht="15" customHeight="1" x14ac:dyDescent="0.25">
      <c r="B662" s="216" t="str">
        <f t="shared" si="54"/>
        <v>Desk 32</v>
      </c>
      <c r="C662" s="218" t="str">
        <v/>
      </c>
      <c r="D662" s="218" t="str">
        <v/>
      </c>
      <c r="E662" s="218" t="str">
        <v/>
      </c>
      <c r="F662" s="218" t="str">
        <v/>
      </c>
      <c r="G662" s="402" t="str">
        <v/>
      </c>
      <c r="H662" s="1605"/>
      <c r="I662" s="1605"/>
      <c r="J662" s="1605"/>
      <c r="K662" s="1605"/>
      <c r="L662" s="1605"/>
      <c r="M662" s="1605"/>
      <c r="N662" s="1605"/>
      <c r="O662" s="1605"/>
      <c r="P662" s="1605"/>
      <c r="Q662" s="1605"/>
      <c r="R662" s="1605"/>
      <c r="S662" s="1605"/>
      <c r="T662" s="1605"/>
      <c r="U662" s="1605"/>
      <c r="V662" s="1605"/>
      <c r="W662" s="1605"/>
      <c r="X662" s="1605"/>
      <c r="Y662" s="1605"/>
      <c r="Z662" s="1605"/>
      <c r="AA662" s="1605"/>
      <c r="AB662" s="1605"/>
      <c r="AC662" s="1605"/>
      <c r="AD662" s="1605"/>
      <c r="AE662" s="1605"/>
      <c r="AF662" s="1605"/>
      <c r="AG662" s="1605"/>
      <c r="AH662" s="1605"/>
      <c r="AI662" s="1605"/>
      <c r="AJ662" s="1605"/>
      <c r="AK662" s="1605"/>
      <c r="AL662" s="1605"/>
      <c r="AM662" s="1605"/>
      <c r="AN662" s="1605"/>
      <c r="AO662" s="1605"/>
      <c r="AP662" s="1605"/>
      <c r="AQ662" s="1605"/>
      <c r="AR662" s="1605"/>
      <c r="AS662" s="1605"/>
      <c r="AT662" s="1605"/>
      <c r="AU662" s="1605"/>
      <c r="AV662" s="1605"/>
      <c r="AW662" s="1605"/>
      <c r="AX662" s="1605"/>
      <c r="AY662" s="1605"/>
      <c r="AZ662" s="1605"/>
      <c r="BA662" s="1605"/>
      <c r="BB662" s="1605"/>
      <c r="BC662" s="1605"/>
      <c r="BD662" s="1605"/>
      <c r="BE662" s="1605"/>
      <c r="BF662" s="1605"/>
      <c r="BG662" s="1605"/>
      <c r="BH662" s="1605"/>
      <c r="BI662" s="1605"/>
      <c r="BJ662" s="1605"/>
      <c r="BK662" s="1605"/>
      <c r="BL662" s="1605"/>
      <c r="BM662" s="1605"/>
      <c r="BN662" s="1605"/>
      <c r="BO662" s="1605"/>
      <c r="BP662" s="1605"/>
      <c r="BQ662" s="1605"/>
      <c r="BR662" s="1605"/>
      <c r="BS662" s="1605"/>
      <c r="BT662" s="1605"/>
      <c r="BU662" s="1605"/>
      <c r="BV662" s="1605"/>
      <c r="BW662" s="1605"/>
      <c r="BX662" s="1605"/>
      <c r="BY662" s="1605"/>
      <c r="BZ662" s="1605"/>
      <c r="CA662" s="1605"/>
      <c r="CB662" s="1605"/>
      <c r="CC662" s="1605"/>
      <c r="CD662" s="1605"/>
      <c r="CE662" s="1605"/>
      <c r="CF662" s="1605"/>
      <c r="CG662" s="1605"/>
      <c r="CH662" s="1605"/>
      <c r="CI662" s="1605"/>
      <c r="CJ662" s="1605"/>
      <c r="CK662" s="1605"/>
      <c r="CL662" s="1605"/>
      <c r="CM662" s="1605"/>
      <c r="CN662" s="1605"/>
      <c r="CO662" s="1605"/>
      <c r="CP662" s="1605"/>
      <c r="CQ662" s="1605"/>
      <c r="CR662" s="1605"/>
      <c r="CS662" s="1605"/>
      <c r="CT662" s="1605"/>
      <c r="CU662" s="1605"/>
      <c r="CV662" s="1605"/>
      <c r="CW662" s="1605"/>
      <c r="CX662" s="1605"/>
      <c r="CY662" s="1605"/>
      <c r="CZ662" s="1605"/>
      <c r="DA662" s="1605"/>
      <c r="DB662" s="1605"/>
      <c r="DC662" s="1605"/>
      <c r="DD662" s="1605"/>
      <c r="DE662" s="1605"/>
      <c r="DF662" s="1605"/>
      <c r="DG662" s="1605"/>
      <c r="DH662" s="1605"/>
      <c r="DI662" s="1605"/>
      <c r="DJ662" s="1605"/>
      <c r="DK662" s="1605"/>
      <c r="DL662" s="1605"/>
      <c r="DM662" s="1605"/>
      <c r="DN662" s="1605"/>
      <c r="DO662" s="1605"/>
      <c r="DP662" s="1605"/>
      <c r="DQ662" s="1605"/>
      <c r="DR662" s="1605"/>
      <c r="DS662" s="1605"/>
      <c r="DT662" s="1605"/>
      <c r="DU662" s="1605"/>
      <c r="DV662" s="1605"/>
      <c r="DW662" s="1605"/>
      <c r="DX662" s="1605"/>
      <c r="DY662" s="1605"/>
      <c r="DZ662" s="1605"/>
      <c r="EA662" s="1605"/>
      <c r="EB662" s="1605"/>
      <c r="EC662" s="1605"/>
      <c r="ED662" s="1605"/>
      <c r="EE662" s="1605"/>
      <c r="EF662" s="1605"/>
      <c r="EG662" s="1605"/>
      <c r="EH662" s="1605"/>
      <c r="EI662" s="1605"/>
      <c r="EJ662" s="1605"/>
      <c r="EK662" s="1605"/>
      <c r="EL662" s="1605"/>
      <c r="EM662" s="1605"/>
      <c r="EN662" s="1605"/>
      <c r="EO662" s="1605"/>
      <c r="EP662" s="1605"/>
      <c r="EQ662" s="1605"/>
      <c r="ER662" s="1605"/>
      <c r="ES662" s="1605"/>
      <c r="ET662" s="1605"/>
      <c r="EU662" s="1605"/>
      <c r="EV662" s="1605"/>
      <c r="EW662" s="1605"/>
      <c r="EX662" s="1605"/>
      <c r="EY662" s="1605"/>
      <c r="EZ662" s="1605"/>
      <c r="FA662" s="1605"/>
      <c r="FB662" s="1605"/>
      <c r="FC662" s="1605"/>
      <c r="FD662" s="1605"/>
      <c r="FE662" s="1605"/>
      <c r="FF662" s="1605"/>
      <c r="FG662" s="1605"/>
      <c r="FH662" s="1605"/>
      <c r="FI662" s="1605"/>
      <c r="FJ662" s="1605"/>
      <c r="FK662" s="1605"/>
      <c r="FL662" s="1605"/>
      <c r="FM662" s="1605"/>
      <c r="FN662" s="1605"/>
      <c r="FO662" s="1605"/>
      <c r="FP662" s="1605"/>
      <c r="FQ662" s="1605"/>
      <c r="FR662" s="1605"/>
      <c r="FS662" s="1605"/>
      <c r="FT662" s="1605"/>
      <c r="FU662" s="1605"/>
      <c r="FV662" s="1605"/>
      <c r="FW662" s="1605"/>
      <c r="FX662" s="1605"/>
      <c r="FY662" s="1605"/>
      <c r="FZ662" s="1605"/>
      <c r="GA662" s="1605"/>
      <c r="GB662" s="1605"/>
      <c r="GC662" s="1605"/>
      <c r="GD662" s="1605"/>
      <c r="GE662" s="1605"/>
      <c r="GF662" s="1605"/>
      <c r="GG662" s="1605"/>
      <c r="GH662" s="1605"/>
      <c r="GI662" s="1605"/>
      <c r="GJ662" s="1605"/>
      <c r="GK662" s="1605"/>
      <c r="GL662" s="1605"/>
      <c r="GM662" s="1605"/>
      <c r="GN662" s="1605"/>
      <c r="GO662" s="1605"/>
      <c r="GP662" s="1605"/>
      <c r="GQ662" s="1605"/>
      <c r="GR662" s="1605"/>
      <c r="GS662" s="1605"/>
      <c r="GT662" s="1605"/>
      <c r="GU662" s="1605"/>
      <c r="GV662" s="1605"/>
      <c r="GW662" s="1605"/>
      <c r="GX662" s="1605"/>
      <c r="GY662" s="1605"/>
      <c r="GZ662" s="1605"/>
      <c r="HA662" s="1605"/>
      <c r="HB662" s="1605"/>
      <c r="HC662" s="1605"/>
      <c r="HD662" s="1605"/>
      <c r="HE662" s="1605"/>
      <c r="HF662" s="1605"/>
      <c r="HG662" s="1605"/>
      <c r="HH662" s="1605"/>
      <c r="HI662" s="1605"/>
      <c r="HJ662" s="1605"/>
      <c r="HK662" s="1605"/>
      <c r="HL662" s="1605"/>
      <c r="HM662" s="1605"/>
      <c r="HN662" s="1605"/>
      <c r="HO662" s="1605"/>
      <c r="HP662" s="1605"/>
      <c r="HQ662" s="1605"/>
      <c r="HR662" s="1605"/>
      <c r="HS662" s="1605"/>
      <c r="HT662" s="1605"/>
      <c r="HU662" s="1605"/>
      <c r="HV662" s="1605"/>
      <c r="HW662" s="1605"/>
      <c r="HX662" s="1605"/>
      <c r="HY662" s="1605"/>
      <c r="HZ662" s="1605"/>
      <c r="IA662" s="1605"/>
      <c r="IB662" s="1605"/>
      <c r="IC662" s="1605"/>
      <c r="ID662" s="1605"/>
      <c r="IE662" s="1605"/>
      <c r="IF662" s="1605"/>
      <c r="IG662" s="1605"/>
      <c r="IH662" s="1605"/>
      <c r="II662" s="1605"/>
      <c r="IJ662" s="1605"/>
      <c r="IK662" s="1605"/>
      <c r="IL662" s="1605"/>
      <c r="IM662" s="1605"/>
      <c r="IN662" s="1605"/>
      <c r="IO662" s="1605"/>
      <c r="IP662" s="1605"/>
      <c r="IQ662" s="1605"/>
      <c r="IR662" s="1605"/>
      <c r="IS662" s="1605"/>
      <c r="IT662" s="1605"/>
      <c r="IU662" s="1605"/>
      <c r="IV662" s="1605"/>
      <c r="IW662" s="1605"/>
      <c r="IX662" s="1605"/>
      <c r="IY662" s="1605"/>
      <c r="IZ662" s="1605"/>
      <c r="JA662" s="1605"/>
      <c r="JB662" s="1605"/>
      <c r="JC662" s="1605"/>
      <c r="JD662" s="1605"/>
      <c r="JE662" s="1605"/>
      <c r="JF662" s="1605"/>
      <c r="JG662" s="1605"/>
      <c r="JH662" s="1605"/>
      <c r="JI662" s="1605"/>
      <c r="JJ662" s="1605"/>
      <c r="JK662" s="1605"/>
      <c r="JL662" s="1605"/>
      <c r="JM662" s="1605"/>
      <c r="JN662" s="1605"/>
      <c r="JO662" s="1605"/>
      <c r="JP662" s="1605"/>
      <c r="JQ662" s="1605"/>
      <c r="JR662" s="1605"/>
      <c r="JS662" s="1605"/>
      <c r="JT662" s="1605"/>
      <c r="JU662" s="1605"/>
      <c r="JV662" s="1605"/>
      <c r="JW662" s="1605"/>
      <c r="JX662" s="1605"/>
      <c r="JY662" s="1605"/>
      <c r="JZ662" s="1605"/>
      <c r="KA662" s="1605"/>
      <c r="KB662" s="1606"/>
    </row>
    <row r="663" spans="2:288" ht="15" customHeight="1" x14ac:dyDescent="0.25">
      <c r="B663" s="216" t="str">
        <f t="shared" ref="B663:B694" si="55">B43</f>
        <v>Desk 33</v>
      </c>
      <c r="C663" s="218" t="str">
        <v/>
      </c>
      <c r="D663" s="218" t="str">
        <v/>
      </c>
      <c r="E663" s="218" t="str">
        <v/>
      </c>
      <c r="F663" s="218" t="str">
        <v/>
      </c>
      <c r="G663" s="402" t="str">
        <v/>
      </c>
      <c r="H663" s="1605"/>
      <c r="I663" s="1605"/>
      <c r="J663" s="1605"/>
      <c r="K663" s="1605"/>
      <c r="L663" s="1605"/>
      <c r="M663" s="1605"/>
      <c r="N663" s="1605"/>
      <c r="O663" s="1605"/>
      <c r="P663" s="1605"/>
      <c r="Q663" s="1605"/>
      <c r="R663" s="1605"/>
      <c r="S663" s="1605"/>
      <c r="T663" s="1605"/>
      <c r="U663" s="1605"/>
      <c r="V663" s="1605"/>
      <c r="W663" s="1605"/>
      <c r="X663" s="1605"/>
      <c r="Y663" s="1605"/>
      <c r="Z663" s="1605"/>
      <c r="AA663" s="1605"/>
      <c r="AB663" s="1605"/>
      <c r="AC663" s="1605"/>
      <c r="AD663" s="1605"/>
      <c r="AE663" s="1605"/>
      <c r="AF663" s="1605"/>
      <c r="AG663" s="1605"/>
      <c r="AH663" s="1605"/>
      <c r="AI663" s="1605"/>
      <c r="AJ663" s="1605"/>
      <c r="AK663" s="1605"/>
      <c r="AL663" s="1605"/>
      <c r="AM663" s="1605"/>
      <c r="AN663" s="1605"/>
      <c r="AO663" s="1605"/>
      <c r="AP663" s="1605"/>
      <c r="AQ663" s="1605"/>
      <c r="AR663" s="1605"/>
      <c r="AS663" s="1605"/>
      <c r="AT663" s="1605"/>
      <c r="AU663" s="1605"/>
      <c r="AV663" s="1605"/>
      <c r="AW663" s="1605"/>
      <c r="AX663" s="1605"/>
      <c r="AY663" s="1605"/>
      <c r="AZ663" s="1605"/>
      <c r="BA663" s="1605"/>
      <c r="BB663" s="1605"/>
      <c r="BC663" s="1605"/>
      <c r="BD663" s="1605"/>
      <c r="BE663" s="1605"/>
      <c r="BF663" s="1605"/>
      <c r="BG663" s="1605"/>
      <c r="BH663" s="1605"/>
      <c r="BI663" s="1605"/>
      <c r="BJ663" s="1605"/>
      <c r="BK663" s="1605"/>
      <c r="BL663" s="1605"/>
      <c r="BM663" s="1605"/>
      <c r="BN663" s="1605"/>
      <c r="BO663" s="1605"/>
      <c r="BP663" s="1605"/>
      <c r="BQ663" s="1605"/>
      <c r="BR663" s="1605"/>
      <c r="BS663" s="1605"/>
      <c r="BT663" s="1605"/>
      <c r="BU663" s="1605"/>
      <c r="BV663" s="1605"/>
      <c r="BW663" s="1605"/>
      <c r="BX663" s="1605"/>
      <c r="BY663" s="1605"/>
      <c r="BZ663" s="1605"/>
      <c r="CA663" s="1605"/>
      <c r="CB663" s="1605"/>
      <c r="CC663" s="1605"/>
      <c r="CD663" s="1605"/>
      <c r="CE663" s="1605"/>
      <c r="CF663" s="1605"/>
      <c r="CG663" s="1605"/>
      <c r="CH663" s="1605"/>
      <c r="CI663" s="1605"/>
      <c r="CJ663" s="1605"/>
      <c r="CK663" s="1605"/>
      <c r="CL663" s="1605"/>
      <c r="CM663" s="1605"/>
      <c r="CN663" s="1605"/>
      <c r="CO663" s="1605"/>
      <c r="CP663" s="1605"/>
      <c r="CQ663" s="1605"/>
      <c r="CR663" s="1605"/>
      <c r="CS663" s="1605"/>
      <c r="CT663" s="1605"/>
      <c r="CU663" s="1605"/>
      <c r="CV663" s="1605"/>
      <c r="CW663" s="1605"/>
      <c r="CX663" s="1605"/>
      <c r="CY663" s="1605"/>
      <c r="CZ663" s="1605"/>
      <c r="DA663" s="1605"/>
      <c r="DB663" s="1605"/>
      <c r="DC663" s="1605"/>
      <c r="DD663" s="1605"/>
      <c r="DE663" s="1605"/>
      <c r="DF663" s="1605"/>
      <c r="DG663" s="1605"/>
      <c r="DH663" s="1605"/>
      <c r="DI663" s="1605"/>
      <c r="DJ663" s="1605"/>
      <c r="DK663" s="1605"/>
      <c r="DL663" s="1605"/>
      <c r="DM663" s="1605"/>
      <c r="DN663" s="1605"/>
      <c r="DO663" s="1605"/>
      <c r="DP663" s="1605"/>
      <c r="DQ663" s="1605"/>
      <c r="DR663" s="1605"/>
      <c r="DS663" s="1605"/>
      <c r="DT663" s="1605"/>
      <c r="DU663" s="1605"/>
      <c r="DV663" s="1605"/>
      <c r="DW663" s="1605"/>
      <c r="DX663" s="1605"/>
      <c r="DY663" s="1605"/>
      <c r="DZ663" s="1605"/>
      <c r="EA663" s="1605"/>
      <c r="EB663" s="1605"/>
      <c r="EC663" s="1605"/>
      <c r="ED663" s="1605"/>
      <c r="EE663" s="1605"/>
      <c r="EF663" s="1605"/>
      <c r="EG663" s="1605"/>
      <c r="EH663" s="1605"/>
      <c r="EI663" s="1605"/>
      <c r="EJ663" s="1605"/>
      <c r="EK663" s="1605"/>
      <c r="EL663" s="1605"/>
      <c r="EM663" s="1605"/>
      <c r="EN663" s="1605"/>
      <c r="EO663" s="1605"/>
      <c r="EP663" s="1605"/>
      <c r="EQ663" s="1605"/>
      <c r="ER663" s="1605"/>
      <c r="ES663" s="1605"/>
      <c r="ET663" s="1605"/>
      <c r="EU663" s="1605"/>
      <c r="EV663" s="1605"/>
      <c r="EW663" s="1605"/>
      <c r="EX663" s="1605"/>
      <c r="EY663" s="1605"/>
      <c r="EZ663" s="1605"/>
      <c r="FA663" s="1605"/>
      <c r="FB663" s="1605"/>
      <c r="FC663" s="1605"/>
      <c r="FD663" s="1605"/>
      <c r="FE663" s="1605"/>
      <c r="FF663" s="1605"/>
      <c r="FG663" s="1605"/>
      <c r="FH663" s="1605"/>
      <c r="FI663" s="1605"/>
      <c r="FJ663" s="1605"/>
      <c r="FK663" s="1605"/>
      <c r="FL663" s="1605"/>
      <c r="FM663" s="1605"/>
      <c r="FN663" s="1605"/>
      <c r="FO663" s="1605"/>
      <c r="FP663" s="1605"/>
      <c r="FQ663" s="1605"/>
      <c r="FR663" s="1605"/>
      <c r="FS663" s="1605"/>
      <c r="FT663" s="1605"/>
      <c r="FU663" s="1605"/>
      <c r="FV663" s="1605"/>
      <c r="FW663" s="1605"/>
      <c r="FX663" s="1605"/>
      <c r="FY663" s="1605"/>
      <c r="FZ663" s="1605"/>
      <c r="GA663" s="1605"/>
      <c r="GB663" s="1605"/>
      <c r="GC663" s="1605"/>
      <c r="GD663" s="1605"/>
      <c r="GE663" s="1605"/>
      <c r="GF663" s="1605"/>
      <c r="GG663" s="1605"/>
      <c r="GH663" s="1605"/>
      <c r="GI663" s="1605"/>
      <c r="GJ663" s="1605"/>
      <c r="GK663" s="1605"/>
      <c r="GL663" s="1605"/>
      <c r="GM663" s="1605"/>
      <c r="GN663" s="1605"/>
      <c r="GO663" s="1605"/>
      <c r="GP663" s="1605"/>
      <c r="GQ663" s="1605"/>
      <c r="GR663" s="1605"/>
      <c r="GS663" s="1605"/>
      <c r="GT663" s="1605"/>
      <c r="GU663" s="1605"/>
      <c r="GV663" s="1605"/>
      <c r="GW663" s="1605"/>
      <c r="GX663" s="1605"/>
      <c r="GY663" s="1605"/>
      <c r="GZ663" s="1605"/>
      <c r="HA663" s="1605"/>
      <c r="HB663" s="1605"/>
      <c r="HC663" s="1605"/>
      <c r="HD663" s="1605"/>
      <c r="HE663" s="1605"/>
      <c r="HF663" s="1605"/>
      <c r="HG663" s="1605"/>
      <c r="HH663" s="1605"/>
      <c r="HI663" s="1605"/>
      <c r="HJ663" s="1605"/>
      <c r="HK663" s="1605"/>
      <c r="HL663" s="1605"/>
      <c r="HM663" s="1605"/>
      <c r="HN663" s="1605"/>
      <c r="HO663" s="1605"/>
      <c r="HP663" s="1605"/>
      <c r="HQ663" s="1605"/>
      <c r="HR663" s="1605"/>
      <c r="HS663" s="1605"/>
      <c r="HT663" s="1605"/>
      <c r="HU663" s="1605"/>
      <c r="HV663" s="1605"/>
      <c r="HW663" s="1605"/>
      <c r="HX663" s="1605"/>
      <c r="HY663" s="1605"/>
      <c r="HZ663" s="1605"/>
      <c r="IA663" s="1605"/>
      <c r="IB663" s="1605"/>
      <c r="IC663" s="1605"/>
      <c r="ID663" s="1605"/>
      <c r="IE663" s="1605"/>
      <c r="IF663" s="1605"/>
      <c r="IG663" s="1605"/>
      <c r="IH663" s="1605"/>
      <c r="II663" s="1605"/>
      <c r="IJ663" s="1605"/>
      <c r="IK663" s="1605"/>
      <c r="IL663" s="1605"/>
      <c r="IM663" s="1605"/>
      <c r="IN663" s="1605"/>
      <c r="IO663" s="1605"/>
      <c r="IP663" s="1605"/>
      <c r="IQ663" s="1605"/>
      <c r="IR663" s="1605"/>
      <c r="IS663" s="1605"/>
      <c r="IT663" s="1605"/>
      <c r="IU663" s="1605"/>
      <c r="IV663" s="1605"/>
      <c r="IW663" s="1605"/>
      <c r="IX663" s="1605"/>
      <c r="IY663" s="1605"/>
      <c r="IZ663" s="1605"/>
      <c r="JA663" s="1605"/>
      <c r="JB663" s="1605"/>
      <c r="JC663" s="1605"/>
      <c r="JD663" s="1605"/>
      <c r="JE663" s="1605"/>
      <c r="JF663" s="1605"/>
      <c r="JG663" s="1605"/>
      <c r="JH663" s="1605"/>
      <c r="JI663" s="1605"/>
      <c r="JJ663" s="1605"/>
      <c r="JK663" s="1605"/>
      <c r="JL663" s="1605"/>
      <c r="JM663" s="1605"/>
      <c r="JN663" s="1605"/>
      <c r="JO663" s="1605"/>
      <c r="JP663" s="1605"/>
      <c r="JQ663" s="1605"/>
      <c r="JR663" s="1605"/>
      <c r="JS663" s="1605"/>
      <c r="JT663" s="1605"/>
      <c r="JU663" s="1605"/>
      <c r="JV663" s="1605"/>
      <c r="JW663" s="1605"/>
      <c r="JX663" s="1605"/>
      <c r="JY663" s="1605"/>
      <c r="JZ663" s="1605"/>
      <c r="KA663" s="1605"/>
      <c r="KB663" s="1606"/>
    </row>
    <row r="664" spans="2:288" ht="15" customHeight="1" x14ac:dyDescent="0.25">
      <c r="B664" s="216" t="str">
        <f t="shared" si="55"/>
        <v>Desk 34</v>
      </c>
      <c r="C664" s="218" t="str">
        <v/>
      </c>
      <c r="D664" s="218" t="str">
        <v/>
      </c>
      <c r="E664" s="218" t="str">
        <v/>
      </c>
      <c r="F664" s="218" t="str">
        <v/>
      </c>
      <c r="G664" s="402" t="str">
        <v/>
      </c>
      <c r="H664" s="1605"/>
      <c r="I664" s="1605"/>
      <c r="J664" s="1605"/>
      <c r="K664" s="1605"/>
      <c r="L664" s="1605"/>
      <c r="M664" s="1605"/>
      <c r="N664" s="1605"/>
      <c r="O664" s="1605"/>
      <c r="P664" s="1605"/>
      <c r="Q664" s="1605"/>
      <c r="R664" s="1605"/>
      <c r="S664" s="1605"/>
      <c r="T664" s="1605"/>
      <c r="U664" s="1605"/>
      <c r="V664" s="1605"/>
      <c r="W664" s="1605"/>
      <c r="X664" s="1605"/>
      <c r="Y664" s="1605"/>
      <c r="Z664" s="1605"/>
      <c r="AA664" s="1605"/>
      <c r="AB664" s="1605"/>
      <c r="AC664" s="1605"/>
      <c r="AD664" s="1605"/>
      <c r="AE664" s="1605"/>
      <c r="AF664" s="1605"/>
      <c r="AG664" s="1605"/>
      <c r="AH664" s="1605"/>
      <c r="AI664" s="1605"/>
      <c r="AJ664" s="1605"/>
      <c r="AK664" s="1605"/>
      <c r="AL664" s="1605"/>
      <c r="AM664" s="1605"/>
      <c r="AN664" s="1605"/>
      <c r="AO664" s="1605"/>
      <c r="AP664" s="1605"/>
      <c r="AQ664" s="1605"/>
      <c r="AR664" s="1605"/>
      <c r="AS664" s="1605"/>
      <c r="AT664" s="1605"/>
      <c r="AU664" s="1605"/>
      <c r="AV664" s="1605"/>
      <c r="AW664" s="1605"/>
      <c r="AX664" s="1605"/>
      <c r="AY664" s="1605"/>
      <c r="AZ664" s="1605"/>
      <c r="BA664" s="1605"/>
      <c r="BB664" s="1605"/>
      <c r="BC664" s="1605"/>
      <c r="BD664" s="1605"/>
      <c r="BE664" s="1605"/>
      <c r="BF664" s="1605"/>
      <c r="BG664" s="1605"/>
      <c r="BH664" s="1605"/>
      <c r="BI664" s="1605"/>
      <c r="BJ664" s="1605"/>
      <c r="BK664" s="1605"/>
      <c r="BL664" s="1605"/>
      <c r="BM664" s="1605"/>
      <c r="BN664" s="1605"/>
      <c r="BO664" s="1605"/>
      <c r="BP664" s="1605"/>
      <c r="BQ664" s="1605"/>
      <c r="BR664" s="1605"/>
      <c r="BS664" s="1605"/>
      <c r="BT664" s="1605"/>
      <c r="BU664" s="1605"/>
      <c r="BV664" s="1605"/>
      <c r="BW664" s="1605"/>
      <c r="BX664" s="1605"/>
      <c r="BY664" s="1605"/>
      <c r="BZ664" s="1605"/>
      <c r="CA664" s="1605"/>
      <c r="CB664" s="1605"/>
      <c r="CC664" s="1605"/>
      <c r="CD664" s="1605"/>
      <c r="CE664" s="1605"/>
      <c r="CF664" s="1605"/>
      <c r="CG664" s="1605"/>
      <c r="CH664" s="1605"/>
      <c r="CI664" s="1605"/>
      <c r="CJ664" s="1605"/>
      <c r="CK664" s="1605"/>
      <c r="CL664" s="1605"/>
      <c r="CM664" s="1605"/>
      <c r="CN664" s="1605"/>
      <c r="CO664" s="1605"/>
      <c r="CP664" s="1605"/>
      <c r="CQ664" s="1605"/>
      <c r="CR664" s="1605"/>
      <c r="CS664" s="1605"/>
      <c r="CT664" s="1605"/>
      <c r="CU664" s="1605"/>
      <c r="CV664" s="1605"/>
      <c r="CW664" s="1605"/>
      <c r="CX664" s="1605"/>
      <c r="CY664" s="1605"/>
      <c r="CZ664" s="1605"/>
      <c r="DA664" s="1605"/>
      <c r="DB664" s="1605"/>
      <c r="DC664" s="1605"/>
      <c r="DD664" s="1605"/>
      <c r="DE664" s="1605"/>
      <c r="DF664" s="1605"/>
      <c r="DG664" s="1605"/>
      <c r="DH664" s="1605"/>
      <c r="DI664" s="1605"/>
      <c r="DJ664" s="1605"/>
      <c r="DK664" s="1605"/>
      <c r="DL664" s="1605"/>
      <c r="DM664" s="1605"/>
      <c r="DN664" s="1605"/>
      <c r="DO664" s="1605"/>
      <c r="DP664" s="1605"/>
      <c r="DQ664" s="1605"/>
      <c r="DR664" s="1605"/>
      <c r="DS664" s="1605"/>
      <c r="DT664" s="1605"/>
      <c r="DU664" s="1605"/>
      <c r="DV664" s="1605"/>
      <c r="DW664" s="1605"/>
      <c r="DX664" s="1605"/>
      <c r="DY664" s="1605"/>
      <c r="DZ664" s="1605"/>
      <c r="EA664" s="1605"/>
      <c r="EB664" s="1605"/>
      <c r="EC664" s="1605"/>
      <c r="ED664" s="1605"/>
      <c r="EE664" s="1605"/>
      <c r="EF664" s="1605"/>
      <c r="EG664" s="1605"/>
      <c r="EH664" s="1605"/>
      <c r="EI664" s="1605"/>
      <c r="EJ664" s="1605"/>
      <c r="EK664" s="1605"/>
      <c r="EL664" s="1605"/>
      <c r="EM664" s="1605"/>
      <c r="EN664" s="1605"/>
      <c r="EO664" s="1605"/>
      <c r="EP664" s="1605"/>
      <c r="EQ664" s="1605"/>
      <c r="ER664" s="1605"/>
      <c r="ES664" s="1605"/>
      <c r="ET664" s="1605"/>
      <c r="EU664" s="1605"/>
      <c r="EV664" s="1605"/>
      <c r="EW664" s="1605"/>
      <c r="EX664" s="1605"/>
      <c r="EY664" s="1605"/>
      <c r="EZ664" s="1605"/>
      <c r="FA664" s="1605"/>
      <c r="FB664" s="1605"/>
      <c r="FC664" s="1605"/>
      <c r="FD664" s="1605"/>
      <c r="FE664" s="1605"/>
      <c r="FF664" s="1605"/>
      <c r="FG664" s="1605"/>
      <c r="FH664" s="1605"/>
      <c r="FI664" s="1605"/>
      <c r="FJ664" s="1605"/>
      <c r="FK664" s="1605"/>
      <c r="FL664" s="1605"/>
      <c r="FM664" s="1605"/>
      <c r="FN664" s="1605"/>
      <c r="FO664" s="1605"/>
      <c r="FP664" s="1605"/>
      <c r="FQ664" s="1605"/>
      <c r="FR664" s="1605"/>
      <c r="FS664" s="1605"/>
      <c r="FT664" s="1605"/>
      <c r="FU664" s="1605"/>
      <c r="FV664" s="1605"/>
      <c r="FW664" s="1605"/>
      <c r="FX664" s="1605"/>
      <c r="FY664" s="1605"/>
      <c r="FZ664" s="1605"/>
      <c r="GA664" s="1605"/>
      <c r="GB664" s="1605"/>
      <c r="GC664" s="1605"/>
      <c r="GD664" s="1605"/>
      <c r="GE664" s="1605"/>
      <c r="GF664" s="1605"/>
      <c r="GG664" s="1605"/>
      <c r="GH664" s="1605"/>
      <c r="GI664" s="1605"/>
      <c r="GJ664" s="1605"/>
      <c r="GK664" s="1605"/>
      <c r="GL664" s="1605"/>
      <c r="GM664" s="1605"/>
      <c r="GN664" s="1605"/>
      <c r="GO664" s="1605"/>
      <c r="GP664" s="1605"/>
      <c r="GQ664" s="1605"/>
      <c r="GR664" s="1605"/>
      <c r="GS664" s="1605"/>
      <c r="GT664" s="1605"/>
      <c r="GU664" s="1605"/>
      <c r="GV664" s="1605"/>
      <c r="GW664" s="1605"/>
      <c r="GX664" s="1605"/>
      <c r="GY664" s="1605"/>
      <c r="GZ664" s="1605"/>
      <c r="HA664" s="1605"/>
      <c r="HB664" s="1605"/>
      <c r="HC664" s="1605"/>
      <c r="HD664" s="1605"/>
      <c r="HE664" s="1605"/>
      <c r="HF664" s="1605"/>
      <c r="HG664" s="1605"/>
      <c r="HH664" s="1605"/>
      <c r="HI664" s="1605"/>
      <c r="HJ664" s="1605"/>
      <c r="HK664" s="1605"/>
      <c r="HL664" s="1605"/>
      <c r="HM664" s="1605"/>
      <c r="HN664" s="1605"/>
      <c r="HO664" s="1605"/>
      <c r="HP664" s="1605"/>
      <c r="HQ664" s="1605"/>
      <c r="HR664" s="1605"/>
      <c r="HS664" s="1605"/>
      <c r="HT664" s="1605"/>
      <c r="HU664" s="1605"/>
      <c r="HV664" s="1605"/>
      <c r="HW664" s="1605"/>
      <c r="HX664" s="1605"/>
      <c r="HY664" s="1605"/>
      <c r="HZ664" s="1605"/>
      <c r="IA664" s="1605"/>
      <c r="IB664" s="1605"/>
      <c r="IC664" s="1605"/>
      <c r="ID664" s="1605"/>
      <c r="IE664" s="1605"/>
      <c r="IF664" s="1605"/>
      <c r="IG664" s="1605"/>
      <c r="IH664" s="1605"/>
      <c r="II664" s="1605"/>
      <c r="IJ664" s="1605"/>
      <c r="IK664" s="1605"/>
      <c r="IL664" s="1605"/>
      <c r="IM664" s="1605"/>
      <c r="IN664" s="1605"/>
      <c r="IO664" s="1605"/>
      <c r="IP664" s="1605"/>
      <c r="IQ664" s="1605"/>
      <c r="IR664" s="1605"/>
      <c r="IS664" s="1605"/>
      <c r="IT664" s="1605"/>
      <c r="IU664" s="1605"/>
      <c r="IV664" s="1605"/>
      <c r="IW664" s="1605"/>
      <c r="IX664" s="1605"/>
      <c r="IY664" s="1605"/>
      <c r="IZ664" s="1605"/>
      <c r="JA664" s="1605"/>
      <c r="JB664" s="1605"/>
      <c r="JC664" s="1605"/>
      <c r="JD664" s="1605"/>
      <c r="JE664" s="1605"/>
      <c r="JF664" s="1605"/>
      <c r="JG664" s="1605"/>
      <c r="JH664" s="1605"/>
      <c r="JI664" s="1605"/>
      <c r="JJ664" s="1605"/>
      <c r="JK664" s="1605"/>
      <c r="JL664" s="1605"/>
      <c r="JM664" s="1605"/>
      <c r="JN664" s="1605"/>
      <c r="JO664" s="1605"/>
      <c r="JP664" s="1605"/>
      <c r="JQ664" s="1605"/>
      <c r="JR664" s="1605"/>
      <c r="JS664" s="1605"/>
      <c r="JT664" s="1605"/>
      <c r="JU664" s="1605"/>
      <c r="JV664" s="1605"/>
      <c r="JW664" s="1605"/>
      <c r="JX664" s="1605"/>
      <c r="JY664" s="1605"/>
      <c r="JZ664" s="1605"/>
      <c r="KA664" s="1605"/>
      <c r="KB664" s="1606"/>
    </row>
    <row r="665" spans="2:288" ht="15" customHeight="1" x14ac:dyDescent="0.25">
      <c r="B665" s="216" t="str">
        <f t="shared" si="55"/>
        <v>Desk 35</v>
      </c>
      <c r="C665" s="218" t="str">
        <v/>
      </c>
      <c r="D665" s="218" t="str">
        <v/>
      </c>
      <c r="E665" s="218" t="str">
        <v/>
      </c>
      <c r="F665" s="218" t="str">
        <v/>
      </c>
      <c r="G665" s="402" t="str">
        <v/>
      </c>
      <c r="H665" s="1605"/>
      <c r="I665" s="1605"/>
      <c r="J665" s="1605"/>
      <c r="K665" s="1605"/>
      <c r="L665" s="1605"/>
      <c r="M665" s="1605"/>
      <c r="N665" s="1605"/>
      <c r="O665" s="1605"/>
      <c r="P665" s="1605"/>
      <c r="Q665" s="1605"/>
      <c r="R665" s="1605"/>
      <c r="S665" s="1605"/>
      <c r="T665" s="1605"/>
      <c r="U665" s="1605"/>
      <c r="V665" s="1605"/>
      <c r="W665" s="1605"/>
      <c r="X665" s="1605"/>
      <c r="Y665" s="1605"/>
      <c r="Z665" s="1605"/>
      <c r="AA665" s="1605"/>
      <c r="AB665" s="1605"/>
      <c r="AC665" s="1605"/>
      <c r="AD665" s="1605"/>
      <c r="AE665" s="1605"/>
      <c r="AF665" s="1605"/>
      <c r="AG665" s="1605"/>
      <c r="AH665" s="1605"/>
      <c r="AI665" s="1605"/>
      <c r="AJ665" s="1605"/>
      <c r="AK665" s="1605"/>
      <c r="AL665" s="1605"/>
      <c r="AM665" s="1605"/>
      <c r="AN665" s="1605"/>
      <c r="AO665" s="1605"/>
      <c r="AP665" s="1605"/>
      <c r="AQ665" s="1605"/>
      <c r="AR665" s="1605"/>
      <c r="AS665" s="1605"/>
      <c r="AT665" s="1605"/>
      <c r="AU665" s="1605"/>
      <c r="AV665" s="1605"/>
      <c r="AW665" s="1605"/>
      <c r="AX665" s="1605"/>
      <c r="AY665" s="1605"/>
      <c r="AZ665" s="1605"/>
      <c r="BA665" s="1605"/>
      <c r="BB665" s="1605"/>
      <c r="BC665" s="1605"/>
      <c r="BD665" s="1605"/>
      <c r="BE665" s="1605"/>
      <c r="BF665" s="1605"/>
      <c r="BG665" s="1605"/>
      <c r="BH665" s="1605"/>
      <c r="BI665" s="1605"/>
      <c r="BJ665" s="1605"/>
      <c r="BK665" s="1605"/>
      <c r="BL665" s="1605"/>
      <c r="BM665" s="1605"/>
      <c r="BN665" s="1605"/>
      <c r="BO665" s="1605"/>
      <c r="BP665" s="1605"/>
      <c r="BQ665" s="1605"/>
      <c r="BR665" s="1605"/>
      <c r="BS665" s="1605"/>
      <c r="BT665" s="1605"/>
      <c r="BU665" s="1605"/>
      <c r="BV665" s="1605"/>
      <c r="BW665" s="1605"/>
      <c r="BX665" s="1605"/>
      <c r="BY665" s="1605"/>
      <c r="BZ665" s="1605"/>
      <c r="CA665" s="1605"/>
      <c r="CB665" s="1605"/>
      <c r="CC665" s="1605"/>
      <c r="CD665" s="1605"/>
      <c r="CE665" s="1605"/>
      <c r="CF665" s="1605"/>
      <c r="CG665" s="1605"/>
      <c r="CH665" s="1605"/>
      <c r="CI665" s="1605"/>
      <c r="CJ665" s="1605"/>
      <c r="CK665" s="1605"/>
      <c r="CL665" s="1605"/>
      <c r="CM665" s="1605"/>
      <c r="CN665" s="1605"/>
      <c r="CO665" s="1605"/>
      <c r="CP665" s="1605"/>
      <c r="CQ665" s="1605"/>
      <c r="CR665" s="1605"/>
      <c r="CS665" s="1605"/>
      <c r="CT665" s="1605"/>
      <c r="CU665" s="1605"/>
      <c r="CV665" s="1605"/>
      <c r="CW665" s="1605"/>
      <c r="CX665" s="1605"/>
      <c r="CY665" s="1605"/>
      <c r="CZ665" s="1605"/>
      <c r="DA665" s="1605"/>
      <c r="DB665" s="1605"/>
      <c r="DC665" s="1605"/>
      <c r="DD665" s="1605"/>
      <c r="DE665" s="1605"/>
      <c r="DF665" s="1605"/>
      <c r="DG665" s="1605"/>
      <c r="DH665" s="1605"/>
      <c r="DI665" s="1605"/>
      <c r="DJ665" s="1605"/>
      <c r="DK665" s="1605"/>
      <c r="DL665" s="1605"/>
      <c r="DM665" s="1605"/>
      <c r="DN665" s="1605"/>
      <c r="DO665" s="1605"/>
      <c r="DP665" s="1605"/>
      <c r="DQ665" s="1605"/>
      <c r="DR665" s="1605"/>
      <c r="DS665" s="1605"/>
      <c r="DT665" s="1605"/>
      <c r="DU665" s="1605"/>
      <c r="DV665" s="1605"/>
      <c r="DW665" s="1605"/>
      <c r="DX665" s="1605"/>
      <c r="DY665" s="1605"/>
      <c r="DZ665" s="1605"/>
      <c r="EA665" s="1605"/>
      <c r="EB665" s="1605"/>
      <c r="EC665" s="1605"/>
      <c r="ED665" s="1605"/>
      <c r="EE665" s="1605"/>
      <c r="EF665" s="1605"/>
      <c r="EG665" s="1605"/>
      <c r="EH665" s="1605"/>
      <c r="EI665" s="1605"/>
      <c r="EJ665" s="1605"/>
      <c r="EK665" s="1605"/>
      <c r="EL665" s="1605"/>
      <c r="EM665" s="1605"/>
      <c r="EN665" s="1605"/>
      <c r="EO665" s="1605"/>
      <c r="EP665" s="1605"/>
      <c r="EQ665" s="1605"/>
      <c r="ER665" s="1605"/>
      <c r="ES665" s="1605"/>
      <c r="ET665" s="1605"/>
      <c r="EU665" s="1605"/>
      <c r="EV665" s="1605"/>
      <c r="EW665" s="1605"/>
      <c r="EX665" s="1605"/>
      <c r="EY665" s="1605"/>
      <c r="EZ665" s="1605"/>
      <c r="FA665" s="1605"/>
      <c r="FB665" s="1605"/>
      <c r="FC665" s="1605"/>
      <c r="FD665" s="1605"/>
      <c r="FE665" s="1605"/>
      <c r="FF665" s="1605"/>
      <c r="FG665" s="1605"/>
      <c r="FH665" s="1605"/>
      <c r="FI665" s="1605"/>
      <c r="FJ665" s="1605"/>
      <c r="FK665" s="1605"/>
      <c r="FL665" s="1605"/>
      <c r="FM665" s="1605"/>
      <c r="FN665" s="1605"/>
      <c r="FO665" s="1605"/>
      <c r="FP665" s="1605"/>
      <c r="FQ665" s="1605"/>
      <c r="FR665" s="1605"/>
      <c r="FS665" s="1605"/>
      <c r="FT665" s="1605"/>
      <c r="FU665" s="1605"/>
      <c r="FV665" s="1605"/>
      <c r="FW665" s="1605"/>
      <c r="FX665" s="1605"/>
      <c r="FY665" s="1605"/>
      <c r="FZ665" s="1605"/>
      <c r="GA665" s="1605"/>
      <c r="GB665" s="1605"/>
      <c r="GC665" s="1605"/>
      <c r="GD665" s="1605"/>
      <c r="GE665" s="1605"/>
      <c r="GF665" s="1605"/>
      <c r="GG665" s="1605"/>
      <c r="GH665" s="1605"/>
      <c r="GI665" s="1605"/>
      <c r="GJ665" s="1605"/>
      <c r="GK665" s="1605"/>
      <c r="GL665" s="1605"/>
      <c r="GM665" s="1605"/>
      <c r="GN665" s="1605"/>
      <c r="GO665" s="1605"/>
      <c r="GP665" s="1605"/>
      <c r="GQ665" s="1605"/>
      <c r="GR665" s="1605"/>
      <c r="GS665" s="1605"/>
      <c r="GT665" s="1605"/>
      <c r="GU665" s="1605"/>
      <c r="GV665" s="1605"/>
      <c r="GW665" s="1605"/>
      <c r="GX665" s="1605"/>
      <c r="GY665" s="1605"/>
      <c r="GZ665" s="1605"/>
      <c r="HA665" s="1605"/>
      <c r="HB665" s="1605"/>
      <c r="HC665" s="1605"/>
      <c r="HD665" s="1605"/>
      <c r="HE665" s="1605"/>
      <c r="HF665" s="1605"/>
      <c r="HG665" s="1605"/>
      <c r="HH665" s="1605"/>
      <c r="HI665" s="1605"/>
      <c r="HJ665" s="1605"/>
      <c r="HK665" s="1605"/>
      <c r="HL665" s="1605"/>
      <c r="HM665" s="1605"/>
      <c r="HN665" s="1605"/>
      <c r="HO665" s="1605"/>
      <c r="HP665" s="1605"/>
      <c r="HQ665" s="1605"/>
      <c r="HR665" s="1605"/>
      <c r="HS665" s="1605"/>
      <c r="HT665" s="1605"/>
      <c r="HU665" s="1605"/>
      <c r="HV665" s="1605"/>
      <c r="HW665" s="1605"/>
      <c r="HX665" s="1605"/>
      <c r="HY665" s="1605"/>
      <c r="HZ665" s="1605"/>
      <c r="IA665" s="1605"/>
      <c r="IB665" s="1605"/>
      <c r="IC665" s="1605"/>
      <c r="ID665" s="1605"/>
      <c r="IE665" s="1605"/>
      <c r="IF665" s="1605"/>
      <c r="IG665" s="1605"/>
      <c r="IH665" s="1605"/>
      <c r="II665" s="1605"/>
      <c r="IJ665" s="1605"/>
      <c r="IK665" s="1605"/>
      <c r="IL665" s="1605"/>
      <c r="IM665" s="1605"/>
      <c r="IN665" s="1605"/>
      <c r="IO665" s="1605"/>
      <c r="IP665" s="1605"/>
      <c r="IQ665" s="1605"/>
      <c r="IR665" s="1605"/>
      <c r="IS665" s="1605"/>
      <c r="IT665" s="1605"/>
      <c r="IU665" s="1605"/>
      <c r="IV665" s="1605"/>
      <c r="IW665" s="1605"/>
      <c r="IX665" s="1605"/>
      <c r="IY665" s="1605"/>
      <c r="IZ665" s="1605"/>
      <c r="JA665" s="1605"/>
      <c r="JB665" s="1605"/>
      <c r="JC665" s="1605"/>
      <c r="JD665" s="1605"/>
      <c r="JE665" s="1605"/>
      <c r="JF665" s="1605"/>
      <c r="JG665" s="1605"/>
      <c r="JH665" s="1605"/>
      <c r="JI665" s="1605"/>
      <c r="JJ665" s="1605"/>
      <c r="JK665" s="1605"/>
      <c r="JL665" s="1605"/>
      <c r="JM665" s="1605"/>
      <c r="JN665" s="1605"/>
      <c r="JO665" s="1605"/>
      <c r="JP665" s="1605"/>
      <c r="JQ665" s="1605"/>
      <c r="JR665" s="1605"/>
      <c r="JS665" s="1605"/>
      <c r="JT665" s="1605"/>
      <c r="JU665" s="1605"/>
      <c r="JV665" s="1605"/>
      <c r="JW665" s="1605"/>
      <c r="JX665" s="1605"/>
      <c r="JY665" s="1605"/>
      <c r="JZ665" s="1605"/>
      <c r="KA665" s="1605"/>
      <c r="KB665" s="1606"/>
    </row>
    <row r="666" spans="2:288" ht="15" customHeight="1" x14ac:dyDescent="0.25">
      <c r="B666" s="216" t="str">
        <f t="shared" si="55"/>
        <v>Desk 36</v>
      </c>
      <c r="C666" s="218" t="str">
        <v/>
      </c>
      <c r="D666" s="218" t="str">
        <v/>
      </c>
      <c r="E666" s="218" t="str">
        <v/>
      </c>
      <c r="F666" s="218" t="str">
        <v/>
      </c>
      <c r="G666" s="402" t="str">
        <v/>
      </c>
      <c r="H666" s="1605"/>
      <c r="I666" s="1605"/>
      <c r="J666" s="1605"/>
      <c r="K666" s="1605"/>
      <c r="L666" s="1605"/>
      <c r="M666" s="1605"/>
      <c r="N666" s="1605"/>
      <c r="O666" s="1605"/>
      <c r="P666" s="1605"/>
      <c r="Q666" s="1605"/>
      <c r="R666" s="1605"/>
      <c r="S666" s="1605"/>
      <c r="T666" s="1605"/>
      <c r="U666" s="1605"/>
      <c r="V666" s="1605"/>
      <c r="W666" s="1605"/>
      <c r="X666" s="1605"/>
      <c r="Y666" s="1605"/>
      <c r="Z666" s="1605"/>
      <c r="AA666" s="1605"/>
      <c r="AB666" s="1605"/>
      <c r="AC666" s="1605"/>
      <c r="AD666" s="1605"/>
      <c r="AE666" s="1605"/>
      <c r="AF666" s="1605"/>
      <c r="AG666" s="1605"/>
      <c r="AH666" s="1605"/>
      <c r="AI666" s="1605"/>
      <c r="AJ666" s="1605"/>
      <c r="AK666" s="1605"/>
      <c r="AL666" s="1605"/>
      <c r="AM666" s="1605"/>
      <c r="AN666" s="1605"/>
      <c r="AO666" s="1605"/>
      <c r="AP666" s="1605"/>
      <c r="AQ666" s="1605"/>
      <c r="AR666" s="1605"/>
      <c r="AS666" s="1605"/>
      <c r="AT666" s="1605"/>
      <c r="AU666" s="1605"/>
      <c r="AV666" s="1605"/>
      <c r="AW666" s="1605"/>
      <c r="AX666" s="1605"/>
      <c r="AY666" s="1605"/>
      <c r="AZ666" s="1605"/>
      <c r="BA666" s="1605"/>
      <c r="BB666" s="1605"/>
      <c r="BC666" s="1605"/>
      <c r="BD666" s="1605"/>
      <c r="BE666" s="1605"/>
      <c r="BF666" s="1605"/>
      <c r="BG666" s="1605"/>
      <c r="BH666" s="1605"/>
      <c r="BI666" s="1605"/>
      <c r="BJ666" s="1605"/>
      <c r="BK666" s="1605"/>
      <c r="BL666" s="1605"/>
      <c r="BM666" s="1605"/>
      <c r="BN666" s="1605"/>
      <c r="BO666" s="1605"/>
      <c r="BP666" s="1605"/>
      <c r="BQ666" s="1605"/>
      <c r="BR666" s="1605"/>
      <c r="BS666" s="1605"/>
      <c r="BT666" s="1605"/>
      <c r="BU666" s="1605"/>
      <c r="BV666" s="1605"/>
      <c r="BW666" s="1605"/>
      <c r="BX666" s="1605"/>
      <c r="BY666" s="1605"/>
      <c r="BZ666" s="1605"/>
      <c r="CA666" s="1605"/>
      <c r="CB666" s="1605"/>
      <c r="CC666" s="1605"/>
      <c r="CD666" s="1605"/>
      <c r="CE666" s="1605"/>
      <c r="CF666" s="1605"/>
      <c r="CG666" s="1605"/>
      <c r="CH666" s="1605"/>
      <c r="CI666" s="1605"/>
      <c r="CJ666" s="1605"/>
      <c r="CK666" s="1605"/>
      <c r="CL666" s="1605"/>
      <c r="CM666" s="1605"/>
      <c r="CN666" s="1605"/>
      <c r="CO666" s="1605"/>
      <c r="CP666" s="1605"/>
      <c r="CQ666" s="1605"/>
      <c r="CR666" s="1605"/>
      <c r="CS666" s="1605"/>
      <c r="CT666" s="1605"/>
      <c r="CU666" s="1605"/>
      <c r="CV666" s="1605"/>
      <c r="CW666" s="1605"/>
      <c r="CX666" s="1605"/>
      <c r="CY666" s="1605"/>
      <c r="CZ666" s="1605"/>
      <c r="DA666" s="1605"/>
      <c r="DB666" s="1605"/>
      <c r="DC666" s="1605"/>
      <c r="DD666" s="1605"/>
      <c r="DE666" s="1605"/>
      <c r="DF666" s="1605"/>
      <c r="DG666" s="1605"/>
      <c r="DH666" s="1605"/>
      <c r="DI666" s="1605"/>
      <c r="DJ666" s="1605"/>
      <c r="DK666" s="1605"/>
      <c r="DL666" s="1605"/>
      <c r="DM666" s="1605"/>
      <c r="DN666" s="1605"/>
      <c r="DO666" s="1605"/>
      <c r="DP666" s="1605"/>
      <c r="DQ666" s="1605"/>
      <c r="DR666" s="1605"/>
      <c r="DS666" s="1605"/>
      <c r="DT666" s="1605"/>
      <c r="DU666" s="1605"/>
      <c r="DV666" s="1605"/>
      <c r="DW666" s="1605"/>
      <c r="DX666" s="1605"/>
      <c r="DY666" s="1605"/>
      <c r="DZ666" s="1605"/>
      <c r="EA666" s="1605"/>
      <c r="EB666" s="1605"/>
      <c r="EC666" s="1605"/>
      <c r="ED666" s="1605"/>
      <c r="EE666" s="1605"/>
      <c r="EF666" s="1605"/>
      <c r="EG666" s="1605"/>
      <c r="EH666" s="1605"/>
      <c r="EI666" s="1605"/>
      <c r="EJ666" s="1605"/>
      <c r="EK666" s="1605"/>
      <c r="EL666" s="1605"/>
      <c r="EM666" s="1605"/>
      <c r="EN666" s="1605"/>
      <c r="EO666" s="1605"/>
      <c r="EP666" s="1605"/>
      <c r="EQ666" s="1605"/>
      <c r="ER666" s="1605"/>
      <c r="ES666" s="1605"/>
      <c r="ET666" s="1605"/>
      <c r="EU666" s="1605"/>
      <c r="EV666" s="1605"/>
      <c r="EW666" s="1605"/>
      <c r="EX666" s="1605"/>
      <c r="EY666" s="1605"/>
      <c r="EZ666" s="1605"/>
      <c r="FA666" s="1605"/>
      <c r="FB666" s="1605"/>
      <c r="FC666" s="1605"/>
      <c r="FD666" s="1605"/>
      <c r="FE666" s="1605"/>
      <c r="FF666" s="1605"/>
      <c r="FG666" s="1605"/>
      <c r="FH666" s="1605"/>
      <c r="FI666" s="1605"/>
      <c r="FJ666" s="1605"/>
      <c r="FK666" s="1605"/>
      <c r="FL666" s="1605"/>
      <c r="FM666" s="1605"/>
      <c r="FN666" s="1605"/>
      <c r="FO666" s="1605"/>
      <c r="FP666" s="1605"/>
      <c r="FQ666" s="1605"/>
      <c r="FR666" s="1605"/>
      <c r="FS666" s="1605"/>
      <c r="FT666" s="1605"/>
      <c r="FU666" s="1605"/>
      <c r="FV666" s="1605"/>
      <c r="FW666" s="1605"/>
      <c r="FX666" s="1605"/>
      <c r="FY666" s="1605"/>
      <c r="FZ666" s="1605"/>
      <c r="GA666" s="1605"/>
      <c r="GB666" s="1605"/>
      <c r="GC666" s="1605"/>
      <c r="GD666" s="1605"/>
      <c r="GE666" s="1605"/>
      <c r="GF666" s="1605"/>
      <c r="GG666" s="1605"/>
      <c r="GH666" s="1605"/>
      <c r="GI666" s="1605"/>
      <c r="GJ666" s="1605"/>
      <c r="GK666" s="1605"/>
      <c r="GL666" s="1605"/>
      <c r="GM666" s="1605"/>
      <c r="GN666" s="1605"/>
      <c r="GO666" s="1605"/>
      <c r="GP666" s="1605"/>
      <c r="GQ666" s="1605"/>
      <c r="GR666" s="1605"/>
      <c r="GS666" s="1605"/>
      <c r="GT666" s="1605"/>
      <c r="GU666" s="1605"/>
      <c r="GV666" s="1605"/>
      <c r="GW666" s="1605"/>
      <c r="GX666" s="1605"/>
      <c r="GY666" s="1605"/>
      <c r="GZ666" s="1605"/>
      <c r="HA666" s="1605"/>
      <c r="HB666" s="1605"/>
      <c r="HC666" s="1605"/>
      <c r="HD666" s="1605"/>
      <c r="HE666" s="1605"/>
      <c r="HF666" s="1605"/>
      <c r="HG666" s="1605"/>
      <c r="HH666" s="1605"/>
      <c r="HI666" s="1605"/>
      <c r="HJ666" s="1605"/>
      <c r="HK666" s="1605"/>
      <c r="HL666" s="1605"/>
      <c r="HM666" s="1605"/>
      <c r="HN666" s="1605"/>
      <c r="HO666" s="1605"/>
      <c r="HP666" s="1605"/>
      <c r="HQ666" s="1605"/>
      <c r="HR666" s="1605"/>
      <c r="HS666" s="1605"/>
      <c r="HT666" s="1605"/>
      <c r="HU666" s="1605"/>
      <c r="HV666" s="1605"/>
      <c r="HW666" s="1605"/>
      <c r="HX666" s="1605"/>
      <c r="HY666" s="1605"/>
      <c r="HZ666" s="1605"/>
      <c r="IA666" s="1605"/>
      <c r="IB666" s="1605"/>
      <c r="IC666" s="1605"/>
      <c r="ID666" s="1605"/>
      <c r="IE666" s="1605"/>
      <c r="IF666" s="1605"/>
      <c r="IG666" s="1605"/>
      <c r="IH666" s="1605"/>
      <c r="II666" s="1605"/>
      <c r="IJ666" s="1605"/>
      <c r="IK666" s="1605"/>
      <c r="IL666" s="1605"/>
      <c r="IM666" s="1605"/>
      <c r="IN666" s="1605"/>
      <c r="IO666" s="1605"/>
      <c r="IP666" s="1605"/>
      <c r="IQ666" s="1605"/>
      <c r="IR666" s="1605"/>
      <c r="IS666" s="1605"/>
      <c r="IT666" s="1605"/>
      <c r="IU666" s="1605"/>
      <c r="IV666" s="1605"/>
      <c r="IW666" s="1605"/>
      <c r="IX666" s="1605"/>
      <c r="IY666" s="1605"/>
      <c r="IZ666" s="1605"/>
      <c r="JA666" s="1605"/>
      <c r="JB666" s="1605"/>
      <c r="JC666" s="1605"/>
      <c r="JD666" s="1605"/>
      <c r="JE666" s="1605"/>
      <c r="JF666" s="1605"/>
      <c r="JG666" s="1605"/>
      <c r="JH666" s="1605"/>
      <c r="JI666" s="1605"/>
      <c r="JJ666" s="1605"/>
      <c r="JK666" s="1605"/>
      <c r="JL666" s="1605"/>
      <c r="JM666" s="1605"/>
      <c r="JN666" s="1605"/>
      <c r="JO666" s="1605"/>
      <c r="JP666" s="1605"/>
      <c r="JQ666" s="1605"/>
      <c r="JR666" s="1605"/>
      <c r="JS666" s="1605"/>
      <c r="JT666" s="1605"/>
      <c r="JU666" s="1605"/>
      <c r="JV666" s="1605"/>
      <c r="JW666" s="1605"/>
      <c r="JX666" s="1605"/>
      <c r="JY666" s="1605"/>
      <c r="JZ666" s="1605"/>
      <c r="KA666" s="1605"/>
      <c r="KB666" s="1606"/>
    </row>
    <row r="667" spans="2:288" ht="15" customHeight="1" x14ac:dyDescent="0.25">
      <c r="B667" s="216" t="str">
        <f t="shared" si="55"/>
        <v>Desk 37</v>
      </c>
      <c r="C667" s="218" t="str">
        <v/>
      </c>
      <c r="D667" s="218" t="str">
        <v/>
      </c>
      <c r="E667" s="218" t="str">
        <v/>
      </c>
      <c r="F667" s="218" t="str">
        <v/>
      </c>
      <c r="G667" s="402" t="str">
        <v/>
      </c>
      <c r="H667" s="1605"/>
      <c r="I667" s="1605"/>
      <c r="J667" s="1605"/>
      <c r="K667" s="1605"/>
      <c r="L667" s="1605"/>
      <c r="M667" s="1605"/>
      <c r="N667" s="1605"/>
      <c r="O667" s="1605"/>
      <c r="P667" s="1605"/>
      <c r="Q667" s="1605"/>
      <c r="R667" s="1605"/>
      <c r="S667" s="1605"/>
      <c r="T667" s="1605"/>
      <c r="U667" s="1605"/>
      <c r="V667" s="1605"/>
      <c r="W667" s="1605"/>
      <c r="X667" s="1605"/>
      <c r="Y667" s="1605"/>
      <c r="Z667" s="1605"/>
      <c r="AA667" s="1605"/>
      <c r="AB667" s="1605"/>
      <c r="AC667" s="1605"/>
      <c r="AD667" s="1605"/>
      <c r="AE667" s="1605"/>
      <c r="AF667" s="1605"/>
      <c r="AG667" s="1605"/>
      <c r="AH667" s="1605"/>
      <c r="AI667" s="1605"/>
      <c r="AJ667" s="1605"/>
      <c r="AK667" s="1605"/>
      <c r="AL667" s="1605"/>
      <c r="AM667" s="1605"/>
      <c r="AN667" s="1605"/>
      <c r="AO667" s="1605"/>
      <c r="AP667" s="1605"/>
      <c r="AQ667" s="1605"/>
      <c r="AR667" s="1605"/>
      <c r="AS667" s="1605"/>
      <c r="AT667" s="1605"/>
      <c r="AU667" s="1605"/>
      <c r="AV667" s="1605"/>
      <c r="AW667" s="1605"/>
      <c r="AX667" s="1605"/>
      <c r="AY667" s="1605"/>
      <c r="AZ667" s="1605"/>
      <c r="BA667" s="1605"/>
      <c r="BB667" s="1605"/>
      <c r="BC667" s="1605"/>
      <c r="BD667" s="1605"/>
      <c r="BE667" s="1605"/>
      <c r="BF667" s="1605"/>
      <c r="BG667" s="1605"/>
      <c r="BH667" s="1605"/>
      <c r="BI667" s="1605"/>
      <c r="BJ667" s="1605"/>
      <c r="BK667" s="1605"/>
      <c r="BL667" s="1605"/>
      <c r="BM667" s="1605"/>
      <c r="BN667" s="1605"/>
      <c r="BO667" s="1605"/>
      <c r="BP667" s="1605"/>
      <c r="BQ667" s="1605"/>
      <c r="BR667" s="1605"/>
      <c r="BS667" s="1605"/>
      <c r="BT667" s="1605"/>
      <c r="BU667" s="1605"/>
      <c r="BV667" s="1605"/>
      <c r="BW667" s="1605"/>
      <c r="BX667" s="1605"/>
      <c r="BY667" s="1605"/>
      <c r="BZ667" s="1605"/>
      <c r="CA667" s="1605"/>
      <c r="CB667" s="1605"/>
      <c r="CC667" s="1605"/>
      <c r="CD667" s="1605"/>
      <c r="CE667" s="1605"/>
      <c r="CF667" s="1605"/>
      <c r="CG667" s="1605"/>
      <c r="CH667" s="1605"/>
      <c r="CI667" s="1605"/>
      <c r="CJ667" s="1605"/>
      <c r="CK667" s="1605"/>
      <c r="CL667" s="1605"/>
      <c r="CM667" s="1605"/>
      <c r="CN667" s="1605"/>
      <c r="CO667" s="1605"/>
      <c r="CP667" s="1605"/>
      <c r="CQ667" s="1605"/>
      <c r="CR667" s="1605"/>
      <c r="CS667" s="1605"/>
      <c r="CT667" s="1605"/>
      <c r="CU667" s="1605"/>
      <c r="CV667" s="1605"/>
      <c r="CW667" s="1605"/>
      <c r="CX667" s="1605"/>
      <c r="CY667" s="1605"/>
      <c r="CZ667" s="1605"/>
      <c r="DA667" s="1605"/>
      <c r="DB667" s="1605"/>
      <c r="DC667" s="1605"/>
      <c r="DD667" s="1605"/>
      <c r="DE667" s="1605"/>
      <c r="DF667" s="1605"/>
      <c r="DG667" s="1605"/>
      <c r="DH667" s="1605"/>
      <c r="DI667" s="1605"/>
      <c r="DJ667" s="1605"/>
      <c r="DK667" s="1605"/>
      <c r="DL667" s="1605"/>
      <c r="DM667" s="1605"/>
      <c r="DN667" s="1605"/>
      <c r="DO667" s="1605"/>
      <c r="DP667" s="1605"/>
      <c r="DQ667" s="1605"/>
      <c r="DR667" s="1605"/>
      <c r="DS667" s="1605"/>
      <c r="DT667" s="1605"/>
      <c r="DU667" s="1605"/>
      <c r="DV667" s="1605"/>
      <c r="DW667" s="1605"/>
      <c r="DX667" s="1605"/>
      <c r="DY667" s="1605"/>
      <c r="DZ667" s="1605"/>
      <c r="EA667" s="1605"/>
      <c r="EB667" s="1605"/>
      <c r="EC667" s="1605"/>
      <c r="ED667" s="1605"/>
      <c r="EE667" s="1605"/>
      <c r="EF667" s="1605"/>
      <c r="EG667" s="1605"/>
      <c r="EH667" s="1605"/>
      <c r="EI667" s="1605"/>
      <c r="EJ667" s="1605"/>
      <c r="EK667" s="1605"/>
      <c r="EL667" s="1605"/>
      <c r="EM667" s="1605"/>
      <c r="EN667" s="1605"/>
      <c r="EO667" s="1605"/>
      <c r="EP667" s="1605"/>
      <c r="EQ667" s="1605"/>
      <c r="ER667" s="1605"/>
      <c r="ES667" s="1605"/>
      <c r="ET667" s="1605"/>
      <c r="EU667" s="1605"/>
      <c r="EV667" s="1605"/>
      <c r="EW667" s="1605"/>
      <c r="EX667" s="1605"/>
      <c r="EY667" s="1605"/>
      <c r="EZ667" s="1605"/>
      <c r="FA667" s="1605"/>
      <c r="FB667" s="1605"/>
      <c r="FC667" s="1605"/>
      <c r="FD667" s="1605"/>
      <c r="FE667" s="1605"/>
      <c r="FF667" s="1605"/>
      <c r="FG667" s="1605"/>
      <c r="FH667" s="1605"/>
      <c r="FI667" s="1605"/>
      <c r="FJ667" s="1605"/>
      <c r="FK667" s="1605"/>
      <c r="FL667" s="1605"/>
      <c r="FM667" s="1605"/>
      <c r="FN667" s="1605"/>
      <c r="FO667" s="1605"/>
      <c r="FP667" s="1605"/>
      <c r="FQ667" s="1605"/>
      <c r="FR667" s="1605"/>
      <c r="FS667" s="1605"/>
      <c r="FT667" s="1605"/>
      <c r="FU667" s="1605"/>
      <c r="FV667" s="1605"/>
      <c r="FW667" s="1605"/>
      <c r="FX667" s="1605"/>
      <c r="FY667" s="1605"/>
      <c r="FZ667" s="1605"/>
      <c r="GA667" s="1605"/>
      <c r="GB667" s="1605"/>
      <c r="GC667" s="1605"/>
      <c r="GD667" s="1605"/>
      <c r="GE667" s="1605"/>
      <c r="GF667" s="1605"/>
      <c r="GG667" s="1605"/>
      <c r="GH667" s="1605"/>
      <c r="GI667" s="1605"/>
      <c r="GJ667" s="1605"/>
      <c r="GK667" s="1605"/>
      <c r="GL667" s="1605"/>
      <c r="GM667" s="1605"/>
      <c r="GN667" s="1605"/>
      <c r="GO667" s="1605"/>
      <c r="GP667" s="1605"/>
      <c r="GQ667" s="1605"/>
      <c r="GR667" s="1605"/>
      <c r="GS667" s="1605"/>
      <c r="GT667" s="1605"/>
      <c r="GU667" s="1605"/>
      <c r="GV667" s="1605"/>
      <c r="GW667" s="1605"/>
      <c r="GX667" s="1605"/>
      <c r="GY667" s="1605"/>
      <c r="GZ667" s="1605"/>
      <c r="HA667" s="1605"/>
      <c r="HB667" s="1605"/>
      <c r="HC667" s="1605"/>
      <c r="HD667" s="1605"/>
      <c r="HE667" s="1605"/>
      <c r="HF667" s="1605"/>
      <c r="HG667" s="1605"/>
      <c r="HH667" s="1605"/>
      <c r="HI667" s="1605"/>
      <c r="HJ667" s="1605"/>
      <c r="HK667" s="1605"/>
      <c r="HL667" s="1605"/>
      <c r="HM667" s="1605"/>
      <c r="HN667" s="1605"/>
      <c r="HO667" s="1605"/>
      <c r="HP667" s="1605"/>
      <c r="HQ667" s="1605"/>
      <c r="HR667" s="1605"/>
      <c r="HS667" s="1605"/>
      <c r="HT667" s="1605"/>
      <c r="HU667" s="1605"/>
      <c r="HV667" s="1605"/>
      <c r="HW667" s="1605"/>
      <c r="HX667" s="1605"/>
      <c r="HY667" s="1605"/>
      <c r="HZ667" s="1605"/>
      <c r="IA667" s="1605"/>
      <c r="IB667" s="1605"/>
      <c r="IC667" s="1605"/>
      <c r="ID667" s="1605"/>
      <c r="IE667" s="1605"/>
      <c r="IF667" s="1605"/>
      <c r="IG667" s="1605"/>
      <c r="IH667" s="1605"/>
      <c r="II667" s="1605"/>
      <c r="IJ667" s="1605"/>
      <c r="IK667" s="1605"/>
      <c r="IL667" s="1605"/>
      <c r="IM667" s="1605"/>
      <c r="IN667" s="1605"/>
      <c r="IO667" s="1605"/>
      <c r="IP667" s="1605"/>
      <c r="IQ667" s="1605"/>
      <c r="IR667" s="1605"/>
      <c r="IS667" s="1605"/>
      <c r="IT667" s="1605"/>
      <c r="IU667" s="1605"/>
      <c r="IV667" s="1605"/>
      <c r="IW667" s="1605"/>
      <c r="IX667" s="1605"/>
      <c r="IY667" s="1605"/>
      <c r="IZ667" s="1605"/>
      <c r="JA667" s="1605"/>
      <c r="JB667" s="1605"/>
      <c r="JC667" s="1605"/>
      <c r="JD667" s="1605"/>
      <c r="JE667" s="1605"/>
      <c r="JF667" s="1605"/>
      <c r="JG667" s="1605"/>
      <c r="JH667" s="1605"/>
      <c r="JI667" s="1605"/>
      <c r="JJ667" s="1605"/>
      <c r="JK667" s="1605"/>
      <c r="JL667" s="1605"/>
      <c r="JM667" s="1605"/>
      <c r="JN667" s="1605"/>
      <c r="JO667" s="1605"/>
      <c r="JP667" s="1605"/>
      <c r="JQ667" s="1605"/>
      <c r="JR667" s="1605"/>
      <c r="JS667" s="1605"/>
      <c r="JT667" s="1605"/>
      <c r="JU667" s="1605"/>
      <c r="JV667" s="1605"/>
      <c r="JW667" s="1605"/>
      <c r="JX667" s="1605"/>
      <c r="JY667" s="1605"/>
      <c r="JZ667" s="1605"/>
      <c r="KA667" s="1605"/>
      <c r="KB667" s="1606"/>
    </row>
    <row r="668" spans="2:288" ht="15" customHeight="1" x14ac:dyDescent="0.25">
      <c r="B668" s="216" t="str">
        <f t="shared" si="55"/>
        <v>Desk 38</v>
      </c>
      <c r="C668" s="218" t="str">
        <v/>
      </c>
      <c r="D668" s="218" t="str">
        <v/>
      </c>
      <c r="E668" s="218" t="str">
        <v/>
      </c>
      <c r="F668" s="218" t="str">
        <v/>
      </c>
      <c r="G668" s="402" t="str">
        <v/>
      </c>
      <c r="H668" s="1605"/>
      <c r="I668" s="1605"/>
      <c r="J668" s="1605"/>
      <c r="K668" s="1605"/>
      <c r="L668" s="1605"/>
      <c r="M668" s="1605"/>
      <c r="N668" s="1605"/>
      <c r="O668" s="1605"/>
      <c r="P668" s="1605"/>
      <c r="Q668" s="1605"/>
      <c r="R668" s="1605"/>
      <c r="S668" s="1605"/>
      <c r="T668" s="1605"/>
      <c r="U668" s="1605"/>
      <c r="V668" s="1605"/>
      <c r="W668" s="1605"/>
      <c r="X668" s="1605"/>
      <c r="Y668" s="1605"/>
      <c r="Z668" s="1605"/>
      <c r="AA668" s="1605"/>
      <c r="AB668" s="1605"/>
      <c r="AC668" s="1605"/>
      <c r="AD668" s="1605"/>
      <c r="AE668" s="1605"/>
      <c r="AF668" s="1605"/>
      <c r="AG668" s="1605"/>
      <c r="AH668" s="1605"/>
      <c r="AI668" s="1605"/>
      <c r="AJ668" s="1605"/>
      <c r="AK668" s="1605"/>
      <c r="AL668" s="1605"/>
      <c r="AM668" s="1605"/>
      <c r="AN668" s="1605"/>
      <c r="AO668" s="1605"/>
      <c r="AP668" s="1605"/>
      <c r="AQ668" s="1605"/>
      <c r="AR668" s="1605"/>
      <c r="AS668" s="1605"/>
      <c r="AT668" s="1605"/>
      <c r="AU668" s="1605"/>
      <c r="AV668" s="1605"/>
      <c r="AW668" s="1605"/>
      <c r="AX668" s="1605"/>
      <c r="AY668" s="1605"/>
      <c r="AZ668" s="1605"/>
      <c r="BA668" s="1605"/>
      <c r="BB668" s="1605"/>
      <c r="BC668" s="1605"/>
      <c r="BD668" s="1605"/>
      <c r="BE668" s="1605"/>
      <c r="BF668" s="1605"/>
      <c r="BG668" s="1605"/>
      <c r="BH668" s="1605"/>
      <c r="BI668" s="1605"/>
      <c r="BJ668" s="1605"/>
      <c r="BK668" s="1605"/>
      <c r="BL668" s="1605"/>
      <c r="BM668" s="1605"/>
      <c r="BN668" s="1605"/>
      <c r="BO668" s="1605"/>
      <c r="BP668" s="1605"/>
      <c r="BQ668" s="1605"/>
      <c r="BR668" s="1605"/>
      <c r="BS668" s="1605"/>
      <c r="BT668" s="1605"/>
      <c r="BU668" s="1605"/>
      <c r="BV668" s="1605"/>
      <c r="BW668" s="1605"/>
      <c r="BX668" s="1605"/>
      <c r="BY668" s="1605"/>
      <c r="BZ668" s="1605"/>
      <c r="CA668" s="1605"/>
      <c r="CB668" s="1605"/>
      <c r="CC668" s="1605"/>
      <c r="CD668" s="1605"/>
      <c r="CE668" s="1605"/>
      <c r="CF668" s="1605"/>
      <c r="CG668" s="1605"/>
      <c r="CH668" s="1605"/>
      <c r="CI668" s="1605"/>
      <c r="CJ668" s="1605"/>
      <c r="CK668" s="1605"/>
      <c r="CL668" s="1605"/>
      <c r="CM668" s="1605"/>
      <c r="CN668" s="1605"/>
      <c r="CO668" s="1605"/>
      <c r="CP668" s="1605"/>
      <c r="CQ668" s="1605"/>
      <c r="CR668" s="1605"/>
      <c r="CS668" s="1605"/>
      <c r="CT668" s="1605"/>
      <c r="CU668" s="1605"/>
      <c r="CV668" s="1605"/>
      <c r="CW668" s="1605"/>
      <c r="CX668" s="1605"/>
      <c r="CY668" s="1605"/>
      <c r="CZ668" s="1605"/>
      <c r="DA668" s="1605"/>
      <c r="DB668" s="1605"/>
      <c r="DC668" s="1605"/>
      <c r="DD668" s="1605"/>
      <c r="DE668" s="1605"/>
      <c r="DF668" s="1605"/>
      <c r="DG668" s="1605"/>
      <c r="DH668" s="1605"/>
      <c r="DI668" s="1605"/>
      <c r="DJ668" s="1605"/>
      <c r="DK668" s="1605"/>
      <c r="DL668" s="1605"/>
      <c r="DM668" s="1605"/>
      <c r="DN668" s="1605"/>
      <c r="DO668" s="1605"/>
      <c r="DP668" s="1605"/>
      <c r="DQ668" s="1605"/>
      <c r="DR668" s="1605"/>
      <c r="DS668" s="1605"/>
      <c r="DT668" s="1605"/>
      <c r="DU668" s="1605"/>
      <c r="DV668" s="1605"/>
      <c r="DW668" s="1605"/>
      <c r="DX668" s="1605"/>
      <c r="DY668" s="1605"/>
      <c r="DZ668" s="1605"/>
      <c r="EA668" s="1605"/>
      <c r="EB668" s="1605"/>
      <c r="EC668" s="1605"/>
      <c r="ED668" s="1605"/>
      <c r="EE668" s="1605"/>
      <c r="EF668" s="1605"/>
      <c r="EG668" s="1605"/>
      <c r="EH668" s="1605"/>
      <c r="EI668" s="1605"/>
      <c r="EJ668" s="1605"/>
      <c r="EK668" s="1605"/>
      <c r="EL668" s="1605"/>
      <c r="EM668" s="1605"/>
      <c r="EN668" s="1605"/>
      <c r="EO668" s="1605"/>
      <c r="EP668" s="1605"/>
      <c r="EQ668" s="1605"/>
      <c r="ER668" s="1605"/>
      <c r="ES668" s="1605"/>
      <c r="ET668" s="1605"/>
      <c r="EU668" s="1605"/>
      <c r="EV668" s="1605"/>
      <c r="EW668" s="1605"/>
      <c r="EX668" s="1605"/>
      <c r="EY668" s="1605"/>
      <c r="EZ668" s="1605"/>
      <c r="FA668" s="1605"/>
      <c r="FB668" s="1605"/>
      <c r="FC668" s="1605"/>
      <c r="FD668" s="1605"/>
      <c r="FE668" s="1605"/>
      <c r="FF668" s="1605"/>
      <c r="FG668" s="1605"/>
      <c r="FH668" s="1605"/>
      <c r="FI668" s="1605"/>
      <c r="FJ668" s="1605"/>
      <c r="FK668" s="1605"/>
      <c r="FL668" s="1605"/>
      <c r="FM668" s="1605"/>
      <c r="FN668" s="1605"/>
      <c r="FO668" s="1605"/>
      <c r="FP668" s="1605"/>
      <c r="FQ668" s="1605"/>
      <c r="FR668" s="1605"/>
      <c r="FS668" s="1605"/>
      <c r="FT668" s="1605"/>
      <c r="FU668" s="1605"/>
      <c r="FV668" s="1605"/>
      <c r="FW668" s="1605"/>
      <c r="FX668" s="1605"/>
      <c r="FY668" s="1605"/>
      <c r="FZ668" s="1605"/>
      <c r="GA668" s="1605"/>
      <c r="GB668" s="1605"/>
      <c r="GC668" s="1605"/>
      <c r="GD668" s="1605"/>
      <c r="GE668" s="1605"/>
      <c r="GF668" s="1605"/>
      <c r="GG668" s="1605"/>
      <c r="GH668" s="1605"/>
      <c r="GI668" s="1605"/>
      <c r="GJ668" s="1605"/>
      <c r="GK668" s="1605"/>
      <c r="GL668" s="1605"/>
      <c r="GM668" s="1605"/>
      <c r="GN668" s="1605"/>
      <c r="GO668" s="1605"/>
      <c r="GP668" s="1605"/>
      <c r="GQ668" s="1605"/>
      <c r="GR668" s="1605"/>
      <c r="GS668" s="1605"/>
      <c r="GT668" s="1605"/>
      <c r="GU668" s="1605"/>
      <c r="GV668" s="1605"/>
      <c r="GW668" s="1605"/>
      <c r="GX668" s="1605"/>
      <c r="GY668" s="1605"/>
      <c r="GZ668" s="1605"/>
      <c r="HA668" s="1605"/>
      <c r="HB668" s="1605"/>
      <c r="HC668" s="1605"/>
      <c r="HD668" s="1605"/>
      <c r="HE668" s="1605"/>
      <c r="HF668" s="1605"/>
      <c r="HG668" s="1605"/>
      <c r="HH668" s="1605"/>
      <c r="HI668" s="1605"/>
      <c r="HJ668" s="1605"/>
      <c r="HK668" s="1605"/>
      <c r="HL668" s="1605"/>
      <c r="HM668" s="1605"/>
      <c r="HN668" s="1605"/>
      <c r="HO668" s="1605"/>
      <c r="HP668" s="1605"/>
      <c r="HQ668" s="1605"/>
      <c r="HR668" s="1605"/>
      <c r="HS668" s="1605"/>
      <c r="HT668" s="1605"/>
      <c r="HU668" s="1605"/>
      <c r="HV668" s="1605"/>
      <c r="HW668" s="1605"/>
      <c r="HX668" s="1605"/>
      <c r="HY668" s="1605"/>
      <c r="HZ668" s="1605"/>
      <c r="IA668" s="1605"/>
      <c r="IB668" s="1605"/>
      <c r="IC668" s="1605"/>
      <c r="ID668" s="1605"/>
      <c r="IE668" s="1605"/>
      <c r="IF668" s="1605"/>
      <c r="IG668" s="1605"/>
      <c r="IH668" s="1605"/>
      <c r="II668" s="1605"/>
      <c r="IJ668" s="1605"/>
      <c r="IK668" s="1605"/>
      <c r="IL668" s="1605"/>
      <c r="IM668" s="1605"/>
      <c r="IN668" s="1605"/>
      <c r="IO668" s="1605"/>
      <c r="IP668" s="1605"/>
      <c r="IQ668" s="1605"/>
      <c r="IR668" s="1605"/>
      <c r="IS668" s="1605"/>
      <c r="IT668" s="1605"/>
      <c r="IU668" s="1605"/>
      <c r="IV668" s="1605"/>
      <c r="IW668" s="1605"/>
      <c r="IX668" s="1605"/>
      <c r="IY668" s="1605"/>
      <c r="IZ668" s="1605"/>
      <c r="JA668" s="1605"/>
      <c r="JB668" s="1605"/>
      <c r="JC668" s="1605"/>
      <c r="JD668" s="1605"/>
      <c r="JE668" s="1605"/>
      <c r="JF668" s="1605"/>
      <c r="JG668" s="1605"/>
      <c r="JH668" s="1605"/>
      <c r="JI668" s="1605"/>
      <c r="JJ668" s="1605"/>
      <c r="JK668" s="1605"/>
      <c r="JL668" s="1605"/>
      <c r="JM668" s="1605"/>
      <c r="JN668" s="1605"/>
      <c r="JO668" s="1605"/>
      <c r="JP668" s="1605"/>
      <c r="JQ668" s="1605"/>
      <c r="JR668" s="1605"/>
      <c r="JS668" s="1605"/>
      <c r="JT668" s="1605"/>
      <c r="JU668" s="1605"/>
      <c r="JV668" s="1605"/>
      <c r="JW668" s="1605"/>
      <c r="JX668" s="1605"/>
      <c r="JY668" s="1605"/>
      <c r="JZ668" s="1605"/>
      <c r="KA668" s="1605"/>
      <c r="KB668" s="1606"/>
    </row>
    <row r="669" spans="2:288" ht="15" customHeight="1" x14ac:dyDescent="0.25">
      <c r="B669" s="216" t="str">
        <f t="shared" si="55"/>
        <v>Desk 39</v>
      </c>
      <c r="C669" s="218" t="str">
        <v/>
      </c>
      <c r="D669" s="218" t="str">
        <v/>
      </c>
      <c r="E669" s="218" t="str">
        <v/>
      </c>
      <c r="F669" s="218" t="str">
        <v/>
      </c>
      <c r="G669" s="402" t="str">
        <v/>
      </c>
      <c r="H669" s="1605"/>
      <c r="I669" s="1605"/>
      <c r="J669" s="1605"/>
      <c r="K669" s="1605"/>
      <c r="L669" s="1605"/>
      <c r="M669" s="1605"/>
      <c r="N669" s="1605"/>
      <c r="O669" s="1605"/>
      <c r="P669" s="1605"/>
      <c r="Q669" s="1605"/>
      <c r="R669" s="1605"/>
      <c r="S669" s="1605"/>
      <c r="T669" s="1605"/>
      <c r="U669" s="1605"/>
      <c r="V669" s="1605"/>
      <c r="W669" s="1605"/>
      <c r="X669" s="1605"/>
      <c r="Y669" s="1605"/>
      <c r="Z669" s="1605"/>
      <c r="AA669" s="1605"/>
      <c r="AB669" s="1605"/>
      <c r="AC669" s="1605"/>
      <c r="AD669" s="1605"/>
      <c r="AE669" s="1605"/>
      <c r="AF669" s="1605"/>
      <c r="AG669" s="1605"/>
      <c r="AH669" s="1605"/>
      <c r="AI669" s="1605"/>
      <c r="AJ669" s="1605"/>
      <c r="AK669" s="1605"/>
      <c r="AL669" s="1605"/>
      <c r="AM669" s="1605"/>
      <c r="AN669" s="1605"/>
      <c r="AO669" s="1605"/>
      <c r="AP669" s="1605"/>
      <c r="AQ669" s="1605"/>
      <c r="AR669" s="1605"/>
      <c r="AS669" s="1605"/>
      <c r="AT669" s="1605"/>
      <c r="AU669" s="1605"/>
      <c r="AV669" s="1605"/>
      <c r="AW669" s="1605"/>
      <c r="AX669" s="1605"/>
      <c r="AY669" s="1605"/>
      <c r="AZ669" s="1605"/>
      <c r="BA669" s="1605"/>
      <c r="BB669" s="1605"/>
      <c r="BC669" s="1605"/>
      <c r="BD669" s="1605"/>
      <c r="BE669" s="1605"/>
      <c r="BF669" s="1605"/>
      <c r="BG669" s="1605"/>
      <c r="BH669" s="1605"/>
      <c r="BI669" s="1605"/>
      <c r="BJ669" s="1605"/>
      <c r="BK669" s="1605"/>
      <c r="BL669" s="1605"/>
      <c r="BM669" s="1605"/>
      <c r="BN669" s="1605"/>
      <c r="BO669" s="1605"/>
      <c r="BP669" s="1605"/>
      <c r="BQ669" s="1605"/>
      <c r="BR669" s="1605"/>
      <c r="BS669" s="1605"/>
      <c r="BT669" s="1605"/>
      <c r="BU669" s="1605"/>
      <c r="BV669" s="1605"/>
      <c r="BW669" s="1605"/>
      <c r="BX669" s="1605"/>
      <c r="BY669" s="1605"/>
      <c r="BZ669" s="1605"/>
      <c r="CA669" s="1605"/>
      <c r="CB669" s="1605"/>
      <c r="CC669" s="1605"/>
      <c r="CD669" s="1605"/>
      <c r="CE669" s="1605"/>
      <c r="CF669" s="1605"/>
      <c r="CG669" s="1605"/>
      <c r="CH669" s="1605"/>
      <c r="CI669" s="1605"/>
      <c r="CJ669" s="1605"/>
      <c r="CK669" s="1605"/>
      <c r="CL669" s="1605"/>
      <c r="CM669" s="1605"/>
      <c r="CN669" s="1605"/>
      <c r="CO669" s="1605"/>
      <c r="CP669" s="1605"/>
      <c r="CQ669" s="1605"/>
      <c r="CR669" s="1605"/>
      <c r="CS669" s="1605"/>
      <c r="CT669" s="1605"/>
      <c r="CU669" s="1605"/>
      <c r="CV669" s="1605"/>
      <c r="CW669" s="1605"/>
      <c r="CX669" s="1605"/>
      <c r="CY669" s="1605"/>
      <c r="CZ669" s="1605"/>
      <c r="DA669" s="1605"/>
      <c r="DB669" s="1605"/>
      <c r="DC669" s="1605"/>
      <c r="DD669" s="1605"/>
      <c r="DE669" s="1605"/>
      <c r="DF669" s="1605"/>
      <c r="DG669" s="1605"/>
      <c r="DH669" s="1605"/>
      <c r="DI669" s="1605"/>
      <c r="DJ669" s="1605"/>
      <c r="DK669" s="1605"/>
      <c r="DL669" s="1605"/>
      <c r="DM669" s="1605"/>
      <c r="DN669" s="1605"/>
      <c r="DO669" s="1605"/>
      <c r="DP669" s="1605"/>
      <c r="DQ669" s="1605"/>
      <c r="DR669" s="1605"/>
      <c r="DS669" s="1605"/>
      <c r="DT669" s="1605"/>
      <c r="DU669" s="1605"/>
      <c r="DV669" s="1605"/>
      <c r="DW669" s="1605"/>
      <c r="DX669" s="1605"/>
      <c r="DY669" s="1605"/>
      <c r="DZ669" s="1605"/>
      <c r="EA669" s="1605"/>
      <c r="EB669" s="1605"/>
      <c r="EC669" s="1605"/>
      <c r="ED669" s="1605"/>
      <c r="EE669" s="1605"/>
      <c r="EF669" s="1605"/>
      <c r="EG669" s="1605"/>
      <c r="EH669" s="1605"/>
      <c r="EI669" s="1605"/>
      <c r="EJ669" s="1605"/>
      <c r="EK669" s="1605"/>
      <c r="EL669" s="1605"/>
      <c r="EM669" s="1605"/>
      <c r="EN669" s="1605"/>
      <c r="EO669" s="1605"/>
      <c r="EP669" s="1605"/>
      <c r="EQ669" s="1605"/>
      <c r="ER669" s="1605"/>
      <c r="ES669" s="1605"/>
      <c r="ET669" s="1605"/>
      <c r="EU669" s="1605"/>
      <c r="EV669" s="1605"/>
      <c r="EW669" s="1605"/>
      <c r="EX669" s="1605"/>
      <c r="EY669" s="1605"/>
      <c r="EZ669" s="1605"/>
      <c r="FA669" s="1605"/>
      <c r="FB669" s="1605"/>
      <c r="FC669" s="1605"/>
      <c r="FD669" s="1605"/>
      <c r="FE669" s="1605"/>
      <c r="FF669" s="1605"/>
      <c r="FG669" s="1605"/>
      <c r="FH669" s="1605"/>
      <c r="FI669" s="1605"/>
      <c r="FJ669" s="1605"/>
      <c r="FK669" s="1605"/>
      <c r="FL669" s="1605"/>
      <c r="FM669" s="1605"/>
      <c r="FN669" s="1605"/>
      <c r="FO669" s="1605"/>
      <c r="FP669" s="1605"/>
      <c r="FQ669" s="1605"/>
      <c r="FR669" s="1605"/>
      <c r="FS669" s="1605"/>
      <c r="FT669" s="1605"/>
      <c r="FU669" s="1605"/>
      <c r="FV669" s="1605"/>
      <c r="FW669" s="1605"/>
      <c r="FX669" s="1605"/>
      <c r="FY669" s="1605"/>
      <c r="FZ669" s="1605"/>
      <c r="GA669" s="1605"/>
      <c r="GB669" s="1605"/>
      <c r="GC669" s="1605"/>
      <c r="GD669" s="1605"/>
      <c r="GE669" s="1605"/>
      <c r="GF669" s="1605"/>
      <c r="GG669" s="1605"/>
      <c r="GH669" s="1605"/>
      <c r="GI669" s="1605"/>
      <c r="GJ669" s="1605"/>
      <c r="GK669" s="1605"/>
      <c r="GL669" s="1605"/>
      <c r="GM669" s="1605"/>
      <c r="GN669" s="1605"/>
      <c r="GO669" s="1605"/>
      <c r="GP669" s="1605"/>
      <c r="GQ669" s="1605"/>
      <c r="GR669" s="1605"/>
      <c r="GS669" s="1605"/>
      <c r="GT669" s="1605"/>
      <c r="GU669" s="1605"/>
      <c r="GV669" s="1605"/>
      <c r="GW669" s="1605"/>
      <c r="GX669" s="1605"/>
      <c r="GY669" s="1605"/>
      <c r="GZ669" s="1605"/>
      <c r="HA669" s="1605"/>
      <c r="HB669" s="1605"/>
      <c r="HC669" s="1605"/>
      <c r="HD669" s="1605"/>
      <c r="HE669" s="1605"/>
      <c r="HF669" s="1605"/>
      <c r="HG669" s="1605"/>
      <c r="HH669" s="1605"/>
      <c r="HI669" s="1605"/>
      <c r="HJ669" s="1605"/>
      <c r="HK669" s="1605"/>
      <c r="HL669" s="1605"/>
      <c r="HM669" s="1605"/>
      <c r="HN669" s="1605"/>
      <c r="HO669" s="1605"/>
      <c r="HP669" s="1605"/>
      <c r="HQ669" s="1605"/>
      <c r="HR669" s="1605"/>
      <c r="HS669" s="1605"/>
      <c r="HT669" s="1605"/>
      <c r="HU669" s="1605"/>
      <c r="HV669" s="1605"/>
      <c r="HW669" s="1605"/>
      <c r="HX669" s="1605"/>
      <c r="HY669" s="1605"/>
      <c r="HZ669" s="1605"/>
      <c r="IA669" s="1605"/>
      <c r="IB669" s="1605"/>
      <c r="IC669" s="1605"/>
      <c r="ID669" s="1605"/>
      <c r="IE669" s="1605"/>
      <c r="IF669" s="1605"/>
      <c r="IG669" s="1605"/>
      <c r="IH669" s="1605"/>
      <c r="II669" s="1605"/>
      <c r="IJ669" s="1605"/>
      <c r="IK669" s="1605"/>
      <c r="IL669" s="1605"/>
      <c r="IM669" s="1605"/>
      <c r="IN669" s="1605"/>
      <c r="IO669" s="1605"/>
      <c r="IP669" s="1605"/>
      <c r="IQ669" s="1605"/>
      <c r="IR669" s="1605"/>
      <c r="IS669" s="1605"/>
      <c r="IT669" s="1605"/>
      <c r="IU669" s="1605"/>
      <c r="IV669" s="1605"/>
      <c r="IW669" s="1605"/>
      <c r="IX669" s="1605"/>
      <c r="IY669" s="1605"/>
      <c r="IZ669" s="1605"/>
      <c r="JA669" s="1605"/>
      <c r="JB669" s="1605"/>
      <c r="JC669" s="1605"/>
      <c r="JD669" s="1605"/>
      <c r="JE669" s="1605"/>
      <c r="JF669" s="1605"/>
      <c r="JG669" s="1605"/>
      <c r="JH669" s="1605"/>
      <c r="JI669" s="1605"/>
      <c r="JJ669" s="1605"/>
      <c r="JK669" s="1605"/>
      <c r="JL669" s="1605"/>
      <c r="JM669" s="1605"/>
      <c r="JN669" s="1605"/>
      <c r="JO669" s="1605"/>
      <c r="JP669" s="1605"/>
      <c r="JQ669" s="1605"/>
      <c r="JR669" s="1605"/>
      <c r="JS669" s="1605"/>
      <c r="JT669" s="1605"/>
      <c r="JU669" s="1605"/>
      <c r="JV669" s="1605"/>
      <c r="JW669" s="1605"/>
      <c r="JX669" s="1605"/>
      <c r="JY669" s="1605"/>
      <c r="JZ669" s="1605"/>
      <c r="KA669" s="1605"/>
      <c r="KB669" s="1606"/>
    </row>
    <row r="670" spans="2:288" ht="15" customHeight="1" x14ac:dyDescent="0.25">
      <c r="B670" s="216" t="str">
        <f t="shared" si="55"/>
        <v>Desk 40</v>
      </c>
      <c r="C670" s="218" t="str">
        <v/>
      </c>
      <c r="D670" s="218" t="str">
        <v/>
      </c>
      <c r="E670" s="218" t="str">
        <v/>
      </c>
      <c r="F670" s="218" t="str">
        <v/>
      </c>
      <c r="G670" s="402" t="str">
        <v/>
      </c>
      <c r="H670" s="1605"/>
      <c r="I670" s="1605"/>
      <c r="J670" s="1605"/>
      <c r="K670" s="1605"/>
      <c r="L670" s="1605"/>
      <c r="M670" s="1605"/>
      <c r="N670" s="1605"/>
      <c r="O670" s="1605"/>
      <c r="P670" s="1605"/>
      <c r="Q670" s="1605"/>
      <c r="R670" s="1605"/>
      <c r="S670" s="1605"/>
      <c r="T670" s="1605"/>
      <c r="U670" s="1605"/>
      <c r="V670" s="1605"/>
      <c r="W670" s="1605"/>
      <c r="X670" s="1605"/>
      <c r="Y670" s="1605"/>
      <c r="Z670" s="1605"/>
      <c r="AA670" s="1605"/>
      <c r="AB670" s="1605"/>
      <c r="AC670" s="1605"/>
      <c r="AD670" s="1605"/>
      <c r="AE670" s="1605"/>
      <c r="AF670" s="1605"/>
      <c r="AG670" s="1605"/>
      <c r="AH670" s="1605"/>
      <c r="AI670" s="1605"/>
      <c r="AJ670" s="1605"/>
      <c r="AK670" s="1605"/>
      <c r="AL670" s="1605"/>
      <c r="AM670" s="1605"/>
      <c r="AN670" s="1605"/>
      <c r="AO670" s="1605"/>
      <c r="AP670" s="1605"/>
      <c r="AQ670" s="1605"/>
      <c r="AR670" s="1605"/>
      <c r="AS670" s="1605"/>
      <c r="AT670" s="1605"/>
      <c r="AU670" s="1605"/>
      <c r="AV670" s="1605"/>
      <c r="AW670" s="1605"/>
      <c r="AX670" s="1605"/>
      <c r="AY670" s="1605"/>
      <c r="AZ670" s="1605"/>
      <c r="BA670" s="1605"/>
      <c r="BB670" s="1605"/>
      <c r="BC670" s="1605"/>
      <c r="BD670" s="1605"/>
      <c r="BE670" s="1605"/>
      <c r="BF670" s="1605"/>
      <c r="BG670" s="1605"/>
      <c r="BH670" s="1605"/>
      <c r="BI670" s="1605"/>
      <c r="BJ670" s="1605"/>
      <c r="BK670" s="1605"/>
      <c r="BL670" s="1605"/>
      <c r="BM670" s="1605"/>
      <c r="BN670" s="1605"/>
      <c r="BO670" s="1605"/>
      <c r="BP670" s="1605"/>
      <c r="BQ670" s="1605"/>
      <c r="BR670" s="1605"/>
      <c r="BS670" s="1605"/>
      <c r="BT670" s="1605"/>
      <c r="BU670" s="1605"/>
      <c r="BV670" s="1605"/>
      <c r="BW670" s="1605"/>
      <c r="BX670" s="1605"/>
      <c r="BY670" s="1605"/>
      <c r="BZ670" s="1605"/>
      <c r="CA670" s="1605"/>
      <c r="CB670" s="1605"/>
      <c r="CC670" s="1605"/>
      <c r="CD670" s="1605"/>
      <c r="CE670" s="1605"/>
      <c r="CF670" s="1605"/>
      <c r="CG670" s="1605"/>
      <c r="CH670" s="1605"/>
      <c r="CI670" s="1605"/>
      <c r="CJ670" s="1605"/>
      <c r="CK670" s="1605"/>
      <c r="CL670" s="1605"/>
      <c r="CM670" s="1605"/>
      <c r="CN670" s="1605"/>
      <c r="CO670" s="1605"/>
      <c r="CP670" s="1605"/>
      <c r="CQ670" s="1605"/>
      <c r="CR670" s="1605"/>
      <c r="CS670" s="1605"/>
      <c r="CT670" s="1605"/>
      <c r="CU670" s="1605"/>
      <c r="CV670" s="1605"/>
      <c r="CW670" s="1605"/>
      <c r="CX670" s="1605"/>
      <c r="CY670" s="1605"/>
      <c r="CZ670" s="1605"/>
      <c r="DA670" s="1605"/>
      <c r="DB670" s="1605"/>
      <c r="DC670" s="1605"/>
      <c r="DD670" s="1605"/>
      <c r="DE670" s="1605"/>
      <c r="DF670" s="1605"/>
      <c r="DG670" s="1605"/>
      <c r="DH670" s="1605"/>
      <c r="DI670" s="1605"/>
      <c r="DJ670" s="1605"/>
      <c r="DK670" s="1605"/>
      <c r="DL670" s="1605"/>
      <c r="DM670" s="1605"/>
      <c r="DN670" s="1605"/>
      <c r="DO670" s="1605"/>
      <c r="DP670" s="1605"/>
      <c r="DQ670" s="1605"/>
      <c r="DR670" s="1605"/>
      <c r="DS670" s="1605"/>
      <c r="DT670" s="1605"/>
      <c r="DU670" s="1605"/>
      <c r="DV670" s="1605"/>
      <c r="DW670" s="1605"/>
      <c r="DX670" s="1605"/>
      <c r="DY670" s="1605"/>
      <c r="DZ670" s="1605"/>
      <c r="EA670" s="1605"/>
      <c r="EB670" s="1605"/>
      <c r="EC670" s="1605"/>
      <c r="ED670" s="1605"/>
      <c r="EE670" s="1605"/>
      <c r="EF670" s="1605"/>
      <c r="EG670" s="1605"/>
      <c r="EH670" s="1605"/>
      <c r="EI670" s="1605"/>
      <c r="EJ670" s="1605"/>
      <c r="EK670" s="1605"/>
      <c r="EL670" s="1605"/>
      <c r="EM670" s="1605"/>
      <c r="EN670" s="1605"/>
      <c r="EO670" s="1605"/>
      <c r="EP670" s="1605"/>
      <c r="EQ670" s="1605"/>
      <c r="ER670" s="1605"/>
      <c r="ES670" s="1605"/>
      <c r="ET670" s="1605"/>
      <c r="EU670" s="1605"/>
      <c r="EV670" s="1605"/>
      <c r="EW670" s="1605"/>
      <c r="EX670" s="1605"/>
      <c r="EY670" s="1605"/>
      <c r="EZ670" s="1605"/>
      <c r="FA670" s="1605"/>
      <c r="FB670" s="1605"/>
      <c r="FC670" s="1605"/>
      <c r="FD670" s="1605"/>
      <c r="FE670" s="1605"/>
      <c r="FF670" s="1605"/>
      <c r="FG670" s="1605"/>
      <c r="FH670" s="1605"/>
      <c r="FI670" s="1605"/>
      <c r="FJ670" s="1605"/>
      <c r="FK670" s="1605"/>
      <c r="FL670" s="1605"/>
      <c r="FM670" s="1605"/>
      <c r="FN670" s="1605"/>
      <c r="FO670" s="1605"/>
      <c r="FP670" s="1605"/>
      <c r="FQ670" s="1605"/>
      <c r="FR670" s="1605"/>
      <c r="FS670" s="1605"/>
      <c r="FT670" s="1605"/>
      <c r="FU670" s="1605"/>
      <c r="FV670" s="1605"/>
      <c r="FW670" s="1605"/>
      <c r="FX670" s="1605"/>
      <c r="FY670" s="1605"/>
      <c r="FZ670" s="1605"/>
      <c r="GA670" s="1605"/>
      <c r="GB670" s="1605"/>
      <c r="GC670" s="1605"/>
      <c r="GD670" s="1605"/>
      <c r="GE670" s="1605"/>
      <c r="GF670" s="1605"/>
      <c r="GG670" s="1605"/>
      <c r="GH670" s="1605"/>
      <c r="GI670" s="1605"/>
      <c r="GJ670" s="1605"/>
      <c r="GK670" s="1605"/>
      <c r="GL670" s="1605"/>
      <c r="GM670" s="1605"/>
      <c r="GN670" s="1605"/>
      <c r="GO670" s="1605"/>
      <c r="GP670" s="1605"/>
      <c r="GQ670" s="1605"/>
      <c r="GR670" s="1605"/>
      <c r="GS670" s="1605"/>
      <c r="GT670" s="1605"/>
      <c r="GU670" s="1605"/>
      <c r="GV670" s="1605"/>
      <c r="GW670" s="1605"/>
      <c r="GX670" s="1605"/>
      <c r="GY670" s="1605"/>
      <c r="GZ670" s="1605"/>
      <c r="HA670" s="1605"/>
      <c r="HB670" s="1605"/>
      <c r="HC670" s="1605"/>
      <c r="HD670" s="1605"/>
      <c r="HE670" s="1605"/>
      <c r="HF670" s="1605"/>
      <c r="HG670" s="1605"/>
      <c r="HH670" s="1605"/>
      <c r="HI670" s="1605"/>
      <c r="HJ670" s="1605"/>
      <c r="HK670" s="1605"/>
      <c r="HL670" s="1605"/>
      <c r="HM670" s="1605"/>
      <c r="HN670" s="1605"/>
      <c r="HO670" s="1605"/>
      <c r="HP670" s="1605"/>
      <c r="HQ670" s="1605"/>
      <c r="HR670" s="1605"/>
      <c r="HS670" s="1605"/>
      <c r="HT670" s="1605"/>
      <c r="HU670" s="1605"/>
      <c r="HV670" s="1605"/>
      <c r="HW670" s="1605"/>
      <c r="HX670" s="1605"/>
      <c r="HY670" s="1605"/>
      <c r="HZ670" s="1605"/>
      <c r="IA670" s="1605"/>
      <c r="IB670" s="1605"/>
      <c r="IC670" s="1605"/>
      <c r="ID670" s="1605"/>
      <c r="IE670" s="1605"/>
      <c r="IF670" s="1605"/>
      <c r="IG670" s="1605"/>
      <c r="IH670" s="1605"/>
      <c r="II670" s="1605"/>
      <c r="IJ670" s="1605"/>
      <c r="IK670" s="1605"/>
      <c r="IL670" s="1605"/>
      <c r="IM670" s="1605"/>
      <c r="IN670" s="1605"/>
      <c r="IO670" s="1605"/>
      <c r="IP670" s="1605"/>
      <c r="IQ670" s="1605"/>
      <c r="IR670" s="1605"/>
      <c r="IS670" s="1605"/>
      <c r="IT670" s="1605"/>
      <c r="IU670" s="1605"/>
      <c r="IV670" s="1605"/>
      <c r="IW670" s="1605"/>
      <c r="IX670" s="1605"/>
      <c r="IY670" s="1605"/>
      <c r="IZ670" s="1605"/>
      <c r="JA670" s="1605"/>
      <c r="JB670" s="1605"/>
      <c r="JC670" s="1605"/>
      <c r="JD670" s="1605"/>
      <c r="JE670" s="1605"/>
      <c r="JF670" s="1605"/>
      <c r="JG670" s="1605"/>
      <c r="JH670" s="1605"/>
      <c r="JI670" s="1605"/>
      <c r="JJ670" s="1605"/>
      <c r="JK670" s="1605"/>
      <c r="JL670" s="1605"/>
      <c r="JM670" s="1605"/>
      <c r="JN670" s="1605"/>
      <c r="JO670" s="1605"/>
      <c r="JP670" s="1605"/>
      <c r="JQ670" s="1605"/>
      <c r="JR670" s="1605"/>
      <c r="JS670" s="1605"/>
      <c r="JT670" s="1605"/>
      <c r="JU670" s="1605"/>
      <c r="JV670" s="1605"/>
      <c r="JW670" s="1605"/>
      <c r="JX670" s="1605"/>
      <c r="JY670" s="1605"/>
      <c r="JZ670" s="1605"/>
      <c r="KA670" s="1605"/>
      <c r="KB670" s="1606"/>
    </row>
    <row r="671" spans="2:288" ht="15" customHeight="1" x14ac:dyDescent="0.25">
      <c r="B671" s="216" t="str">
        <f t="shared" si="55"/>
        <v>Desk 41</v>
      </c>
      <c r="C671" s="218" t="str">
        <v/>
      </c>
      <c r="D671" s="218" t="str">
        <v/>
      </c>
      <c r="E671" s="218" t="str">
        <v/>
      </c>
      <c r="F671" s="218" t="str">
        <v/>
      </c>
      <c r="G671" s="402" t="str">
        <v/>
      </c>
      <c r="H671" s="1605"/>
      <c r="I671" s="1605"/>
      <c r="J671" s="1605"/>
      <c r="K671" s="1605"/>
      <c r="L671" s="1605"/>
      <c r="M671" s="1605"/>
      <c r="N671" s="1605"/>
      <c r="O671" s="1605"/>
      <c r="P671" s="1605"/>
      <c r="Q671" s="1605"/>
      <c r="R671" s="1605"/>
      <c r="S671" s="1605"/>
      <c r="T671" s="1605"/>
      <c r="U671" s="1605"/>
      <c r="V671" s="1605"/>
      <c r="W671" s="1605"/>
      <c r="X671" s="1605"/>
      <c r="Y671" s="1605"/>
      <c r="Z671" s="1605"/>
      <c r="AA671" s="1605"/>
      <c r="AB671" s="1605"/>
      <c r="AC671" s="1605"/>
      <c r="AD671" s="1605"/>
      <c r="AE671" s="1605"/>
      <c r="AF671" s="1605"/>
      <c r="AG671" s="1605"/>
      <c r="AH671" s="1605"/>
      <c r="AI671" s="1605"/>
      <c r="AJ671" s="1605"/>
      <c r="AK671" s="1605"/>
      <c r="AL671" s="1605"/>
      <c r="AM671" s="1605"/>
      <c r="AN671" s="1605"/>
      <c r="AO671" s="1605"/>
      <c r="AP671" s="1605"/>
      <c r="AQ671" s="1605"/>
      <c r="AR671" s="1605"/>
      <c r="AS671" s="1605"/>
      <c r="AT671" s="1605"/>
      <c r="AU671" s="1605"/>
      <c r="AV671" s="1605"/>
      <c r="AW671" s="1605"/>
      <c r="AX671" s="1605"/>
      <c r="AY671" s="1605"/>
      <c r="AZ671" s="1605"/>
      <c r="BA671" s="1605"/>
      <c r="BB671" s="1605"/>
      <c r="BC671" s="1605"/>
      <c r="BD671" s="1605"/>
      <c r="BE671" s="1605"/>
      <c r="BF671" s="1605"/>
      <c r="BG671" s="1605"/>
      <c r="BH671" s="1605"/>
      <c r="BI671" s="1605"/>
      <c r="BJ671" s="1605"/>
      <c r="BK671" s="1605"/>
      <c r="BL671" s="1605"/>
      <c r="BM671" s="1605"/>
      <c r="BN671" s="1605"/>
      <c r="BO671" s="1605"/>
      <c r="BP671" s="1605"/>
      <c r="BQ671" s="1605"/>
      <c r="BR671" s="1605"/>
      <c r="BS671" s="1605"/>
      <c r="BT671" s="1605"/>
      <c r="BU671" s="1605"/>
      <c r="BV671" s="1605"/>
      <c r="BW671" s="1605"/>
      <c r="BX671" s="1605"/>
      <c r="BY671" s="1605"/>
      <c r="BZ671" s="1605"/>
      <c r="CA671" s="1605"/>
      <c r="CB671" s="1605"/>
      <c r="CC671" s="1605"/>
      <c r="CD671" s="1605"/>
      <c r="CE671" s="1605"/>
      <c r="CF671" s="1605"/>
      <c r="CG671" s="1605"/>
      <c r="CH671" s="1605"/>
      <c r="CI671" s="1605"/>
      <c r="CJ671" s="1605"/>
      <c r="CK671" s="1605"/>
      <c r="CL671" s="1605"/>
      <c r="CM671" s="1605"/>
      <c r="CN671" s="1605"/>
      <c r="CO671" s="1605"/>
      <c r="CP671" s="1605"/>
      <c r="CQ671" s="1605"/>
      <c r="CR671" s="1605"/>
      <c r="CS671" s="1605"/>
      <c r="CT671" s="1605"/>
      <c r="CU671" s="1605"/>
      <c r="CV671" s="1605"/>
      <c r="CW671" s="1605"/>
      <c r="CX671" s="1605"/>
      <c r="CY671" s="1605"/>
      <c r="CZ671" s="1605"/>
      <c r="DA671" s="1605"/>
      <c r="DB671" s="1605"/>
      <c r="DC671" s="1605"/>
      <c r="DD671" s="1605"/>
      <c r="DE671" s="1605"/>
      <c r="DF671" s="1605"/>
      <c r="DG671" s="1605"/>
      <c r="DH671" s="1605"/>
      <c r="DI671" s="1605"/>
      <c r="DJ671" s="1605"/>
      <c r="DK671" s="1605"/>
      <c r="DL671" s="1605"/>
      <c r="DM671" s="1605"/>
      <c r="DN671" s="1605"/>
      <c r="DO671" s="1605"/>
      <c r="DP671" s="1605"/>
      <c r="DQ671" s="1605"/>
      <c r="DR671" s="1605"/>
      <c r="DS671" s="1605"/>
      <c r="DT671" s="1605"/>
      <c r="DU671" s="1605"/>
      <c r="DV671" s="1605"/>
      <c r="DW671" s="1605"/>
      <c r="DX671" s="1605"/>
      <c r="DY671" s="1605"/>
      <c r="DZ671" s="1605"/>
      <c r="EA671" s="1605"/>
      <c r="EB671" s="1605"/>
      <c r="EC671" s="1605"/>
      <c r="ED671" s="1605"/>
      <c r="EE671" s="1605"/>
      <c r="EF671" s="1605"/>
      <c r="EG671" s="1605"/>
      <c r="EH671" s="1605"/>
      <c r="EI671" s="1605"/>
      <c r="EJ671" s="1605"/>
      <c r="EK671" s="1605"/>
      <c r="EL671" s="1605"/>
      <c r="EM671" s="1605"/>
      <c r="EN671" s="1605"/>
      <c r="EO671" s="1605"/>
      <c r="EP671" s="1605"/>
      <c r="EQ671" s="1605"/>
      <c r="ER671" s="1605"/>
      <c r="ES671" s="1605"/>
      <c r="ET671" s="1605"/>
      <c r="EU671" s="1605"/>
      <c r="EV671" s="1605"/>
      <c r="EW671" s="1605"/>
      <c r="EX671" s="1605"/>
      <c r="EY671" s="1605"/>
      <c r="EZ671" s="1605"/>
      <c r="FA671" s="1605"/>
      <c r="FB671" s="1605"/>
      <c r="FC671" s="1605"/>
      <c r="FD671" s="1605"/>
      <c r="FE671" s="1605"/>
      <c r="FF671" s="1605"/>
      <c r="FG671" s="1605"/>
      <c r="FH671" s="1605"/>
      <c r="FI671" s="1605"/>
      <c r="FJ671" s="1605"/>
      <c r="FK671" s="1605"/>
      <c r="FL671" s="1605"/>
      <c r="FM671" s="1605"/>
      <c r="FN671" s="1605"/>
      <c r="FO671" s="1605"/>
      <c r="FP671" s="1605"/>
      <c r="FQ671" s="1605"/>
      <c r="FR671" s="1605"/>
      <c r="FS671" s="1605"/>
      <c r="FT671" s="1605"/>
      <c r="FU671" s="1605"/>
      <c r="FV671" s="1605"/>
      <c r="FW671" s="1605"/>
      <c r="FX671" s="1605"/>
      <c r="FY671" s="1605"/>
      <c r="FZ671" s="1605"/>
      <c r="GA671" s="1605"/>
      <c r="GB671" s="1605"/>
      <c r="GC671" s="1605"/>
      <c r="GD671" s="1605"/>
      <c r="GE671" s="1605"/>
      <c r="GF671" s="1605"/>
      <c r="GG671" s="1605"/>
      <c r="GH671" s="1605"/>
      <c r="GI671" s="1605"/>
      <c r="GJ671" s="1605"/>
      <c r="GK671" s="1605"/>
      <c r="GL671" s="1605"/>
      <c r="GM671" s="1605"/>
      <c r="GN671" s="1605"/>
      <c r="GO671" s="1605"/>
      <c r="GP671" s="1605"/>
      <c r="GQ671" s="1605"/>
      <c r="GR671" s="1605"/>
      <c r="GS671" s="1605"/>
      <c r="GT671" s="1605"/>
      <c r="GU671" s="1605"/>
      <c r="GV671" s="1605"/>
      <c r="GW671" s="1605"/>
      <c r="GX671" s="1605"/>
      <c r="GY671" s="1605"/>
      <c r="GZ671" s="1605"/>
      <c r="HA671" s="1605"/>
      <c r="HB671" s="1605"/>
      <c r="HC671" s="1605"/>
      <c r="HD671" s="1605"/>
      <c r="HE671" s="1605"/>
      <c r="HF671" s="1605"/>
      <c r="HG671" s="1605"/>
      <c r="HH671" s="1605"/>
      <c r="HI671" s="1605"/>
      <c r="HJ671" s="1605"/>
      <c r="HK671" s="1605"/>
      <c r="HL671" s="1605"/>
      <c r="HM671" s="1605"/>
      <c r="HN671" s="1605"/>
      <c r="HO671" s="1605"/>
      <c r="HP671" s="1605"/>
      <c r="HQ671" s="1605"/>
      <c r="HR671" s="1605"/>
      <c r="HS671" s="1605"/>
      <c r="HT671" s="1605"/>
      <c r="HU671" s="1605"/>
      <c r="HV671" s="1605"/>
      <c r="HW671" s="1605"/>
      <c r="HX671" s="1605"/>
      <c r="HY671" s="1605"/>
      <c r="HZ671" s="1605"/>
      <c r="IA671" s="1605"/>
      <c r="IB671" s="1605"/>
      <c r="IC671" s="1605"/>
      <c r="ID671" s="1605"/>
      <c r="IE671" s="1605"/>
      <c r="IF671" s="1605"/>
      <c r="IG671" s="1605"/>
      <c r="IH671" s="1605"/>
      <c r="II671" s="1605"/>
      <c r="IJ671" s="1605"/>
      <c r="IK671" s="1605"/>
      <c r="IL671" s="1605"/>
      <c r="IM671" s="1605"/>
      <c r="IN671" s="1605"/>
      <c r="IO671" s="1605"/>
      <c r="IP671" s="1605"/>
      <c r="IQ671" s="1605"/>
      <c r="IR671" s="1605"/>
      <c r="IS671" s="1605"/>
      <c r="IT671" s="1605"/>
      <c r="IU671" s="1605"/>
      <c r="IV671" s="1605"/>
      <c r="IW671" s="1605"/>
      <c r="IX671" s="1605"/>
      <c r="IY671" s="1605"/>
      <c r="IZ671" s="1605"/>
      <c r="JA671" s="1605"/>
      <c r="JB671" s="1605"/>
      <c r="JC671" s="1605"/>
      <c r="JD671" s="1605"/>
      <c r="JE671" s="1605"/>
      <c r="JF671" s="1605"/>
      <c r="JG671" s="1605"/>
      <c r="JH671" s="1605"/>
      <c r="JI671" s="1605"/>
      <c r="JJ671" s="1605"/>
      <c r="JK671" s="1605"/>
      <c r="JL671" s="1605"/>
      <c r="JM671" s="1605"/>
      <c r="JN671" s="1605"/>
      <c r="JO671" s="1605"/>
      <c r="JP671" s="1605"/>
      <c r="JQ671" s="1605"/>
      <c r="JR671" s="1605"/>
      <c r="JS671" s="1605"/>
      <c r="JT671" s="1605"/>
      <c r="JU671" s="1605"/>
      <c r="JV671" s="1605"/>
      <c r="JW671" s="1605"/>
      <c r="JX671" s="1605"/>
      <c r="JY671" s="1605"/>
      <c r="JZ671" s="1605"/>
      <c r="KA671" s="1605"/>
      <c r="KB671" s="1606"/>
    </row>
    <row r="672" spans="2:288" ht="15" customHeight="1" x14ac:dyDescent="0.25">
      <c r="B672" s="216" t="str">
        <f t="shared" si="55"/>
        <v>Desk 42</v>
      </c>
      <c r="C672" s="218" t="str">
        <v/>
      </c>
      <c r="D672" s="218" t="str">
        <v/>
      </c>
      <c r="E672" s="218" t="str">
        <v/>
      </c>
      <c r="F672" s="218" t="str">
        <v/>
      </c>
      <c r="G672" s="402" t="str">
        <v/>
      </c>
      <c r="H672" s="1605"/>
      <c r="I672" s="1605"/>
      <c r="J672" s="1605"/>
      <c r="K672" s="1605"/>
      <c r="L672" s="1605"/>
      <c r="M672" s="1605"/>
      <c r="N672" s="1605"/>
      <c r="O672" s="1605"/>
      <c r="P672" s="1605"/>
      <c r="Q672" s="1605"/>
      <c r="R672" s="1605"/>
      <c r="S672" s="1605"/>
      <c r="T672" s="1605"/>
      <c r="U672" s="1605"/>
      <c r="V672" s="1605"/>
      <c r="W672" s="1605"/>
      <c r="X672" s="1605"/>
      <c r="Y672" s="1605"/>
      <c r="Z672" s="1605"/>
      <c r="AA672" s="1605"/>
      <c r="AB672" s="1605"/>
      <c r="AC672" s="1605"/>
      <c r="AD672" s="1605"/>
      <c r="AE672" s="1605"/>
      <c r="AF672" s="1605"/>
      <c r="AG672" s="1605"/>
      <c r="AH672" s="1605"/>
      <c r="AI672" s="1605"/>
      <c r="AJ672" s="1605"/>
      <c r="AK672" s="1605"/>
      <c r="AL672" s="1605"/>
      <c r="AM672" s="1605"/>
      <c r="AN672" s="1605"/>
      <c r="AO672" s="1605"/>
      <c r="AP672" s="1605"/>
      <c r="AQ672" s="1605"/>
      <c r="AR672" s="1605"/>
      <c r="AS672" s="1605"/>
      <c r="AT672" s="1605"/>
      <c r="AU672" s="1605"/>
      <c r="AV672" s="1605"/>
      <c r="AW672" s="1605"/>
      <c r="AX672" s="1605"/>
      <c r="AY672" s="1605"/>
      <c r="AZ672" s="1605"/>
      <c r="BA672" s="1605"/>
      <c r="BB672" s="1605"/>
      <c r="BC672" s="1605"/>
      <c r="BD672" s="1605"/>
      <c r="BE672" s="1605"/>
      <c r="BF672" s="1605"/>
      <c r="BG672" s="1605"/>
      <c r="BH672" s="1605"/>
      <c r="BI672" s="1605"/>
      <c r="BJ672" s="1605"/>
      <c r="BK672" s="1605"/>
      <c r="BL672" s="1605"/>
      <c r="BM672" s="1605"/>
      <c r="BN672" s="1605"/>
      <c r="BO672" s="1605"/>
      <c r="BP672" s="1605"/>
      <c r="BQ672" s="1605"/>
      <c r="BR672" s="1605"/>
      <c r="BS672" s="1605"/>
      <c r="BT672" s="1605"/>
      <c r="BU672" s="1605"/>
      <c r="BV672" s="1605"/>
      <c r="BW672" s="1605"/>
      <c r="BX672" s="1605"/>
      <c r="BY672" s="1605"/>
      <c r="BZ672" s="1605"/>
      <c r="CA672" s="1605"/>
      <c r="CB672" s="1605"/>
      <c r="CC672" s="1605"/>
      <c r="CD672" s="1605"/>
      <c r="CE672" s="1605"/>
      <c r="CF672" s="1605"/>
      <c r="CG672" s="1605"/>
      <c r="CH672" s="1605"/>
      <c r="CI672" s="1605"/>
      <c r="CJ672" s="1605"/>
      <c r="CK672" s="1605"/>
      <c r="CL672" s="1605"/>
      <c r="CM672" s="1605"/>
      <c r="CN672" s="1605"/>
      <c r="CO672" s="1605"/>
      <c r="CP672" s="1605"/>
      <c r="CQ672" s="1605"/>
      <c r="CR672" s="1605"/>
      <c r="CS672" s="1605"/>
      <c r="CT672" s="1605"/>
      <c r="CU672" s="1605"/>
      <c r="CV672" s="1605"/>
      <c r="CW672" s="1605"/>
      <c r="CX672" s="1605"/>
      <c r="CY672" s="1605"/>
      <c r="CZ672" s="1605"/>
      <c r="DA672" s="1605"/>
      <c r="DB672" s="1605"/>
      <c r="DC672" s="1605"/>
      <c r="DD672" s="1605"/>
      <c r="DE672" s="1605"/>
      <c r="DF672" s="1605"/>
      <c r="DG672" s="1605"/>
      <c r="DH672" s="1605"/>
      <c r="DI672" s="1605"/>
      <c r="DJ672" s="1605"/>
      <c r="DK672" s="1605"/>
      <c r="DL672" s="1605"/>
      <c r="DM672" s="1605"/>
      <c r="DN672" s="1605"/>
      <c r="DO672" s="1605"/>
      <c r="DP672" s="1605"/>
      <c r="DQ672" s="1605"/>
      <c r="DR672" s="1605"/>
      <c r="DS672" s="1605"/>
      <c r="DT672" s="1605"/>
      <c r="DU672" s="1605"/>
      <c r="DV672" s="1605"/>
      <c r="DW672" s="1605"/>
      <c r="DX672" s="1605"/>
      <c r="DY672" s="1605"/>
      <c r="DZ672" s="1605"/>
      <c r="EA672" s="1605"/>
      <c r="EB672" s="1605"/>
      <c r="EC672" s="1605"/>
      <c r="ED672" s="1605"/>
      <c r="EE672" s="1605"/>
      <c r="EF672" s="1605"/>
      <c r="EG672" s="1605"/>
      <c r="EH672" s="1605"/>
      <c r="EI672" s="1605"/>
      <c r="EJ672" s="1605"/>
      <c r="EK672" s="1605"/>
      <c r="EL672" s="1605"/>
      <c r="EM672" s="1605"/>
      <c r="EN672" s="1605"/>
      <c r="EO672" s="1605"/>
      <c r="EP672" s="1605"/>
      <c r="EQ672" s="1605"/>
      <c r="ER672" s="1605"/>
      <c r="ES672" s="1605"/>
      <c r="ET672" s="1605"/>
      <c r="EU672" s="1605"/>
      <c r="EV672" s="1605"/>
      <c r="EW672" s="1605"/>
      <c r="EX672" s="1605"/>
      <c r="EY672" s="1605"/>
      <c r="EZ672" s="1605"/>
      <c r="FA672" s="1605"/>
      <c r="FB672" s="1605"/>
      <c r="FC672" s="1605"/>
      <c r="FD672" s="1605"/>
      <c r="FE672" s="1605"/>
      <c r="FF672" s="1605"/>
      <c r="FG672" s="1605"/>
      <c r="FH672" s="1605"/>
      <c r="FI672" s="1605"/>
      <c r="FJ672" s="1605"/>
      <c r="FK672" s="1605"/>
      <c r="FL672" s="1605"/>
      <c r="FM672" s="1605"/>
      <c r="FN672" s="1605"/>
      <c r="FO672" s="1605"/>
      <c r="FP672" s="1605"/>
      <c r="FQ672" s="1605"/>
      <c r="FR672" s="1605"/>
      <c r="FS672" s="1605"/>
      <c r="FT672" s="1605"/>
      <c r="FU672" s="1605"/>
      <c r="FV672" s="1605"/>
      <c r="FW672" s="1605"/>
      <c r="FX672" s="1605"/>
      <c r="FY672" s="1605"/>
      <c r="FZ672" s="1605"/>
      <c r="GA672" s="1605"/>
      <c r="GB672" s="1605"/>
      <c r="GC672" s="1605"/>
      <c r="GD672" s="1605"/>
      <c r="GE672" s="1605"/>
      <c r="GF672" s="1605"/>
      <c r="GG672" s="1605"/>
      <c r="GH672" s="1605"/>
      <c r="GI672" s="1605"/>
      <c r="GJ672" s="1605"/>
      <c r="GK672" s="1605"/>
      <c r="GL672" s="1605"/>
      <c r="GM672" s="1605"/>
      <c r="GN672" s="1605"/>
      <c r="GO672" s="1605"/>
      <c r="GP672" s="1605"/>
      <c r="GQ672" s="1605"/>
      <c r="GR672" s="1605"/>
      <c r="GS672" s="1605"/>
      <c r="GT672" s="1605"/>
      <c r="GU672" s="1605"/>
      <c r="GV672" s="1605"/>
      <c r="GW672" s="1605"/>
      <c r="GX672" s="1605"/>
      <c r="GY672" s="1605"/>
      <c r="GZ672" s="1605"/>
      <c r="HA672" s="1605"/>
      <c r="HB672" s="1605"/>
      <c r="HC672" s="1605"/>
      <c r="HD672" s="1605"/>
      <c r="HE672" s="1605"/>
      <c r="HF672" s="1605"/>
      <c r="HG672" s="1605"/>
      <c r="HH672" s="1605"/>
      <c r="HI672" s="1605"/>
      <c r="HJ672" s="1605"/>
      <c r="HK672" s="1605"/>
      <c r="HL672" s="1605"/>
      <c r="HM672" s="1605"/>
      <c r="HN672" s="1605"/>
      <c r="HO672" s="1605"/>
      <c r="HP672" s="1605"/>
      <c r="HQ672" s="1605"/>
      <c r="HR672" s="1605"/>
      <c r="HS672" s="1605"/>
      <c r="HT672" s="1605"/>
      <c r="HU672" s="1605"/>
      <c r="HV672" s="1605"/>
      <c r="HW672" s="1605"/>
      <c r="HX672" s="1605"/>
      <c r="HY672" s="1605"/>
      <c r="HZ672" s="1605"/>
      <c r="IA672" s="1605"/>
      <c r="IB672" s="1605"/>
      <c r="IC672" s="1605"/>
      <c r="ID672" s="1605"/>
      <c r="IE672" s="1605"/>
      <c r="IF672" s="1605"/>
      <c r="IG672" s="1605"/>
      <c r="IH672" s="1605"/>
      <c r="II672" s="1605"/>
      <c r="IJ672" s="1605"/>
      <c r="IK672" s="1605"/>
      <c r="IL672" s="1605"/>
      <c r="IM672" s="1605"/>
      <c r="IN672" s="1605"/>
      <c r="IO672" s="1605"/>
      <c r="IP672" s="1605"/>
      <c r="IQ672" s="1605"/>
      <c r="IR672" s="1605"/>
      <c r="IS672" s="1605"/>
      <c r="IT672" s="1605"/>
      <c r="IU672" s="1605"/>
      <c r="IV672" s="1605"/>
      <c r="IW672" s="1605"/>
      <c r="IX672" s="1605"/>
      <c r="IY672" s="1605"/>
      <c r="IZ672" s="1605"/>
      <c r="JA672" s="1605"/>
      <c r="JB672" s="1605"/>
      <c r="JC672" s="1605"/>
      <c r="JD672" s="1605"/>
      <c r="JE672" s="1605"/>
      <c r="JF672" s="1605"/>
      <c r="JG672" s="1605"/>
      <c r="JH672" s="1605"/>
      <c r="JI672" s="1605"/>
      <c r="JJ672" s="1605"/>
      <c r="JK672" s="1605"/>
      <c r="JL672" s="1605"/>
      <c r="JM672" s="1605"/>
      <c r="JN672" s="1605"/>
      <c r="JO672" s="1605"/>
      <c r="JP672" s="1605"/>
      <c r="JQ672" s="1605"/>
      <c r="JR672" s="1605"/>
      <c r="JS672" s="1605"/>
      <c r="JT672" s="1605"/>
      <c r="JU672" s="1605"/>
      <c r="JV672" s="1605"/>
      <c r="JW672" s="1605"/>
      <c r="JX672" s="1605"/>
      <c r="JY672" s="1605"/>
      <c r="JZ672" s="1605"/>
      <c r="KA672" s="1605"/>
      <c r="KB672" s="1606"/>
    </row>
    <row r="673" spans="2:288" ht="15" customHeight="1" x14ac:dyDescent="0.25">
      <c r="B673" s="216" t="str">
        <f t="shared" si="55"/>
        <v>Desk 43</v>
      </c>
      <c r="C673" s="218" t="str">
        <v/>
      </c>
      <c r="D673" s="218" t="str">
        <v/>
      </c>
      <c r="E673" s="218" t="str">
        <v/>
      </c>
      <c r="F673" s="218" t="str">
        <v/>
      </c>
      <c r="G673" s="402" t="str">
        <v/>
      </c>
      <c r="H673" s="1605"/>
      <c r="I673" s="1605"/>
      <c r="J673" s="1605"/>
      <c r="K673" s="1605"/>
      <c r="L673" s="1605"/>
      <c r="M673" s="1605"/>
      <c r="N673" s="1605"/>
      <c r="O673" s="1605"/>
      <c r="P673" s="1605"/>
      <c r="Q673" s="1605"/>
      <c r="R673" s="1605"/>
      <c r="S673" s="1605"/>
      <c r="T673" s="1605"/>
      <c r="U673" s="1605"/>
      <c r="V673" s="1605"/>
      <c r="W673" s="1605"/>
      <c r="X673" s="1605"/>
      <c r="Y673" s="1605"/>
      <c r="Z673" s="1605"/>
      <c r="AA673" s="1605"/>
      <c r="AB673" s="1605"/>
      <c r="AC673" s="1605"/>
      <c r="AD673" s="1605"/>
      <c r="AE673" s="1605"/>
      <c r="AF673" s="1605"/>
      <c r="AG673" s="1605"/>
      <c r="AH673" s="1605"/>
      <c r="AI673" s="1605"/>
      <c r="AJ673" s="1605"/>
      <c r="AK673" s="1605"/>
      <c r="AL673" s="1605"/>
      <c r="AM673" s="1605"/>
      <c r="AN673" s="1605"/>
      <c r="AO673" s="1605"/>
      <c r="AP673" s="1605"/>
      <c r="AQ673" s="1605"/>
      <c r="AR673" s="1605"/>
      <c r="AS673" s="1605"/>
      <c r="AT673" s="1605"/>
      <c r="AU673" s="1605"/>
      <c r="AV673" s="1605"/>
      <c r="AW673" s="1605"/>
      <c r="AX673" s="1605"/>
      <c r="AY673" s="1605"/>
      <c r="AZ673" s="1605"/>
      <c r="BA673" s="1605"/>
      <c r="BB673" s="1605"/>
      <c r="BC673" s="1605"/>
      <c r="BD673" s="1605"/>
      <c r="BE673" s="1605"/>
      <c r="BF673" s="1605"/>
      <c r="BG673" s="1605"/>
      <c r="BH673" s="1605"/>
      <c r="BI673" s="1605"/>
      <c r="BJ673" s="1605"/>
      <c r="BK673" s="1605"/>
      <c r="BL673" s="1605"/>
      <c r="BM673" s="1605"/>
      <c r="BN673" s="1605"/>
      <c r="BO673" s="1605"/>
      <c r="BP673" s="1605"/>
      <c r="BQ673" s="1605"/>
      <c r="BR673" s="1605"/>
      <c r="BS673" s="1605"/>
      <c r="BT673" s="1605"/>
      <c r="BU673" s="1605"/>
      <c r="BV673" s="1605"/>
      <c r="BW673" s="1605"/>
      <c r="BX673" s="1605"/>
      <c r="BY673" s="1605"/>
      <c r="BZ673" s="1605"/>
      <c r="CA673" s="1605"/>
      <c r="CB673" s="1605"/>
      <c r="CC673" s="1605"/>
      <c r="CD673" s="1605"/>
      <c r="CE673" s="1605"/>
      <c r="CF673" s="1605"/>
      <c r="CG673" s="1605"/>
      <c r="CH673" s="1605"/>
      <c r="CI673" s="1605"/>
      <c r="CJ673" s="1605"/>
      <c r="CK673" s="1605"/>
      <c r="CL673" s="1605"/>
      <c r="CM673" s="1605"/>
      <c r="CN673" s="1605"/>
      <c r="CO673" s="1605"/>
      <c r="CP673" s="1605"/>
      <c r="CQ673" s="1605"/>
      <c r="CR673" s="1605"/>
      <c r="CS673" s="1605"/>
      <c r="CT673" s="1605"/>
      <c r="CU673" s="1605"/>
      <c r="CV673" s="1605"/>
      <c r="CW673" s="1605"/>
      <c r="CX673" s="1605"/>
      <c r="CY673" s="1605"/>
      <c r="CZ673" s="1605"/>
      <c r="DA673" s="1605"/>
      <c r="DB673" s="1605"/>
      <c r="DC673" s="1605"/>
      <c r="DD673" s="1605"/>
      <c r="DE673" s="1605"/>
      <c r="DF673" s="1605"/>
      <c r="DG673" s="1605"/>
      <c r="DH673" s="1605"/>
      <c r="DI673" s="1605"/>
      <c r="DJ673" s="1605"/>
      <c r="DK673" s="1605"/>
      <c r="DL673" s="1605"/>
      <c r="DM673" s="1605"/>
      <c r="DN673" s="1605"/>
      <c r="DO673" s="1605"/>
      <c r="DP673" s="1605"/>
      <c r="DQ673" s="1605"/>
      <c r="DR673" s="1605"/>
      <c r="DS673" s="1605"/>
      <c r="DT673" s="1605"/>
      <c r="DU673" s="1605"/>
      <c r="DV673" s="1605"/>
      <c r="DW673" s="1605"/>
      <c r="DX673" s="1605"/>
      <c r="DY673" s="1605"/>
      <c r="DZ673" s="1605"/>
      <c r="EA673" s="1605"/>
      <c r="EB673" s="1605"/>
      <c r="EC673" s="1605"/>
      <c r="ED673" s="1605"/>
      <c r="EE673" s="1605"/>
      <c r="EF673" s="1605"/>
      <c r="EG673" s="1605"/>
      <c r="EH673" s="1605"/>
      <c r="EI673" s="1605"/>
      <c r="EJ673" s="1605"/>
      <c r="EK673" s="1605"/>
      <c r="EL673" s="1605"/>
      <c r="EM673" s="1605"/>
      <c r="EN673" s="1605"/>
      <c r="EO673" s="1605"/>
      <c r="EP673" s="1605"/>
      <c r="EQ673" s="1605"/>
      <c r="ER673" s="1605"/>
      <c r="ES673" s="1605"/>
      <c r="ET673" s="1605"/>
      <c r="EU673" s="1605"/>
      <c r="EV673" s="1605"/>
      <c r="EW673" s="1605"/>
      <c r="EX673" s="1605"/>
      <c r="EY673" s="1605"/>
      <c r="EZ673" s="1605"/>
      <c r="FA673" s="1605"/>
      <c r="FB673" s="1605"/>
      <c r="FC673" s="1605"/>
      <c r="FD673" s="1605"/>
      <c r="FE673" s="1605"/>
      <c r="FF673" s="1605"/>
      <c r="FG673" s="1605"/>
      <c r="FH673" s="1605"/>
      <c r="FI673" s="1605"/>
      <c r="FJ673" s="1605"/>
      <c r="FK673" s="1605"/>
      <c r="FL673" s="1605"/>
      <c r="FM673" s="1605"/>
      <c r="FN673" s="1605"/>
      <c r="FO673" s="1605"/>
      <c r="FP673" s="1605"/>
      <c r="FQ673" s="1605"/>
      <c r="FR673" s="1605"/>
      <c r="FS673" s="1605"/>
      <c r="FT673" s="1605"/>
      <c r="FU673" s="1605"/>
      <c r="FV673" s="1605"/>
      <c r="FW673" s="1605"/>
      <c r="FX673" s="1605"/>
      <c r="FY673" s="1605"/>
      <c r="FZ673" s="1605"/>
      <c r="GA673" s="1605"/>
      <c r="GB673" s="1605"/>
      <c r="GC673" s="1605"/>
      <c r="GD673" s="1605"/>
      <c r="GE673" s="1605"/>
      <c r="GF673" s="1605"/>
      <c r="GG673" s="1605"/>
      <c r="GH673" s="1605"/>
      <c r="GI673" s="1605"/>
      <c r="GJ673" s="1605"/>
      <c r="GK673" s="1605"/>
      <c r="GL673" s="1605"/>
      <c r="GM673" s="1605"/>
      <c r="GN673" s="1605"/>
      <c r="GO673" s="1605"/>
      <c r="GP673" s="1605"/>
      <c r="GQ673" s="1605"/>
      <c r="GR673" s="1605"/>
      <c r="GS673" s="1605"/>
      <c r="GT673" s="1605"/>
      <c r="GU673" s="1605"/>
      <c r="GV673" s="1605"/>
      <c r="GW673" s="1605"/>
      <c r="GX673" s="1605"/>
      <c r="GY673" s="1605"/>
      <c r="GZ673" s="1605"/>
      <c r="HA673" s="1605"/>
      <c r="HB673" s="1605"/>
      <c r="HC673" s="1605"/>
      <c r="HD673" s="1605"/>
      <c r="HE673" s="1605"/>
      <c r="HF673" s="1605"/>
      <c r="HG673" s="1605"/>
      <c r="HH673" s="1605"/>
      <c r="HI673" s="1605"/>
      <c r="HJ673" s="1605"/>
      <c r="HK673" s="1605"/>
      <c r="HL673" s="1605"/>
      <c r="HM673" s="1605"/>
      <c r="HN673" s="1605"/>
      <c r="HO673" s="1605"/>
      <c r="HP673" s="1605"/>
      <c r="HQ673" s="1605"/>
      <c r="HR673" s="1605"/>
      <c r="HS673" s="1605"/>
      <c r="HT673" s="1605"/>
      <c r="HU673" s="1605"/>
      <c r="HV673" s="1605"/>
      <c r="HW673" s="1605"/>
      <c r="HX673" s="1605"/>
      <c r="HY673" s="1605"/>
      <c r="HZ673" s="1605"/>
      <c r="IA673" s="1605"/>
      <c r="IB673" s="1605"/>
      <c r="IC673" s="1605"/>
      <c r="ID673" s="1605"/>
      <c r="IE673" s="1605"/>
      <c r="IF673" s="1605"/>
      <c r="IG673" s="1605"/>
      <c r="IH673" s="1605"/>
      <c r="II673" s="1605"/>
      <c r="IJ673" s="1605"/>
      <c r="IK673" s="1605"/>
      <c r="IL673" s="1605"/>
      <c r="IM673" s="1605"/>
      <c r="IN673" s="1605"/>
      <c r="IO673" s="1605"/>
      <c r="IP673" s="1605"/>
      <c r="IQ673" s="1605"/>
      <c r="IR673" s="1605"/>
      <c r="IS673" s="1605"/>
      <c r="IT673" s="1605"/>
      <c r="IU673" s="1605"/>
      <c r="IV673" s="1605"/>
      <c r="IW673" s="1605"/>
      <c r="IX673" s="1605"/>
      <c r="IY673" s="1605"/>
      <c r="IZ673" s="1605"/>
      <c r="JA673" s="1605"/>
      <c r="JB673" s="1605"/>
      <c r="JC673" s="1605"/>
      <c r="JD673" s="1605"/>
      <c r="JE673" s="1605"/>
      <c r="JF673" s="1605"/>
      <c r="JG673" s="1605"/>
      <c r="JH673" s="1605"/>
      <c r="JI673" s="1605"/>
      <c r="JJ673" s="1605"/>
      <c r="JK673" s="1605"/>
      <c r="JL673" s="1605"/>
      <c r="JM673" s="1605"/>
      <c r="JN673" s="1605"/>
      <c r="JO673" s="1605"/>
      <c r="JP673" s="1605"/>
      <c r="JQ673" s="1605"/>
      <c r="JR673" s="1605"/>
      <c r="JS673" s="1605"/>
      <c r="JT673" s="1605"/>
      <c r="JU673" s="1605"/>
      <c r="JV673" s="1605"/>
      <c r="JW673" s="1605"/>
      <c r="JX673" s="1605"/>
      <c r="JY673" s="1605"/>
      <c r="JZ673" s="1605"/>
      <c r="KA673" s="1605"/>
      <c r="KB673" s="1606"/>
    </row>
    <row r="674" spans="2:288" ht="15" customHeight="1" x14ac:dyDescent="0.25">
      <c r="B674" s="216" t="str">
        <f t="shared" si="55"/>
        <v>Desk 44</v>
      </c>
      <c r="C674" s="218" t="str">
        <v/>
      </c>
      <c r="D674" s="218" t="str">
        <v/>
      </c>
      <c r="E674" s="218" t="str">
        <v/>
      </c>
      <c r="F674" s="218" t="str">
        <v/>
      </c>
      <c r="G674" s="402" t="str">
        <v/>
      </c>
      <c r="H674" s="1605"/>
      <c r="I674" s="1605"/>
      <c r="J674" s="1605"/>
      <c r="K674" s="1605"/>
      <c r="L674" s="1605"/>
      <c r="M674" s="1605"/>
      <c r="N674" s="1605"/>
      <c r="O674" s="1605"/>
      <c r="P674" s="1605"/>
      <c r="Q674" s="1605"/>
      <c r="R674" s="1605"/>
      <c r="S674" s="1605"/>
      <c r="T674" s="1605"/>
      <c r="U674" s="1605"/>
      <c r="V674" s="1605"/>
      <c r="W674" s="1605"/>
      <c r="X674" s="1605"/>
      <c r="Y674" s="1605"/>
      <c r="Z674" s="1605"/>
      <c r="AA674" s="1605"/>
      <c r="AB674" s="1605"/>
      <c r="AC674" s="1605"/>
      <c r="AD674" s="1605"/>
      <c r="AE674" s="1605"/>
      <c r="AF674" s="1605"/>
      <c r="AG674" s="1605"/>
      <c r="AH674" s="1605"/>
      <c r="AI674" s="1605"/>
      <c r="AJ674" s="1605"/>
      <c r="AK674" s="1605"/>
      <c r="AL674" s="1605"/>
      <c r="AM674" s="1605"/>
      <c r="AN674" s="1605"/>
      <c r="AO674" s="1605"/>
      <c r="AP674" s="1605"/>
      <c r="AQ674" s="1605"/>
      <c r="AR674" s="1605"/>
      <c r="AS674" s="1605"/>
      <c r="AT674" s="1605"/>
      <c r="AU674" s="1605"/>
      <c r="AV674" s="1605"/>
      <c r="AW674" s="1605"/>
      <c r="AX674" s="1605"/>
      <c r="AY674" s="1605"/>
      <c r="AZ674" s="1605"/>
      <c r="BA674" s="1605"/>
      <c r="BB674" s="1605"/>
      <c r="BC674" s="1605"/>
      <c r="BD674" s="1605"/>
      <c r="BE674" s="1605"/>
      <c r="BF674" s="1605"/>
      <c r="BG674" s="1605"/>
      <c r="BH674" s="1605"/>
      <c r="BI674" s="1605"/>
      <c r="BJ674" s="1605"/>
      <c r="BK674" s="1605"/>
      <c r="BL674" s="1605"/>
      <c r="BM674" s="1605"/>
      <c r="BN674" s="1605"/>
      <c r="BO674" s="1605"/>
      <c r="BP674" s="1605"/>
      <c r="BQ674" s="1605"/>
      <c r="BR674" s="1605"/>
      <c r="BS674" s="1605"/>
      <c r="BT674" s="1605"/>
      <c r="BU674" s="1605"/>
      <c r="BV674" s="1605"/>
      <c r="BW674" s="1605"/>
      <c r="BX674" s="1605"/>
      <c r="BY674" s="1605"/>
      <c r="BZ674" s="1605"/>
      <c r="CA674" s="1605"/>
      <c r="CB674" s="1605"/>
      <c r="CC674" s="1605"/>
      <c r="CD674" s="1605"/>
      <c r="CE674" s="1605"/>
      <c r="CF674" s="1605"/>
      <c r="CG674" s="1605"/>
      <c r="CH674" s="1605"/>
      <c r="CI674" s="1605"/>
      <c r="CJ674" s="1605"/>
      <c r="CK674" s="1605"/>
      <c r="CL674" s="1605"/>
      <c r="CM674" s="1605"/>
      <c r="CN674" s="1605"/>
      <c r="CO674" s="1605"/>
      <c r="CP674" s="1605"/>
      <c r="CQ674" s="1605"/>
      <c r="CR674" s="1605"/>
      <c r="CS674" s="1605"/>
      <c r="CT674" s="1605"/>
      <c r="CU674" s="1605"/>
      <c r="CV674" s="1605"/>
      <c r="CW674" s="1605"/>
      <c r="CX674" s="1605"/>
      <c r="CY674" s="1605"/>
      <c r="CZ674" s="1605"/>
      <c r="DA674" s="1605"/>
      <c r="DB674" s="1605"/>
      <c r="DC674" s="1605"/>
      <c r="DD674" s="1605"/>
      <c r="DE674" s="1605"/>
      <c r="DF674" s="1605"/>
      <c r="DG674" s="1605"/>
      <c r="DH674" s="1605"/>
      <c r="DI674" s="1605"/>
      <c r="DJ674" s="1605"/>
      <c r="DK674" s="1605"/>
      <c r="DL674" s="1605"/>
      <c r="DM674" s="1605"/>
      <c r="DN674" s="1605"/>
      <c r="DO674" s="1605"/>
      <c r="DP674" s="1605"/>
      <c r="DQ674" s="1605"/>
      <c r="DR674" s="1605"/>
      <c r="DS674" s="1605"/>
      <c r="DT674" s="1605"/>
      <c r="DU674" s="1605"/>
      <c r="DV674" s="1605"/>
      <c r="DW674" s="1605"/>
      <c r="DX674" s="1605"/>
      <c r="DY674" s="1605"/>
      <c r="DZ674" s="1605"/>
      <c r="EA674" s="1605"/>
      <c r="EB674" s="1605"/>
      <c r="EC674" s="1605"/>
      <c r="ED674" s="1605"/>
      <c r="EE674" s="1605"/>
      <c r="EF674" s="1605"/>
      <c r="EG674" s="1605"/>
      <c r="EH674" s="1605"/>
      <c r="EI674" s="1605"/>
      <c r="EJ674" s="1605"/>
      <c r="EK674" s="1605"/>
      <c r="EL674" s="1605"/>
      <c r="EM674" s="1605"/>
      <c r="EN674" s="1605"/>
      <c r="EO674" s="1605"/>
      <c r="EP674" s="1605"/>
      <c r="EQ674" s="1605"/>
      <c r="ER674" s="1605"/>
      <c r="ES674" s="1605"/>
      <c r="ET674" s="1605"/>
      <c r="EU674" s="1605"/>
      <c r="EV674" s="1605"/>
      <c r="EW674" s="1605"/>
      <c r="EX674" s="1605"/>
      <c r="EY674" s="1605"/>
      <c r="EZ674" s="1605"/>
      <c r="FA674" s="1605"/>
      <c r="FB674" s="1605"/>
      <c r="FC674" s="1605"/>
      <c r="FD674" s="1605"/>
      <c r="FE674" s="1605"/>
      <c r="FF674" s="1605"/>
      <c r="FG674" s="1605"/>
      <c r="FH674" s="1605"/>
      <c r="FI674" s="1605"/>
      <c r="FJ674" s="1605"/>
      <c r="FK674" s="1605"/>
      <c r="FL674" s="1605"/>
      <c r="FM674" s="1605"/>
      <c r="FN674" s="1605"/>
      <c r="FO674" s="1605"/>
      <c r="FP674" s="1605"/>
      <c r="FQ674" s="1605"/>
      <c r="FR674" s="1605"/>
      <c r="FS674" s="1605"/>
      <c r="FT674" s="1605"/>
      <c r="FU674" s="1605"/>
      <c r="FV674" s="1605"/>
      <c r="FW674" s="1605"/>
      <c r="FX674" s="1605"/>
      <c r="FY674" s="1605"/>
      <c r="FZ674" s="1605"/>
      <c r="GA674" s="1605"/>
      <c r="GB674" s="1605"/>
      <c r="GC674" s="1605"/>
      <c r="GD674" s="1605"/>
      <c r="GE674" s="1605"/>
      <c r="GF674" s="1605"/>
      <c r="GG674" s="1605"/>
      <c r="GH674" s="1605"/>
      <c r="GI674" s="1605"/>
      <c r="GJ674" s="1605"/>
      <c r="GK674" s="1605"/>
      <c r="GL674" s="1605"/>
      <c r="GM674" s="1605"/>
      <c r="GN674" s="1605"/>
      <c r="GO674" s="1605"/>
      <c r="GP674" s="1605"/>
      <c r="GQ674" s="1605"/>
      <c r="GR674" s="1605"/>
      <c r="GS674" s="1605"/>
      <c r="GT674" s="1605"/>
      <c r="GU674" s="1605"/>
      <c r="GV674" s="1605"/>
      <c r="GW674" s="1605"/>
      <c r="GX674" s="1605"/>
      <c r="GY674" s="1605"/>
      <c r="GZ674" s="1605"/>
      <c r="HA674" s="1605"/>
      <c r="HB674" s="1605"/>
      <c r="HC674" s="1605"/>
      <c r="HD674" s="1605"/>
      <c r="HE674" s="1605"/>
      <c r="HF674" s="1605"/>
      <c r="HG674" s="1605"/>
      <c r="HH674" s="1605"/>
      <c r="HI674" s="1605"/>
      <c r="HJ674" s="1605"/>
      <c r="HK674" s="1605"/>
      <c r="HL674" s="1605"/>
      <c r="HM674" s="1605"/>
      <c r="HN674" s="1605"/>
      <c r="HO674" s="1605"/>
      <c r="HP674" s="1605"/>
      <c r="HQ674" s="1605"/>
      <c r="HR674" s="1605"/>
      <c r="HS674" s="1605"/>
      <c r="HT674" s="1605"/>
      <c r="HU674" s="1605"/>
      <c r="HV674" s="1605"/>
      <c r="HW674" s="1605"/>
      <c r="HX674" s="1605"/>
      <c r="HY674" s="1605"/>
      <c r="HZ674" s="1605"/>
      <c r="IA674" s="1605"/>
      <c r="IB674" s="1605"/>
      <c r="IC674" s="1605"/>
      <c r="ID674" s="1605"/>
      <c r="IE674" s="1605"/>
      <c r="IF674" s="1605"/>
      <c r="IG674" s="1605"/>
      <c r="IH674" s="1605"/>
      <c r="II674" s="1605"/>
      <c r="IJ674" s="1605"/>
      <c r="IK674" s="1605"/>
      <c r="IL674" s="1605"/>
      <c r="IM674" s="1605"/>
      <c r="IN674" s="1605"/>
      <c r="IO674" s="1605"/>
      <c r="IP674" s="1605"/>
      <c r="IQ674" s="1605"/>
      <c r="IR674" s="1605"/>
      <c r="IS674" s="1605"/>
      <c r="IT674" s="1605"/>
      <c r="IU674" s="1605"/>
      <c r="IV674" s="1605"/>
      <c r="IW674" s="1605"/>
      <c r="IX674" s="1605"/>
      <c r="IY674" s="1605"/>
      <c r="IZ674" s="1605"/>
      <c r="JA674" s="1605"/>
      <c r="JB674" s="1605"/>
      <c r="JC674" s="1605"/>
      <c r="JD674" s="1605"/>
      <c r="JE674" s="1605"/>
      <c r="JF674" s="1605"/>
      <c r="JG674" s="1605"/>
      <c r="JH674" s="1605"/>
      <c r="JI674" s="1605"/>
      <c r="JJ674" s="1605"/>
      <c r="JK674" s="1605"/>
      <c r="JL674" s="1605"/>
      <c r="JM674" s="1605"/>
      <c r="JN674" s="1605"/>
      <c r="JO674" s="1605"/>
      <c r="JP674" s="1605"/>
      <c r="JQ674" s="1605"/>
      <c r="JR674" s="1605"/>
      <c r="JS674" s="1605"/>
      <c r="JT674" s="1605"/>
      <c r="JU674" s="1605"/>
      <c r="JV674" s="1605"/>
      <c r="JW674" s="1605"/>
      <c r="JX674" s="1605"/>
      <c r="JY674" s="1605"/>
      <c r="JZ674" s="1605"/>
      <c r="KA674" s="1605"/>
      <c r="KB674" s="1606"/>
    </row>
    <row r="675" spans="2:288" ht="15" customHeight="1" x14ac:dyDescent="0.25">
      <c r="B675" s="216" t="str">
        <f t="shared" si="55"/>
        <v>Desk 45</v>
      </c>
      <c r="C675" s="218" t="str">
        <v/>
      </c>
      <c r="D675" s="218" t="str">
        <v/>
      </c>
      <c r="E675" s="218" t="str">
        <v/>
      </c>
      <c r="F675" s="218" t="str">
        <v/>
      </c>
      <c r="G675" s="402" t="str">
        <v/>
      </c>
      <c r="H675" s="1605"/>
      <c r="I675" s="1605"/>
      <c r="J675" s="1605"/>
      <c r="K675" s="1605"/>
      <c r="L675" s="1605"/>
      <c r="M675" s="1605"/>
      <c r="N675" s="1605"/>
      <c r="O675" s="1605"/>
      <c r="P675" s="1605"/>
      <c r="Q675" s="1605"/>
      <c r="R675" s="1605"/>
      <c r="S675" s="1605"/>
      <c r="T675" s="1605"/>
      <c r="U675" s="1605"/>
      <c r="V675" s="1605"/>
      <c r="W675" s="1605"/>
      <c r="X675" s="1605"/>
      <c r="Y675" s="1605"/>
      <c r="Z675" s="1605"/>
      <c r="AA675" s="1605"/>
      <c r="AB675" s="1605"/>
      <c r="AC675" s="1605"/>
      <c r="AD675" s="1605"/>
      <c r="AE675" s="1605"/>
      <c r="AF675" s="1605"/>
      <c r="AG675" s="1605"/>
      <c r="AH675" s="1605"/>
      <c r="AI675" s="1605"/>
      <c r="AJ675" s="1605"/>
      <c r="AK675" s="1605"/>
      <c r="AL675" s="1605"/>
      <c r="AM675" s="1605"/>
      <c r="AN675" s="1605"/>
      <c r="AO675" s="1605"/>
      <c r="AP675" s="1605"/>
      <c r="AQ675" s="1605"/>
      <c r="AR675" s="1605"/>
      <c r="AS675" s="1605"/>
      <c r="AT675" s="1605"/>
      <c r="AU675" s="1605"/>
      <c r="AV675" s="1605"/>
      <c r="AW675" s="1605"/>
      <c r="AX675" s="1605"/>
      <c r="AY675" s="1605"/>
      <c r="AZ675" s="1605"/>
      <c r="BA675" s="1605"/>
      <c r="BB675" s="1605"/>
      <c r="BC675" s="1605"/>
      <c r="BD675" s="1605"/>
      <c r="BE675" s="1605"/>
      <c r="BF675" s="1605"/>
      <c r="BG675" s="1605"/>
      <c r="BH675" s="1605"/>
      <c r="BI675" s="1605"/>
      <c r="BJ675" s="1605"/>
      <c r="BK675" s="1605"/>
      <c r="BL675" s="1605"/>
      <c r="BM675" s="1605"/>
      <c r="BN675" s="1605"/>
      <c r="BO675" s="1605"/>
      <c r="BP675" s="1605"/>
      <c r="BQ675" s="1605"/>
      <c r="BR675" s="1605"/>
      <c r="BS675" s="1605"/>
      <c r="BT675" s="1605"/>
      <c r="BU675" s="1605"/>
      <c r="BV675" s="1605"/>
      <c r="BW675" s="1605"/>
      <c r="BX675" s="1605"/>
      <c r="BY675" s="1605"/>
      <c r="BZ675" s="1605"/>
      <c r="CA675" s="1605"/>
      <c r="CB675" s="1605"/>
      <c r="CC675" s="1605"/>
      <c r="CD675" s="1605"/>
      <c r="CE675" s="1605"/>
      <c r="CF675" s="1605"/>
      <c r="CG675" s="1605"/>
      <c r="CH675" s="1605"/>
      <c r="CI675" s="1605"/>
      <c r="CJ675" s="1605"/>
      <c r="CK675" s="1605"/>
      <c r="CL675" s="1605"/>
      <c r="CM675" s="1605"/>
      <c r="CN675" s="1605"/>
      <c r="CO675" s="1605"/>
      <c r="CP675" s="1605"/>
      <c r="CQ675" s="1605"/>
      <c r="CR675" s="1605"/>
      <c r="CS675" s="1605"/>
      <c r="CT675" s="1605"/>
      <c r="CU675" s="1605"/>
      <c r="CV675" s="1605"/>
      <c r="CW675" s="1605"/>
      <c r="CX675" s="1605"/>
      <c r="CY675" s="1605"/>
      <c r="CZ675" s="1605"/>
      <c r="DA675" s="1605"/>
      <c r="DB675" s="1605"/>
      <c r="DC675" s="1605"/>
      <c r="DD675" s="1605"/>
      <c r="DE675" s="1605"/>
      <c r="DF675" s="1605"/>
      <c r="DG675" s="1605"/>
      <c r="DH675" s="1605"/>
      <c r="DI675" s="1605"/>
      <c r="DJ675" s="1605"/>
      <c r="DK675" s="1605"/>
      <c r="DL675" s="1605"/>
      <c r="DM675" s="1605"/>
      <c r="DN675" s="1605"/>
      <c r="DO675" s="1605"/>
      <c r="DP675" s="1605"/>
      <c r="DQ675" s="1605"/>
      <c r="DR675" s="1605"/>
      <c r="DS675" s="1605"/>
      <c r="DT675" s="1605"/>
      <c r="DU675" s="1605"/>
      <c r="DV675" s="1605"/>
      <c r="DW675" s="1605"/>
      <c r="DX675" s="1605"/>
      <c r="DY675" s="1605"/>
      <c r="DZ675" s="1605"/>
      <c r="EA675" s="1605"/>
      <c r="EB675" s="1605"/>
      <c r="EC675" s="1605"/>
      <c r="ED675" s="1605"/>
      <c r="EE675" s="1605"/>
      <c r="EF675" s="1605"/>
      <c r="EG675" s="1605"/>
      <c r="EH675" s="1605"/>
      <c r="EI675" s="1605"/>
      <c r="EJ675" s="1605"/>
      <c r="EK675" s="1605"/>
      <c r="EL675" s="1605"/>
      <c r="EM675" s="1605"/>
      <c r="EN675" s="1605"/>
      <c r="EO675" s="1605"/>
      <c r="EP675" s="1605"/>
      <c r="EQ675" s="1605"/>
      <c r="ER675" s="1605"/>
      <c r="ES675" s="1605"/>
      <c r="ET675" s="1605"/>
      <c r="EU675" s="1605"/>
      <c r="EV675" s="1605"/>
      <c r="EW675" s="1605"/>
      <c r="EX675" s="1605"/>
      <c r="EY675" s="1605"/>
      <c r="EZ675" s="1605"/>
      <c r="FA675" s="1605"/>
      <c r="FB675" s="1605"/>
      <c r="FC675" s="1605"/>
      <c r="FD675" s="1605"/>
      <c r="FE675" s="1605"/>
      <c r="FF675" s="1605"/>
      <c r="FG675" s="1605"/>
      <c r="FH675" s="1605"/>
      <c r="FI675" s="1605"/>
      <c r="FJ675" s="1605"/>
      <c r="FK675" s="1605"/>
      <c r="FL675" s="1605"/>
      <c r="FM675" s="1605"/>
      <c r="FN675" s="1605"/>
      <c r="FO675" s="1605"/>
      <c r="FP675" s="1605"/>
      <c r="FQ675" s="1605"/>
      <c r="FR675" s="1605"/>
      <c r="FS675" s="1605"/>
      <c r="FT675" s="1605"/>
      <c r="FU675" s="1605"/>
      <c r="FV675" s="1605"/>
      <c r="FW675" s="1605"/>
      <c r="FX675" s="1605"/>
      <c r="FY675" s="1605"/>
      <c r="FZ675" s="1605"/>
      <c r="GA675" s="1605"/>
      <c r="GB675" s="1605"/>
      <c r="GC675" s="1605"/>
      <c r="GD675" s="1605"/>
      <c r="GE675" s="1605"/>
      <c r="GF675" s="1605"/>
      <c r="GG675" s="1605"/>
      <c r="GH675" s="1605"/>
      <c r="GI675" s="1605"/>
      <c r="GJ675" s="1605"/>
      <c r="GK675" s="1605"/>
      <c r="GL675" s="1605"/>
      <c r="GM675" s="1605"/>
      <c r="GN675" s="1605"/>
      <c r="GO675" s="1605"/>
      <c r="GP675" s="1605"/>
      <c r="GQ675" s="1605"/>
      <c r="GR675" s="1605"/>
      <c r="GS675" s="1605"/>
      <c r="GT675" s="1605"/>
      <c r="GU675" s="1605"/>
      <c r="GV675" s="1605"/>
      <c r="GW675" s="1605"/>
      <c r="GX675" s="1605"/>
      <c r="GY675" s="1605"/>
      <c r="GZ675" s="1605"/>
      <c r="HA675" s="1605"/>
      <c r="HB675" s="1605"/>
      <c r="HC675" s="1605"/>
      <c r="HD675" s="1605"/>
      <c r="HE675" s="1605"/>
      <c r="HF675" s="1605"/>
      <c r="HG675" s="1605"/>
      <c r="HH675" s="1605"/>
      <c r="HI675" s="1605"/>
      <c r="HJ675" s="1605"/>
      <c r="HK675" s="1605"/>
      <c r="HL675" s="1605"/>
      <c r="HM675" s="1605"/>
      <c r="HN675" s="1605"/>
      <c r="HO675" s="1605"/>
      <c r="HP675" s="1605"/>
      <c r="HQ675" s="1605"/>
      <c r="HR675" s="1605"/>
      <c r="HS675" s="1605"/>
      <c r="HT675" s="1605"/>
      <c r="HU675" s="1605"/>
      <c r="HV675" s="1605"/>
      <c r="HW675" s="1605"/>
      <c r="HX675" s="1605"/>
      <c r="HY675" s="1605"/>
      <c r="HZ675" s="1605"/>
      <c r="IA675" s="1605"/>
      <c r="IB675" s="1605"/>
      <c r="IC675" s="1605"/>
      <c r="ID675" s="1605"/>
      <c r="IE675" s="1605"/>
      <c r="IF675" s="1605"/>
      <c r="IG675" s="1605"/>
      <c r="IH675" s="1605"/>
      <c r="II675" s="1605"/>
      <c r="IJ675" s="1605"/>
      <c r="IK675" s="1605"/>
      <c r="IL675" s="1605"/>
      <c r="IM675" s="1605"/>
      <c r="IN675" s="1605"/>
      <c r="IO675" s="1605"/>
      <c r="IP675" s="1605"/>
      <c r="IQ675" s="1605"/>
      <c r="IR675" s="1605"/>
      <c r="IS675" s="1605"/>
      <c r="IT675" s="1605"/>
      <c r="IU675" s="1605"/>
      <c r="IV675" s="1605"/>
      <c r="IW675" s="1605"/>
      <c r="IX675" s="1605"/>
      <c r="IY675" s="1605"/>
      <c r="IZ675" s="1605"/>
      <c r="JA675" s="1605"/>
      <c r="JB675" s="1605"/>
      <c r="JC675" s="1605"/>
      <c r="JD675" s="1605"/>
      <c r="JE675" s="1605"/>
      <c r="JF675" s="1605"/>
      <c r="JG675" s="1605"/>
      <c r="JH675" s="1605"/>
      <c r="JI675" s="1605"/>
      <c r="JJ675" s="1605"/>
      <c r="JK675" s="1605"/>
      <c r="JL675" s="1605"/>
      <c r="JM675" s="1605"/>
      <c r="JN675" s="1605"/>
      <c r="JO675" s="1605"/>
      <c r="JP675" s="1605"/>
      <c r="JQ675" s="1605"/>
      <c r="JR675" s="1605"/>
      <c r="JS675" s="1605"/>
      <c r="JT675" s="1605"/>
      <c r="JU675" s="1605"/>
      <c r="JV675" s="1605"/>
      <c r="JW675" s="1605"/>
      <c r="JX675" s="1605"/>
      <c r="JY675" s="1605"/>
      <c r="JZ675" s="1605"/>
      <c r="KA675" s="1605"/>
      <c r="KB675" s="1606"/>
    </row>
    <row r="676" spans="2:288" ht="15" customHeight="1" x14ac:dyDescent="0.25">
      <c r="B676" s="216" t="str">
        <f t="shared" si="55"/>
        <v>Desk 46</v>
      </c>
      <c r="C676" s="218" t="str">
        <v/>
      </c>
      <c r="D676" s="218" t="str">
        <v/>
      </c>
      <c r="E676" s="218" t="str">
        <v/>
      </c>
      <c r="F676" s="218" t="str">
        <v/>
      </c>
      <c r="G676" s="402" t="str">
        <v/>
      </c>
      <c r="H676" s="1605"/>
      <c r="I676" s="1605"/>
      <c r="J676" s="1605"/>
      <c r="K676" s="1605"/>
      <c r="L676" s="1605"/>
      <c r="M676" s="1605"/>
      <c r="N676" s="1605"/>
      <c r="O676" s="1605"/>
      <c r="P676" s="1605"/>
      <c r="Q676" s="1605"/>
      <c r="R676" s="1605"/>
      <c r="S676" s="1605"/>
      <c r="T676" s="1605"/>
      <c r="U676" s="1605"/>
      <c r="V676" s="1605"/>
      <c r="W676" s="1605"/>
      <c r="X676" s="1605"/>
      <c r="Y676" s="1605"/>
      <c r="Z676" s="1605"/>
      <c r="AA676" s="1605"/>
      <c r="AB676" s="1605"/>
      <c r="AC676" s="1605"/>
      <c r="AD676" s="1605"/>
      <c r="AE676" s="1605"/>
      <c r="AF676" s="1605"/>
      <c r="AG676" s="1605"/>
      <c r="AH676" s="1605"/>
      <c r="AI676" s="1605"/>
      <c r="AJ676" s="1605"/>
      <c r="AK676" s="1605"/>
      <c r="AL676" s="1605"/>
      <c r="AM676" s="1605"/>
      <c r="AN676" s="1605"/>
      <c r="AO676" s="1605"/>
      <c r="AP676" s="1605"/>
      <c r="AQ676" s="1605"/>
      <c r="AR676" s="1605"/>
      <c r="AS676" s="1605"/>
      <c r="AT676" s="1605"/>
      <c r="AU676" s="1605"/>
      <c r="AV676" s="1605"/>
      <c r="AW676" s="1605"/>
      <c r="AX676" s="1605"/>
      <c r="AY676" s="1605"/>
      <c r="AZ676" s="1605"/>
      <c r="BA676" s="1605"/>
      <c r="BB676" s="1605"/>
      <c r="BC676" s="1605"/>
      <c r="BD676" s="1605"/>
      <c r="BE676" s="1605"/>
      <c r="BF676" s="1605"/>
      <c r="BG676" s="1605"/>
      <c r="BH676" s="1605"/>
      <c r="BI676" s="1605"/>
      <c r="BJ676" s="1605"/>
      <c r="BK676" s="1605"/>
      <c r="BL676" s="1605"/>
      <c r="BM676" s="1605"/>
      <c r="BN676" s="1605"/>
      <c r="BO676" s="1605"/>
      <c r="BP676" s="1605"/>
      <c r="BQ676" s="1605"/>
      <c r="BR676" s="1605"/>
      <c r="BS676" s="1605"/>
      <c r="BT676" s="1605"/>
      <c r="BU676" s="1605"/>
      <c r="BV676" s="1605"/>
      <c r="BW676" s="1605"/>
      <c r="BX676" s="1605"/>
      <c r="BY676" s="1605"/>
      <c r="BZ676" s="1605"/>
      <c r="CA676" s="1605"/>
      <c r="CB676" s="1605"/>
      <c r="CC676" s="1605"/>
      <c r="CD676" s="1605"/>
      <c r="CE676" s="1605"/>
      <c r="CF676" s="1605"/>
      <c r="CG676" s="1605"/>
      <c r="CH676" s="1605"/>
      <c r="CI676" s="1605"/>
      <c r="CJ676" s="1605"/>
      <c r="CK676" s="1605"/>
      <c r="CL676" s="1605"/>
      <c r="CM676" s="1605"/>
      <c r="CN676" s="1605"/>
      <c r="CO676" s="1605"/>
      <c r="CP676" s="1605"/>
      <c r="CQ676" s="1605"/>
      <c r="CR676" s="1605"/>
      <c r="CS676" s="1605"/>
      <c r="CT676" s="1605"/>
      <c r="CU676" s="1605"/>
      <c r="CV676" s="1605"/>
      <c r="CW676" s="1605"/>
      <c r="CX676" s="1605"/>
      <c r="CY676" s="1605"/>
      <c r="CZ676" s="1605"/>
      <c r="DA676" s="1605"/>
      <c r="DB676" s="1605"/>
      <c r="DC676" s="1605"/>
      <c r="DD676" s="1605"/>
      <c r="DE676" s="1605"/>
      <c r="DF676" s="1605"/>
      <c r="DG676" s="1605"/>
      <c r="DH676" s="1605"/>
      <c r="DI676" s="1605"/>
      <c r="DJ676" s="1605"/>
      <c r="DK676" s="1605"/>
      <c r="DL676" s="1605"/>
      <c r="DM676" s="1605"/>
      <c r="DN676" s="1605"/>
      <c r="DO676" s="1605"/>
      <c r="DP676" s="1605"/>
      <c r="DQ676" s="1605"/>
      <c r="DR676" s="1605"/>
      <c r="DS676" s="1605"/>
      <c r="DT676" s="1605"/>
      <c r="DU676" s="1605"/>
      <c r="DV676" s="1605"/>
      <c r="DW676" s="1605"/>
      <c r="DX676" s="1605"/>
      <c r="DY676" s="1605"/>
      <c r="DZ676" s="1605"/>
      <c r="EA676" s="1605"/>
      <c r="EB676" s="1605"/>
      <c r="EC676" s="1605"/>
      <c r="ED676" s="1605"/>
      <c r="EE676" s="1605"/>
      <c r="EF676" s="1605"/>
      <c r="EG676" s="1605"/>
      <c r="EH676" s="1605"/>
      <c r="EI676" s="1605"/>
      <c r="EJ676" s="1605"/>
      <c r="EK676" s="1605"/>
      <c r="EL676" s="1605"/>
      <c r="EM676" s="1605"/>
      <c r="EN676" s="1605"/>
      <c r="EO676" s="1605"/>
      <c r="EP676" s="1605"/>
      <c r="EQ676" s="1605"/>
      <c r="ER676" s="1605"/>
      <c r="ES676" s="1605"/>
      <c r="ET676" s="1605"/>
      <c r="EU676" s="1605"/>
      <c r="EV676" s="1605"/>
      <c r="EW676" s="1605"/>
      <c r="EX676" s="1605"/>
      <c r="EY676" s="1605"/>
      <c r="EZ676" s="1605"/>
      <c r="FA676" s="1605"/>
      <c r="FB676" s="1605"/>
      <c r="FC676" s="1605"/>
      <c r="FD676" s="1605"/>
      <c r="FE676" s="1605"/>
      <c r="FF676" s="1605"/>
      <c r="FG676" s="1605"/>
      <c r="FH676" s="1605"/>
      <c r="FI676" s="1605"/>
      <c r="FJ676" s="1605"/>
      <c r="FK676" s="1605"/>
      <c r="FL676" s="1605"/>
      <c r="FM676" s="1605"/>
      <c r="FN676" s="1605"/>
      <c r="FO676" s="1605"/>
      <c r="FP676" s="1605"/>
      <c r="FQ676" s="1605"/>
      <c r="FR676" s="1605"/>
      <c r="FS676" s="1605"/>
      <c r="FT676" s="1605"/>
      <c r="FU676" s="1605"/>
      <c r="FV676" s="1605"/>
      <c r="FW676" s="1605"/>
      <c r="FX676" s="1605"/>
      <c r="FY676" s="1605"/>
      <c r="FZ676" s="1605"/>
      <c r="GA676" s="1605"/>
      <c r="GB676" s="1605"/>
      <c r="GC676" s="1605"/>
      <c r="GD676" s="1605"/>
      <c r="GE676" s="1605"/>
      <c r="GF676" s="1605"/>
      <c r="GG676" s="1605"/>
      <c r="GH676" s="1605"/>
      <c r="GI676" s="1605"/>
      <c r="GJ676" s="1605"/>
      <c r="GK676" s="1605"/>
      <c r="GL676" s="1605"/>
      <c r="GM676" s="1605"/>
      <c r="GN676" s="1605"/>
      <c r="GO676" s="1605"/>
      <c r="GP676" s="1605"/>
      <c r="GQ676" s="1605"/>
      <c r="GR676" s="1605"/>
      <c r="GS676" s="1605"/>
      <c r="GT676" s="1605"/>
      <c r="GU676" s="1605"/>
      <c r="GV676" s="1605"/>
      <c r="GW676" s="1605"/>
      <c r="GX676" s="1605"/>
      <c r="GY676" s="1605"/>
      <c r="GZ676" s="1605"/>
      <c r="HA676" s="1605"/>
      <c r="HB676" s="1605"/>
      <c r="HC676" s="1605"/>
      <c r="HD676" s="1605"/>
      <c r="HE676" s="1605"/>
      <c r="HF676" s="1605"/>
      <c r="HG676" s="1605"/>
      <c r="HH676" s="1605"/>
      <c r="HI676" s="1605"/>
      <c r="HJ676" s="1605"/>
      <c r="HK676" s="1605"/>
      <c r="HL676" s="1605"/>
      <c r="HM676" s="1605"/>
      <c r="HN676" s="1605"/>
      <c r="HO676" s="1605"/>
      <c r="HP676" s="1605"/>
      <c r="HQ676" s="1605"/>
      <c r="HR676" s="1605"/>
      <c r="HS676" s="1605"/>
      <c r="HT676" s="1605"/>
      <c r="HU676" s="1605"/>
      <c r="HV676" s="1605"/>
      <c r="HW676" s="1605"/>
      <c r="HX676" s="1605"/>
      <c r="HY676" s="1605"/>
      <c r="HZ676" s="1605"/>
      <c r="IA676" s="1605"/>
      <c r="IB676" s="1605"/>
      <c r="IC676" s="1605"/>
      <c r="ID676" s="1605"/>
      <c r="IE676" s="1605"/>
      <c r="IF676" s="1605"/>
      <c r="IG676" s="1605"/>
      <c r="IH676" s="1605"/>
      <c r="II676" s="1605"/>
      <c r="IJ676" s="1605"/>
      <c r="IK676" s="1605"/>
      <c r="IL676" s="1605"/>
      <c r="IM676" s="1605"/>
      <c r="IN676" s="1605"/>
      <c r="IO676" s="1605"/>
      <c r="IP676" s="1605"/>
      <c r="IQ676" s="1605"/>
      <c r="IR676" s="1605"/>
      <c r="IS676" s="1605"/>
      <c r="IT676" s="1605"/>
      <c r="IU676" s="1605"/>
      <c r="IV676" s="1605"/>
      <c r="IW676" s="1605"/>
      <c r="IX676" s="1605"/>
      <c r="IY676" s="1605"/>
      <c r="IZ676" s="1605"/>
      <c r="JA676" s="1605"/>
      <c r="JB676" s="1605"/>
      <c r="JC676" s="1605"/>
      <c r="JD676" s="1605"/>
      <c r="JE676" s="1605"/>
      <c r="JF676" s="1605"/>
      <c r="JG676" s="1605"/>
      <c r="JH676" s="1605"/>
      <c r="JI676" s="1605"/>
      <c r="JJ676" s="1605"/>
      <c r="JK676" s="1605"/>
      <c r="JL676" s="1605"/>
      <c r="JM676" s="1605"/>
      <c r="JN676" s="1605"/>
      <c r="JO676" s="1605"/>
      <c r="JP676" s="1605"/>
      <c r="JQ676" s="1605"/>
      <c r="JR676" s="1605"/>
      <c r="JS676" s="1605"/>
      <c r="JT676" s="1605"/>
      <c r="JU676" s="1605"/>
      <c r="JV676" s="1605"/>
      <c r="JW676" s="1605"/>
      <c r="JX676" s="1605"/>
      <c r="JY676" s="1605"/>
      <c r="JZ676" s="1605"/>
      <c r="KA676" s="1605"/>
      <c r="KB676" s="1606"/>
    </row>
    <row r="677" spans="2:288" ht="15" customHeight="1" x14ac:dyDescent="0.25">
      <c r="B677" s="216" t="str">
        <f t="shared" si="55"/>
        <v>Desk 47</v>
      </c>
      <c r="C677" s="218" t="str">
        <v/>
      </c>
      <c r="D677" s="218" t="str">
        <v/>
      </c>
      <c r="E677" s="218" t="str">
        <v/>
      </c>
      <c r="F677" s="218" t="str">
        <v/>
      </c>
      <c r="G677" s="402" t="str">
        <v/>
      </c>
      <c r="H677" s="1605"/>
      <c r="I677" s="1605"/>
      <c r="J677" s="1605"/>
      <c r="K677" s="1605"/>
      <c r="L677" s="1605"/>
      <c r="M677" s="1605"/>
      <c r="N677" s="1605"/>
      <c r="O677" s="1605"/>
      <c r="P677" s="1605"/>
      <c r="Q677" s="1605"/>
      <c r="R677" s="1605"/>
      <c r="S677" s="1605"/>
      <c r="T677" s="1605"/>
      <c r="U677" s="1605"/>
      <c r="V677" s="1605"/>
      <c r="W677" s="1605"/>
      <c r="X677" s="1605"/>
      <c r="Y677" s="1605"/>
      <c r="Z677" s="1605"/>
      <c r="AA677" s="1605"/>
      <c r="AB677" s="1605"/>
      <c r="AC677" s="1605"/>
      <c r="AD677" s="1605"/>
      <c r="AE677" s="1605"/>
      <c r="AF677" s="1605"/>
      <c r="AG677" s="1605"/>
      <c r="AH677" s="1605"/>
      <c r="AI677" s="1605"/>
      <c r="AJ677" s="1605"/>
      <c r="AK677" s="1605"/>
      <c r="AL677" s="1605"/>
      <c r="AM677" s="1605"/>
      <c r="AN677" s="1605"/>
      <c r="AO677" s="1605"/>
      <c r="AP677" s="1605"/>
      <c r="AQ677" s="1605"/>
      <c r="AR677" s="1605"/>
      <c r="AS677" s="1605"/>
      <c r="AT677" s="1605"/>
      <c r="AU677" s="1605"/>
      <c r="AV677" s="1605"/>
      <c r="AW677" s="1605"/>
      <c r="AX677" s="1605"/>
      <c r="AY677" s="1605"/>
      <c r="AZ677" s="1605"/>
      <c r="BA677" s="1605"/>
      <c r="BB677" s="1605"/>
      <c r="BC677" s="1605"/>
      <c r="BD677" s="1605"/>
      <c r="BE677" s="1605"/>
      <c r="BF677" s="1605"/>
      <c r="BG677" s="1605"/>
      <c r="BH677" s="1605"/>
      <c r="BI677" s="1605"/>
      <c r="BJ677" s="1605"/>
      <c r="BK677" s="1605"/>
      <c r="BL677" s="1605"/>
      <c r="BM677" s="1605"/>
      <c r="BN677" s="1605"/>
      <c r="BO677" s="1605"/>
      <c r="BP677" s="1605"/>
      <c r="BQ677" s="1605"/>
      <c r="BR677" s="1605"/>
      <c r="BS677" s="1605"/>
      <c r="BT677" s="1605"/>
      <c r="BU677" s="1605"/>
      <c r="BV677" s="1605"/>
      <c r="BW677" s="1605"/>
      <c r="BX677" s="1605"/>
      <c r="BY677" s="1605"/>
      <c r="BZ677" s="1605"/>
      <c r="CA677" s="1605"/>
      <c r="CB677" s="1605"/>
      <c r="CC677" s="1605"/>
      <c r="CD677" s="1605"/>
      <c r="CE677" s="1605"/>
      <c r="CF677" s="1605"/>
      <c r="CG677" s="1605"/>
      <c r="CH677" s="1605"/>
      <c r="CI677" s="1605"/>
      <c r="CJ677" s="1605"/>
      <c r="CK677" s="1605"/>
      <c r="CL677" s="1605"/>
      <c r="CM677" s="1605"/>
      <c r="CN677" s="1605"/>
      <c r="CO677" s="1605"/>
      <c r="CP677" s="1605"/>
      <c r="CQ677" s="1605"/>
      <c r="CR677" s="1605"/>
      <c r="CS677" s="1605"/>
      <c r="CT677" s="1605"/>
      <c r="CU677" s="1605"/>
      <c r="CV677" s="1605"/>
      <c r="CW677" s="1605"/>
      <c r="CX677" s="1605"/>
      <c r="CY677" s="1605"/>
      <c r="CZ677" s="1605"/>
      <c r="DA677" s="1605"/>
      <c r="DB677" s="1605"/>
      <c r="DC677" s="1605"/>
      <c r="DD677" s="1605"/>
      <c r="DE677" s="1605"/>
      <c r="DF677" s="1605"/>
      <c r="DG677" s="1605"/>
      <c r="DH677" s="1605"/>
      <c r="DI677" s="1605"/>
      <c r="DJ677" s="1605"/>
      <c r="DK677" s="1605"/>
      <c r="DL677" s="1605"/>
      <c r="DM677" s="1605"/>
      <c r="DN677" s="1605"/>
      <c r="DO677" s="1605"/>
      <c r="DP677" s="1605"/>
      <c r="DQ677" s="1605"/>
      <c r="DR677" s="1605"/>
      <c r="DS677" s="1605"/>
      <c r="DT677" s="1605"/>
      <c r="DU677" s="1605"/>
      <c r="DV677" s="1605"/>
      <c r="DW677" s="1605"/>
      <c r="DX677" s="1605"/>
      <c r="DY677" s="1605"/>
      <c r="DZ677" s="1605"/>
      <c r="EA677" s="1605"/>
      <c r="EB677" s="1605"/>
      <c r="EC677" s="1605"/>
      <c r="ED677" s="1605"/>
      <c r="EE677" s="1605"/>
      <c r="EF677" s="1605"/>
      <c r="EG677" s="1605"/>
      <c r="EH677" s="1605"/>
      <c r="EI677" s="1605"/>
      <c r="EJ677" s="1605"/>
      <c r="EK677" s="1605"/>
      <c r="EL677" s="1605"/>
      <c r="EM677" s="1605"/>
      <c r="EN677" s="1605"/>
      <c r="EO677" s="1605"/>
      <c r="EP677" s="1605"/>
      <c r="EQ677" s="1605"/>
      <c r="ER677" s="1605"/>
      <c r="ES677" s="1605"/>
      <c r="ET677" s="1605"/>
      <c r="EU677" s="1605"/>
      <c r="EV677" s="1605"/>
      <c r="EW677" s="1605"/>
      <c r="EX677" s="1605"/>
      <c r="EY677" s="1605"/>
      <c r="EZ677" s="1605"/>
      <c r="FA677" s="1605"/>
      <c r="FB677" s="1605"/>
      <c r="FC677" s="1605"/>
      <c r="FD677" s="1605"/>
      <c r="FE677" s="1605"/>
      <c r="FF677" s="1605"/>
      <c r="FG677" s="1605"/>
      <c r="FH677" s="1605"/>
      <c r="FI677" s="1605"/>
      <c r="FJ677" s="1605"/>
      <c r="FK677" s="1605"/>
      <c r="FL677" s="1605"/>
      <c r="FM677" s="1605"/>
      <c r="FN677" s="1605"/>
      <c r="FO677" s="1605"/>
      <c r="FP677" s="1605"/>
      <c r="FQ677" s="1605"/>
      <c r="FR677" s="1605"/>
      <c r="FS677" s="1605"/>
      <c r="FT677" s="1605"/>
      <c r="FU677" s="1605"/>
      <c r="FV677" s="1605"/>
      <c r="FW677" s="1605"/>
      <c r="FX677" s="1605"/>
      <c r="FY677" s="1605"/>
      <c r="FZ677" s="1605"/>
      <c r="GA677" s="1605"/>
      <c r="GB677" s="1605"/>
      <c r="GC677" s="1605"/>
      <c r="GD677" s="1605"/>
      <c r="GE677" s="1605"/>
      <c r="GF677" s="1605"/>
      <c r="GG677" s="1605"/>
      <c r="GH677" s="1605"/>
      <c r="GI677" s="1605"/>
      <c r="GJ677" s="1605"/>
      <c r="GK677" s="1605"/>
      <c r="GL677" s="1605"/>
      <c r="GM677" s="1605"/>
      <c r="GN677" s="1605"/>
      <c r="GO677" s="1605"/>
      <c r="GP677" s="1605"/>
      <c r="GQ677" s="1605"/>
      <c r="GR677" s="1605"/>
      <c r="GS677" s="1605"/>
      <c r="GT677" s="1605"/>
      <c r="GU677" s="1605"/>
      <c r="GV677" s="1605"/>
      <c r="GW677" s="1605"/>
      <c r="GX677" s="1605"/>
      <c r="GY677" s="1605"/>
      <c r="GZ677" s="1605"/>
      <c r="HA677" s="1605"/>
      <c r="HB677" s="1605"/>
      <c r="HC677" s="1605"/>
      <c r="HD677" s="1605"/>
      <c r="HE677" s="1605"/>
      <c r="HF677" s="1605"/>
      <c r="HG677" s="1605"/>
      <c r="HH677" s="1605"/>
      <c r="HI677" s="1605"/>
      <c r="HJ677" s="1605"/>
      <c r="HK677" s="1605"/>
      <c r="HL677" s="1605"/>
      <c r="HM677" s="1605"/>
      <c r="HN677" s="1605"/>
      <c r="HO677" s="1605"/>
      <c r="HP677" s="1605"/>
      <c r="HQ677" s="1605"/>
      <c r="HR677" s="1605"/>
      <c r="HS677" s="1605"/>
      <c r="HT677" s="1605"/>
      <c r="HU677" s="1605"/>
      <c r="HV677" s="1605"/>
      <c r="HW677" s="1605"/>
      <c r="HX677" s="1605"/>
      <c r="HY677" s="1605"/>
      <c r="HZ677" s="1605"/>
      <c r="IA677" s="1605"/>
      <c r="IB677" s="1605"/>
      <c r="IC677" s="1605"/>
      <c r="ID677" s="1605"/>
      <c r="IE677" s="1605"/>
      <c r="IF677" s="1605"/>
      <c r="IG677" s="1605"/>
      <c r="IH677" s="1605"/>
      <c r="II677" s="1605"/>
      <c r="IJ677" s="1605"/>
      <c r="IK677" s="1605"/>
      <c r="IL677" s="1605"/>
      <c r="IM677" s="1605"/>
      <c r="IN677" s="1605"/>
      <c r="IO677" s="1605"/>
      <c r="IP677" s="1605"/>
      <c r="IQ677" s="1605"/>
      <c r="IR677" s="1605"/>
      <c r="IS677" s="1605"/>
      <c r="IT677" s="1605"/>
      <c r="IU677" s="1605"/>
      <c r="IV677" s="1605"/>
      <c r="IW677" s="1605"/>
      <c r="IX677" s="1605"/>
      <c r="IY677" s="1605"/>
      <c r="IZ677" s="1605"/>
      <c r="JA677" s="1605"/>
      <c r="JB677" s="1605"/>
      <c r="JC677" s="1605"/>
      <c r="JD677" s="1605"/>
      <c r="JE677" s="1605"/>
      <c r="JF677" s="1605"/>
      <c r="JG677" s="1605"/>
      <c r="JH677" s="1605"/>
      <c r="JI677" s="1605"/>
      <c r="JJ677" s="1605"/>
      <c r="JK677" s="1605"/>
      <c r="JL677" s="1605"/>
      <c r="JM677" s="1605"/>
      <c r="JN677" s="1605"/>
      <c r="JO677" s="1605"/>
      <c r="JP677" s="1605"/>
      <c r="JQ677" s="1605"/>
      <c r="JR677" s="1605"/>
      <c r="JS677" s="1605"/>
      <c r="JT677" s="1605"/>
      <c r="JU677" s="1605"/>
      <c r="JV677" s="1605"/>
      <c r="JW677" s="1605"/>
      <c r="JX677" s="1605"/>
      <c r="JY677" s="1605"/>
      <c r="JZ677" s="1605"/>
      <c r="KA677" s="1605"/>
      <c r="KB677" s="1606"/>
    </row>
    <row r="678" spans="2:288" ht="15" customHeight="1" x14ac:dyDescent="0.25">
      <c r="B678" s="216" t="str">
        <f t="shared" si="55"/>
        <v>Desk 48</v>
      </c>
      <c r="C678" s="218" t="str">
        <v/>
      </c>
      <c r="D678" s="218" t="str">
        <v/>
      </c>
      <c r="E678" s="218" t="str">
        <v/>
      </c>
      <c r="F678" s="218" t="str">
        <v/>
      </c>
      <c r="G678" s="402" t="str">
        <v/>
      </c>
      <c r="H678" s="1605"/>
      <c r="I678" s="1605"/>
      <c r="J678" s="1605"/>
      <c r="K678" s="1605"/>
      <c r="L678" s="1605"/>
      <c r="M678" s="1605"/>
      <c r="N678" s="1605"/>
      <c r="O678" s="1605"/>
      <c r="P678" s="1605"/>
      <c r="Q678" s="1605"/>
      <c r="R678" s="1605"/>
      <c r="S678" s="1605"/>
      <c r="T678" s="1605"/>
      <c r="U678" s="1605"/>
      <c r="V678" s="1605"/>
      <c r="W678" s="1605"/>
      <c r="X678" s="1605"/>
      <c r="Y678" s="1605"/>
      <c r="Z678" s="1605"/>
      <c r="AA678" s="1605"/>
      <c r="AB678" s="1605"/>
      <c r="AC678" s="1605"/>
      <c r="AD678" s="1605"/>
      <c r="AE678" s="1605"/>
      <c r="AF678" s="1605"/>
      <c r="AG678" s="1605"/>
      <c r="AH678" s="1605"/>
      <c r="AI678" s="1605"/>
      <c r="AJ678" s="1605"/>
      <c r="AK678" s="1605"/>
      <c r="AL678" s="1605"/>
      <c r="AM678" s="1605"/>
      <c r="AN678" s="1605"/>
      <c r="AO678" s="1605"/>
      <c r="AP678" s="1605"/>
      <c r="AQ678" s="1605"/>
      <c r="AR678" s="1605"/>
      <c r="AS678" s="1605"/>
      <c r="AT678" s="1605"/>
      <c r="AU678" s="1605"/>
      <c r="AV678" s="1605"/>
      <c r="AW678" s="1605"/>
      <c r="AX678" s="1605"/>
      <c r="AY678" s="1605"/>
      <c r="AZ678" s="1605"/>
      <c r="BA678" s="1605"/>
      <c r="BB678" s="1605"/>
      <c r="BC678" s="1605"/>
      <c r="BD678" s="1605"/>
      <c r="BE678" s="1605"/>
      <c r="BF678" s="1605"/>
      <c r="BG678" s="1605"/>
      <c r="BH678" s="1605"/>
      <c r="BI678" s="1605"/>
      <c r="BJ678" s="1605"/>
      <c r="BK678" s="1605"/>
      <c r="BL678" s="1605"/>
      <c r="BM678" s="1605"/>
      <c r="BN678" s="1605"/>
      <c r="BO678" s="1605"/>
      <c r="BP678" s="1605"/>
      <c r="BQ678" s="1605"/>
      <c r="BR678" s="1605"/>
      <c r="BS678" s="1605"/>
      <c r="BT678" s="1605"/>
      <c r="BU678" s="1605"/>
      <c r="BV678" s="1605"/>
      <c r="BW678" s="1605"/>
      <c r="BX678" s="1605"/>
      <c r="BY678" s="1605"/>
      <c r="BZ678" s="1605"/>
      <c r="CA678" s="1605"/>
      <c r="CB678" s="1605"/>
      <c r="CC678" s="1605"/>
      <c r="CD678" s="1605"/>
      <c r="CE678" s="1605"/>
      <c r="CF678" s="1605"/>
      <c r="CG678" s="1605"/>
      <c r="CH678" s="1605"/>
      <c r="CI678" s="1605"/>
      <c r="CJ678" s="1605"/>
      <c r="CK678" s="1605"/>
      <c r="CL678" s="1605"/>
      <c r="CM678" s="1605"/>
      <c r="CN678" s="1605"/>
      <c r="CO678" s="1605"/>
      <c r="CP678" s="1605"/>
      <c r="CQ678" s="1605"/>
      <c r="CR678" s="1605"/>
      <c r="CS678" s="1605"/>
      <c r="CT678" s="1605"/>
      <c r="CU678" s="1605"/>
      <c r="CV678" s="1605"/>
      <c r="CW678" s="1605"/>
      <c r="CX678" s="1605"/>
      <c r="CY678" s="1605"/>
      <c r="CZ678" s="1605"/>
      <c r="DA678" s="1605"/>
      <c r="DB678" s="1605"/>
      <c r="DC678" s="1605"/>
      <c r="DD678" s="1605"/>
      <c r="DE678" s="1605"/>
      <c r="DF678" s="1605"/>
      <c r="DG678" s="1605"/>
      <c r="DH678" s="1605"/>
      <c r="DI678" s="1605"/>
      <c r="DJ678" s="1605"/>
      <c r="DK678" s="1605"/>
      <c r="DL678" s="1605"/>
      <c r="DM678" s="1605"/>
      <c r="DN678" s="1605"/>
      <c r="DO678" s="1605"/>
      <c r="DP678" s="1605"/>
      <c r="DQ678" s="1605"/>
      <c r="DR678" s="1605"/>
      <c r="DS678" s="1605"/>
      <c r="DT678" s="1605"/>
      <c r="DU678" s="1605"/>
      <c r="DV678" s="1605"/>
      <c r="DW678" s="1605"/>
      <c r="DX678" s="1605"/>
      <c r="DY678" s="1605"/>
      <c r="DZ678" s="1605"/>
      <c r="EA678" s="1605"/>
      <c r="EB678" s="1605"/>
      <c r="EC678" s="1605"/>
      <c r="ED678" s="1605"/>
      <c r="EE678" s="1605"/>
      <c r="EF678" s="1605"/>
      <c r="EG678" s="1605"/>
      <c r="EH678" s="1605"/>
      <c r="EI678" s="1605"/>
      <c r="EJ678" s="1605"/>
      <c r="EK678" s="1605"/>
      <c r="EL678" s="1605"/>
      <c r="EM678" s="1605"/>
      <c r="EN678" s="1605"/>
      <c r="EO678" s="1605"/>
      <c r="EP678" s="1605"/>
      <c r="EQ678" s="1605"/>
      <c r="ER678" s="1605"/>
      <c r="ES678" s="1605"/>
      <c r="ET678" s="1605"/>
      <c r="EU678" s="1605"/>
      <c r="EV678" s="1605"/>
      <c r="EW678" s="1605"/>
      <c r="EX678" s="1605"/>
      <c r="EY678" s="1605"/>
      <c r="EZ678" s="1605"/>
      <c r="FA678" s="1605"/>
      <c r="FB678" s="1605"/>
      <c r="FC678" s="1605"/>
      <c r="FD678" s="1605"/>
      <c r="FE678" s="1605"/>
      <c r="FF678" s="1605"/>
      <c r="FG678" s="1605"/>
      <c r="FH678" s="1605"/>
      <c r="FI678" s="1605"/>
      <c r="FJ678" s="1605"/>
      <c r="FK678" s="1605"/>
      <c r="FL678" s="1605"/>
      <c r="FM678" s="1605"/>
      <c r="FN678" s="1605"/>
      <c r="FO678" s="1605"/>
      <c r="FP678" s="1605"/>
      <c r="FQ678" s="1605"/>
      <c r="FR678" s="1605"/>
      <c r="FS678" s="1605"/>
      <c r="FT678" s="1605"/>
      <c r="FU678" s="1605"/>
      <c r="FV678" s="1605"/>
      <c r="FW678" s="1605"/>
      <c r="FX678" s="1605"/>
      <c r="FY678" s="1605"/>
      <c r="FZ678" s="1605"/>
      <c r="GA678" s="1605"/>
      <c r="GB678" s="1605"/>
      <c r="GC678" s="1605"/>
      <c r="GD678" s="1605"/>
      <c r="GE678" s="1605"/>
      <c r="GF678" s="1605"/>
      <c r="GG678" s="1605"/>
      <c r="GH678" s="1605"/>
      <c r="GI678" s="1605"/>
      <c r="GJ678" s="1605"/>
      <c r="GK678" s="1605"/>
      <c r="GL678" s="1605"/>
      <c r="GM678" s="1605"/>
      <c r="GN678" s="1605"/>
      <c r="GO678" s="1605"/>
      <c r="GP678" s="1605"/>
      <c r="GQ678" s="1605"/>
      <c r="GR678" s="1605"/>
      <c r="GS678" s="1605"/>
      <c r="GT678" s="1605"/>
      <c r="GU678" s="1605"/>
      <c r="GV678" s="1605"/>
      <c r="GW678" s="1605"/>
      <c r="GX678" s="1605"/>
      <c r="GY678" s="1605"/>
      <c r="GZ678" s="1605"/>
      <c r="HA678" s="1605"/>
      <c r="HB678" s="1605"/>
      <c r="HC678" s="1605"/>
      <c r="HD678" s="1605"/>
      <c r="HE678" s="1605"/>
      <c r="HF678" s="1605"/>
      <c r="HG678" s="1605"/>
      <c r="HH678" s="1605"/>
      <c r="HI678" s="1605"/>
      <c r="HJ678" s="1605"/>
      <c r="HK678" s="1605"/>
      <c r="HL678" s="1605"/>
      <c r="HM678" s="1605"/>
      <c r="HN678" s="1605"/>
      <c r="HO678" s="1605"/>
      <c r="HP678" s="1605"/>
      <c r="HQ678" s="1605"/>
      <c r="HR678" s="1605"/>
      <c r="HS678" s="1605"/>
      <c r="HT678" s="1605"/>
      <c r="HU678" s="1605"/>
      <c r="HV678" s="1605"/>
      <c r="HW678" s="1605"/>
      <c r="HX678" s="1605"/>
      <c r="HY678" s="1605"/>
      <c r="HZ678" s="1605"/>
      <c r="IA678" s="1605"/>
      <c r="IB678" s="1605"/>
      <c r="IC678" s="1605"/>
      <c r="ID678" s="1605"/>
      <c r="IE678" s="1605"/>
      <c r="IF678" s="1605"/>
      <c r="IG678" s="1605"/>
      <c r="IH678" s="1605"/>
      <c r="II678" s="1605"/>
      <c r="IJ678" s="1605"/>
      <c r="IK678" s="1605"/>
      <c r="IL678" s="1605"/>
      <c r="IM678" s="1605"/>
      <c r="IN678" s="1605"/>
      <c r="IO678" s="1605"/>
      <c r="IP678" s="1605"/>
      <c r="IQ678" s="1605"/>
      <c r="IR678" s="1605"/>
      <c r="IS678" s="1605"/>
      <c r="IT678" s="1605"/>
      <c r="IU678" s="1605"/>
      <c r="IV678" s="1605"/>
      <c r="IW678" s="1605"/>
      <c r="IX678" s="1605"/>
      <c r="IY678" s="1605"/>
      <c r="IZ678" s="1605"/>
      <c r="JA678" s="1605"/>
      <c r="JB678" s="1605"/>
      <c r="JC678" s="1605"/>
      <c r="JD678" s="1605"/>
      <c r="JE678" s="1605"/>
      <c r="JF678" s="1605"/>
      <c r="JG678" s="1605"/>
      <c r="JH678" s="1605"/>
      <c r="JI678" s="1605"/>
      <c r="JJ678" s="1605"/>
      <c r="JK678" s="1605"/>
      <c r="JL678" s="1605"/>
      <c r="JM678" s="1605"/>
      <c r="JN678" s="1605"/>
      <c r="JO678" s="1605"/>
      <c r="JP678" s="1605"/>
      <c r="JQ678" s="1605"/>
      <c r="JR678" s="1605"/>
      <c r="JS678" s="1605"/>
      <c r="JT678" s="1605"/>
      <c r="JU678" s="1605"/>
      <c r="JV678" s="1605"/>
      <c r="JW678" s="1605"/>
      <c r="JX678" s="1605"/>
      <c r="JY678" s="1605"/>
      <c r="JZ678" s="1605"/>
      <c r="KA678" s="1605"/>
      <c r="KB678" s="1606"/>
    </row>
    <row r="679" spans="2:288" ht="15" customHeight="1" x14ac:dyDescent="0.25">
      <c r="B679" s="216" t="str">
        <f t="shared" si="55"/>
        <v>Desk 49</v>
      </c>
      <c r="C679" s="218" t="str">
        <v/>
      </c>
      <c r="D679" s="218" t="str">
        <v/>
      </c>
      <c r="E679" s="218" t="str">
        <v/>
      </c>
      <c r="F679" s="218" t="str">
        <v/>
      </c>
      <c r="G679" s="402" t="str">
        <v/>
      </c>
      <c r="H679" s="1605"/>
      <c r="I679" s="1605"/>
      <c r="J679" s="1605"/>
      <c r="K679" s="1605"/>
      <c r="L679" s="1605"/>
      <c r="M679" s="1605"/>
      <c r="N679" s="1605"/>
      <c r="O679" s="1605"/>
      <c r="P679" s="1605"/>
      <c r="Q679" s="1605"/>
      <c r="R679" s="1605"/>
      <c r="S679" s="1605"/>
      <c r="T679" s="1605"/>
      <c r="U679" s="1605"/>
      <c r="V679" s="1605"/>
      <c r="W679" s="1605"/>
      <c r="X679" s="1605"/>
      <c r="Y679" s="1605"/>
      <c r="Z679" s="1605"/>
      <c r="AA679" s="1605"/>
      <c r="AB679" s="1605"/>
      <c r="AC679" s="1605"/>
      <c r="AD679" s="1605"/>
      <c r="AE679" s="1605"/>
      <c r="AF679" s="1605"/>
      <c r="AG679" s="1605"/>
      <c r="AH679" s="1605"/>
      <c r="AI679" s="1605"/>
      <c r="AJ679" s="1605"/>
      <c r="AK679" s="1605"/>
      <c r="AL679" s="1605"/>
      <c r="AM679" s="1605"/>
      <c r="AN679" s="1605"/>
      <c r="AO679" s="1605"/>
      <c r="AP679" s="1605"/>
      <c r="AQ679" s="1605"/>
      <c r="AR679" s="1605"/>
      <c r="AS679" s="1605"/>
      <c r="AT679" s="1605"/>
      <c r="AU679" s="1605"/>
      <c r="AV679" s="1605"/>
      <c r="AW679" s="1605"/>
      <c r="AX679" s="1605"/>
      <c r="AY679" s="1605"/>
      <c r="AZ679" s="1605"/>
      <c r="BA679" s="1605"/>
      <c r="BB679" s="1605"/>
      <c r="BC679" s="1605"/>
      <c r="BD679" s="1605"/>
      <c r="BE679" s="1605"/>
      <c r="BF679" s="1605"/>
      <c r="BG679" s="1605"/>
      <c r="BH679" s="1605"/>
      <c r="BI679" s="1605"/>
      <c r="BJ679" s="1605"/>
      <c r="BK679" s="1605"/>
      <c r="BL679" s="1605"/>
      <c r="BM679" s="1605"/>
      <c r="BN679" s="1605"/>
      <c r="BO679" s="1605"/>
      <c r="BP679" s="1605"/>
      <c r="BQ679" s="1605"/>
      <c r="BR679" s="1605"/>
      <c r="BS679" s="1605"/>
      <c r="BT679" s="1605"/>
      <c r="BU679" s="1605"/>
      <c r="BV679" s="1605"/>
      <c r="BW679" s="1605"/>
      <c r="BX679" s="1605"/>
      <c r="BY679" s="1605"/>
      <c r="BZ679" s="1605"/>
      <c r="CA679" s="1605"/>
      <c r="CB679" s="1605"/>
      <c r="CC679" s="1605"/>
      <c r="CD679" s="1605"/>
      <c r="CE679" s="1605"/>
      <c r="CF679" s="1605"/>
      <c r="CG679" s="1605"/>
      <c r="CH679" s="1605"/>
      <c r="CI679" s="1605"/>
      <c r="CJ679" s="1605"/>
      <c r="CK679" s="1605"/>
      <c r="CL679" s="1605"/>
      <c r="CM679" s="1605"/>
      <c r="CN679" s="1605"/>
      <c r="CO679" s="1605"/>
      <c r="CP679" s="1605"/>
      <c r="CQ679" s="1605"/>
      <c r="CR679" s="1605"/>
      <c r="CS679" s="1605"/>
      <c r="CT679" s="1605"/>
      <c r="CU679" s="1605"/>
      <c r="CV679" s="1605"/>
      <c r="CW679" s="1605"/>
      <c r="CX679" s="1605"/>
      <c r="CY679" s="1605"/>
      <c r="CZ679" s="1605"/>
      <c r="DA679" s="1605"/>
      <c r="DB679" s="1605"/>
      <c r="DC679" s="1605"/>
      <c r="DD679" s="1605"/>
      <c r="DE679" s="1605"/>
      <c r="DF679" s="1605"/>
      <c r="DG679" s="1605"/>
      <c r="DH679" s="1605"/>
      <c r="DI679" s="1605"/>
      <c r="DJ679" s="1605"/>
      <c r="DK679" s="1605"/>
      <c r="DL679" s="1605"/>
      <c r="DM679" s="1605"/>
      <c r="DN679" s="1605"/>
      <c r="DO679" s="1605"/>
      <c r="DP679" s="1605"/>
      <c r="DQ679" s="1605"/>
      <c r="DR679" s="1605"/>
      <c r="DS679" s="1605"/>
      <c r="DT679" s="1605"/>
      <c r="DU679" s="1605"/>
      <c r="DV679" s="1605"/>
      <c r="DW679" s="1605"/>
      <c r="DX679" s="1605"/>
      <c r="DY679" s="1605"/>
      <c r="DZ679" s="1605"/>
      <c r="EA679" s="1605"/>
      <c r="EB679" s="1605"/>
      <c r="EC679" s="1605"/>
      <c r="ED679" s="1605"/>
      <c r="EE679" s="1605"/>
      <c r="EF679" s="1605"/>
      <c r="EG679" s="1605"/>
      <c r="EH679" s="1605"/>
      <c r="EI679" s="1605"/>
      <c r="EJ679" s="1605"/>
      <c r="EK679" s="1605"/>
      <c r="EL679" s="1605"/>
      <c r="EM679" s="1605"/>
      <c r="EN679" s="1605"/>
      <c r="EO679" s="1605"/>
      <c r="EP679" s="1605"/>
      <c r="EQ679" s="1605"/>
      <c r="ER679" s="1605"/>
      <c r="ES679" s="1605"/>
      <c r="ET679" s="1605"/>
      <c r="EU679" s="1605"/>
      <c r="EV679" s="1605"/>
      <c r="EW679" s="1605"/>
      <c r="EX679" s="1605"/>
      <c r="EY679" s="1605"/>
      <c r="EZ679" s="1605"/>
      <c r="FA679" s="1605"/>
      <c r="FB679" s="1605"/>
      <c r="FC679" s="1605"/>
      <c r="FD679" s="1605"/>
      <c r="FE679" s="1605"/>
      <c r="FF679" s="1605"/>
      <c r="FG679" s="1605"/>
      <c r="FH679" s="1605"/>
      <c r="FI679" s="1605"/>
      <c r="FJ679" s="1605"/>
      <c r="FK679" s="1605"/>
      <c r="FL679" s="1605"/>
      <c r="FM679" s="1605"/>
      <c r="FN679" s="1605"/>
      <c r="FO679" s="1605"/>
      <c r="FP679" s="1605"/>
      <c r="FQ679" s="1605"/>
      <c r="FR679" s="1605"/>
      <c r="FS679" s="1605"/>
      <c r="FT679" s="1605"/>
      <c r="FU679" s="1605"/>
      <c r="FV679" s="1605"/>
      <c r="FW679" s="1605"/>
      <c r="FX679" s="1605"/>
      <c r="FY679" s="1605"/>
      <c r="FZ679" s="1605"/>
      <c r="GA679" s="1605"/>
      <c r="GB679" s="1605"/>
      <c r="GC679" s="1605"/>
      <c r="GD679" s="1605"/>
      <c r="GE679" s="1605"/>
      <c r="GF679" s="1605"/>
      <c r="GG679" s="1605"/>
      <c r="GH679" s="1605"/>
      <c r="GI679" s="1605"/>
      <c r="GJ679" s="1605"/>
      <c r="GK679" s="1605"/>
      <c r="GL679" s="1605"/>
      <c r="GM679" s="1605"/>
      <c r="GN679" s="1605"/>
      <c r="GO679" s="1605"/>
      <c r="GP679" s="1605"/>
      <c r="GQ679" s="1605"/>
      <c r="GR679" s="1605"/>
      <c r="GS679" s="1605"/>
      <c r="GT679" s="1605"/>
      <c r="GU679" s="1605"/>
      <c r="GV679" s="1605"/>
      <c r="GW679" s="1605"/>
      <c r="GX679" s="1605"/>
      <c r="GY679" s="1605"/>
      <c r="GZ679" s="1605"/>
      <c r="HA679" s="1605"/>
      <c r="HB679" s="1605"/>
      <c r="HC679" s="1605"/>
      <c r="HD679" s="1605"/>
      <c r="HE679" s="1605"/>
      <c r="HF679" s="1605"/>
      <c r="HG679" s="1605"/>
      <c r="HH679" s="1605"/>
      <c r="HI679" s="1605"/>
      <c r="HJ679" s="1605"/>
      <c r="HK679" s="1605"/>
      <c r="HL679" s="1605"/>
      <c r="HM679" s="1605"/>
      <c r="HN679" s="1605"/>
      <c r="HO679" s="1605"/>
      <c r="HP679" s="1605"/>
      <c r="HQ679" s="1605"/>
      <c r="HR679" s="1605"/>
      <c r="HS679" s="1605"/>
      <c r="HT679" s="1605"/>
      <c r="HU679" s="1605"/>
      <c r="HV679" s="1605"/>
      <c r="HW679" s="1605"/>
      <c r="HX679" s="1605"/>
      <c r="HY679" s="1605"/>
      <c r="HZ679" s="1605"/>
      <c r="IA679" s="1605"/>
      <c r="IB679" s="1605"/>
      <c r="IC679" s="1605"/>
      <c r="ID679" s="1605"/>
      <c r="IE679" s="1605"/>
      <c r="IF679" s="1605"/>
      <c r="IG679" s="1605"/>
      <c r="IH679" s="1605"/>
      <c r="II679" s="1605"/>
      <c r="IJ679" s="1605"/>
      <c r="IK679" s="1605"/>
      <c r="IL679" s="1605"/>
      <c r="IM679" s="1605"/>
      <c r="IN679" s="1605"/>
      <c r="IO679" s="1605"/>
      <c r="IP679" s="1605"/>
      <c r="IQ679" s="1605"/>
      <c r="IR679" s="1605"/>
      <c r="IS679" s="1605"/>
      <c r="IT679" s="1605"/>
      <c r="IU679" s="1605"/>
      <c r="IV679" s="1605"/>
      <c r="IW679" s="1605"/>
      <c r="IX679" s="1605"/>
      <c r="IY679" s="1605"/>
      <c r="IZ679" s="1605"/>
      <c r="JA679" s="1605"/>
      <c r="JB679" s="1605"/>
      <c r="JC679" s="1605"/>
      <c r="JD679" s="1605"/>
      <c r="JE679" s="1605"/>
      <c r="JF679" s="1605"/>
      <c r="JG679" s="1605"/>
      <c r="JH679" s="1605"/>
      <c r="JI679" s="1605"/>
      <c r="JJ679" s="1605"/>
      <c r="JK679" s="1605"/>
      <c r="JL679" s="1605"/>
      <c r="JM679" s="1605"/>
      <c r="JN679" s="1605"/>
      <c r="JO679" s="1605"/>
      <c r="JP679" s="1605"/>
      <c r="JQ679" s="1605"/>
      <c r="JR679" s="1605"/>
      <c r="JS679" s="1605"/>
      <c r="JT679" s="1605"/>
      <c r="JU679" s="1605"/>
      <c r="JV679" s="1605"/>
      <c r="JW679" s="1605"/>
      <c r="JX679" s="1605"/>
      <c r="JY679" s="1605"/>
      <c r="JZ679" s="1605"/>
      <c r="KA679" s="1605"/>
      <c r="KB679" s="1606"/>
    </row>
    <row r="680" spans="2:288" ht="15" customHeight="1" x14ac:dyDescent="0.25">
      <c r="B680" s="216" t="str">
        <f t="shared" si="55"/>
        <v>Desk 50</v>
      </c>
      <c r="C680" s="218" t="str">
        <v/>
      </c>
      <c r="D680" s="218" t="str">
        <v/>
      </c>
      <c r="E680" s="218" t="str">
        <v/>
      </c>
      <c r="F680" s="218" t="str">
        <v/>
      </c>
      <c r="G680" s="402" t="str">
        <v/>
      </c>
      <c r="H680" s="1605"/>
      <c r="I680" s="1605"/>
      <c r="J680" s="1605"/>
      <c r="K680" s="1605"/>
      <c r="L680" s="1605"/>
      <c r="M680" s="1605"/>
      <c r="N680" s="1605"/>
      <c r="O680" s="1605"/>
      <c r="P680" s="1605"/>
      <c r="Q680" s="1605"/>
      <c r="R680" s="1605"/>
      <c r="S680" s="1605"/>
      <c r="T680" s="1605"/>
      <c r="U680" s="1605"/>
      <c r="V680" s="1605"/>
      <c r="W680" s="1605"/>
      <c r="X680" s="1605"/>
      <c r="Y680" s="1605"/>
      <c r="Z680" s="1605"/>
      <c r="AA680" s="1605"/>
      <c r="AB680" s="1605"/>
      <c r="AC680" s="1605"/>
      <c r="AD680" s="1605"/>
      <c r="AE680" s="1605"/>
      <c r="AF680" s="1605"/>
      <c r="AG680" s="1605"/>
      <c r="AH680" s="1605"/>
      <c r="AI680" s="1605"/>
      <c r="AJ680" s="1605"/>
      <c r="AK680" s="1605"/>
      <c r="AL680" s="1605"/>
      <c r="AM680" s="1605"/>
      <c r="AN680" s="1605"/>
      <c r="AO680" s="1605"/>
      <c r="AP680" s="1605"/>
      <c r="AQ680" s="1605"/>
      <c r="AR680" s="1605"/>
      <c r="AS680" s="1605"/>
      <c r="AT680" s="1605"/>
      <c r="AU680" s="1605"/>
      <c r="AV680" s="1605"/>
      <c r="AW680" s="1605"/>
      <c r="AX680" s="1605"/>
      <c r="AY680" s="1605"/>
      <c r="AZ680" s="1605"/>
      <c r="BA680" s="1605"/>
      <c r="BB680" s="1605"/>
      <c r="BC680" s="1605"/>
      <c r="BD680" s="1605"/>
      <c r="BE680" s="1605"/>
      <c r="BF680" s="1605"/>
      <c r="BG680" s="1605"/>
      <c r="BH680" s="1605"/>
      <c r="BI680" s="1605"/>
      <c r="BJ680" s="1605"/>
      <c r="BK680" s="1605"/>
      <c r="BL680" s="1605"/>
      <c r="BM680" s="1605"/>
      <c r="BN680" s="1605"/>
      <c r="BO680" s="1605"/>
      <c r="BP680" s="1605"/>
      <c r="BQ680" s="1605"/>
      <c r="BR680" s="1605"/>
      <c r="BS680" s="1605"/>
      <c r="BT680" s="1605"/>
      <c r="BU680" s="1605"/>
      <c r="BV680" s="1605"/>
      <c r="BW680" s="1605"/>
      <c r="BX680" s="1605"/>
      <c r="BY680" s="1605"/>
      <c r="BZ680" s="1605"/>
      <c r="CA680" s="1605"/>
      <c r="CB680" s="1605"/>
      <c r="CC680" s="1605"/>
      <c r="CD680" s="1605"/>
      <c r="CE680" s="1605"/>
      <c r="CF680" s="1605"/>
      <c r="CG680" s="1605"/>
      <c r="CH680" s="1605"/>
      <c r="CI680" s="1605"/>
      <c r="CJ680" s="1605"/>
      <c r="CK680" s="1605"/>
      <c r="CL680" s="1605"/>
      <c r="CM680" s="1605"/>
      <c r="CN680" s="1605"/>
      <c r="CO680" s="1605"/>
      <c r="CP680" s="1605"/>
      <c r="CQ680" s="1605"/>
      <c r="CR680" s="1605"/>
      <c r="CS680" s="1605"/>
      <c r="CT680" s="1605"/>
      <c r="CU680" s="1605"/>
      <c r="CV680" s="1605"/>
      <c r="CW680" s="1605"/>
      <c r="CX680" s="1605"/>
      <c r="CY680" s="1605"/>
      <c r="CZ680" s="1605"/>
      <c r="DA680" s="1605"/>
      <c r="DB680" s="1605"/>
      <c r="DC680" s="1605"/>
      <c r="DD680" s="1605"/>
      <c r="DE680" s="1605"/>
      <c r="DF680" s="1605"/>
      <c r="DG680" s="1605"/>
      <c r="DH680" s="1605"/>
      <c r="DI680" s="1605"/>
      <c r="DJ680" s="1605"/>
      <c r="DK680" s="1605"/>
      <c r="DL680" s="1605"/>
      <c r="DM680" s="1605"/>
      <c r="DN680" s="1605"/>
      <c r="DO680" s="1605"/>
      <c r="DP680" s="1605"/>
      <c r="DQ680" s="1605"/>
      <c r="DR680" s="1605"/>
      <c r="DS680" s="1605"/>
      <c r="DT680" s="1605"/>
      <c r="DU680" s="1605"/>
      <c r="DV680" s="1605"/>
      <c r="DW680" s="1605"/>
      <c r="DX680" s="1605"/>
      <c r="DY680" s="1605"/>
      <c r="DZ680" s="1605"/>
      <c r="EA680" s="1605"/>
      <c r="EB680" s="1605"/>
      <c r="EC680" s="1605"/>
      <c r="ED680" s="1605"/>
      <c r="EE680" s="1605"/>
      <c r="EF680" s="1605"/>
      <c r="EG680" s="1605"/>
      <c r="EH680" s="1605"/>
      <c r="EI680" s="1605"/>
      <c r="EJ680" s="1605"/>
      <c r="EK680" s="1605"/>
      <c r="EL680" s="1605"/>
      <c r="EM680" s="1605"/>
      <c r="EN680" s="1605"/>
      <c r="EO680" s="1605"/>
      <c r="EP680" s="1605"/>
      <c r="EQ680" s="1605"/>
      <c r="ER680" s="1605"/>
      <c r="ES680" s="1605"/>
      <c r="ET680" s="1605"/>
      <c r="EU680" s="1605"/>
      <c r="EV680" s="1605"/>
      <c r="EW680" s="1605"/>
      <c r="EX680" s="1605"/>
      <c r="EY680" s="1605"/>
      <c r="EZ680" s="1605"/>
      <c r="FA680" s="1605"/>
      <c r="FB680" s="1605"/>
      <c r="FC680" s="1605"/>
      <c r="FD680" s="1605"/>
      <c r="FE680" s="1605"/>
      <c r="FF680" s="1605"/>
      <c r="FG680" s="1605"/>
      <c r="FH680" s="1605"/>
      <c r="FI680" s="1605"/>
      <c r="FJ680" s="1605"/>
      <c r="FK680" s="1605"/>
      <c r="FL680" s="1605"/>
      <c r="FM680" s="1605"/>
      <c r="FN680" s="1605"/>
      <c r="FO680" s="1605"/>
      <c r="FP680" s="1605"/>
      <c r="FQ680" s="1605"/>
      <c r="FR680" s="1605"/>
      <c r="FS680" s="1605"/>
      <c r="FT680" s="1605"/>
      <c r="FU680" s="1605"/>
      <c r="FV680" s="1605"/>
      <c r="FW680" s="1605"/>
      <c r="FX680" s="1605"/>
      <c r="FY680" s="1605"/>
      <c r="FZ680" s="1605"/>
      <c r="GA680" s="1605"/>
      <c r="GB680" s="1605"/>
      <c r="GC680" s="1605"/>
      <c r="GD680" s="1605"/>
      <c r="GE680" s="1605"/>
      <c r="GF680" s="1605"/>
      <c r="GG680" s="1605"/>
      <c r="GH680" s="1605"/>
      <c r="GI680" s="1605"/>
      <c r="GJ680" s="1605"/>
      <c r="GK680" s="1605"/>
      <c r="GL680" s="1605"/>
      <c r="GM680" s="1605"/>
      <c r="GN680" s="1605"/>
      <c r="GO680" s="1605"/>
      <c r="GP680" s="1605"/>
      <c r="GQ680" s="1605"/>
      <c r="GR680" s="1605"/>
      <c r="GS680" s="1605"/>
      <c r="GT680" s="1605"/>
      <c r="GU680" s="1605"/>
      <c r="GV680" s="1605"/>
      <c r="GW680" s="1605"/>
      <c r="GX680" s="1605"/>
      <c r="GY680" s="1605"/>
      <c r="GZ680" s="1605"/>
      <c r="HA680" s="1605"/>
      <c r="HB680" s="1605"/>
      <c r="HC680" s="1605"/>
      <c r="HD680" s="1605"/>
      <c r="HE680" s="1605"/>
      <c r="HF680" s="1605"/>
      <c r="HG680" s="1605"/>
      <c r="HH680" s="1605"/>
      <c r="HI680" s="1605"/>
      <c r="HJ680" s="1605"/>
      <c r="HK680" s="1605"/>
      <c r="HL680" s="1605"/>
      <c r="HM680" s="1605"/>
      <c r="HN680" s="1605"/>
      <c r="HO680" s="1605"/>
      <c r="HP680" s="1605"/>
      <c r="HQ680" s="1605"/>
      <c r="HR680" s="1605"/>
      <c r="HS680" s="1605"/>
      <c r="HT680" s="1605"/>
      <c r="HU680" s="1605"/>
      <c r="HV680" s="1605"/>
      <c r="HW680" s="1605"/>
      <c r="HX680" s="1605"/>
      <c r="HY680" s="1605"/>
      <c r="HZ680" s="1605"/>
      <c r="IA680" s="1605"/>
      <c r="IB680" s="1605"/>
      <c r="IC680" s="1605"/>
      <c r="ID680" s="1605"/>
      <c r="IE680" s="1605"/>
      <c r="IF680" s="1605"/>
      <c r="IG680" s="1605"/>
      <c r="IH680" s="1605"/>
      <c r="II680" s="1605"/>
      <c r="IJ680" s="1605"/>
      <c r="IK680" s="1605"/>
      <c r="IL680" s="1605"/>
      <c r="IM680" s="1605"/>
      <c r="IN680" s="1605"/>
      <c r="IO680" s="1605"/>
      <c r="IP680" s="1605"/>
      <c r="IQ680" s="1605"/>
      <c r="IR680" s="1605"/>
      <c r="IS680" s="1605"/>
      <c r="IT680" s="1605"/>
      <c r="IU680" s="1605"/>
      <c r="IV680" s="1605"/>
      <c r="IW680" s="1605"/>
      <c r="IX680" s="1605"/>
      <c r="IY680" s="1605"/>
      <c r="IZ680" s="1605"/>
      <c r="JA680" s="1605"/>
      <c r="JB680" s="1605"/>
      <c r="JC680" s="1605"/>
      <c r="JD680" s="1605"/>
      <c r="JE680" s="1605"/>
      <c r="JF680" s="1605"/>
      <c r="JG680" s="1605"/>
      <c r="JH680" s="1605"/>
      <c r="JI680" s="1605"/>
      <c r="JJ680" s="1605"/>
      <c r="JK680" s="1605"/>
      <c r="JL680" s="1605"/>
      <c r="JM680" s="1605"/>
      <c r="JN680" s="1605"/>
      <c r="JO680" s="1605"/>
      <c r="JP680" s="1605"/>
      <c r="JQ680" s="1605"/>
      <c r="JR680" s="1605"/>
      <c r="JS680" s="1605"/>
      <c r="JT680" s="1605"/>
      <c r="JU680" s="1605"/>
      <c r="JV680" s="1605"/>
      <c r="JW680" s="1605"/>
      <c r="JX680" s="1605"/>
      <c r="JY680" s="1605"/>
      <c r="JZ680" s="1605"/>
      <c r="KA680" s="1605"/>
      <c r="KB680" s="1606"/>
    </row>
    <row r="681" spans="2:288" ht="15" customHeight="1" x14ac:dyDescent="0.25">
      <c r="B681" s="216" t="str">
        <f t="shared" si="55"/>
        <v>Desk 51</v>
      </c>
      <c r="C681" s="218" t="str">
        <v/>
      </c>
      <c r="D681" s="218" t="str">
        <v/>
      </c>
      <c r="E681" s="218" t="str">
        <v/>
      </c>
      <c r="F681" s="218" t="str">
        <v/>
      </c>
      <c r="G681" s="402" t="str">
        <v/>
      </c>
      <c r="H681" s="1605"/>
      <c r="I681" s="1605"/>
      <c r="J681" s="1605"/>
      <c r="K681" s="1605"/>
      <c r="L681" s="1605"/>
      <c r="M681" s="1605"/>
      <c r="N681" s="1605"/>
      <c r="O681" s="1605"/>
      <c r="P681" s="1605"/>
      <c r="Q681" s="1605"/>
      <c r="R681" s="1605"/>
      <c r="S681" s="1605"/>
      <c r="T681" s="1605"/>
      <c r="U681" s="1605"/>
      <c r="V681" s="1605"/>
      <c r="W681" s="1605"/>
      <c r="X681" s="1605"/>
      <c r="Y681" s="1605"/>
      <c r="Z681" s="1605"/>
      <c r="AA681" s="1605"/>
      <c r="AB681" s="1605"/>
      <c r="AC681" s="1605"/>
      <c r="AD681" s="1605"/>
      <c r="AE681" s="1605"/>
      <c r="AF681" s="1605"/>
      <c r="AG681" s="1605"/>
      <c r="AH681" s="1605"/>
      <c r="AI681" s="1605"/>
      <c r="AJ681" s="1605"/>
      <c r="AK681" s="1605"/>
      <c r="AL681" s="1605"/>
      <c r="AM681" s="1605"/>
      <c r="AN681" s="1605"/>
      <c r="AO681" s="1605"/>
      <c r="AP681" s="1605"/>
      <c r="AQ681" s="1605"/>
      <c r="AR681" s="1605"/>
      <c r="AS681" s="1605"/>
      <c r="AT681" s="1605"/>
      <c r="AU681" s="1605"/>
      <c r="AV681" s="1605"/>
      <c r="AW681" s="1605"/>
      <c r="AX681" s="1605"/>
      <c r="AY681" s="1605"/>
      <c r="AZ681" s="1605"/>
      <c r="BA681" s="1605"/>
      <c r="BB681" s="1605"/>
      <c r="BC681" s="1605"/>
      <c r="BD681" s="1605"/>
      <c r="BE681" s="1605"/>
      <c r="BF681" s="1605"/>
      <c r="BG681" s="1605"/>
      <c r="BH681" s="1605"/>
      <c r="BI681" s="1605"/>
      <c r="BJ681" s="1605"/>
      <c r="BK681" s="1605"/>
      <c r="BL681" s="1605"/>
      <c r="BM681" s="1605"/>
      <c r="BN681" s="1605"/>
      <c r="BO681" s="1605"/>
      <c r="BP681" s="1605"/>
      <c r="BQ681" s="1605"/>
      <c r="BR681" s="1605"/>
      <c r="BS681" s="1605"/>
      <c r="BT681" s="1605"/>
      <c r="BU681" s="1605"/>
      <c r="BV681" s="1605"/>
      <c r="BW681" s="1605"/>
      <c r="BX681" s="1605"/>
      <c r="BY681" s="1605"/>
      <c r="BZ681" s="1605"/>
      <c r="CA681" s="1605"/>
      <c r="CB681" s="1605"/>
      <c r="CC681" s="1605"/>
      <c r="CD681" s="1605"/>
      <c r="CE681" s="1605"/>
      <c r="CF681" s="1605"/>
      <c r="CG681" s="1605"/>
      <c r="CH681" s="1605"/>
      <c r="CI681" s="1605"/>
      <c r="CJ681" s="1605"/>
      <c r="CK681" s="1605"/>
      <c r="CL681" s="1605"/>
      <c r="CM681" s="1605"/>
      <c r="CN681" s="1605"/>
      <c r="CO681" s="1605"/>
      <c r="CP681" s="1605"/>
      <c r="CQ681" s="1605"/>
      <c r="CR681" s="1605"/>
      <c r="CS681" s="1605"/>
      <c r="CT681" s="1605"/>
      <c r="CU681" s="1605"/>
      <c r="CV681" s="1605"/>
      <c r="CW681" s="1605"/>
      <c r="CX681" s="1605"/>
      <c r="CY681" s="1605"/>
      <c r="CZ681" s="1605"/>
      <c r="DA681" s="1605"/>
      <c r="DB681" s="1605"/>
      <c r="DC681" s="1605"/>
      <c r="DD681" s="1605"/>
      <c r="DE681" s="1605"/>
      <c r="DF681" s="1605"/>
      <c r="DG681" s="1605"/>
      <c r="DH681" s="1605"/>
      <c r="DI681" s="1605"/>
      <c r="DJ681" s="1605"/>
      <c r="DK681" s="1605"/>
      <c r="DL681" s="1605"/>
      <c r="DM681" s="1605"/>
      <c r="DN681" s="1605"/>
      <c r="DO681" s="1605"/>
      <c r="DP681" s="1605"/>
      <c r="DQ681" s="1605"/>
      <c r="DR681" s="1605"/>
      <c r="DS681" s="1605"/>
      <c r="DT681" s="1605"/>
      <c r="DU681" s="1605"/>
      <c r="DV681" s="1605"/>
      <c r="DW681" s="1605"/>
      <c r="DX681" s="1605"/>
      <c r="DY681" s="1605"/>
      <c r="DZ681" s="1605"/>
      <c r="EA681" s="1605"/>
      <c r="EB681" s="1605"/>
      <c r="EC681" s="1605"/>
      <c r="ED681" s="1605"/>
      <c r="EE681" s="1605"/>
      <c r="EF681" s="1605"/>
      <c r="EG681" s="1605"/>
      <c r="EH681" s="1605"/>
      <c r="EI681" s="1605"/>
      <c r="EJ681" s="1605"/>
      <c r="EK681" s="1605"/>
      <c r="EL681" s="1605"/>
      <c r="EM681" s="1605"/>
      <c r="EN681" s="1605"/>
      <c r="EO681" s="1605"/>
      <c r="EP681" s="1605"/>
      <c r="EQ681" s="1605"/>
      <c r="ER681" s="1605"/>
      <c r="ES681" s="1605"/>
      <c r="ET681" s="1605"/>
      <c r="EU681" s="1605"/>
      <c r="EV681" s="1605"/>
      <c r="EW681" s="1605"/>
      <c r="EX681" s="1605"/>
      <c r="EY681" s="1605"/>
      <c r="EZ681" s="1605"/>
      <c r="FA681" s="1605"/>
      <c r="FB681" s="1605"/>
      <c r="FC681" s="1605"/>
      <c r="FD681" s="1605"/>
      <c r="FE681" s="1605"/>
      <c r="FF681" s="1605"/>
      <c r="FG681" s="1605"/>
      <c r="FH681" s="1605"/>
      <c r="FI681" s="1605"/>
      <c r="FJ681" s="1605"/>
      <c r="FK681" s="1605"/>
      <c r="FL681" s="1605"/>
      <c r="FM681" s="1605"/>
      <c r="FN681" s="1605"/>
      <c r="FO681" s="1605"/>
      <c r="FP681" s="1605"/>
      <c r="FQ681" s="1605"/>
      <c r="FR681" s="1605"/>
      <c r="FS681" s="1605"/>
      <c r="FT681" s="1605"/>
      <c r="FU681" s="1605"/>
      <c r="FV681" s="1605"/>
      <c r="FW681" s="1605"/>
      <c r="FX681" s="1605"/>
      <c r="FY681" s="1605"/>
      <c r="FZ681" s="1605"/>
      <c r="GA681" s="1605"/>
      <c r="GB681" s="1605"/>
      <c r="GC681" s="1605"/>
      <c r="GD681" s="1605"/>
      <c r="GE681" s="1605"/>
      <c r="GF681" s="1605"/>
      <c r="GG681" s="1605"/>
      <c r="GH681" s="1605"/>
      <c r="GI681" s="1605"/>
      <c r="GJ681" s="1605"/>
      <c r="GK681" s="1605"/>
      <c r="GL681" s="1605"/>
      <c r="GM681" s="1605"/>
      <c r="GN681" s="1605"/>
      <c r="GO681" s="1605"/>
      <c r="GP681" s="1605"/>
      <c r="GQ681" s="1605"/>
      <c r="GR681" s="1605"/>
      <c r="GS681" s="1605"/>
      <c r="GT681" s="1605"/>
      <c r="GU681" s="1605"/>
      <c r="GV681" s="1605"/>
      <c r="GW681" s="1605"/>
      <c r="GX681" s="1605"/>
      <c r="GY681" s="1605"/>
      <c r="GZ681" s="1605"/>
      <c r="HA681" s="1605"/>
      <c r="HB681" s="1605"/>
      <c r="HC681" s="1605"/>
      <c r="HD681" s="1605"/>
      <c r="HE681" s="1605"/>
      <c r="HF681" s="1605"/>
      <c r="HG681" s="1605"/>
      <c r="HH681" s="1605"/>
      <c r="HI681" s="1605"/>
      <c r="HJ681" s="1605"/>
      <c r="HK681" s="1605"/>
      <c r="HL681" s="1605"/>
      <c r="HM681" s="1605"/>
      <c r="HN681" s="1605"/>
      <c r="HO681" s="1605"/>
      <c r="HP681" s="1605"/>
      <c r="HQ681" s="1605"/>
      <c r="HR681" s="1605"/>
      <c r="HS681" s="1605"/>
      <c r="HT681" s="1605"/>
      <c r="HU681" s="1605"/>
      <c r="HV681" s="1605"/>
      <c r="HW681" s="1605"/>
      <c r="HX681" s="1605"/>
      <c r="HY681" s="1605"/>
      <c r="HZ681" s="1605"/>
      <c r="IA681" s="1605"/>
      <c r="IB681" s="1605"/>
      <c r="IC681" s="1605"/>
      <c r="ID681" s="1605"/>
      <c r="IE681" s="1605"/>
      <c r="IF681" s="1605"/>
      <c r="IG681" s="1605"/>
      <c r="IH681" s="1605"/>
      <c r="II681" s="1605"/>
      <c r="IJ681" s="1605"/>
      <c r="IK681" s="1605"/>
      <c r="IL681" s="1605"/>
      <c r="IM681" s="1605"/>
      <c r="IN681" s="1605"/>
      <c r="IO681" s="1605"/>
      <c r="IP681" s="1605"/>
      <c r="IQ681" s="1605"/>
      <c r="IR681" s="1605"/>
      <c r="IS681" s="1605"/>
      <c r="IT681" s="1605"/>
      <c r="IU681" s="1605"/>
      <c r="IV681" s="1605"/>
      <c r="IW681" s="1605"/>
      <c r="IX681" s="1605"/>
      <c r="IY681" s="1605"/>
      <c r="IZ681" s="1605"/>
      <c r="JA681" s="1605"/>
      <c r="JB681" s="1605"/>
      <c r="JC681" s="1605"/>
      <c r="JD681" s="1605"/>
      <c r="JE681" s="1605"/>
      <c r="JF681" s="1605"/>
      <c r="JG681" s="1605"/>
      <c r="JH681" s="1605"/>
      <c r="JI681" s="1605"/>
      <c r="JJ681" s="1605"/>
      <c r="JK681" s="1605"/>
      <c r="JL681" s="1605"/>
      <c r="JM681" s="1605"/>
      <c r="JN681" s="1605"/>
      <c r="JO681" s="1605"/>
      <c r="JP681" s="1605"/>
      <c r="JQ681" s="1605"/>
      <c r="JR681" s="1605"/>
      <c r="JS681" s="1605"/>
      <c r="JT681" s="1605"/>
      <c r="JU681" s="1605"/>
      <c r="JV681" s="1605"/>
      <c r="JW681" s="1605"/>
      <c r="JX681" s="1605"/>
      <c r="JY681" s="1605"/>
      <c r="JZ681" s="1605"/>
      <c r="KA681" s="1605"/>
      <c r="KB681" s="1606"/>
    </row>
    <row r="682" spans="2:288" ht="15" customHeight="1" x14ac:dyDescent="0.25">
      <c r="B682" s="216" t="str">
        <f t="shared" si="55"/>
        <v>Desk 52</v>
      </c>
      <c r="C682" s="218" t="str">
        <v/>
      </c>
      <c r="D682" s="218" t="str">
        <v/>
      </c>
      <c r="E682" s="218" t="str">
        <v/>
      </c>
      <c r="F682" s="218" t="str">
        <v/>
      </c>
      <c r="G682" s="402" t="str">
        <v/>
      </c>
      <c r="H682" s="1605"/>
      <c r="I682" s="1605"/>
      <c r="J682" s="1605"/>
      <c r="K682" s="1605"/>
      <c r="L682" s="1605"/>
      <c r="M682" s="1605"/>
      <c r="N682" s="1605"/>
      <c r="O682" s="1605"/>
      <c r="P682" s="1605"/>
      <c r="Q682" s="1605"/>
      <c r="R682" s="1605"/>
      <c r="S682" s="1605"/>
      <c r="T682" s="1605"/>
      <c r="U682" s="1605"/>
      <c r="V682" s="1605"/>
      <c r="W682" s="1605"/>
      <c r="X682" s="1605"/>
      <c r="Y682" s="1605"/>
      <c r="Z682" s="1605"/>
      <c r="AA682" s="1605"/>
      <c r="AB682" s="1605"/>
      <c r="AC682" s="1605"/>
      <c r="AD682" s="1605"/>
      <c r="AE682" s="1605"/>
      <c r="AF682" s="1605"/>
      <c r="AG682" s="1605"/>
      <c r="AH682" s="1605"/>
      <c r="AI682" s="1605"/>
      <c r="AJ682" s="1605"/>
      <c r="AK682" s="1605"/>
      <c r="AL682" s="1605"/>
      <c r="AM682" s="1605"/>
      <c r="AN682" s="1605"/>
      <c r="AO682" s="1605"/>
      <c r="AP682" s="1605"/>
      <c r="AQ682" s="1605"/>
      <c r="AR682" s="1605"/>
      <c r="AS682" s="1605"/>
      <c r="AT682" s="1605"/>
      <c r="AU682" s="1605"/>
      <c r="AV682" s="1605"/>
      <c r="AW682" s="1605"/>
      <c r="AX682" s="1605"/>
      <c r="AY682" s="1605"/>
      <c r="AZ682" s="1605"/>
      <c r="BA682" s="1605"/>
      <c r="BB682" s="1605"/>
      <c r="BC682" s="1605"/>
      <c r="BD682" s="1605"/>
      <c r="BE682" s="1605"/>
      <c r="BF682" s="1605"/>
      <c r="BG682" s="1605"/>
      <c r="BH682" s="1605"/>
      <c r="BI682" s="1605"/>
      <c r="BJ682" s="1605"/>
      <c r="BK682" s="1605"/>
      <c r="BL682" s="1605"/>
      <c r="BM682" s="1605"/>
      <c r="BN682" s="1605"/>
      <c r="BO682" s="1605"/>
      <c r="BP682" s="1605"/>
      <c r="BQ682" s="1605"/>
      <c r="BR682" s="1605"/>
      <c r="BS682" s="1605"/>
      <c r="BT682" s="1605"/>
      <c r="BU682" s="1605"/>
      <c r="BV682" s="1605"/>
      <c r="BW682" s="1605"/>
      <c r="BX682" s="1605"/>
      <c r="BY682" s="1605"/>
      <c r="BZ682" s="1605"/>
      <c r="CA682" s="1605"/>
      <c r="CB682" s="1605"/>
      <c r="CC682" s="1605"/>
      <c r="CD682" s="1605"/>
      <c r="CE682" s="1605"/>
      <c r="CF682" s="1605"/>
      <c r="CG682" s="1605"/>
      <c r="CH682" s="1605"/>
      <c r="CI682" s="1605"/>
      <c r="CJ682" s="1605"/>
      <c r="CK682" s="1605"/>
      <c r="CL682" s="1605"/>
      <c r="CM682" s="1605"/>
      <c r="CN682" s="1605"/>
      <c r="CO682" s="1605"/>
      <c r="CP682" s="1605"/>
      <c r="CQ682" s="1605"/>
      <c r="CR682" s="1605"/>
      <c r="CS682" s="1605"/>
      <c r="CT682" s="1605"/>
      <c r="CU682" s="1605"/>
      <c r="CV682" s="1605"/>
      <c r="CW682" s="1605"/>
      <c r="CX682" s="1605"/>
      <c r="CY682" s="1605"/>
      <c r="CZ682" s="1605"/>
      <c r="DA682" s="1605"/>
      <c r="DB682" s="1605"/>
      <c r="DC682" s="1605"/>
      <c r="DD682" s="1605"/>
      <c r="DE682" s="1605"/>
      <c r="DF682" s="1605"/>
      <c r="DG682" s="1605"/>
      <c r="DH682" s="1605"/>
      <c r="DI682" s="1605"/>
      <c r="DJ682" s="1605"/>
      <c r="DK682" s="1605"/>
      <c r="DL682" s="1605"/>
      <c r="DM682" s="1605"/>
      <c r="DN682" s="1605"/>
      <c r="DO682" s="1605"/>
      <c r="DP682" s="1605"/>
      <c r="DQ682" s="1605"/>
      <c r="DR682" s="1605"/>
      <c r="DS682" s="1605"/>
      <c r="DT682" s="1605"/>
      <c r="DU682" s="1605"/>
      <c r="DV682" s="1605"/>
      <c r="DW682" s="1605"/>
      <c r="DX682" s="1605"/>
      <c r="DY682" s="1605"/>
      <c r="DZ682" s="1605"/>
      <c r="EA682" s="1605"/>
      <c r="EB682" s="1605"/>
      <c r="EC682" s="1605"/>
      <c r="ED682" s="1605"/>
      <c r="EE682" s="1605"/>
      <c r="EF682" s="1605"/>
      <c r="EG682" s="1605"/>
      <c r="EH682" s="1605"/>
      <c r="EI682" s="1605"/>
      <c r="EJ682" s="1605"/>
      <c r="EK682" s="1605"/>
      <c r="EL682" s="1605"/>
      <c r="EM682" s="1605"/>
      <c r="EN682" s="1605"/>
      <c r="EO682" s="1605"/>
      <c r="EP682" s="1605"/>
      <c r="EQ682" s="1605"/>
      <c r="ER682" s="1605"/>
      <c r="ES682" s="1605"/>
      <c r="ET682" s="1605"/>
      <c r="EU682" s="1605"/>
      <c r="EV682" s="1605"/>
      <c r="EW682" s="1605"/>
      <c r="EX682" s="1605"/>
      <c r="EY682" s="1605"/>
      <c r="EZ682" s="1605"/>
      <c r="FA682" s="1605"/>
      <c r="FB682" s="1605"/>
      <c r="FC682" s="1605"/>
      <c r="FD682" s="1605"/>
      <c r="FE682" s="1605"/>
      <c r="FF682" s="1605"/>
      <c r="FG682" s="1605"/>
      <c r="FH682" s="1605"/>
      <c r="FI682" s="1605"/>
      <c r="FJ682" s="1605"/>
      <c r="FK682" s="1605"/>
      <c r="FL682" s="1605"/>
      <c r="FM682" s="1605"/>
      <c r="FN682" s="1605"/>
      <c r="FO682" s="1605"/>
      <c r="FP682" s="1605"/>
      <c r="FQ682" s="1605"/>
      <c r="FR682" s="1605"/>
      <c r="FS682" s="1605"/>
      <c r="FT682" s="1605"/>
      <c r="FU682" s="1605"/>
      <c r="FV682" s="1605"/>
      <c r="FW682" s="1605"/>
      <c r="FX682" s="1605"/>
      <c r="FY682" s="1605"/>
      <c r="FZ682" s="1605"/>
      <c r="GA682" s="1605"/>
      <c r="GB682" s="1605"/>
      <c r="GC682" s="1605"/>
      <c r="GD682" s="1605"/>
      <c r="GE682" s="1605"/>
      <c r="GF682" s="1605"/>
      <c r="GG682" s="1605"/>
      <c r="GH682" s="1605"/>
      <c r="GI682" s="1605"/>
      <c r="GJ682" s="1605"/>
      <c r="GK682" s="1605"/>
      <c r="GL682" s="1605"/>
      <c r="GM682" s="1605"/>
      <c r="GN682" s="1605"/>
      <c r="GO682" s="1605"/>
      <c r="GP682" s="1605"/>
      <c r="GQ682" s="1605"/>
      <c r="GR682" s="1605"/>
      <c r="GS682" s="1605"/>
      <c r="GT682" s="1605"/>
      <c r="GU682" s="1605"/>
      <c r="GV682" s="1605"/>
      <c r="GW682" s="1605"/>
      <c r="GX682" s="1605"/>
      <c r="GY682" s="1605"/>
      <c r="GZ682" s="1605"/>
      <c r="HA682" s="1605"/>
      <c r="HB682" s="1605"/>
      <c r="HC682" s="1605"/>
      <c r="HD682" s="1605"/>
      <c r="HE682" s="1605"/>
      <c r="HF682" s="1605"/>
      <c r="HG682" s="1605"/>
      <c r="HH682" s="1605"/>
      <c r="HI682" s="1605"/>
      <c r="HJ682" s="1605"/>
      <c r="HK682" s="1605"/>
      <c r="HL682" s="1605"/>
      <c r="HM682" s="1605"/>
      <c r="HN682" s="1605"/>
      <c r="HO682" s="1605"/>
      <c r="HP682" s="1605"/>
      <c r="HQ682" s="1605"/>
      <c r="HR682" s="1605"/>
      <c r="HS682" s="1605"/>
      <c r="HT682" s="1605"/>
      <c r="HU682" s="1605"/>
      <c r="HV682" s="1605"/>
      <c r="HW682" s="1605"/>
      <c r="HX682" s="1605"/>
      <c r="HY682" s="1605"/>
      <c r="HZ682" s="1605"/>
      <c r="IA682" s="1605"/>
      <c r="IB682" s="1605"/>
      <c r="IC682" s="1605"/>
      <c r="ID682" s="1605"/>
      <c r="IE682" s="1605"/>
      <c r="IF682" s="1605"/>
      <c r="IG682" s="1605"/>
      <c r="IH682" s="1605"/>
      <c r="II682" s="1605"/>
      <c r="IJ682" s="1605"/>
      <c r="IK682" s="1605"/>
      <c r="IL682" s="1605"/>
      <c r="IM682" s="1605"/>
      <c r="IN682" s="1605"/>
      <c r="IO682" s="1605"/>
      <c r="IP682" s="1605"/>
      <c r="IQ682" s="1605"/>
      <c r="IR682" s="1605"/>
      <c r="IS682" s="1605"/>
      <c r="IT682" s="1605"/>
      <c r="IU682" s="1605"/>
      <c r="IV682" s="1605"/>
      <c r="IW682" s="1605"/>
      <c r="IX682" s="1605"/>
      <c r="IY682" s="1605"/>
      <c r="IZ682" s="1605"/>
      <c r="JA682" s="1605"/>
      <c r="JB682" s="1605"/>
      <c r="JC682" s="1605"/>
      <c r="JD682" s="1605"/>
      <c r="JE682" s="1605"/>
      <c r="JF682" s="1605"/>
      <c r="JG682" s="1605"/>
      <c r="JH682" s="1605"/>
      <c r="JI682" s="1605"/>
      <c r="JJ682" s="1605"/>
      <c r="JK682" s="1605"/>
      <c r="JL682" s="1605"/>
      <c r="JM682" s="1605"/>
      <c r="JN682" s="1605"/>
      <c r="JO682" s="1605"/>
      <c r="JP682" s="1605"/>
      <c r="JQ682" s="1605"/>
      <c r="JR682" s="1605"/>
      <c r="JS682" s="1605"/>
      <c r="JT682" s="1605"/>
      <c r="JU682" s="1605"/>
      <c r="JV682" s="1605"/>
      <c r="JW682" s="1605"/>
      <c r="JX682" s="1605"/>
      <c r="JY682" s="1605"/>
      <c r="JZ682" s="1605"/>
      <c r="KA682" s="1605"/>
      <c r="KB682" s="1606"/>
    </row>
    <row r="683" spans="2:288" ht="15" customHeight="1" x14ac:dyDescent="0.25">
      <c r="B683" s="216" t="str">
        <f t="shared" si="55"/>
        <v>Desk 53</v>
      </c>
      <c r="C683" s="218" t="str">
        <v/>
      </c>
      <c r="D683" s="218" t="str">
        <v/>
      </c>
      <c r="E683" s="218" t="str">
        <v/>
      </c>
      <c r="F683" s="218" t="str">
        <v/>
      </c>
      <c r="G683" s="402" t="str">
        <v/>
      </c>
      <c r="H683" s="1605"/>
      <c r="I683" s="1605"/>
      <c r="J683" s="1605"/>
      <c r="K683" s="1605"/>
      <c r="L683" s="1605"/>
      <c r="M683" s="1605"/>
      <c r="N683" s="1605"/>
      <c r="O683" s="1605"/>
      <c r="P683" s="1605"/>
      <c r="Q683" s="1605"/>
      <c r="R683" s="1605"/>
      <c r="S683" s="1605"/>
      <c r="T683" s="1605"/>
      <c r="U683" s="1605"/>
      <c r="V683" s="1605"/>
      <c r="W683" s="1605"/>
      <c r="X683" s="1605"/>
      <c r="Y683" s="1605"/>
      <c r="Z683" s="1605"/>
      <c r="AA683" s="1605"/>
      <c r="AB683" s="1605"/>
      <c r="AC683" s="1605"/>
      <c r="AD683" s="1605"/>
      <c r="AE683" s="1605"/>
      <c r="AF683" s="1605"/>
      <c r="AG683" s="1605"/>
      <c r="AH683" s="1605"/>
      <c r="AI683" s="1605"/>
      <c r="AJ683" s="1605"/>
      <c r="AK683" s="1605"/>
      <c r="AL683" s="1605"/>
      <c r="AM683" s="1605"/>
      <c r="AN683" s="1605"/>
      <c r="AO683" s="1605"/>
      <c r="AP683" s="1605"/>
      <c r="AQ683" s="1605"/>
      <c r="AR683" s="1605"/>
      <c r="AS683" s="1605"/>
      <c r="AT683" s="1605"/>
      <c r="AU683" s="1605"/>
      <c r="AV683" s="1605"/>
      <c r="AW683" s="1605"/>
      <c r="AX683" s="1605"/>
      <c r="AY683" s="1605"/>
      <c r="AZ683" s="1605"/>
      <c r="BA683" s="1605"/>
      <c r="BB683" s="1605"/>
      <c r="BC683" s="1605"/>
      <c r="BD683" s="1605"/>
      <c r="BE683" s="1605"/>
      <c r="BF683" s="1605"/>
      <c r="BG683" s="1605"/>
      <c r="BH683" s="1605"/>
      <c r="BI683" s="1605"/>
      <c r="BJ683" s="1605"/>
      <c r="BK683" s="1605"/>
      <c r="BL683" s="1605"/>
      <c r="BM683" s="1605"/>
      <c r="BN683" s="1605"/>
      <c r="BO683" s="1605"/>
      <c r="BP683" s="1605"/>
      <c r="BQ683" s="1605"/>
      <c r="BR683" s="1605"/>
      <c r="BS683" s="1605"/>
      <c r="BT683" s="1605"/>
      <c r="BU683" s="1605"/>
      <c r="BV683" s="1605"/>
      <c r="BW683" s="1605"/>
      <c r="BX683" s="1605"/>
      <c r="BY683" s="1605"/>
      <c r="BZ683" s="1605"/>
      <c r="CA683" s="1605"/>
      <c r="CB683" s="1605"/>
      <c r="CC683" s="1605"/>
      <c r="CD683" s="1605"/>
      <c r="CE683" s="1605"/>
      <c r="CF683" s="1605"/>
      <c r="CG683" s="1605"/>
      <c r="CH683" s="1605"/>
      <c r="CI683" s="1605"/>
      <c r="CJ683" s="1605"/>
      <c r="CK683" s="1605"/>
      <c r="CL683" s="1605"/>
      <c r="CM683" s="1605"/>
      <c r="CN683" s="1605"/>
      <c r="CO683" s="1605"/>
      <c r="CP683" s="1605"/>
      <c r="CQ683" s="1605"/>
      <c r="CR683" s="1605"/>
      <c r="CS683" s="1605"/>
      <c r="CT683" s="1605"/>
      <c r="CU683" s="1605"/>
      <c r="CV683" s="1605"/>
      <c r="CW683" s="1605"/>
      <c r="CX683" s="1605"/>
      <c r="CY683" s="1605"/>
      <c r="CZ683" s="1605"/>
      <c r="DA683" s="1605"/>
      <c r="DB683" s="1605"/>
      <c r="DC683" s="1605"/>
      <c r="DD683" s="1605"/>
      <c r="DE683" s="1605"/>
      <c r="DF683" s="1605"/>
      <c r="DG683" s="1605"/>
      <c r="DH683" s="1605"/>
      <c r="DI683" s="1605"/>
      <c r="DJ683" s="1605"/>
      <c r="DK683" s="1605"/>
      <c r="DL683" s="1605"/>
      <c r="DM683" s="1605"/>
      <c r="DN683" s="1605"/>
      <c r="DO683" s="1605"/>
      <c r="DP683" s="1605"/>
      <c r="DQ683" s="1605"/>
      <c r="DR683" s="1605"/>
      <c r="DS683" s="1605"/>
      <c r="DT683" s="1605"/>
      <c r="DU683" s="1605"/>
      <c r="DV683" s="1605"/>
      <c r="DW683" s="1605"/>
      <c r="DX683" s="1605"/>
      <c r="DY683" s="1605"/>
      <c r="DZ683" s="1605"/>
      <c r="EA683" s="1605"/>
      <c r="EB683" s="1605"/>
      <c r="EC683" s="1605"/>
      <c r="ED683" s="1605"/>
      <c r="EE683" s="1605"/>
      <c r="EF683" s="1605"/>
      <c r="EG683" s="1605"/>
      <c r="EH683" s="1605"/>
      <c r="EI683" s="1605"/>
      <c r="EJ683" s="1605"/>
      <c r="EK683" s="1605"/>
      <c r="EL683" s="1605"/>
      <c r="EM683" s="1605"/>
      <c r="EN683" s="1605"/>
      <c r="EO683" s="1605"/>
      <c r="EP683" s="1605"/>
      <c r="EQ683" s="1605"/>
      <c r="ER683" s="1605"/>
      <c r="ES683" s="1605"/>
      <c r="ET683" s="1605"/>
      <c r="EU683" s="1605"/>
      <c r="EV683" s="1605"/>
      <c r="EW683" s="1605"/>
      <c r="EX683" s="1605"/>
      <c r="EY683" s="1605"/>
      <c r="EZ683" s="1605"/>
      <c r="FA683" s="1605"/>
      <c r="FB683" s="1605"/>
      <c r="FC683" s="1605"/>
      <c r="FD683" s="1605"/>
      <c r="FE683" s="1605"/>
      <c r="FF683" s="1605"/>
      <c r="FG683" s="1605"/>
      <c r="FH683" s="1605"/>
      <c r="FI683" s="1605"/>
      <c r="FJ683" s="1605"/>
      <c r="FK683" s="1605"/>
      <c r="FL683" s="1605"/>
      <c r="FM683" s="1605"/>
      <c r="FN683" s="1605"/>
      <c r="FO683" s="1605"/>
      <c r="FP683" s="1605"/>
      <c r="FQ683" s="1605"/>
      <c r="FR683" s="1605"/>
      <c r="FS683" s="1605"/>
      <c r="FT683" s="1605"/>
      <c r="FU683" s="1605"/>
      <c r="FV683" s="1605"/>
      <c r="FW683" s="1605"/>
      <c r="FX683" s="1605"/>
      <c r="FY683" s="1605"/>
      <c r="FZ683" s="1605"/>
      <c r="GA683" s="1605"/>
      <c r="GB683" s="1605"/>
      <c r="GC683" s="1605"/>
      <c r="GD683" s="1605"/>
      <c r="GE683" s="1605"/>
      <c r="GF683" s="1605"/>
      <c r="GG683" s="1605"/>
      <c r="GH683" s="1605"/>
      <c r="GI683" s="1605"/>
      <c r="GJ683" s="1605"/>
      <c r="GK683" s="1605"/>
      <c r="GL683" s="1605"/>
      <c r="GM683" s="1605"/>
      <c r="GN683" s="1605"/>
      <c r="GO683" s="1605"/>
      <c r="GP683" s="1605"/>
      <c r="GQ683" s="1605"/>
      <c r="GR683" s="1605"/>
      <c r="GS683" s="1605"/>
      <c r="GT683" s="1605"/>
      <c r="GU683" s="1605"/>
      <c r="GV683" s="1605"/>
      <c r="GW683" s="1605"/>
      <c r="GX683" s="1605"/>
      <c r="GY683" s="1605"/>
      <c r="GZ683" s="1605"/>
      <c r="HA683" s="1605"/>
      <c r="HB683" s="1605"/>
      <c r="HC683" s="1605"/>
      <c r="HD683" s="1605"/>
      <c r="HE683" s="1605"/>
      <c r="HF683" s="1605"/>
      <c r="HG683" s="1605"/>
      <c r="HH683" s="1605"/>
      <c r="HI683" s="1605"/>
      <c r="HJ683" s="1605"/>
      <c r="HK683" s="1605"/>
      <c r="HL683" s="1605"/>
      <c r="HM683" s="1605"/>
      <c r="HN683" s="1605"/>
      <c r="HO683" s="1605"/>
      <c r="HP683" s="1605"/>
      <c r="HQ683" s="1605"/>
      <c r="HR683" s="1605"/>
      <c r="HS683" s="1605"/>
      <c r="HT683" s="1605"/>
      <c r="HU683" s="1605"/>
      <c r="HV683" s="1605"/>
      <c r="HW683" s="1605"/>
      <c r="HX683" s="1605"/>
      <c r="HY683" s="1605"/>
      <c r="HZ683" s="1605"/>
      <c r="IA683" s="1605"/>
      <c r="IB683" s="1605"/>
      <c r="IC683" s="1605"/>
      <c r="ID683" s="1605"/>
      <c r="IE683" s="1605"/>
      <c r="IF683" s="1605"/>
      <c r="IG683" s="1605"/>
      <c r="IH683" s="1605"/>
      <c r="II683" s="1605"/>
      <c r="IJ683" s="1605"/>
      <c r="IK683" s="1605"/>
      <c r="IL683" s="1605"/>
      <c r="IM683" s="1605"/>
      <c r="IN683" s="1605"/>
      <c r="IO683" s="1605"/>
      <c r="IP683" s="1605"/>
      <c r="IQ683" s="1605"/>
      <c r="IR683" s="1605"/>
      <c r="IS683" s="1605"/>
      <c r="IT683" s="1605"/>
      <c r="IU683" s="1605"/>
      <c r="IV683" s="1605"/>
      <c r="IW683" s="1605"/>
      <c r="IX683" s="1605"/>
      <c r="IY683" s="1605"/>
      <c r="IZ683" s="1605"/>
      <c r="JA683" s="1605"/>
      <c r="JB683" s="1605"/>
      <c r="JC683" s="1605"/>
      <c r="JD683" s="1605"/>
      <c r="JE683" s="1605"/>
      <c r="JF683" s="1605"/>
      <c r="JG683" s="1605"/>
      <c r="JH683" s="1605"/>
      <c r="JI683" s="1605"/>
      <c r="JJ683" s="1605"/>
      <c r="JK683" s="1605"/>
      <c r="JL683" s="1605"/>
      <c r="JM683" s="1605"/>
      <c r="JN683" s="1605"/>
      <c r="JO683" s="1605"/>
      <c r="JP683" s="1605"/>
      <c r="JQ683" s="1605"/>
      <c r="JR683" s="1605"/>
      <c r="JS683" s="1605"/>
      <c r="JT683" s="1605"/>
      <c r="JU683" s="1605"/>
      <c r="JV683" s="1605"/>
      <c r="JW683" s="1605"/>
      <c r="JX683" s="1605"/>
      <c r="JY683" s="1605"/>
      <c r="JZ683" s="1605"/>
      <c r="KA683" s="1605"/>
      <c r="KB683" s="1606"/>
    </row>
    <row r="684" spans="2:288" ht="15" customHeight="1" x14ac:dyDescent="0.25">
      <c r="B684" s="216" t="str">
        <f t="shared" si="55"/>
        <v>Desk 54</v>
      </c>
      <c r="C684" s="218" t="str">
        <v/>
      </c>
      <c r="D684" s="218" t="str">
        <v/>
      </c>
      <c r="E684" s="218" t="str">
        <v/>
      </c>
      <c r="F684" s="218" t="str">
        <v/>
      </c>
      <c r="G684" s="402" t="str">
        <v/>
      </c>
      <c r="H684" s="1605"/>
      <c r="I684" s="1605"/>
      <c r="J684" s="1605"/>
      <c r="K684" s="1605"/>
      <c r="L684" s="1605"/>
      <c r="M684" s="1605"/>
      <c r="N684" s="1605"/>
      <c r="O684" s="1605"/>
      <c r="P684" s="1605"/>
      <c r="Q684" s="1605"/>
      <c r="R684" s="1605"/>
      <c r="S684" s="1605"/>
      <c r="T684" s="1605"/>
      <c r="U684" s="1605"/>
      <c r="V684" s="1605"/>
      <c r="W684" s="1605"/>
      <c r="X684" s="1605"/>
      <c r="Y684" s="1605"/>
      <c r="Z684" s="1605"/>
      <c r="AA684" s="1605"/>
      <c r="AB684" s="1605"/>
      <c r="AC684" s="1605"/>
      <c r="AD684" s="1605"/>
      <c r="AE684" s="1605"/>
      <c r="AF684" s="1605"/>
      <c r="AG684" s="1605"/>
      <c r="AH684" s="1605"/>
      <c r="AI684" s="1605"/>
      <c r="AJ684" s="1605"/>
      <c r="AK684" s="1605"/>
      <c r="AL684" s="1605"/>
      <c r="AM684" s="1605"/>
      <c r="AN684" s="1605"/>
      <c r="AO684" s="1605"/>
      <c r="AP684" s="1605"/>
      <c r="AQ684" s="1605"/>
      <c r="AR684" s="1605"/>
      <c r="AS684" s="1605"/>
      <c r="AT684" s="1605"/>
      <c r="AU684" s="1605"/>
      <c r="AV684" s="1605"/>
      <c r="AW684" s="1605"/>
      <c r="AX684" s="1605"/>
      <c r="AY684" s="1605"/>
      <c r="AZ684" s="1605"/>
      <c r="BA684" s="1605"/>
      <c r="BB684" s="1605"/>
      <c r="BC684" s="1605"/>
      <c r="BD684" s="1605"/>
      <c r="BE684" s="1605"/>
      <c r="BF684" s="1605"/>
      <c r="BG684" s="1605"/>
      <c r="BH684" s="1605"/>
      <c r="BI684" s="1605"/>
      <c r="BJ684" s="1605"/>
      <c r="BK684" s="1605"/>
      <c r="BL684" s="1605"/>
      <c r="BM684" s="1605"/>
      <c r="BN684" s="1605"/>
      <c r="BO684" s="1605"/>
      <c r="BP684" s="1605"/>
      <c r="BQ684" s="1605"/>
      <c r="BR684" s="1605"/>
      <c r="BS684" s="1605"/>
      <c r="BT684" s="1605"/>
      <c r="BU684" s="1605"/>
      <c r="BV684" s="1605"/>
      <c r="BW684" s="1605"/>
      <c r="BX684" s="1605"/>
      <c r="BY684" s="1605"/>
      <c r="BZ684" s="1605"/>
      <c r="CA684" s="1605"/>
      <c r="CB684" s="1605"/>
      <c r="CC684" s="1605"/>
      <c r="CD684" s="1605"/>
      <c r="CE684" s="1605"/>
      <c r="CF684" s="1605"/>
      <c r="CG684" s="1605"/>
      <c r="CH684" s="1605"/>
      <c r="CI684" s="1605"/>
      <c r="CJ684" s="1605"/>
      <c r="CK684" s="1605"/>
      <c r="CL684" s="1605"/>
      <c r="CM684" s="1605"/>
      <c r="CN684" s="1605"/>
      <c r="CO684" s="1605"/>
      <c r="CP684" s="1605"/>
      <c r="CQ684" s="1605"/>
      <c r="CR684" s="1605"/>
      <c r="CS684" s="1605"/>
      <c r="CT684" s="1605"/>
      <c r="CU684" s="1605"/>
      <c r="CV684" s="1605"/>
      <c r="CW684" s="1605"/>
      <c r="CX684" s="1605"/>
      <c r="CY684" s="1605"/>
      <c r="CZ684" s="1605"/>
      <c r="DA684" s="1605"/>
      <c r="DB684" s="1605"/>
      <c r="DC684" s="1605"/>
      <c r="DD684" s="1605"/>
      <c r="DE684" s="1605"/>
      <c r="DF684" s="1605"/>
      <c r="DG684" s="1605"/>
      <c r="DH684" s="1605"/>
      <c r="DI684" s="1605"/>
      <c r="DJ684" s="1605"/>
      <c r="DK684" s="1605"/>
      <c r="DL684" s="1605"/>
      <c r="DM684" s="1605"/>
      <c r="DN684" s="1605"/>
      <c r="DO684" s="1605"/>
      <c r="DP684" s="1605"/>
      <c r="DQ684" s="1605"/>
      <c r="DR684" s="1605"/>
      <c r="DS684" s="1605"/>
      <c r="DT684" s="1605"/>
      <c r="DU684" s="1605"/>
      <c r="DV684" s="1605"/>
      <c r="DW684" s="1605"/>
      <c r="DX684" s="1605"/>
      <c r="DY684" s="1605"/>
      <c r="DZ684" s="1605"/>
      <c r="EA684" s="1605"/>
      <c r="EB684" s="1605"/>
      <c r="EC684" s="1605"/>
      <c r="ED684" s="1605"/>
      <c r="EE684" s="1605"/>
      <c r="EF684" s="1605"/>
      <c r="EG684" s="1605"/>
      <c r="EH684" s="1605"/>
      <c r="EI684" s="1605"/>
      <c r="EJ684" s="1605"/>
      <c r="EK684" s="1605"/>
      <c r="EL684" s="1605"/>
      <c r="EM684" s="1605"/>
      <c r="EN684" s="1605"/>
      <c r="EO684" s="1605"/>
      <c r="EP684" s="1605"/>
      <c r="EQ684" s="1605"/>
      <c r="ER684" s="1605"/>
      <c r="ES684" s="1605"/>
      <c r="ET684" s="1605"/>
      <c r="EU684" s="1605"/>
      <c r="EV684" s="1605"/>
      <c r="EW684" s="1605"/>
      <c r="EX684" s="1605"/>
      <c r="EY684" s="1605"/>
      <c r="EZ684" s="1605"/>
      <c r="FA684" s="1605"/>
      <c r="FB684" s="1605"/>
      <c r="FC684" s="1605"/>
      <c r="FD684" s="1605"/>
      <c r="FE684" s="1605"/>
      <c r="FF684" s="1605"/>
      <c r="FG684" s="1605"/>
      <c r="FH684" s="1605"/>
      <c r="FI684" s="1605"/>
      <c r="FJ684" s="1605"/>
      <c r="FK684" s="1605"/>
      <c r="FL684" s="1605"/>
      <c r="FM684" s="1605"/>
      <c r="FN684" s="1605"/>
      <c r="FO684" s="1605"/>
      <c r="FP684" s="1605"/>
      <c r="FQ684" s="1605"/>
      <c r="FR684" s="1605"/>
      <c r="FS684" s="1605"/>
      <c r="FT684" s="1605"/>
      <c r="FU684" s="1605"/>
      <c r="FV684" s="1605"/>
      <c r="FW684" s="1605"/>
      <c r="FX684" s="1605"/>
      <c r="FY684" s="1605"/>
      <c r="FZ684" s="1605"/>
      <c r="GA684" s="1605"/>
      <c r="GB684" s="1605"/>
      <c r="GC684" s="1605"/>
      <c r="GD684" s="1605"/>
      <c r="GE684" s="1605"/>
      <c r="GF684" s="1605"/>
      <c r="GG684" s="1605"/>
      <c r="GH684" s="1605"/>
      <c r="GI684" s="1605"/>
      <c r="GJ684" s="1605"/>
      <c r="GK684" s="1605"/>
      <c r="GL684" s="1605"/>
      <c r="GM684" s="1605"/>
      <c r="GN684" s="1605"/>
      <c r="GO684" s="1605"/>
      <c r="GP684" s="1605"/>
      <c r="GQ684" s="1605"/>
      <c r="GR684" s="1605"/>
      <c r="GS684" s="1605"/>
      <c r="GT684" s="1605"/>
      <c r="GU684" s="1605"/>
      <c r="GV684" s="1605"/>
      <c r="GW684" s="1605"/>
      <c r="GX684" s="1605"/>
      <c r="GY684" s="1605"/>
      <c r="GZ684" s="1605"/>
      <c r="HA684" s="1605"/>
      <c r="HB684" s="1605"/>
      <c r="HC684" s="1605"/>
      <c r="HD684" s="1605"/>
      <c r="HE684" s="1605"/>
      <c r="HF684" s="1605"/>
      <c r="HG684" s="1605"/>
      <c r="HH684" s="1605"/>
      <c r="HI684" s="1605"/>
      <c r="HJ684" s="1605"/>
      <c r="HK684" s="1605"/>
      <c r="HL684" s="1605"/>
      <c r="HM684" s="1605"/>
      <c r="HN684" s="1605"/>
      <c r="HO684" s="1605"/>
      <c r="HP684" s="1605"/>
      <c r="HQ684" s="1605"/>
      <c r="HR684" s="1605"/>
      <c r="HS684" s="1605"/>
      <c r="HT684" s="1605"/>
      <c r="HU684" s="1605"/>
      <c r="HV684" s="1605"/>
      <c r="HW684" s="1605"/>
      <c r="HX684" s="1605"/>
      <c r="HY684" s="1605"/>
      <c r="HZ684" s="1605"/>
      <c r="IA684" s="1605"/>
      <c r="IB684" s="1605"/>
      <c r="IC684" s="1605"/>
      <c r="ID684" s="1605"/>
      <c r="IE684" s="1605"/>
      <c r="IF684" s="1605"/>
      <c r="IG684" s="1605"/>
      <c r="IH684" s="1605"/>
      <c r="II684" s="1605"/>
      <c r="IJ684" s="1605"/>
      <c r="IK684" s="1605"/>
      <c r="IL684" s="1605"/>
      <c r="IM684" s="1605"/>
      <c r="IN684" s="1605"/>
      <c r="IO684" s="1605"/>
      <c r="IP684" s="1605"/>
      <c r="IQ684" s="1605"/>
      <c r="IR684" s="1605"/>
      <c r="IS684" s="1605"/>
      <c r="IT684" s="1605"/>
      <c r="IU684" s="1605"/>
      <c r="IV684" s="1605"/>
      <c r="IW684" s="1605"/>
      <c r="IX684" s="1605"/>
      <c r="IY684" s="1605"/>
      <c r="IZ684" s="1605"/>
      <c r="JA684" s="1605"/>
      <c r="JB684" s="1605"/>
      <c r="JC684" s="1605"/>
      <c r="JD684" s="1605"/>
      <c r="JE684" s="1605"/>
      <c r="JF684" s="1605"/>
      <c r="JG684" s="1605"/>
      <c r="JH684" s="1605"/>
      <c r="JI684" s="1605"/>
      <c r="JJ684" s="1605"/>
      <c r="JK684" s="1605"/>
      <c r="JL684" s="1605"/>
      <c r="JM684" s="1605"/>
      <c r="JN684" s="1605"/>
      <c r="JO684" s="1605"/>
      <c r="JP684" s="1605"/>
      <c r="JQ684" s="1605"/>
      <c r="JR684" s="1605"/>
      <c r="JS684" s="1605"/>
      <c r="JT684" s="1605"/>
      <c r="JU684" s="1605"/>
      <c r="JV684" s="1605"/>
      <c r="JW684" s="1605"/>
      <c r="JX684" s="1605"/>
      <c r="JY684" s="1605"/>
      <c r="JZ684" s="1605"/>
      <c r="KA684" s="1605"/>
      <c r="KB684" s="1606"/>
    </row>
    <row r="685" spans="2:288" ht="15" customHeight="1" x14ac:dyDescent="0.25">
      <c r="B685" s="216" t="str">
        <f t="shared" si="55"/>
        <v>Desk 55</v>
      </c>
      <c r="C685" s="218" t="str">
        <v/>
      </c>
      <c r="D685" s="218" t="str">
        <v/>
      </c>
      <c r="E685" s="218" t="str">
        <v/>
      </c>
      <c r="F685" s="218" t="str">
        <v/>
      </c>
      <c r="G685" s="402" t="str">
        <v/>
      </c>
      <c r="H685" s="1605"/>
      <c r="I685" s="1605"/>
      <c r="J685" s="1605"/>
      <c r="K685" s="1605"/>
      <c r="L685" s="1605"/>
      <c r="M685" s="1605"/>
      <c r="N685" s="1605"/>
      <c r="O685" s="1605"/>
      <c r="P685" s="1605"/>
      <c r="Q685" s="1605"/>
      <c r="R685" s="1605"/>
      <c r="S685" s="1605"/>
      <c r="T685" s="1605"/>
      <c r="U685" s="1605"/>
      <c r="V685" s="1605"/>
      <c r="W685" s="1605"/>
      <c r="X685" s="1605"/>
      <c r="Y685" s="1605"/>
      <c r="Z685" s="1605"/>
      <c r="AA685" s="1605"/>
      <c r="AB685" s="1605"/>
      <c r="AC685" s="1605"/>
      <c r="AD685" s="1605"/>
      <c r="AE685" s="1605"/>
      <c r="AF685" s="1605"/>
      <c r="AG685" s="1605"/>
      <c r="AH685" s="1605"/>
      <c r="AI685" s="1605"/>
      <c r="AJ685" s="1605"/>
      <c r="AK685" s="1605"/>
      <c r="AL685" s="1605"/>
      <c r="AM685" s="1605"/>
      <c r="AN685" s="1605"/>
      <c r="AO685" s="1605"/>
      <c r="AP685" s="1605"/>
      <c r="AQ685" s="1605"/>
      <c r="AR685" s="1605"/>
      <c r="AS685" s="1605"/>
      <c r="AT685" s="1605"/>
      <c r="AU685" s="1605"/>
      <c r="AV685" s="1605"/>
      <c r="AW685" s="1605"/>
      <c r="AX685" s="1605"/>
      <c r="AY685" s="1605"/>
      <c r="AZ685" s="1605"/>
      <c r="BA685" s="1605"/>
      <c r="BB685" s="1605"/>
      <c r="BC685" s="1605"/>
      <c r="BD685" s="1605"/>
      <c r="BE685" s="1605"/>
      <c r="BF685" s="1605"/>
      <c r="BG685" s="1605"/>
      <c r="BH685" s="1605"/>
      <c r="BI685" s="1605"/>
      <c r="BJ685" s="1605"/>
      <c r="BK685" s="1605"/>
      <c r="BL685" s="1605"/>
      <c r="BM685" s="1605"/>
      <c r="BN685" s="1605"/>
      <c r="BO685" s="1605"/>
      <c r="BP685" s="1605"/>
      <c r="BQ685" s="1605"/>
      <c r="BR685" s="1605"/>
      <c r="BS685" s="1605"/>
      <c r="BT685" s="1605"/>
      <c r="BU685" s="1605"/>
      <c r="BV685" s="1605"/>
      <c r="BW685" s="1605"/>
      <c r="BX685" s="1605"/>
      <c r="BY685" s="1605"/>
      <c r="BZ685" s="1605"/>
      <c r="CA685" s="1605"/>
      <c r="CB685" s="1605"/>
      <c r="CC685" s="1605"/>
      <c r="CD685" s="1605"/>
      <c r="CE685" s="1605"/>
      <c r="CF685" s="1605"/>
      <c r="CG685" s="1605"/>
      <c r="CH685" s="1605"/>
      <c r="CI685" s="1605"/>
      <c r="CJ685" s="1605"/>
      <c r="CK685" s="1605"/>
      <c r="CL685" s="1605"/>
      <c r="CM685" s="1605"/>
      <c r="CN685" s="1605"/>
      <c r="CO685" s="1605"/>
      <c r="CP685" s="1605"/>
      <c r="CQ685" s="1605"/>
      <c r="CR685" s="1605"/>
      <c r="CS685" s="1605"/>
      <c r="CT685" s="1605"/>
      <c r="CU685" s="1605"/>
      <c r="CV685" s="1605"/>
      <c r="CW685" s="1605"/>
      <c r="CX685" s="1605"/>
      <c r="CY685" s="1605"/>
      <c r="CZ685" s="1605"/>
      <c r="DA685" s="1605"/>
      <c r="DB685" s="1605"/>
      <c r="DC685" s="1605"/>
      <c r="DD685" s="1605"/>
      <c r="DE685" s="1605"/>
      <c r="DF685" s="1605"/>
      <c r="DG685" s="1605"/>
      <c r="DH685" s="1605"/>
      <c r="DI685" s="1605"/>
      <c r="DJ685" s="1605"/>
      <c r="DK685" s="1605"/>
      <c r="DL685" s="1605"/>
      <c r="DM685" s="1605"/>
      <c r="DN685" s="1605"/>
      <c r="DO685" s="1605"/>
      <c r="DP685" s="1605"/>
      <c r="DQ685" s="1605"/>
      <c r="DR685" s="1605"/>
      <c r="DS685" s="1605"/>
      <c r="DT685" s="1605"/>
      <c r="DU685" s="1605"/>
      <c r="DV685" s="1605"/>
      <c r="DW685" s="1605"/>
      <c r="DX685" s="1605"/>
      <c r="DY685" s="1605"/>
      <c r="DZ685" s="1605"/>
      <c r="EA685" s="1605"/>
      <c r="EB685" s="1605"/>
      <c r="EC685" s="1605"/>
      <c r="ED685" s="1605"/>
      <c r="EE685" s="1605"/>
      <c r="EF685" s="1605"/>
      <c r="EG685" s="1605"/>
      <c r="EH685" s="1605"/>
      <c r="EI685" s="1605"/>
      <c r="EJ685" s="1605"/>
      <c r="EK685" s="1605"/>
      <c r="EL685" s="1605"/>
      <c r="EM685" s="1605"/>
      <c r="EN685" s="1605"/>
      <c r="EO685" s="1605"/>
      <c r="EP685" s="1605"/>
      <c r="EQ685" s="1605"/>
      <c r="ER685" s="1605"/>
      <c r="ES685" s="1605"/>
      <c r="ET685" s="1605"/>
      <c r="EU685" s="1605"/>
      <c r="EV685" s="1605"/>
      <c r="EW685" s="1605"/>
      <c r="EX685" s="1605"/>
      <c r="EY685" s="1605"/>
      <c r="EZ685" s="1605"/>
      <c r="FA685" s="1605"/>
      <c r="FB685" s="1605"/>
      <c r="FC685" s="1605"/>
      <c r="FD685" s="1605"/>
      <c r="FE685" s="1605"/>
      <c r="FF685" s="1605"/>
      <c r="FG685" s="1605"/>
      <c r="FH685" s="1605"/>
      <c r="FI685" s="1605"/>
      <c r="FJ685" s="1605"/>
      <c r="FK685" s="1605"/>
      <c r="FL685" s="1605"/>
      <c r="FM685" s="1605"/>
      <c r="FN685" s="1605"/>
      <c r="FO685" s="1605"/>
      <c r="FP685" s="1605"/>
      <c r="FQ685" s="1605"/>
      <c r="FR685" s="1605"/>
      <c r="FS685" s="1605"/>
      <c r="FT685" s="1605"/>
      <c r="FU685" s="1605"/>
      <c r="FV685" s="1605"/>
      <c r="FW685" s="1605"/>
      <c r="FX685" s="1605"/>
      <c r="FY685" s="1605"/>
      <c r="FZ685" s="1605"/>
      <c r="GA685" s="1605"/>
      <c r="GB685" s="1605"/>
      <c r="GC685" s="1605"/>
      <c r="GD685" s="1605"/>
      <c r="GE685" s="1605"/>
      <c r="GF685" s="1605"/>
      <c r="GG685" s="1605"/>
      <c r="GH685" s="1605"/>
      <c r="GI685" s="1605"/>
      <c r="GJ685" s="1605"/>
      <c r="GK685" s="1605"/>
      <c r="GL685" s="1605"/>
      <c r="GM685" s="1605"/>
      <c r="GN685" s="1605"/>
      <c r="GO685" s="1605"/>
      <c r="GP685" s="1605"/>
      <c r="GQ685" s="1605"/>
      <c r="GR685" s="1605"/>
      <c r="GS685" s="1605"/>
      <c r="GT685" s="1605"/>
      <c r="GU685" s="1605"/>
      <c r="GV685" s="1605"/>
      <c r="GW685" s="1605"/>
      <c r="GX685" s="1605"/>
      <c r="GY685" s="1605"/>
      <c r="GZ685" s="1605"/>
      <c r="HA685" s="1605"/>
      <c r="HB685" s="1605"/>
      <c r="HC685" s="1605"/>
      <c r="HD685" s="1605"/>
      <c r="HE685" s="1605"/>
      <c r="HF685" s="1605"/>
      <c r="HG685" s="1605"/>
      <c r="HH685" s="1605"/>
      <c r="HI685" s="1605"/>
      <c r="HJ685" s="1605"/>
      <c r="HK685" s="1605"/>
      <c r="HL685" s="1605"/>
      <c r="HM685" s="1605"/>
      <c r="HN685" s="1605"/>
      <c r="HO685" s="1605"/>
      <c r="HP685" s="1605"/>
      <c r="HQ685" s="1605"/>
      <c r="HR685" s="1605"/>
      <c r="HS685" s="1605"/>
      <c r="HT685" s="1605"/>
      <c r="HU685" s="1605"/>
      <c r="HV685" s="1605"/>
      <c r="HW685" s="1605"/>
      <c r="HX685" s="1605"/>
      <c r="HY685" s="1605"/>
      <c r="HZ685" s="1605"/>
      <c r="IA685" s="1605"/>
      <c r="IB685" s="1605"/>
      <c r="IC685" s="1605"/>
      <c r="ID685" s="1605"/>
      <c r="IE685" s="1605"/>
      <c r="IF685" s="1605"/>
      <c r="IG685" s="1605"/>
      <c r="IH685" s="1605"/>
      <c r="II685" s="1605"/>
      <c r="IJ685" s="1605"/>
      <c r="IK685" s="1605"/>
      <c r="IL685" s="1605"/>
      <c r="IM685" s="1605"/>
      <c r="IN685" s="1605"/>
      <c r="IO685" s="1605"/>
      <c r="IP685" s="1605"/>
      <c r="IQ685" s="1605"/>
      <c r="IR685" s="1605"/>
      <c r="IS685" s="1605"/>
      <c r="IT685" s="1605"/>
      <c r="IU685" s="1605"/>
      <c r="IV685" s="1605"/>
      <c r="IW685" s="1605"/>
      <c r="IX685" s="1605"/>
      <c r="IY685" s="1605"/>
      <c r="IZ685" s="1605"/>
      <c r="JA685" s="1605"/>
      <c r="JB685" s="1605"/>
      <c r="JC685" s="1605"/>
      <c r="JD685" s="1605"/>
      <c r="JE685" s="1605"/>
      <c r="JF685" s="1605"/>
      <c r="JG685" s="1605"/>
      <c r="JH685" s="1605"/>
      <c r="JI685" s="1605"/>
      <c r="JJ685" s="1605"/>
      <c r="JK685" s="1605"/>
      <c r="JL685" s="1605"/>
      <c r="JM685" s="1605"/>
      <c r="JN685" s="1605"/>
      <c r="JO685" s="1605"/>
      <c r="JP685" s="1605"/>
      <c r="JQ685" s="1605"/>
      <c r="JR685" s="1605"/>
      <c r="JS685" s="1605"/>
      <c r="JT685" s="1605"/>
      <c r="JU685" s="1605"/>
      <c r="JV685" s="1605"/>
      <c r="JW685" s="1605"/>
      <c r="JX685" s="1605"/>
      <c r="JY685" s="1605"/>
      <c r="JZ685" s="1605"/>
      <c r="KA685" s="1605"/>
      <c r="KB685" s="1606"/>
    </row>
    <row r="686" spans="2:288" ht="15" customHeight="1" x14ac:dyDescent="0.25">
      <c r="B686" s="216" t="str">
        <f t="shared" si="55"/>
        <v>Desk 56</v>
      </c>
      <c r="C686" s="218" t="str">
        <v/>
      </c>
      <c r="D686" s="218" t="str">
        <v/>
      </c>
      <c r="E686" s="218" t="str">
        <v/>
      </c>
      <c r="F686" s="218" t="str">
        <v/>
      </c>
      <c r="G686" s="402" t="str">
        <v/>
      </c>
      <c r="H686" s="1605"/>
      <c r="I686" s="1605"/>
      <c r="J686" s="1605"/>
      <c r="K686" s="1605"/>
      <c r="L686" s="1605"/>
      <c r="M686" s="1605"/>
      <c r="N686" s="1605"/>
      <c r="O686" s="1605"/>
      <c r="P686" s="1605"/>
      <c r="Q686" s="1605"/>
      <c r="R686" s="1605"/>
      <c r="S686" s="1605"/>
      <c r="T686" s="1605"/>
      <c r="U686" s="1605"/>
      <c r="V686" s="1605"/>
      <c r="W686" s="1605"/>
      <c r="X686" s="1605"/>
      <c r="Y686" s="1605"/>
      <c r="Z686" s="1605"/>
      <c r="AA686" s="1605"/>
      <c r="AB686" s="1605"/>
      <c r="AC686" s="1605"/>
      <c r="AD686" s="1605"/>
      <c r="AE686" s="1605"/>
      <c r="AF686" s="1605"/>
      <c r="AG686" s="1605"/>
      <c r="AH686" s="1605"/>
      <c r="AI686" s="1605"/>
      <c r="AJ686" s="1605"/>
      <c r="AK686" s="1605"/>
      <c r="AL686" s="1605"/>
      <c r="AM686" s="1605"/>
      <c r="AN686" s="1605"/>
      <c r="AO686" s="1605"/>
      <c r="AP686" s="1605"/>
      <c r="AQ686" s="1605"/>
      <c r="AR686" s="1605"/>
      <c r="AS686" s="1605"/>
      <c r="AT686" s="1605"/>
      <c r="AU686" s="1605"/>
      <c r="AV686" s="1605"/>
      <c r="AW686" s="1605"/>
      <c r="AX686" s="1605"/>
      <c r="AY686" s="1605"/>
      <c r="AZ686" s="1605"/>
      <c r="BA686" s="1605"/>
      <c r="BB686" s="1605"/>
      <c r="BC686" s="1605"/>
      <c r="BD686" s="1605"/>
      <c r="BE686" s="1605"/>
      <c r="BF686" s="1605"/>
      <c r="BG686" s="1605"/>
      <c r="BH686" s="1605"/>
      <c r="BI686" s="1605"/>
      <c r="BJ686" s="1605"/>
      <c r="BK686" s="1605"/>
      <c r="BL686" s="1605"/>
      <c r="BM686" s="1605"/>
      <c r="BN686" s="1605"/>
      <c r="BO686" s="1605"/>
      <c r="BP686" s="1605"/>
      <c r="BQ686" s="1605"/>
      <c r="BR686" s="1605"/>
      <c r="BS686" s="1605"/>
      <c r="BT686" s="1605"/>
      <c r="BU686" s="1605"/>
      <c r="BV686" s="1605"/>
      <c r="BW686" s="1605"/>
      <c r="BX686" s="1605"/>
      <c r="BY686" s="1605"/>
      <c r="BZ686" s="1605"/>
      <c r="CA686" s="1605"/>
      <c r="CB686" s="1605"/>
      <c r="CC686" s="1605"/>
      <c r="CD686" s="1605"/>
      <c r="CE686" s="1605"/>
      <c r="CF686" s="1605"/>
      <c r="CG686" s="1605"/>
      <c r="CH686" s="1605"/>
      <c r="CI686" s="1605"/>
      <c r="CJ686" s="1605"/>
      <c r="CK686" s="1605"/>
      <c r="CL686" s="1605"/>
      <c r="CM686" s="1605"/>
      <c r="CN686" s="1605"/>
      <c r="CO686" s="1605"/>
      <c r="CP686" s="1605"/>
      <c r="CQ686" s="1605"/>
      <c r="CR686" s="1605"/>
      <c r="CS686" s="1605"/>
      <c r="CT686" s="1605"/>
      <c r="CU686" s="1605"/>
      <c r="CV686" s="1605"/>
      <c r="CW686" s="1605"/>
      <c r="CX686" s="1605"/>
      <c r="CY686" s="1605"/>
      <c r="CZ686" s="1605"/>
      <c r="DA686" s="1605"/>
      <c r="DB686" s="1605"/>
      <c r="DC686" s="1605"/>
      <c r="DD686" s="1605"/>
      <c r="DE686" s="1605"/>
      <c r="DF686" s="1605"/>
      <c r="DG686" s="1605"/>
      <c r="DH686" s="1605"/>
      <c r="DI686" s="1605"/>
      <c r="DJ686" s="1605"/>
      <c r="DK686" s="1605"/>
      <c r="DL686" s="1605"/>
      <c r="DM686" s="1605"/>
      <c r="DN686" s="1605"/>
      <c r="DO686" s="1605"/>
      <c r="DP686" s="1605"/>
      <c r="DQ686" s="1605"/>
      <c r="DR686" s="1605"/>
      <c r="DS686" s="1605"/>
      <c r="DT686" s="1605"/>
      <c r="DU686" s="1605"/>
      <c r="DV686" s="1605"/>
      <c r="DW686" s="1605"/>
      <c r="DX686" s="1605"/>
      <c r="DY686" s="1605"/>
      <c r="DZ686" s="1605"/>
      <c r="EA686" s="1605"/>
      <c r="EB686" s="1605"/>
      <c r="EC686" s="1605"/>
      <c r="ED686" s="1605"/>
      <c r="EE686" s="1605"/>
      <c r="EF686" s="1605"/>
      <c r="EG686" s="1605"/>
      <c r="EH686" s="1605"/>
      <c r="EI686" s="1605"/>
      <c r="EJ686" s="1605"/>
      <c r="EK686" s="1605"/>
      <c r="EL686" s="1605"/>
      <c r="EM686" s="1605"/>
      <c r="EN686" s="1605"/>
      <c r="EO686" s="1605"/>
      <c r="EP686" s="1605"/>
      <c r="EQ686" s="1605"/>
      <c r="ER686" s="1605"/>
      <c r="ES686" s="1605"/>
      <c r="ET686" s="1605"/>
      <c r="EU686" s="1605"/>
      <c r="EV686" s="1605"/>
      <c r="EW686" s="1605"/>
      <c r="EX686" s="1605"/>
      <c r="EY686" s="1605"/>
      <c r="EZ686" s="1605"/>
      <c r="FA686" s="1605"/>
      <c r="FB686" s="1605"/>
      <c r="FC686" s="1605"/>
      <c r="FD686" s="1605"/>
      <c r="FE686" s="1605"/>
      <c r="FF686" s="1605"/>
      <c r="FG686" s="1605"/>
      <c r="FH686" s="1605"/>
      <c r="FI686" s="1605"/>
      <c r="FJ686" s="1605"/>
      <c r="FK686" s="1605"/>
      <c r="FL686" s="1605"/>
      <c r="FM686" s="1605"/>
      <c r="FN686" s="1605"/>
      <c r="FO686" s="1605"/>
      <c r="FP686" s="1605"/>
      <c r="FQ686" s="1605"/>
      <c r="FR686" s="1605"/>
      <c r="FS686" s="1605"/>
      <c r="FT686" s="1605"/>
      <c r="FU686" s="1605"/>
      <c r="FV686" s="1605"/>
      <c r="FW686" s="1605"/>
      <c r="FX686" s="1605"/>
      <c r="FY686" s="1605"/>
      <c r="FZ686" s="1605"/>
      <c r="GA686" s="1605"/>
      <c r="GB686" s="1605"/>
      <c r="GC686" s="1605"/>
      <c r="GD686" s="1605"/>
      <c r="GE686" s="1605"/>
      <c r="GF686" s="1605"/>
      <c r="GG686" s="1605"/>
      <c r="GH686" s="1605"/>
      <c r="GI686" s="1605"/>
      <c r="GJ686" s="1605"/>
      <c r="GK686" s="1605"/>
      <c r="GL686" s="1605"/>
      <c r="GM686" s="1605"/>
      <c r="GN686" s="1605"/>
      <c r="GO686" s="1605"/>
      <c r="GP686" s="1605"/>
      <c r="GQ686" s="1605"/>
      <c r="GR686" s="1605"/>
      <c r="GS686" s="1605"/>
      <c r="GT686" s="1605"/>
      <c r="GU686" s="1605"/>
      <c r="GV686" s="1605"/>
      <c r="GW686" s="1605"/>
      <c r="GX686" s="1605"/>
      <c r="GY686" s="1605"/>
      <c r="GZ686" s="1605"/>
      <c r="HA686" s="1605"/>
      <c r="HB686" s="1605"/>
      <c r="HC686" s="1605"/>
      <c r="HD686" s="1605"/>
      <c r="HE686" s="1605"/>
      <c r="HF686" s="1605"/>
      <c r="HG686" s="1605"/>
      <c r="HH686" s="1605"/>
      <c r="HI686" s="1605"/>
      <c r="HJ686" s="1605"/>
      <c r="HK686" s="1605"/>
      <c r="HL686" s="1605"/>
      <c r="HM686" s="1605"/>
      <c r="HN686" s="1605"/>
      <c r="HO686" s="1605"/>
      <c r="HP686" s="1605"/>
      <c r="HQ686" s="1605"/>
      <c r="HR686" s="1605"/>
      <c r="HS686" s="1605"/>
      <c r="HT686" s="1605"/>
      <c r="HU686" s="1605"/>
      <c r="HV686" s="1605"/>
      <c r="HW686" s="1605"/>
      <c r="HX686" s="1605"/>
      <c r="HY686" s="1605"/>
      <c r="HZ686" s="1605"/>
      <c r="IA686" s="1605"/>
      <c r="IB686" s="1605"/>
      <c r="IC686" s="1605"/>
      <c r="ID686" s="1605"/>
      <c r="IE686" s="1605"/>
      <c r="IF686" s="1605"/>
      <c r="IG686" s="1605"/>
      <c r="IH686" s="1605"/>
      <c r="II686" s="1605"/>
      <c r="IJ686" s="1605"/>
      <c r="IK686" s="1605"/>
      <c r="IL686" s="1605"/>
      <c r="IM686" s="1605"/>
      <c r="IN686" s="1605"/>
      <c r="IO686" s="1605"/>
      <c r="IP686" s="1605"/>
      <c r="IQ686" s="1605"/>
      <c r="IR686" s="1605"/>
      <c r="IS686" s="1605"/>
      <c r="IT686" s="1605"/>
      <c r="IU686" s="1605"/>
      <c r="IV686" s="1605"/>
      <c r="IW686" s="1605"/>
      <c r="IX686" s="1605"/>
      <c r="IY686" s="1605"/>
      <c r="IZ686" s="1605"/>
      <c r="JA686" s="1605"/>
      <c r="JB686" s="1605"/>
      <c r="JC686" s="1605"/>
      <c r="JD686" s="1605"/>
      <c r="JE686" s="1605"/>
      <c r="JF686" s="1605"/>
      <c r="JG686" s="1605"/>
      <c r="JH686" s="1605"/>
      <c r="JI686" s="1605"/>
      <c r="JJ686" s="1605"/>
      <c r="JK686" s="1605"/>
      <c r="JL686" s="1605"/>
      <c r="JM686" s="1605"/>
      <c r="JN686" s="1605"/>
      <c r="JO686" s="1605"/>
      <c r="JP686" s="1605"/>
      <c r="JQ686" s="1605"/>
      <c r="JR686" s="1605"/>
      <c r="JS686" s="1605"/>
      <c r="JT686" s="1605"/>
      <c r="JU686" s="1605"/>
      <c r="JV686" s="1605"/>
      <c r="JW686" s="1605"/>
      <c r="JX686" s="1605"/>
      <c r="JY686" s="1605"/>
      <c r="JZ686" s="1605"/>
      <c r="KA686" s="1605"/>
      <c r="KB686" s="1606"/>
    </row>
    <row r="687" spans="2:288" ht="15" customHeight="1" x14ac:dyDescent="0.25">
      <c r="B687" s="216" t="str">
        <f t="shared" si="55"/>
        <v>Desk 57</v>
      </c>
      <c r="C687" s="218" t="str">
        <v/>
      </c>
      <c r="D687" s="218" t="str">
        <v/>
      </c>
      <c r="E687" s="218" t="str">
        <v/>
      </c>
      <c r="F687" s="218" t="str">
        <v/>
      </c>
      <c r="G687" s="402" t="str">
        <v/>
      </c>
      <c r="H687" s="1605"/>
      <c r="I687" s="1605"/>
      <c r="J687" s="1605"/>
      <c r="K687" s="1605"/>
      <c r="L687" s="1605"/>
      <c r="M687" s="1605"/>
      <c r="N687" s="1605"/>
      <c r="O687" s="1605"/>
      <c r="P687" s="1605"/>
      <c r="Q687" s="1605"/>
      <c r="R687" s="1605"/>
      <c r="S687" s="1605"/>
      <c r="T687" s="1605"/>
      <c r="U687" s="1605"/>
      <c r="V687" s="1605"/>
      <c r="W687" s="1605"/>
      <c r="X687" s="1605"/>
      <c r="Y687" s="1605"/>
      <c r="Z687" s="1605"/>
      <c r="AA687" s="1605"/>
      <c r="AB687" s="1605"/>
      <c r="AC687" s="1605"/>
      <c r="AD687" s="1605"/>
      <c r="AE687" s="1605"/>
      <c r="AF687" s="1605"/>
      <c r="AG687" s="1605"/>
      <c r="AH687" s="1605"/>
      <c r="AI687" s="1605"/>
      <c r="AJ687" s="1605"/>
      <c r="AK687" s="1605"/>
      <c r="AL687" s="1605"/>
      <c r="AM687" s="1605"/>
      <c r="AN687" s="1605"/>
      <c r="AO687" s="1605"/>
      <c r="AP687" s="1605"/>
      <c r="AQ687" s="1605"/>
      <c r="AR687" s="1605"/>
      <c r="AS687" s="1605"/>
      <c r="AT687" s="1605"/>
      <c r="AU687" s="1605"/>
      <c r="AV687" s="1605"/>
      <c r="AW687" s="1605"/>
      <c r="AX687" s="1605"/>
      <c r="AY687" s="1605"/>
      <c r="AZ687" s="1605"/>
      <c r="BA687" s="1605"/>
      <c r="BB687" s="1605"/>
      <c r="BC687" s="1605"/>
      <c r="BD687" s="1605"/>
      <c r="BE687" s="1605"/>
      <c r="BF687" s="1605"/>
      <c r="BG687" s="1605"/>
      <c r="BH687" s="1605"/>
      <c r="BI687" s="1605"/>
      <c r="BJ687" s="1605"/>
      <c r="BK687" s="1605"/>
      <c r="BL687" s="1605"/>
      <c r="BM687" s="1605"/>
      <c r="BN687" s="1605"/>
      <c r="BO687" s="1605"/>
      <c r="BP687" s="1605"/>
      <c r="BQ687" s="1605"/>
      <c r="BR687" s="1605"/>
      <c r="BS687" s="1605"/>
      <c r="BT687" s="1605"/>
      <c r="BU687" s="1605"/>
      <c r="BV687" s="1605"/>
      <c r="BW687" s="1605"/>
      <c r="BX687" s="1605"/>
      <c r="BY687" s="1605"/>
      <c r="BZ687" s="1605"/>
      <c r="CA687" s="1605"/>
      <c r="CB687" s="1605"/>
      <c r="CC687" s="1605"/>
      <c r="CD687" s="1605"/>
      <c r="CE687" s="1605"/>
      <c r="CF687" s="1605"/>
      <c r="CG687" s="1605"/>
      <c r="CH687" s="1605"/>
      <c r="CI687" s="1605"/>
      <c r="CJ687" s="1605"/>
      <c r="CK687" s="1605"/>
      <c r="CL687" s="1605"/>
      <c r="CM687" s="1605"/>
      <c r="CN687" s="1605"/>
      <c r="CO687" s="1605"/>
      <c r="CP687" s="1605"/>
      <c r="CQ687" s="1605"/>
      <c r="CR687" s="1605"/>
      <c r="CS687" s="1605"/>
      <c r="CT687" s="1605"/>
      <c r="CU687" s="1605"/>
      <c r="CV687" s="1605"/>
      <c r="CW687" s="1605"/>
      <c r="CX687" s="1605"/>
      <c r="CY687" s="1605"/>
      <c r="CZ687" s="1605"/>
      <c r="DA687" s="1605"/>
      <c r="DB687" s="1605"/>
      <c r="DC687" s="1605"/>
      <c r="DD687" s="1605"/>
      <c r="DE687" s="1605"/>
      <c r="DF687" s="1605"/>
      <c r="DG687" s="1605"/>
      <c r="DH687" s="1605"/>
      <c r="DI687" s="1605"/>
      <c r="DJ687" s="1605"/>
      <c r="DK687" s="1605"/>
      <c r="DL687" s="1605"/>
      <c r="DM687" s="1605"/>
      <c r="DN687" s="1605"/>
      <c r="DO687" s="1605"/>
      <c r="DP687" s="1605"/>
      <c r="DQ687" s="1605"/>
      <c r="DR687" s="1605"/>
      <c r="DS687" s="1605"/>
      <c r="DT687" s="1605"/>
      <c r="DU687" s="1605"/>
      <c r="DV687" s="1605"/>
      <c r="DW687" s="1605"/>
      <c r="DX687" s="1605"/>
      <c r="DY687" s="1605"/>
      <c r="DZ687" s="1605"/>
      <c r="EA687" s="1605"/>
      <c r="EB687" s="1605"/>
      <c r="EC687" s="1605"/>
      <c r="ED687" s="1605"/>
      <c r="EE687" s="1605"/>
      <c r="EF687" s="1605"/>
      <c r="EG687" s="1605"/>
      <c r="EH687" s="1605"/>
      <c r="EI687" s="1605"/>
      <c r="EJ687" s="1605"/>
      <c r="EK687" s="1605"/>
      <c r="EL687" s="1605"/>
      <c r="EM687" s="1605"/>
      <c r="EN687" s="1605"/>
      <c r="EO687" s="1605"/>
      <c r="EP687" s="1605"/>
      <c r="EQ687" s="1605"/>
      <c r="ER687" s="1605"/>
      <c r="ES687" s="1605"/>
      <c r="ET687" s="1605"/>
      <c r="EU687" s="1605"/>
      <c r="EV687" s="1605"/>
      <c r="EW687" s="1605"/>
      <c r="EX687" s="1605"/>
      <c r="EY687" s="1605"/>
      <c r="EZ687" s="1605"/>
      <c r="FA687" s="1605"/>
      <c r="FB687" s="1605"/>
      <c r="FC687" s="1605"/>
      <c r="FD687" s="1605"/>
      <c r="FE687" s="1605"/>
      <c r="FF687" s="1605"/>
      <c r="FG687" s="1605"/>
      <c r="FH687" s="1605"/>
      <c r="FI687" s="1605"/>
      <c r="FJ687" s="1605"/>
      <c r="FK687" s="1605"/>
      <c r="FL687" s="1605"/>
      <c r="FM687" s="1605"/>
      <c r="FN687" s="1605"/>
      <c r="FO687" s="1605"/>
      <c r="FP687" s="1605"/>
      <c r="FQ687" s="1605"/>
      <c r="FR687" s="1605"/>
      <c r="FS687" s="1605"/>
      <c r="FT687" s="1605"/>
      <c r="FU687" s="1605"/>
      <c r="FV687" s="1605"/>
      <c r="FW687" s="1605"/>
      <c r="FX687" s="1605"/>
      <c r="FY687" s="1605"/>
      <c r="FZ687" s="1605"/>
      <c r="GA687" s="1605"/>
      <c r="GB687" s="1605"/>
      <c r="GC687" s="1605"/>
      <c r="GD687" s="1605"/>
      <c r="GE687" s="1605"/>
      <c r="GF687" s="1605"/>
      <c r="GG687" s="1605"/>
      <c r="GH687" s="1605"/>
      <c r="GI687" s="1605"/>
      <c r="GJ687" s="1605"/>
      <c r="GK687" s="1605"/>
      <c r="GL687" s="1605"/>
      <c r="GM687" s="1605"/>
      <c r="GN687" s="1605"/>
      <c r="GO687" s="1605"/>
      <c r="GP687" s="1605"/>
      <c r="GQ687" s="1605"/>
      <c r="GR687" s="1605"/>
      <c r="GS687" s="1605"/>
      <c r="GT687" s="1605"/>
      <c r="GU687" s="1605"/>
      <c r="GV687" s="1605"/>
      <c r="GW687" s="1605"/>
      <c r="GX687" s="1605"/>
      <c r="GY687" s="1605"/>
      <c r="GZ687" s="1605"/>
      <c r="HA687" s="1605"/>
      <c r="HB687" s="1605"/>
      <c r="HC687" s="1605"/>
      <c r="HD687" s="1605"/>
      <c r="HE687" s="1605"/>
      <c r="HF687" s="1605"/>
      <c r="HG687" s="1605"/>
      <c r="HH687" s="1605"/>
      <c r="HI687" s="1605"/>
      <c r="HJ687" s="1605"/>
      <c r="HK687" s="1605"/>
      <c r="HL687" s="1605"/>
      <c r="HM687" s="1605"/>
      <c r="HN687" s="1605"/>
      <c r="HO687" s="1605"/>
      <c r="HP687" s="1605"/>
      <c r="HQ687" s="1605"/>
      <c r="HR687" s="1605"/>
      <c r="HS687" s="1605"/>
      <c r="HT687" s="1605"/>
      <c r="HU687" s="1605"/>
      <c r="HV687" s="1605"/>
      <c r="HW687" s="1605"/>
      <c r="HX687" s="1605"/>
      <c r="HY687" s="1605"/>
      <c r="HZ687" s="1605"/>
      <c r="IA687" s="1605"/>
      <c r="IB687" s="1605"/>
      <c r="IC687" s="1605"/>
      <c r="ID687" s="1605"/>
      <c r="IE687" s="1605"/>
      <c r="IF687" s="1605"/>
      <c r="IG687" s="1605"/>
      <c r="IH687" s="1605"/>
      <c r="II687" s="1605"/>
      <c r="IJ687" s="1605"/>
      <c r="IK687" s="1605"/>
      <c r="IL687" s="1605"/>
      <c r="IM687" s="1605"/>
      <c r="IN687" s="1605"/>
      <c r="IO687" s="1605"/>
      <c r="IP687" s="1605"/>
      <c r="IQ687" s="1605"/>
      <c r="IR687" s="1605"/>
      <c r="IS687" s="1605"/>
      <c r="IT687" s="1605"/>
      <c r="IU687" s="1605"/>
      <c r="IV687" s="1605"/>
      <c r="IW687" s="1605"/>
      <c r="IX687" s="1605"/>
      <c r="IY687" s="1605"/>
      <c r="IZ687" s="1605"/>
      <c r="JA687" s="1605"/>
      <c r="JB687" s="1605"/>
      <c r="JC687" s="1605"/>
      <c r="JD687" s="1605"/>
      <c r="JE687" s="1605"/>
      <c r="JF687" s="1605"/>
      <c r="JG687" s="1605"/>
      <c r="JH687" s="1605"/>
      <c r="JI687" s="1605"/>
      <c r="JJ687" s="1605"/>
      <c r="JK687" s="1605"/>
      <c r="JL687" s="1605"/>
      <c r="JM687" s="1605"/>
      <c r="JN687" s="1605"/>
      <c r="JO687" s="1605"/>
      <c r="JP687" s="1605"/>
      <c r="JQ687" s="1605"/>
      <c r="JR687" s="1605"/>
      <c r="JS687" s="1605"/>
      <c r="JT687" s="1605"/>
      <c r="JU687" s="1605"/>
      <c r="JV687" s="1605"/>
      <c r="JW687" s="1605"/>
      <c r="JX687" s="1605"/>
      <c r="JY687" s="1605"/>
      <c r="JZ687" s="1605"/>
      <c r="KA687" s="1605"/>
      <c r="KB687" s="1606"/>
    </row>
    <row r="688" spans="2:288" ht="15" customHeight="1" x14ac:dyDescent="0.25">
      <c r="B688" s="216" t="str">
        <f t="shared" si="55"/>
        <v>Desk 58</v>
      </c>
      <c r="C688" s="218" t="str">
        <v/>
      </c>
      <c r="D688" s="218" t="str">
        <v/>
      </c>
      <c r="E688" s="218" t="str">
        <v/>
      </c>
      <c r="F688" s="218" t="str">
        <v/>
      </c>
      <c r="G688" s="402" t="str">
        <v/>
      </c>
      <c r="H688" s="1605"/>
      <c r="I688" s="1605"/>
      <c r="J688" s="1605"/>
      <c r="K688" s="1605"/>
      <c r="L688" s="1605"/>
      <c r="M688" s="1605"/>
      <c r="N688" s="1605"/>
      <c r="O688" s="1605"/>
      <c r="P688" s="1605"/>
      <c r="Q688" s="1605"/>
      <c r="R688" s="1605"/>
      <c r="S688" s="1605"/>
      <c r="T688" s="1605"/>
      <c r="U688" s="1605"/>
      <c r="V688" s="1605"/>
      <c r="W688" s="1605"/>
      <c r="X688" s="1605"/>
      <c r="Y688" s="1605"/>
      <c r="Z688" s="1605"/>
      <c r="AA688" s="1605"/>
      <c r="AB688" s="1605"/>
      <c r="AC688" s="1605"/>
      <c r="AD688" s="1605"/>
      <c r="AE688" s="1605"/>
      <c r="AF688" s="1605"/>
      <c r="AG688" s="1605"/>
      <c r="AH688" s="1605"/>
      <c r="AI688" s="1605"/>
      <c r="AJ688" s="1605"/>
      <c r="AK688" s="1605"/>
      <c r="AL688" s="1605"/>
      <c r="AM688" s="1605"/>
      <c r="AN688" s="1605"/>
      <c r="AO688" s="1605"/>
      <c r="AP688" s="1605"/>
      <c r="AQ688" s="1605"/>
      <c r="AR688" s="1605"/>
      <c r="AS688" s="1605"/>
      <c r="AT688" s="1605"/>
      <c r="AU688" s="1605"/>
      <c r="AV688" s="1605"/>
      <c r="AW688" s="1605"/>
      <c r="AX688" s="1605"/>
      <c r="AY688" s="1605"/>
      <c r="AZ688" s="1605"/>
      <c r="BA688" s="1605"/>
      <c r="BB688" s="1605"/>
      <c r="BC688" s="1605"/>
      <c r="BD688" s="1605"/>
      <c r="BE688" s="1605"/>
      <c r="BF688" s="1605"/>
      <c r="BG688" s="1605"/>
      <c r="BH688" s="1605"/>
      <c r="BI688" s="1605"/>
      <c r="BJ688" s="1605"/>
      <c r="BK688" s="1605"/>
      <c r="BL688" s="1605"/>
      <c r="BM688" s="1605"/>
      <c r="BN688" s="1605"/>
      <c r="BO688" s="1605"/>
      <c r="BP688" s="1605"/>
      <c r="BQ688" s="1605"/>
      <c r="BR688" s="1605"/>
      <c r="BS688" s="1605"/>
      <c r="BT688" s="1605"/>
      <c r="BU688" s="1605"/>
      <c r="BV688" s="1605"/>
      <c r="BW688" s="1605"/>
      <c r="BX688" s="1605"/>
      <c r="BY688" s="1605"/>
      <c r="BZ688" s="1605"/>
      <c r="CA688" s="1605"/>
      <c r="CB688" s="1605"/>
      <c r="CC688" s="1605"/>
      <c r="CD688" s="1605"/>
      <c r="CE688" s="1605"/>
      <c r="CF688" s="1605"/>
      <c r="CG688" s="1605"/>
      <c r="CH688" s="1605"/>
      <c r="CI688" s="1605"/>
      <c r="CJ688" s="1605"/>
      <c r="CK688" s="1605"/>
      <c r="CL688" s="1605"/>
      <c r="CM688" s="1605"/>
      <c r="CN688" s="1605"/>
      <c r="CO688" s="1605"/>
      <c r="CP688" s="1605"/>
      <c r="CQ688" s="1605"/>
      <c r="CR688" s="1605"/>
      <c r="CS688" s="1605"/>
      <c r="CT688" s="1605"/>
      <c r="CU688" s="1605"/>
      <c r="CV688" s="1605"/>
      <c r="CW688" s="1605"/>
      <c r="CX688" s="1605"/>
      <c r="CY688" s="1605"/>
      <c r="CZ688" s="1605"/>
      <c r="DA688" s="1605"/>
      <c r="DB688" s="1605"/>
      <c r="DC688" s="1605"/>
      <c r="DD688" s="1605"/>
      <c r="DE688" s="1605"/>
      <c r="DF688" s="1605"/>
      <c r="DG688" s="1605"/>
      <c r="DH688" s="1605"/>
      <c r="DI688" s="1605"/>
      <c r="DJ688" s="1605"/>
      <c r="DK688" s="1605"/>
      <c r="DL688" s="1605"/>
      <c r="DM688" s="1605"/>
      <c r="DN688" s="1605"/>
      <c r="DO688" s="1605"/>
      <c r="DP688" s="1605"/>
      <c r="DQ688" s="1605"/>
      <c r="DR688" s="1605"/>
      <c r="DS688" s="1605"/>
      <c r="DT688" s="1605"/>
      <c r="DU688" s="1605"/>
      <c r="DV688" s="1605"/>
      <c r="DW688" s="1605"/>
      <c r="DX688" s="1605"/>
      <c r="DY688" s="1605"/>
      <c r="DZ688" s="1605"/>
      <c r="EA688" s="1605"/>
      <c r="EB688" s="1605"/>
      <c r="EC688" s="1605"/>
      <c r="ED688" s="1605"/>
      <c r="EE688" s="1605"/>
      <c r="EF688" s="1605"/>
      <c r="EG688" s="1605"/>
      <c r="EH688" s="1605"/>
      <c r="EI688" s="1605"/>
      <c r="EJ688" s="1605"/>
      <c r="EK688" s="1605"/>
      <c r="EL688" s="1605"/>
      <c r="EM688" s="1605"/>
      <c r="EN688" s="1605"/>
      <c r="EO688" s="1605"/>
      <c r="EP688" s="1605"/>
      <c r="EQ688" s="1605"/>
      <c r="ER688" s="1605"/>
      <c r="ES688" s="1605"/>
      <c r="ET688" s="1605"/>
      <c r="EU688" s="1605"/>
      <c r="EV688" s="1605"/>
      <c r="EW688" s="1605"/>
      <c r="EX688" s="1605"/>
      <c r="EY688" s="1605"/>
      <c r="EZ688" s="1605"/>
      <c r="FA688" s="1605"/>
      <c r="FB688" s="1605"/>
      <c r="FC688" s="1605"/>
      <c r="FD688" s="1605"/>
      <c r="FE688" s="1605"/>
      <c r="FF688" s="1605"/>
      <c r="FG688" s="1605"/>
      <c r="FH688" s="1605"/>
      <c r="FI688" s="1605"/>
      <c r="FJ688" s="1605"/>
      <c r="FK688" s="1605"/>
      <c r="FL688" s="1605"/>
      <c r="FM688" s="1605"/>
      <c r="FN688" s="1605"/>
      <c r="FO688" s="1605"/>
      <c r="FP688" s="1605"/>
      <c r="FQ688" s="1605"/>
      <c r="FR688" s="1605"/>
      <c r="FS688" s="1605"/>
      <c r="FT688" s="1605"/>
      <c r="FU688" s="1605"/>
      <c r="FV688" s="1605"/>
      <c r="FW688" s="1605"/>
      <c r="FX688" s="1605"/>
      <c r="FY688" s="1605"/>
      <c r="FZ688" s="1605"/>
      <c r="GA688" s="1605"/>
      <c r="GB688" s="1605"/>
      <c r="GC688" s="1605"/>
      <c r="GD688" s="1605"/>
      <c r="GE688" s="1605"/>
      <c r="GF688" s="1605"/>
      <c r="GG688" s="1605"/>
      <c r="GH688" s="1605"/>
      <c r="GI688" s="1605"/>
      <c r="GJ688" s="1605"/>
      <c r="GK688" s="1605"/>
      <c r="GL688" s="1605"/>
      <c r="GM688" s="1605"/>
      <c r="GN688" s="1605"/>
      <c r="GO688" s="1605"/>
      <c r="GP688" s="1605"/>
      <c r="GQ688" s="1605"/>
      <c r="GR688" s="1605"/>
      <c r="GS688" s="1605"/>
      <c r="GT688" s="1605"/>
      <c r="GU688" s="1605"/>
      <c r="GV688" s="1605"/>
      <c r="GW688" s="1605"/>
      <c r="GX688" s="1605"/>
      <c r="GY688" s="1605"/>
      <c r="GZ688" s="1605"/>
      <c r="HA688" s="1605"/>
      <c r="HB688" s="1605"/>
      <c r="HC688" s="1605"/>
      <c r="HD688" s="1605"/>
      <c r="HE688" s="1605"/>
      <c r="HF688" s="1605"/>
      <c r="HG688" s="1605"/>
      <c r="HH688" s="1605"/>
      <c r="HI688" s="1605"/>
      <c r="HJ688" s="1605"/>
      <c r="HK688" s="1605"/>
      <c r="HL688" s="1605"/>
      <c r="HM688" s="1605"/>
      <c r="HN688" s="1605"/>
      <c r="HO688" s="1605"/>
      <c r="HP688" s="1605"/>
      <c r="HQ688" s="1605"/>
      <c r="HR688" s="1605"/>
      <c r="HS688" s="1605"/>
      <c r="HT688" s="1605"/>
      <c r="HU688" s="1605"/>
      <c r="HV688" s="1605"/>
      <c r="HW688" s="1605"/>
      <c r="HX688" s="1605"/>
      <c r="HY688" s="1605"/>
      <c r="HZ688" s="1605"/>
      <c r="IA688" s="1605"/>
      <c r="IB688" s="1605"/>
      <c r="IC688" s="1605"/>
      <c r="ID688" s="1605"/>
      <c r="IE688" s="1605"/>
      <c r="IF688" s="1605"/>
      <c r="IG688" s="1605"/>
      <c r="IH688" s="1605"/>
      <c r="II688" s="1605"/>
      <c r="IJ688" s="1605"/>
      <c r="IK688" s="1605"/>
      <c r="IL688" s="1605"/>
      <c r="IM688" s="1605"/>
      <c r="IN688" s="1605"/>
      <c r="IO688" s="1605"/>
      <c r="IP688" s="1605"/>
      <c r="IQ688" s="1605"/>
      <c r="IR688" s="1605"/>
      <c r="IS688" s="1605"/>
      <c r="IT688" s="1605"/>
      <c r="IU688" s="1605"/>
      <c r="IV688" s="1605"/>
      <c r="IW688" s="1605"/>
      <c r="IX688" s="1605"/>
      <c r="IY688" s="1605"/>
      <c r="IZ688" s="1605"/>
      <c r="JA688" s="1605"/>
      <c r="JB688" s="1605"/>
      <c r="JC688" s="1605"/>
      <c r="JD688" s="1605"/>
      <c r="JE688" s="1605"/>
      <c r="JF688" s="1605"/>
      <c r="JG688" s="1605"/>
      <c r="JH688" s="1605"/>
      <c r="JI688" s="1605"/>
      <c r="JJ688" s="1605"/>
      <c r="JK688" s="1605"/>
      <c r="JL688" s="1605"/>
      <c r="JM688" s="1605"/>
      <c r="JN688" s="1605"/>
      <c r="JO688" s="1605"/>
      <c r="JP688" s="1605"/>
      <c r="JQ688" s="1605"/>
      <c r="JR688" s="1605"/>
      <c r="JS688" s="1605"/>
      <c r="JT688" s="1605"/>
      <c r="JU688" s="1605"/>
      <c r="JV688" s="1605"/>
      <c r="JW688" s="1605"/>
      <c r="JX688" s="1605"/>
      <c r="JY688" s="1605"/>
      <c r="JZ688" s="1605"/>
      <c r="KA688" s="1605"/>
      <c r="KB688" s="1606"/>
    </row>
    <row r="689" spans="2:288" ht="15" customHeight="1" x14ac:dyDescent="0.25">
      <c r="B689" s="216" t="str">
        <f t="shared" si="55"/>
        <v>Desk 59</v>
      </c>
      <c r="C689" s="218" t="str">
        <v/>
      </c>
      <c r="D689" s="218" t="str">
        <v/>
      </c>
      <c r="E689" s="218" t="str">
        <v/>
      </c>
      <c r="F689" s="218" t="str">
        <v/>
      </c>
      <c r="G689" s="402" t="str">
        <v/>
      </c>
      <c r="H689" s="1605"/>
      <c r="I689" s="1605"/>
      <c r="J689" s="1605"/>
      <c r="K689" s="1605"/>
      <c r="L689" s="1605"/>
      <c r="M689" s="1605"/>
      <c r="N689" s="1605"/>
      <c r="O689" s="1605"/>
      <c r="P689" s="1605"/>
      <c r="Q689" s="1605"/>
      <c r="R689" s="1605"/>
      <c r="S689" s="1605"/>
      <c r="T689" s="1605"/>
      <c r="U689" s="1605"/>
      <c r="V689" s="1605"/>
      <c r="W689" s="1605"/>
      <c r="X689" s="1605"/>
      <c r="Y689" s="1605"/>
      <c r="Z689" s="1605"/>
      <c r="AA689" s="1605"/>
      <c r="AB689" s="1605"/>
      <c r="AC689" s="1605"/>
      <c r="AD689" s="1605"/>
      <c r="AE689" s="1605"/>
      <c r="AF689" s="1605"/>
      <c r="AG689" s="1605"/>
      <c r="AH689" s="1605"/>
      <c r="AI689" s="1605"/>
      <c r="AJ689" s="1605"/>
      <c r="AK689" s="1605"/>
      <c r="AL689" s="1605"/>
      <c r="AM689" s="1605"/>
      <c r="AN689" s="1605"/>
      <c r="AO689" s="1605"/>
      <c r="AP689" s="1605"/>
      <c r="AQ689" s="1605"/>
      <c r="AR689" s="1605"/>
      <c r="AS689" s="1605"/>
      <c r="AT689" s="1605"/>
      <c r="AU689" s="1605"/>
      <c r="AV689" s="1605"/>
      <c r="AW689" s="1605"/>
      <c r="AX689" s="1605"/>
      <c r="AY689" s="1605"/>
      <c r="AZ689" s="1605"/>
      <c r="BA689" s="1605"/>
      <c r="BB689" s="1605"/>
      <c r="BC689" s="1605"/>
      <c r="BD689" s="1605"/>
      <c r="BE689" s="1605"/>
      <c r="BF689" s="1605"/>
      <c r="BG689" s="1605"/>
      <c r="BH689" s="1605"/>
      <c r="BI689" s="1605"/>
      <c r="BJ689" s="1605"/>
      <c r="BK689" s="1605"/>
      <c r="BL689" s="1605"/>
      <c r="BM689" s="1605"/>
      <c r="BN689" s="1605"/>
      <c r="BO689" s="1605"/>
      <c r="BP689" s="1605"/>
      <c r="BQ689" s="1605"/>
      <c r="BR689" s="1605"/>
      <c r="BS689" s="1605"/>
      <c r="BT689" s="1605"/>
      <c r="BU689" s="1605"/>
      <c r="BV689" s="1605"/>
      <c r="BW689" s="1605"/>
      <c r="BX689" s="1605"/>
      <c r="BY689" s="1605"/>
      <c r="BZ689" s="1605"/>
      <c r="CA689" s="1605"/>
      <c r="CB689" s="1605"/>
      <c r="CC689" s="1605"/>
      <c r="CD689" s="1605"/>
      <c r="CE689" s="1605"/>
      <c r="CF689" s="1605"/>
      <c r="CG689" s="1605"/>
      <c r="CH689" s="1605"/>
      <c r="CI689" s="1605"/>
      <c r="CJ689" s="1605"/>
      <c r="CK689" s="1605"/>
      <c r="CL689" s="1605"/>
      <c r="CM689" s="1605"/>
      <c r="CN689" s="1605"/>
      <c r="CO689" s="1605"/>
      <c r="CP689" s="1605"/>
      <c r="CQ689" s="1605"/>
      <c r="CR689" s="1605"/>
      <c r="CS689" s="1605"/>
      <c r="CT689" s="1605"/>
      <c r="CU689" s="1605"/>
      <c r="CV689" s="1605"/>
      <c r="CW689" s="1605"/>
      <c r="CX689" s="1605"/>
      <c r="CY689" s="1605"/>
      <c r="CZ689" s="1605"/>
      <c r="DA689" s="1605"/>
      <c r="DB689" s="1605"/>
      <c r="DC689" s="1605"/>
      <c r="DD689" s="1605"/>
      <c r="DE689" s="1605"/>
      <c r="DF689" s="1605"/>
      <c r="DG689" s="1605"/>
      <c r="DH689" s="1605"/>
      <c r="DI689" s="1605"/>
      <c r="DJ689" s="1605"/>
      <c r="DK689" s="1605"/>
      <c r="DL689" s="1605"/>
      <c r="DM689" s="1605"/>
      <c r="DN689" s="1605"/>
      <c r="DO689" s="1605"/>
      <c r="DP689" s="1605"/>
      <c r="DQ689" s="1605"/>
      <c r="DR689" s="1605"/>
      <c r="DS689" s="1605"/>
      <c r="DT689" s="1605"/>
      <c r="DU689" s="1605"/>
      <c r="DV689" s="1605"/>
      <c r="DW689" s="1605"/>
      <c r="DX689" s="1605"/>
      <c r="DY689" s="1605"/>
      <c r="DZ689" s="1605"/>
      <c r="EA689" s="1605"/>
      <c r="EB689" s="1605"/>
      <c r="EC689" s="1605"/>
      <c r="ED689" s="1605"/>
      <c r="EE689" s="1605"/>
      <c r="EF689" s="1605"/>
      <c r="EG689" s="1605"/>
      <c r="EH689" s="1605"/>
      <c r="EI689" s="1605"/>
      <c r="EJ689" s="1605"/>
      <c r="EK689" s="1605"/>
      <c r="EL689" s="1605"/>
      <c r="EM689" s="1605"/>
      <c r="EN689" s="1605"/>
      <c r="EO689" s="1605"/>
      <c r="EP689" s="1605"/>
      <c r="EQ689" s="1605"/>
      <c r="ER689" s="1605"/>
      <c r="ES689" s="1605"/>
      <c r="ET689" s="1605"/>
      <c r="EU689" s="1605"/>
      <c r="EV689" s="1605"/>
      <c r="EW689" s="1605"/>
      <c r="EX689" s="1605"/>
      <c r="EY689" s="1605"/>
      <c r="EZ689" s="1605"/>
      <c r="FA689" s="1605"/>
      <c r="FB689" s="1605"/>
      <c r="FC689" s="1605"/>
      <c r="FD689" s="1605"/>
      <c r="FE689" s="1605"/>
      <c r="FF689" s="1605"/>
      <c r="FG689" s="1605"/>
      <c r="FH689" s="1605"/>
      <c r="FI689" s="1605"/>
      <c r="FJ689" s="1605"/>
      <c r="FK689" s="1605"/>
      <c r="FL689" s="1605"/>
      <c r="FM689" s="1605"/>
      <c r="FN689" s="1605"/>
      <c r="FO689" s="1605"/>
      <c r="FP689" s="1605"/>
      <c r="FQ689" s="1605"/>
      <c r="FR689" s="1605"/>
      <c r="FS689" s="1605"/>
      <c r="FT689" s="1605"/>
      <c r="FU689" s="1605"/>
      <c r="FV689" s="1605"/>
      <c r="FW689" s="1605"/>
      <c r="FX689" s="1605"/>
      <c r="FY689" s="1605"/>
      <c r="FZ689" s="1605"/>
      <c r="GA689" s="1605"/>
      <c r="GB689" s="1605"/>
      <c r="GC689" s="1605"/>
      <c r="GD689" s="1605"/>
      <c r="GE689" s="1605"/>
      <c r="GF689" s="1605"/>
      <c r="GG689" s="1605"/>
      <c r="GH689" s="1605"/>
      <c r="GI689" s="1605"/>
      <c r="GJ689" s="1605"/>
      <c r="GK689" s="1605"/>
      <c r="GL689" s="1605"/>
      <c r="GM689" s="1605"/>
      <c r="GN689" s="1605"/>
      <c r="GO689" s="1605"/>
      <c r="GP689" s="1605"/>
      <c r="GQ689" s="1605"/>
      <c r="GR689" s="1605"/>
      <c r="GS689" s="1605"/>
      <c r="GT689" s="1605"/>
      <c r="GU689" s="1605"/>
      <c r="GV689" s="1605"/>
      <c r="GW689" s="1605"/>
      <c r="GX689" s="1605"/>
      <c r="GY689" s="1605"/>
      <c r="GZ689" s="1605"/>
      <c r="HA689" s="1605"/>
      <c r="HB689" s="1605"/>
      <c r="HC689" s="1605"/>
      <c r="HD689" s="1605"/>
      <c r="HE689" s="1605"/>
      <c r="HF689" s="1605"/>
      <c r="HG689" s="1605"/>
      <c r="HH689" s="1605"/>
      <c r="HI689" s="1605"/>
      <c r="HJ689" s="1605"/>
      <c r="HK689" s="1605"/>
      <c r="HL689" s="1605"/>
      <c r="HM689" s="1605"/>
      <c r="HN689" s="1605"/>
      <c r="HO689" s="1605"/>
      <c r="HP689" s="1605"/>
      <c r="HQ689" s="1605"/>
      <c r="HR689" s="1605"/>
      <c r="HS689" s="1605"/>
      <c r="HT689" s="1605"/>
      <c r="HU689" s="1605"/>
      <c r="HV689" s="1605"/>
      <c r="HW689" s="1605"/>
      <c r="HX689" s="1605"/>
      <c r="HY689" s="1605"/>
      <c r="HZ689" s="1605"/>
      <c r="IA689" s="1605"/>
      <c r="IB689" s="1605"/>
      <c r="IC689" s="1605"/>
      <c r="ID689" s="1605"/>
      <c r="IE689" s="1605"/>
      <c r="IF689" s="1605"/>
      <c r="IG689" s="1605"/>
      <c r="IH689" s="1605"/>
      <c r="II689" s="1605"/>
      <c r="IJ689" s="1605"/>
      <c r="IK689" s="1605"/>
      <c r="IL689" s="1605"/>
      <c r="IM689" s="1605"/>
      <c r="IN689" s="1605"/>
      <c r="IO689" s="1605"/>
      <c r="IP689" s="1605"/>
      <c r="IQ689" s="1605"/>
      <c r="IR689" s="1605"/>
      <c r="IS689" s="1605"/>
      <c r="IT689" s="1605"/>
      <c r="IU689" s="1605"/>
      <c r="IV689" s="1605"/>
      <c r="IW689" s="1605"/>
      <c r="IX689" s="1605"/>
      <c r="IY689" s="1605"/>
      <c r="IZ689" s="1605"/>
      <c r="JA689" s="1605"/>
      <c r="JB689" s="1605"/>
      <c r="JC689" s="1605"/>
      <c r="JD689" s="1605"/>
      <c r="JE689" s="1605"/>
      <c r="JF689" s="1605"/>
      <c r="JG689" s="1605"/>
      <c r="JH689" s="1605"/>
      <c r="JI689" s="1605"/>
      <c r="JJ689" s="1605"/>
      <c r="JK689" s="1605"/>
      <c r="JL689" s="1605"/>
      <c r="JM689" s="1605"/>
      <c r="JN689" s="1605"/>
      <c r="JO689" s="1605"/>
      <c r="JP689" s="1605"/>
      <c r="JQ689" s="1605"/>
      <c r="JR689" s="1605"/>
      <c r="JS689" s="1605"/>
      <c r="JT689" s="1605"/>
      <c r="JU689" s="1605"/>
      <c r="JV689" s="1605"/>
      <c r="JW689" s="1605"/>
      <c r="JX689" s="1605"/>
      <c r="JY689" s="1605"/>
      <c r="JZ689" s="1605"/>
      <c r="KA689" s="1605"/>
      <c r="KB689" s="1606"/>
    </row>
    <row r="690" spans="2:288" ht="15" customHeight="1" x14ac:dyDescent="0.25">
      <c r="B690" s="216" t="str">
        <f t="shared" si="55"/>
        <v>Desk 60</v>
      </c>
      <c r="C690" s="218" t="str">
        <v/>
      </c>
      <c r="D690" s="218" t="str">
        <v/>
      </c>
      <c r="E690" s="218" t="str">
        <v/>
      </c>
      <c r="F690" s="218" t="str">
        <v/>
      </c>
      <c r="G690" s="402" t="str">
        <v/>
      </c>
      <c r="H690" s="1605"/>
      <c r="I690" s="1605"/>
      <c r="J690" s="1605"/>
      <c r="K690" s="1605"/>
      <c r="L690" s="1605"/>
      <c r="M690" s="1605"/>
      <c r="N690" s="1605"/>
      <c r="O690" s="1605"/>
      <c r="P690" s="1605"/>
      <c r="Q690" s="1605"/>
      <c r="R690" s="1605"/>
      <c r="S690" s="1605"/>
      <c r="T690" s="1605"/>
      <c r="U690" s="1605"/>
      <c r="V690" s="1605"/>
      <c r="W690" s="1605"/>
      <c r="X690" s="1605"/>
      <c r="Y690" s="1605"/>
      <c r="Z690" s="1605"/>
      <c r="AA690" s="1605"/>
      <c r="AB690" s="1605"/>
      <c r="AC690" s="1605"/>
      <c r="AD690" s="1605"/>
      <c r="AE690" s="1605"/>
      <c r="AF690" s="1605"/>
      <c r="AG690" s="1605"/>
      <c r="AH690" s="1605"/>
      <c r="AI690" s="1605"/>
      <c r="AJ690" s="1605"/>
      <c r="AK690" s="1605"/>
      <c r="AL690" s="1605"/>
      <c r="AM690" s="1605"/>
      <c r="AN690" s="1605"/>
      <c r="AO690" s="1605"/>
      <c r="AP690" s="1605"/>
      <c r="AQ690" s="1605"/>
      <c r="AR690" s="1605"/>
      <c r="AS690" s="1605"/>
      <c r="AT690" s="1605"/>
      <c r="AU690" s="1605"/>
      <c r="AV690" s="1605"/>
      <c r="AW690" s="1605"/>
      <c r="AX690" s="1605"/>
      <c r="AY690" s="1605"/>
      <c r="AZ690" s="1605"/>
      <c r="BA690" s="1605"/>
      <c r="BB690" s="1605"/>
      <c r="BC690" s="1605"/>
      <c r="BD690" s="1605"/>
      <c r="BE690" s="1605"/>
      <c r="BF690" s="1605"/>
      <c r="BG690" s="1605"/>
      <c r="BH690" s="1605"/>
      <c r="BI690" s="1605"/>
      <c r="BJ690" s="1605"/>
      <c r="BK690" s="1605"/>
      <c r="BL690" s="1605"/>
      <c r="BM690" s="1605"/>
      <c r="BN690" s="1605"/>
      <c r="BO690" s="1605"/>
      <c r="BP690" s="1605"/>
      <c r="BQ690" s="1605"/>
      <c r="BR690" s="1605"/>
      <c r="BS690" s="1605"/>
      <c r="BT690" s="1605"/>
      <c r="BU690" s="1605"/>
      <c r="BV690" s="1605"/>
      <c r="BW690" s="1605"/>
      <c r="BX690" s="1605"/>
      <c r="BY690" s="1605"/>
      <c r="BZ690" s="1605"/>
      <c r="CA690" s="1605"/>
      <c r="CB690" s="1605"/>
      <c r="CC690" s="1605"/>
      <c r="CD690" s="1605"/>
      <c r="CE690" s="1605"/>
      <c r="CF690" s="1605"/>
      <c r="CG690" s="1605"/>
      <c r="CH690" s="1605"/>
      <c r="CI690" s="1605"/>
      <c r="CJ690" s="1605"/>
      <c r="CK690" s="1605"/>
      <c r="CL690" s="1605"/>
      <c r="CM690" s="1605"/>
      <c r="CN690" s="1605"/>
      <c r="CO690" s="1605"/>
      <c r="CP690" s="1605"/>
      <c r="CQ690" s="1605"/>
      <c r="CR690" s="1605"/>
      <c r="CS690" s="1605"/>
      <c r="CT690" s="1605"/>
      <c r="CU690" s="1605"/>
      <c r="CV690" s="1605"/>
      <c r="CW690" s="1605"/>
      <c r="CX690" s="1605"/>
      <c r="CY690" s="1605"/>
      <c r="CZ690" s="1605"/>
      <c r="DA690" s="1605"/>
      <c r="DB690" s="1605"/>
      <c r="DC690" s="1605"/>
      <c r="DD690" s="1605"/>
      <c r="DE690" s="1605"/>
      <c r="DF690" s="1605"/>
      <c r="DG690" s="1605"/>
      <c r="DH690" s="1605"/>
      <c r="DI690" s="1605"/>
      <c r="DJ690" s="1605"/>
      <c r="DK690" s="1605"/>
      <c r="DL690" s="1605"/>
      <c r="DM690" s="1605"/>
      <c r="DN690" s="1605"/>
      <c r="DO690" s="1605"/>
      <c r="DP690" s="1605"/>
      <c r="DQ690" s="1605"/>
      <c r="DR690" s="1605"/>
      <c r="DS690" s="1605"/>
      <c r="DT690" s="1605"/>
      <c r="DU690" s="1605"/>
      <c r="DV690" s="1605"/>
      <c r="DW690" s="1605"/>
      <c r="DX690" s="1605"/>
      <c r="DY690" s="1605"/>
      <c r="DZ690" s="1605"/>
      <c r="EA690" s="1605"/>
      <c r="EB690" s="1605"/>
      <c r="EC690" s="1605"/>
      <c r="ED690" s="1605"/>
      <c r="EE690" s="1605"/>
      <c r="EF690" s="1605"/>
      <c r="EG690" s="1605"/>
      <c r="EH690" s="1605"/>
      <c r="EI690" s="1605"/>
      <c r="EJ690" s="1605"/>
      <c r="EK690" s="1605"/>
      <c r="EL690" s="1605"/>
      <c r="EM690" s="1605"/>
      <c r="EN690" s="1605"/>
      <c r="EO690" s="1605"/>
      <c r="EP690" s="1605"/>
      <c r="EQ690" s="1605"/>
      <c r="ER690" s="1605"/>
      <c r="ES690" s="1605"/>
      <c r="ET690" s="1605"/>
      <c r="EU690" s="1605"/>
      <c r="EV690" s="1605"/>
      <c r="EW690" s="1605"/>
      <c r="EX690" s="1605"/>
      <c r="EY690" s="1605"/>
      <c r="EZ690" s="1605"/>
      <c r="FA690" s="1605"/>
      <c r="FB690" s="1605"/>
      <c r="FC690" s="1605"/>
      <c r="FD690" s="1605"/>
      <c r="FE690" s="1605"/>
      <c r="FF690" s="1605"/>
      <c r="FG690" s="1605"/>
      <c r="FH690" s="1605"/>
      <c r="FI690" s="1605"/>
      <c r="FJ690" s="1605"/>
      <c r="FK690" s="1605"/>
      <c r="FL690" s="1605"/>
      <c r="FM690" s="1605"/>
      <c r="FN690" s="1605"/>
      <c r="FO690" s="1605"/>
      <c r="FP690" s="1605"/>
      <c r="FQ690" s="1605"/>
      <c r="FR690" s="1605"/>
      <c r="FS690" s="1605"/>
      <c r="FT690" s="1605"/>
      <c r="FU690" s="1605"/>
      <c r="FV690" s="1605"/>
      <c r="FW690" s="1605"/>
      <c r="FX690" s="1605"/>
      <c r="FY690" s="1605"/>
      <c r="FZ690" s="1605"/>
      <c r="GA690" s="1605"/>
      <c r="GB690" s="1605"/>
      <c r="GC690" s="1605"/>
      <c r="GD690" s="1605"/>
      <c r="GE690" s="1605"/>
      <c r="GF690" s="1605"/>
      <c r="GG690" s="1605"/>
      <c r="GH690" s="1605"/>
      <c r="GI690" s="1605"/>
      <c r="GJ690" s="1605"/>
      <c r="GK690" s="1605"/>
      <c r="GL690" s="1605"/>
      <c r="GM690" s="1605"/>
      <c r="GN690" s="1605"/>
      <c r="GO690" s="1605"/>
      <c r="GP690" s="1605"/>
      <c r="GQ690" s="1605"/>
      <c r="GR690" s="1605"/>
      <c r="GS690" s="1605"/>
      <c r="GT690" s="1605"/>
      <c r="GU690" s="1605"/>
      <c r="GV690" s="1605"/>
      <c r="GW690" s="1605"/>
      <c r="GX690" s="1605"/>
      <c r="GY690" s="1605"/>
      <c r="GZ690" s="1605"/>
      <c r="HA690" s="1605"/>
      <c r="HB690" s="1605"/>
      <c r="HC690" s="1605"/>
      <c r="HD690" s="1605"/>
      <c r="HE690" s="1605"/>
      <c r="HF690" s="1605"/>
      <c r="HG690" s="1605"/>
      <c r="HH690" s="1605"/>
      <c r="HI690" s="1605"/>
      <c r="HJ690" s="1605"/>
      <c r="HK690" s="1605"/>
      <c r="HL690" s="1605"/>
      <c r="HM690" s="1605"/>
      <c r="HN690" s="1605"/>
      <c r="HO690" s="1605"/>
      <c r="HP690" s="1605"/>
      <c r="HQ690" s="1605"/>
      <c r="HR690" s="1605"/>
      <c r="HS690" s="1605"/>
      <c r="HT690" s="1605"/>
      <c r="HU690" s="1605"/>
      <c r="HV690" s="1605"/>
      <c r="HW690" s="1605"/>
      <c r="HX690" s="1605"/>
      <c r="HY690" s="1605"/>
      <c r="HZ690" s="1605"/>
      <c r="IA690" s="1605"/>
      <c r="IB690" s="1605"/>
      <c r="IC690" s="1605"/>
      <c r="ID690" s="1605"/>
      <c r="IE690" s="1605"/>
      <c r="IF690" s="1605"/>
      <c r="IG690" s="1605"/>
      <c r="IH690" s="1605"/>
      <c r="II690" s="1605"/>
      <c r="IJ690" s="1605"/>
      <c r="IK690" s="1605"/>
      <c r="IL690" s="1605"/>
      <c r="IM690" s="1605"/>
      <c r="IN690" s="1605"/>
      <c r="IO690" s="1605"/>
      <c r="IP690" s="1605"/>
      <c r="IQ690" s="1605"/>
      <c r="IR690" s="1605"/>
      <c r="IS690" s="1605"/>
      <c r="IT690" s="1605"/>
      <c r="IU690" s="1605"/>
      <c r="IV690" s="1605"/>
      <c r="IW690" s="1605"/>
      <c r="IX690" s="1605"/>
      <c r="IY690" s="1605"/>
      <c r="IZ690" s="1605"/>
      <c r="JA690" s="1605"/>
      <c r="JB690" s="1605"/>
      <c r="JC690" s="1605"/>
      <c r="JD690" s="1605"/>
      <c r="JE690" s="1605"/>
      <c r="JF690" s="1605"/>
      <c r="JG690" s="1605"/>
      <c r="JH690" s="1605"/>
      <c r="JI690" s="1605"/>
      <c r="JJ690" s="1605"/>
      <c r="JK690" s="1605"/>
      <c r="JL690" s="1605"/>
      <c r="JM690" s="1605"/>
      <c r="JN690" s="1605"/>
      <c r="JO690" s="1605"/>
      <c r="JP690" s="1605"/>
      <c r="JQ690" s="1605"/>
      <c r="JR690" s="1605"/>
      <c r="JS690" s="1605"/>
      <c r="JT690" s="1605"/>
      <c r="JU690" s="1605"/>
      <c r="JV690" s="1605"/>
      <c r="JW690" s="1605"/>
      <c r="JX690" s="1605"/>
      <c r="JY690" s="1605"/>
      <c r="JZ690" s="1605"/>
      <c r="KA690" s="1605"/>
      <c r="KB690" s="1606"/>
    </row>
    <row r="691" spans="2:288" ht="15" customHeight="1" x14ac:dyDescent="0.25">
      <c r="B691" s="216" t="str">
        <f t="shared" si="55"/>
        <v>Desk 61</v>
      </c>
      <c r="C691" s="218" t="str">
        <v/>
      </c>
      <c r="D691" s="218" t="str">
        <v/>
      </c>
      <c r="E691" s="218" t="str">
        <v/>
      </c>
      <c r="F691" s="218" t="str">
        <v/>
      </c>
      <c r="G691" s="402" t="str">
        <v/>
      </c>
      <c r="H691" s="1605"/>
      <c r="I691" s="1605"/>
      <c r="J691" s="1605"/>
      <c r="K691" s="1605"/>
      <c r="L691" s="1605"/>
      <c r="M691" s="1605"/>
      <c r="N691" s="1605"/>
      <c r="O691" s="1605"/>
      <c r="P691" s="1605"/>
      <c r="Q691" s="1605"/>
      <c r="R691" s="1605"/>
      <c r="S691" s="1605"/>
      <c r="T691" s="1605"/>
      <c r="U691" s="1605"/>
      <c r="V691" s="1605"/>
      <c r="W691" s="1605"/>
      <c r="X691" s="1605"/>
      <c r="Y691" s="1605"/>
      <c r="Z691" s="1605"/>
      <c r="AA691" s="1605"/>
      <c r="AB691" s="1605"/>
      <c r="AC691" s="1605"/>
      <c r="AD691" s="1605"/>
      <c r="AE691" s="1605"/>
      <c r="AF691" s="1605"/>
      <c r="AG691" s="1605"/>
      <c r="AH691" s="1605"/>
      <c r="AI691" s="1605"/>
      <c r="AJ691" s="1605"/>
      <c r="AK691" s="1605"/>
      <c r="AL691" s="1605"/>
      <c r="AM691" s="1605"/>
      <c r="AN691" s="1605"/>
      <c r="AO691" s="1605"/>
      <c r="AP691" s="1605"/>
      <c r="AQ691" s="1605"/>
      <c r="AR691" s="1605"/>
      <c r="AS691" s="1605"/>
      <c r="AT691" s="1605"/>
      <c r="AU691" s="1605"/>
      <c r="AV691" s="1605"/>
      <c r="AW691" s="1605"/>
      <c r="AX691" s="1605"/>
      <c r="AY691" s="1605"/>
      <c r="AZ691" s="1605"/>
      <c r="BA691" s="1605"/>
      <c r="BB691" s="1605"/>
      <c r="BC691" s="1605"/>
      <c r="BD691" s="1605"/>
      <c r="BE691" s="1605"/>
      <c r="BF691" s="1605"/>
      <c r="BG691" s="1605"/>
      <c r="BH691" s="1605"/>
      <c r="BI691" s="1605"/>
      <c r="BJ691" s="1605"/>
      <c r="BK691" s="1605"/>
      <c r="BL691" s="1605"/>
      <c r="BM691" s="1605"/>
      <c r="BN691" s="1605"/>
      <c r="BO691" s="1605"/>
      <c r="BP691" s="1605"/>
      <c r="BQ691" s="1605"/>
      <c r="BR691" s="1605"/>
      <c r="BS691" s="1605"/>
      <c r="BT691" s="1605"/>
      <c r="BU691" s="1605"/>
      <c r="BV691" s="1605"/>
      <c r="BW691" s="1605"/>
      <c r="BX691" s="1605"/>
      <c r="BY691" s="1605"/>
      <c r="BZ691" s="1605"/>
      <c r="CA691" s="1605"/>
      <c r="CB691" s="1605"/>
      <c r="CC691" s="1605"/>
      <c r="CD691" s="1605"/>
      <c r="CE691" s="1605"/>
      <c r="CF691" s="1605"/>
      <c r="CG691" s="1605"/>
      <c r="CH691" s="1605"/>
      <c r="CI691" s="1605"/>
      <c r="CJ691" s="1605"/>
      <c r="CK691" s="1605"/>
      <c r="CL691" s="1605"/>
      <c r="CM691" s="1605"/>
      <c r="CN691" s="1605"/>
      <c r="CO691" s="1605"/>
      <c r="CP691" s="1605"/>
      <c r="CQ691" s="1605"/>
      <c r="CR691" s="1605"/>
      <c r="CS691" s="1605"/>
      <c r="CT691" s="1605"/>
      <c r="CU691" s="1605"/>
      <c r="CV691" s="1605"/>
      <c r="CW691" s="1605"/>
      <c r="CX691" s="1605"/>
      <c r="CY691" s="1605"/>
      <c r="CZ691" s="1605"/>
      <c r="DA691" s="1605"/>
      <c r="DB691" s="1605"/>
      <c r="DC691" s="1605"/>
      <c r="DD691" s="1605"/>
      <c r="DE691" s="1605"/>
      <c r="DF691" s="1605"/>
      <c r="DG691" s="1605"/>
      <c r="DH691" s="1605"/>
      <c r="DI691" s="1605"/>
      <c r="DJ691" s="1605"/>
      <c r="DK691" s="1605"/>
      <c r="DL691" s="1605"/>
      <c r="DM691" s="1605"/>
      <c r="DN691" s="1605"/>
      <c r="DO691" s="1605"/>
      <c r="DP691" s="1605"/>
      <c r="DQ691" s="1605"/>
      <c r="DR691" s="1605"/>
      <c r="DS691" s="1605"/>
      <c r="DT691" s="1605"/>
      <c r="DU691" s="1605"/>
      <c r="DV691" s="1605"/>
      <c r="DW691" s="1605"/>
      <c r="DX691" s="1605"/>
      <c r="DY691" s="1605"/>
      <c r="DZ691" s="1605"/>
      <c r="EA691" s="1605"/>
      <c r="EB691" s="1605"/>
      <c r="EC691" s="1605"/>
      <c r="ED691" s="1605"/>
      <c r="EE691" s="1605"/>
      <c r="EF691" s="1605"/>
      <c r="EG691" s="1605"/>
      <c r="EH691" s="1605"/>
      <c r="EI691" s="1605"/>
      <c r="EJ691" s="1605"/>
      <c r="EK691" s="1605"/>
      <c r="EL691" s="1605"/>
      <c r="EM691" s="1605"/>
      <c r="EN691" s="1605"/>
      <c r="EO691" s="1605"/>
      <c r="EP691" s="1605"/>
      <c r="EQ691" s="1605"/>
      <c r="ER691" s="1605"/>
      <c r="ES691" s="1605"/>
      <c r="ET691" s="1605"/>
      <c r="EU691" s="1605"/>
      <c r="EV691" s="1605"/>
      <c r="EW691" s="1605"/>
      <c r="EX691" s="1605"/>
      <c r="EY691" s="1605"/>
      <c r="EZ691" s="1605"/>
      <c r="FA691" s="1605"/>
      <c r="FB691" s="1605"/>
      <c r="FC691" s="1605"/>
      <c r="FD691" s="1605"/>
      <c r="FE691" s="1605"/>
      <c r="FF691" s="1605"/>
      <c r="FG691" s="1605"/>
      <c r="FH691" s="1605"/>
      <c r="FI691" s="1605"/>
      <c r="FJ691" s="1605"/>
      <c r="FK691" s="1605"/>
      <c r="FL691" s="1605"/>
      <c r="FM691" s="1605"/>
      <c r="FN691" s="1605"/>
      <c r="FO691" s="1605"/>
      <c r="FP691" s="1605"/>
      <c r="FQ691" s="1605"/>
      <c r="FR691" s="1605"/>
      <c r="FS691" s="1605"/>
      <c r="FT691" s="1605"/>
      <c r="FU691" s="1605"/>
      <c r="FV691" s="1605"/>
      <c r="FW691" s="1605"/>
      <c r="FX691" s="1605"/>
      <c r="FY691" s="1605"/>
      <c r="FZ691" s="1605"/>
      <c r="GA691" s="1605"/>
      <c r="GB691" s="1605"/>
      <c r="GC691" s="1605"/>
      <c r="GD691" s="1605"/>
      <c r="GE691" s="1605"/>
      <c r="GF691" s="1605"/>
      <c r="GG691" s="1605"/>
      <c r="GH691" s="1605"/>
      <c r="GI691" s="1605"/>
      <c r="GJ691" s="1605"/>
      <c r="GK691" s="1605"/>
      <c r="GL691" s="1605"/>
      <c r="GM691" s="1605"/>
      <c r="GN691" s="1605"/>
      <c r="GO691" s="1605"/>
      <c r="GP691" s="1605"/>
      <c r="GQ691" s="1605"/>
      <c r="GR691" s="1605"/>
      <c r="GS691" s="1605"/>
      <c r="GT691" s="1605"/>
      <c r="GU691" s="1605"/>
      <c r="GV691" s="1605"/>
      <c r="GW691" s="1605"/>
      <c r="GX691" s="1605"/>
      <c r="GY691" s="1605"/>
      <c r="GZ691" s="1605"/>
      <c r="HA691" s="1605"/>
      <c r="HB691" s="1605"/>
      <c r="HC691" s="1605"/>
      <c r="HD691" s="1605"/>
      <c r="HE691" s="1605"/>
      <c r="HF691" s="1605"/>
      <c r="HG691" s="1605"/>
      <c r="HH691" s="1605"/>
      <c r="HI691" s="1605"/>
      <c r="HJ691" s="1605"/>
      <c r="HK691" s="1605"/>
      <c r="HL691" s="1605"/>
      <c r="HM691" s="1605"/>
      <c r="HN691" s="1605"/>
      <c r="HO691" s="1605"/>
      <c r="HP691" s="1605"/>
      <c r="HQ691" s="1605"/>
      <c r="HR691" s="1605"/>
      <c r="HS691" s="1605"/>
      <c r="HT691" s="1605"/>
      <c r="HU691" s="1605"/>
      <c r="HV691" s="1605"/>
      <c r="HW691" s="1605"/>
      <c r="HX691" s="1605"/>
      <c r="HY691" s="1605"/>
      <c r="HZ691" s="1605"/>
      <c r="IA691" s="1605"/>
      <c r="IB691" s="1605"/>
      <c r="IC691" s="1605"/>
      <c r="ID691" s="1605"/>
      <c r="IE691" s="1605"/>
      <c r="IF691" s="1605"/>
      <c r="IG691" s="1605"/>
      <c r="IH691" s="1605"/>
      <c r="II691" s="1605"/>
      <c r="IJ691" s="1605"/>
      <c r="IK691" s="1605"/>
      <c r="IL691" s="1605"/>
      <c r="IM691" s="1605"/>
      <c r="IN691" s="1605"/>
      <c r="IO691" s="1605"/>
      <c r="IP691" s="1605"/>
      <c r="IQ691" s="1605"/>
      <c r="IR691" s="1605"/>
      <c r="IS691" s="1605"/>
      <c r="IT691" s="1605"/>
      <c r="IU691" s="1605"/>
      <c r="IV691" s="1605"/>
      <c r="IW691" s="1605"/>
      <c r="IX691" s="1605"/>
      <c r="IY691" s="1605"/>
      <c r="IZ691" s="1605"/>
      <c r="JA691" s="1605"/>
      <c r="JB691" s="1605"/>
      <c r="JC691" s="1605"/>
      <c r="JD691" s="1605"/>
      <c r="JE691" s="1605"/>
      <c r="JF691" s="1605"/>
      <c r="JG691" s="1605"/>
      <c r="JH691" s="1605"/>
      <c r="JI691" s="1605"/>
      <c r="JJ691" s="1605"/>
      <c r="JK691" s="1605"/>
      <c r="JL691" s="1605"/>
      <c r="JM691" s="1605"/>
      <c r="JN691" s="1605"/>
      <c r="JO691" s="1605"/>
      <c r="JP691" s="1605"/>
      <c r="JQ691" s="1605"/>
      <c r="JR691" s="1605"/>
      <c r="JS691" s="1605"/>
      <c r="JT691" s="1605"/>
      <c r="JU691" s="1605"/>
      <c r="JV691" s="1605"/>
      <c r="JW691" s="1605"/>
      <c r="JX691" s="1605"/>
      <c r="JY691" s="1605"/>
      <c r="JZ691" s="1605"/>
      <c r="KA691" s="1605"/>
      <c r="KB691" s="1606"/>
    </row>
    <row r="692" spans="2:288" ht="15" customHeight="1" x14ac:dyDescent="0.25">
      <c r="B692" s="216" t="str">
        <f t="shared" si="55"/>
        <v>Desk 62</v>
      </c>
      <c r="C692" s="218" t="str">
        <v/>
      </c>
      <c r="D692" s="218" t="str">
        <v/>
      </c>
      <c r="E692" s="218" t="str">
        <v/>
      </c>
      <c r="F692" s="218" t="str">
        <v/>
      </c>
      <c r="G692" s="402" t="str">
        <v/>
      </c>
      <c r="H692" s="1605"/>
      <c r="I692" s="1605"/>
      <c r="J692" s="1605"/>
      <c r="K692" s="1605"/>
      <c r="L692" s="1605"/>
      <c r="M692" s="1605"/>
      <c r="N692" s="1605"/>
      <c r="O692" s="1605"/>
      <c r="P692" s="1605"/>
      <c r="Q692" s="1605"/>
      <c r="R692" s="1605"/>
      <c r="S692" s="1605"/>
      <c r="T692" s="1605"/>
      <c r="U692" s="1605"/>
      <c r="V692" s="1605"/>
      <c r="W692" s="1605"/>
      <c r="X692" s="1605"/>
      <c r="Y692" s="1605"/>
      <c r="Z692" s="1605"/>
      <c r="AA692" s="1605"/>
      <c r="AB692" s="1605"/>
      <c r="AC692" s="1605"/>
      <c r="AD692" s="1605"/>
      <c r="AE692" s="1605"/>
      <c r="AF692" s="1605"/>
      <c r="AG692" s="1605"/>
      <c r="AH692" s="1605"/>
      <c r="AI692" s="1605"/>
      <c r="AJ692" s="1605"/>
      <c r="AK692" s="1605"/>
      <c r="AL692" s="1605"/>
      <c r="AM692" s="1605"/>
      <c r="AN692" s="1605"/>
      <c r="AO692" s="1605"/>
      <c r="AP692" s="1605"/>
      <c r="AQ692" s="1605"/>
      <c r="AR692" s="1605"/>
      <c r="AS692" s="1605"/>
      <c r="AT692" s="1605"/>
      <c r="AU692" s="1605"/>
      <c r="AV692" s="1605"/>
      <c r="AW692" s="1605"/>
      <c r="AX692" s="1605"/>
      <c r="AY692" s="1605"/>
      <c r="AZ692" s="1605"/>
      <c r="BA692" s="1605"/>
      <c r="BB692" s="1605"/>
      <c r="BC692" s="1605"/>
      <c r="BD692" s="1605"/>
      <c r="BE692" s="1605"/>
      <c r="BF692" s="1605"/>
      <c r="BG692" s="1605"/>
      <c r="BH692" s="1605"/>
      <c r="BI692" s="1605"/>
      <c r="BJ692" s="1605"/>
      <c r="BK692" s="1605"/>
      <c r="BL692" s="1605"/>
      <c r="BM692" s="1605"/>
      <c r="BN692" s="1605"/>
      <c r="BO692" s="1605"/>
      <c r="BP692" s="1605"/>
      <c r="BQ692" s="1605"/>
      <c r="BR692" s="1605"/>
      <c r="BS692" s="1605"/>
      <c r="BT692" s="1605"/>
      <c r="BU692" s="1605"/>
      <c r="BV692" s="1605"/>
      <c r="BW692" s="1605"/>
      <c r="BX692" s="1605"/>
      <c r="BY692" s="1605"/>
      <c r="BZ692" s="1605"/>
      <c r="CA692" s="1605"/>
      <c r="CB692" s="1605"/>
      <c r="CC692" s="1605"/>
      <c r="CD692" s="1605"/>
      <c r="CE692" s="1605"/>
      <c r="CF692" s="1605"/>
      <c r="CG692" s="1605"/>
      <c r="CH692" s="1605"/>
      <c r="CI692" s="1605"/>
      <c r="CJ692" s="1605"/>
      <c r="CK692" s="1605"/>
      <c r="CL692" s="1605"/>
      <c r="CM692" s="1605"/>
      <c r="CN692" s="1605"/>
      <c r="CO692" s="1605"/>
      <c r="CP692" s="1605"/>
      <c r="CQ692" s="1605"/>
      <c r="CR692" s="1605"/>
      <c r="CS692" s="1605"/>
      <c r="CT692" s="1605"/>
      <c r="CU692" s="1605"/>
      <c r="CV692" s="1605"/>
      <c r="CW692" s="1605"/>
      <c r="CX692" s="1605"/>
      <c r="CY692" s="1605"/>
      <c r="CZ692" s="1605"/>
      <c r="DA692" s="1605"/>
      <c r="DB692" s="1605"/>
      <c r="DC692" s="1605"/>
      <c r="DD692" s="1605"/>
      <c r="DE692" s="1605"/>
      <c r="DF692" s="1605"/>
      <c r="DG692" s="1605"/>
      <c r="DH692" s="1605"/>
      <c r="DI692" s="1605"/>
      <c r="DJ692" s="1605"/>
      <c r="DK692" s="1605"/>
      <c r="DL692" s="1605"/>
      <c r="DM692" s="1605"/>
      <c r="DN692" s="1605"/>
      <c r="DO692" s="1605"/>
      <c r="DP692" s="1605"/>
      <c r="DQ692" s="1605"/>
      <c r="DR692" s="1605"/>
      <c r="DS692" s="1605"/>
      <c r="DT692" s="1605"/>
      <c r="DU692" s="1605"/>
      <c r="DV692" s="1605"/>
      <c r="DW692" s="1605"/>
      <c r="DX692" s="1605"/>
      <c r="DY692" s="1605"/>
      <c r="DZ692" s="1605"/>
      <c r="EA692" s="1605"/>
      <c r="EB692" s="1605"/>
      <c r="EC692" s="1605"/>
      <c r="ED692" s="1605"/>
      <c r="EE692" s="1605"/>
      <c r="EF692" s="1605"/>
      <c r="EG692" s="1605"/>
      <c r="EH692" s="1605"/>
      <c r="EI692" s="1605"/>
      <c r="EJ692" s="1605"/>
      <c r="EK692" s="1605"/>
      <c r="EL692" s="1605"/>
      <c r="EM692" s="1605"/>
      <c r="EN692" s="1605"/>
      <c r="EO692" s="1605"/>
      <c r="EP692" s="1605"/>
      <c r="EQ692" s="1605"/>
      <c r="ER692" s="1605"/>
      <c r="ES692" s="1605"/>
      <c r="ET692" s="1605"/>
      <c r="EU692" s="1605"/>
      <c r="EV692" s="1605"/>
      <c r="EW692" s="1605"/>
      <c r="EX692" s="1605"/>
      <c r="EY692" s="1605"/>
      <c r="EZ692" s="1605"/>
      <c r="FA692" s="1605"/>
      <c r="FB692" s="1605"/>
      <c r="FC692" s="1605"/>
      <c r="FD692" s="1605"/>
      <c r="FE692" s="1605"/>
      <c r="FF692" s="1605"/>
      <c r="FG692" s="1605"/>
      <c r="FH692" s="1605"/>
      <c r="FI692" s="1605"/>
      <c r="FJ692" s="1605"/>
      <c r="FK692" s="1605"/>
      <c r="FL692" s="1605"/>
      <c r="FM692" s="1605"/>
      <c r="FN692" s="1605"/>
      <c r="FO692" s="1605"/>
      <c r="FP692" s="1605"/>
      <c r="FQ692" s="1605"/>
      <c r="FR692" s="1605"/>
      <c r="FS692" s="1605"/>
      <c r="FT692" s="1605"/>
      <c r="FU692" s="1605"/>
      <c r="FV692" s="1605"/>
      <c r="FW692" s="1605"/>
      <c r="FX692" s="1605"/>
      <c r="FY692" s="1605"/>
      <c r="FZ692" s="1605"/>
      <c r="GA692" s="1605"/>
      <c r="GB692" s="1605"/>
      <c r="GC692" s="1605"/>
      <c r="GD692" s="1605"/>
      <c r="GE692" s="1605"/>
      <c r="GF692" s="1605"/>
      <c r="GG692" s="1605"/>
      <c r="GH692" s="1605"/>
      <c r="GI692" s="1605"/>
      <c r="GJ692" s="1605"/>
      <c r="GK692" s="1605"/>
      <c r="GL692" s="1605"/>
      <c r="GM692" s="1605"/>
      <c r="GN692" s="1605"/>
      <c r="GO692" s="1605"/>
      <c r="GP692" s="1605"/>
      <c r="GQ692" s="1605"/>
      <c r="GR692" s="1605"/>
      <c r="GS692" s="1605"/>
      <c r="GT692" s="1605"/>
      <c r="GU692" s="1605"/>
      <c r="GV692" s="1605"/>
      <c r="GW692" s="1605"/>
      <c r="GX692" s="1605"/>
      <c r="GY692" s="1605"/>
      <c r="GZ692" s="1605"/>
      <c r="HA692" s="1605"/>
      <c r="HB692" s="1605"/>
      <c r="HC692" s="1605"/>
      <c r="HD692" s="1605"/>
      <c r="HE692" s="1605"/>
      <c r="HF692" s="1605"/>
      <c r="HG692" s="1605"/>
      <c r="HH692" s="1605"/>
      <c r="HI692" s="1605"/>
      <c r="HJ692" s="1605"/>
      <c r="HK692" s="1605"/>
      <c r="HL692" s="1605"/>
      <c r="HM692" s="1605"/>
      <c r="HN692" s="1605"/>
      <c r="HO692" s="1605"/>
      <c r="HP692" s="1605"/>
      <c r="HQ692" s="1605"/>
      <c r="HR692" s="1605"/>
      <c r="HS692" s="1605"/>
      <c r="HT692" s="1605"/>
      <c r="HU692" s="1605"/>
      <c r="HV692" s="1605"/>
      <c r="HW692" s="1605"/>
      <c r="HX692" s="1605"/>
      <c r="HY692" s="1605"/>
      <c r="HZ692" s="1605"/>
      <c r="IA692" s="1605"/>
      <c r="IB692" s="1605"/>
      <c r="IC692" s="1605"/>
      <c r="ID692" s="1605"/>
      <c r="IE692" s="1605"/>
      <c r="IF692" s="1605"/>
      <c r="IG692" s="1605"/>
      <c r="IH692" s="1605"/>
      <c r="II692" s="1605"/>
      <c r="IJ692" s="1605"/>
      <c r="IK692" s="1605"/>
      <c r="IL692" s="1605"/>
      <c r="IM692" s="1605"/>
      <c r="IN692" s="1605"/>
      <c r="IO692" s="1605"/>
      <c r="IP692" s="1605"/>
      <c r="IQ692" s="1605"/>
      <c r="IR692" s="1605"/>
      <c r="IS692" s="1605"/>
      <c r="IT692" s="1605"/>
      <c r="IU692" s="1605"/>
      <c r="IV692" s="1605"/>
      <c r="IW692" s="1605"/>
      <c r="IX692" s="1605"/>
      <c r="IY692" s="1605"/>
      <c r="IZ692" s="1605"/>
      <c r="JA692" s="1605"/>
      <c r="JB692" s="1605"/>
      <c r="JC692" s="1605"/>
      <c r="JD692" s="1605"/>
      <c r="JE692" s="1605"/>
      <c r="JF692" s="1605"/>
      <c r="JG692" s="1605"/>
      <c r="JH692" s="1605"/>
      <c r="JI692" s="1605"/>
      <c r="JJ692" s="1605"/>
      <c r="JK692" s="1605"/>
      <c r="JL692" s="1605"/>
      <c r="JM692" s="1605"/>
      <c r="JN692" s="1605"/>
      <c r="JO692" s="1605"/>
      <c r="JP692" s="1605"/>
      <c r="JQ692" s="1605"/>
      <c r="JR692" s="1605"/>
      <c r="JS692" s="1605"/>
      <c r="JT692" s="1605"/>
      <c r="JU692" s="1605"/>
      <c r="JV692" s="1605"/>
      <c r="JW692" s="1605"/>
      <c r="JX692" s="1605"/>
      <c r="JY692" s="1605"/>
      <c r="JZ692" s="1605"/>
      <c r="KA692" s="1605"/>
      <c r="KB692" s="1606"/>
    </row>
    <row r="693" spans="2:288" ht="15" customHeight="1" x14ac:dyDescent="0.25">
      <c r="B693" s="216" t="str">
        <f t="shared" si="55"/>
        <v>Desk 63</v>
      </c>
      <c r="C693" s="218" t="str">
        <v/>
      </c>
      <c r="D693" s="218" t="str">
        <v/>
      </c>
      <c r="E693" s="218" t="str">
        <v/>
      </c>
      <c r="F693" s="218" t="str">
        <v/>
      </c>
      <c r="G693" s="402" t="str">
        <v/>
      </c>
      <c r="H693" s="1605"/>
      <c r="I693" s="1605"/>
      <c r="J693" s="1605"/>
      <c r="K693" s="1605"/>
      <c r="L693" s="1605"/>
      <c r="M693" s="1605"/>
      <c r="N693" s="1605"/>
      <c r="O693" s="1605"/>
      <c r="P693" s="1605"/>
      <c r="Q693" s="1605"/>
      <c r="R693" s="1605"/>
      <c r="S693" s="1605"/>
      <c r="T693" s="1605"/>
      <c r="U693" s="1605"/>
      <c r="V693" s="1605"/>
      <c r="W693" s="1605"/>
      <c r="X693" s="1605"/>
      <c r="Y693" s="1605"/>
      <c r="Z693" s="1605"/>
      <c r="AA693" s="1605"/>
      <c r="AB693" s="1605"/>
      <c r="AC693" s="1605"/>
      <c r="AD693" s="1605"/>
      <c r="AE693" s="1605"/>
      <c r="AF693" s="1605"/>
      <c r="AG693" s="1605"/>
      <c r="AH693" s="1605"/>
      <c r="AI693" s="1605"/>
      <c r="AJ693" s="1605"/>
      <c r="AK693" s="1605"/>
      <c r="AL693" s="1605"/>
      <c r="AM693" s="1605"/>
      <c r="AN693" s="1605"/>
      <c r="AO693" s="1605"/>
      <c r="AP693" s="1605"/>
      <c r="AQ693" s="1605"/>
      <c r="AR693" s="1605"/>
      <c r="AS693" s="1605"/>
      <c r="AT693" s="1605"/>
      <c r="AU693" s="1605"/>
      <c r="AV693" s="1605"/>
      <c r="AW693" s="1605"/>
      <c r="AX693" s="1605"/>
      <c r="AY693" s="1605"/>
      <c r="AZ693" s="1605"/>
      <c r="BA693" s="1605"/>
      <c r="BB693" s="1605"/>
      <c r="BC693" s="1605"/>
      <c r="BD693" s="1605"/>
      <c r="BE693" s="1605"/>
      <c r="BF693" s="1605"/>
      <c r="BG693" s="1605"/>
      <c r="BH693" s="1605"/>
      <c r="BI693" s="1605"/>
      <c r="BJ693" s="1605"/>
      <c r="BK693" s="1605"/>
      <c r="BL693" s="1605"/>
      <c r="BM693" s="1605"/>
      <c r="BN693" s="1605"/>
      <c r="BO693" s="1605"/>
      <c r="BP693" s="1605"/>
      <c r="BQ693" s="1605"/>
      <c r="BR693" s="1605"/>
      <c r="BS693" s="1605"/>
      <c r="BT693" s="1605"/>
      <c r="BU693" s="1605"/>
      <c r="BV693" s="1605"/>
      <c r="BW693" s="1605"/>
      <c r="BX693" s="1605"/>
      <c r="BY693" s="1605"/>
      <c r="BZ693" s="1605"/>
      <c r="CA693" s="1605"/>
      <c r="CB693" s="1605"/>
      <c r="CC693" s="1605"/>
      <c r="CD693" s="1605"/>
      <c r="CE693" s="1605"/>
      <c r="CF693" s="1605"/>
      <c r="CG693" s="1605"/>
      <c r="CH693" s="1605"/>
      <c r="CI693" s="1605"/>
      <c r="CJ693" s="1605"/>
      <c r="CK693" s="1605"/>
      <c r="CL693" s="1605"/>
      <c r="CM693" s="1605"/>
      <c r="CN693" s="1605"/>
      <c r="CO693" s="1605"/>
      <c r="CP693" s="1605"/>
      <c r="CQ693" s="1605"/>
      <c r="CR693" s="1605"/>
      <c r="CS693" s="1605"/>
      <c r="CT693" s="1605"/>
      <c r="CU693" s="1605"/>
      <c r="CV693" s="1605"/>
      <c r="CW693" s="1605"/>
      <c r="CX693" s="1605"/>
      <c r="CY693" s="1605"/>
      <c r="CZ693" s="1605"/>
      <c r="DA693" s="1605"/>
      <c r="DB693" s="1605"/>
      <c r="DC693" s="1605"/>
      <c r="DD693" s="1605"/>
      <c r="DE693" s="1605"/>
      <c r="DF693" s="1605"/>
      <c r="DG693" s="1605"/>
      <c r="DH693" s="1605"/>
      <c r="DI693" s="1605"/>
      <c r="DJ693" s="1605"/>
      <c r="DK693" s="1605"/>
      <c r="DL693" s="1605"/>
      <c r="DM693" s="1605"/>
      <c r="DN693" s="1605"/>
      <c r="DO693" s="1605"/>
      <c r="DP693" s="1605"/>
      <c r="DQ693" s="1605"/>
      <c r="DR693" s="1605"/>
      <c r="DS693" s="1605"/>
      <c r="DT693" s="1605"/>
      <c r="DU693" s="1605"/>
      <c r="DV693" s="1605"/>
      <c r="DW693" s="1605"/>
      <c r="DX693" s="1605"/>
      <c r="DY693" s="1605"/>
      <c r="DZ693" s="1605"/>
      <c r="EA693" s="1605"/>
      <c r="EB693" s="1605"/>
      <c r="EC693" s="1605"/>
      <c r="ED693" s="1605"/>
      <c r="EE693" s="1605"/>
      <c r="EF693" s="1605"/>
      <c r="EG693" s="1605"/>
      <c r="EH693" s="1605"/>
      <c r="EI693" s="1605"/>
      <c r="EJ693" s="1605"/>
      <c r="EK693" s="1605"/>
      <c r="EL693" s="1605"/>
      <c r="EM693" s="1605"/>
      <c r="EN693" s="1605"/>
      <c r="EO693" s="1605"/>
      <c r="EP693" s="1605"/>
      <c r="EQ693" s="1605"/>
      <c r="ER693" s="1605"/>
      <c r="ES693" s="1605"/>
      <c r="ET693" s="1605"/>
      <c r="EU693" s="1605"/>
      <c r="EV693" s="1605"/>
      <c r="EW693" s="1605"/>
      <c r="EX693" s="1605"/>
      <c r="EY693" s="1605"/>
      <c r="EZ693" s="1605"/>
      <c r="FA693" s="1605"/>
      <c r="FB693" s="1605"/>
      <c r="FC693" s="1605"/>
      <c r="FD693" s="1605"/>
      <c r="FE693" s="1605"/>
      <c r="FF693" s="1605"/>
      <c r="FG693" s="1605"/>
      <c r="FH693" s="1605"/>
      <c r="FI693" s="1605"/>
      <c r="FJ693" s="1605"/>
      <c r="FK693" s="1605"/>
      <c r="FL693" s="1605"/>
      <c r="FM693" s="1605"/>
      <c r="FN693" s="1605"/>
      <c r="FO693" s="1605"/>
      <c r="FP693" s="1605"/>
      <c r="FQ693" s="1605"/>
      <c r="FR693" s="1605"/>
      <c r="FS693" s="1605"/>
      <c r="FT693" s="1605"/>
      <c r="FU693" s="1605"/>
      <c r="FV693" s="1605"/>
      <c r="FW693" s="1605"/>
      <c r="FX693" s="1605"/>
      <c r="FY693" s="1605"/>
      <c r="FZ693" s="1605"/>
      <c r="GA693" s="1605"/>
      <c r="GB693" s="1605"/>
      <c r="GC693" s="1605"/>
      <c r="GD693" s="1605"/>
      <c r="GE693" s="1605"/>
      <c r="GF693" s="1605"/>
      <c r="GG693" s="1605"/>
      <c r="GH693" s="1605"/>
      <c r="GI693" s="1605"/>
      <c r="GJ693" s="1605"/>
      <c r="GK693" s="1605"/>
      <c r="GL693" s="1605"/>
      <c r="GM693" s="1605"/>
      <c r="GN693" s="1605"/>
      <c r="GO693" s="1605"/>
      <c r="GP693" s="1605"/>
      <c r="GQ693" s="1605"/>
      <c r="GR693" s="1605"/>
      <c r="GS693" s="1605"/>
      <c r="GT693" s="1605"/>
      <c r="GU693" s="1605"/>
      <c r="GV693" s="1605"/>
      <c r="GW693" s="1605"/>
      <c r="GX693" s="1605"/>
      <c r="GY693" s="1605"/>
      <c r="GZ693" s="1605"/>
      <c r="HA693" s="1605"/>
      <c r="HB693" s="1605"/>
      <c r="HC693" s="1605"/>
      <c r="HD693" s="1605"/>
      <c r="HE693" s="1605"/>
      <c r="HF693" s="1605"/>
      <c r="HG693" s="1605"/>
      <c r="HH693" s="1605"/>
      <c r="HI693" s="1605"/>
      <c r="HJ693" s="1605"/>
      <c r="HK693" s="1605"/>
      <c r="HL693" s="1605"/>
      <c r="HM693" s="1605"/>
      <c r="HN693" s="1605"/>
      <c r="HO693" s="1605"/>
      <c r="HP693" s="1605"/>
      <c r="HQ693" s="1605"/>
      <c r="HR693" s="1605"/>
      <c r="HS693" s="1605"/>
      <c r="HT693" s="1605"/>
      <c r="HU693" s="1605"/>
      <c r="HV693" s="1605"/>
      <c r="HW693" s="1605"/>
      <c r="HX693" s="1605"/>
      <c r="HY693" s="1605"/>
      <c r="HZ693" s="1605"/>
      <c r="IA693" s="1605"/>
      <c r="IB693" s="1605"/>
      <c r="IC693" s="1605"/>
      <c r="ID693" s="1605"/>
      <c r="IE693" s="1605"/>
      <c r="IF693" s="1605"/>
      <c r="IG693" s="1605"/>
      <c r="IH693" s="1605"/>
      <c r="II693" s="1605"/>
      <c r="IJ693" s="1605"/>
      <c r="IK693" s="1605"/>
      <c r="IL693" s="1605"/>
      <c r="IM693" s="1605"/>
      <c r="IN693" s="1605"/>
      <c r="IO693" s="1605"/>
      <c r="IP693" s="1605"/>
      <c r="IQ693" s="1605"/>
      <c r="IR693" s="1605"/>
      <c r="IS693" s="1605"/>
      <c r="IT693" s="1605"/>
      <c r="IU693" s="1605"/>
      <c r="IV693" s="1605"/>
      <c r="IW693" s="1605"/>
      <c r="IX693" s="1605"/>
      <c r="IY693" s="1605"/>
      <c r="IZ693" s="1605"/>
      <c r="JA693" s="1605"/>
      <c r="JB693" s="1605"/>
      <c r="JC693" s="1605"/>
      <c r="JD693" s="1605"/>
      <c r="JE693" s="1605"/>
      <c r="JF693" s="1605"/>
      <c r="JG693" s="1605"/>
      <c r="JH693" s="1605"/>
      <c r="JI693" s="1605"/>
      <c r="JJ693" s="1605"/>
      <c r="JK693" s="1605"/>
      <c r="JL693" s="1605"/>
      <c r="JM693" s="1605"/>
      <c r="JN693" s="1605"/>
      <c r="JO693" s="1605"/>
      <c r="JP693" s="1605"/>
      <c r="JQ693" s="1605"/>
      <c r="JR693" s="1605"/>
      <c r="JS693" s="1605"/>
      <c r="JT693" s="1605"/>
      <c r="JU693" s="1605"/>
      <c r="JV693" s="1605"/>
      <c r="JW693" s="1605"/>
      <c r="JX693" s="1605"/>
      <c r="JY693" s="1605"/>
      <c r="JZ693" s="1605"/>
      <c r="KA693" s="1605"/>
      <c r="KB693" s="1606"/>
    </row>
    <row r="694" spans="2:288" ht="15" customHeight="1" x14ac:dyDescent="0.25">
      <c r="B694" s="216" t="str">
        <f t="shared" si="55"/>
        <v>Desk 64</v>
      </c>
      <c r="C694" s="218" t="str">
        <v/>
      </c>
      <c r="D694" s="218" t="str">
        <v/>
      </c>
      <c r="E694" s="218" t="str">
        <v/>
      </c>
      <c r="F694" s="218" t="str">
        <v/>
      </c>
      <c r="G694" s="402" t="str">
        <v/>
      </c>
      <c r="H694" s="1605"/>
      <c r="I694" s="1605"/>
      <c r="J694" s="1605"/>
      <c r="K694" s="1605"/>
      <c r="L694" s="1605"/>
      <c r="M694" s="1605"/>
      <c r="N694" s="1605"/>
      <c r="O694" s="1605"/>
      <c r="P694" s="1605"/>
      <c r="Q694" s="1605"/>
      <c r="R694" s="1605"/>
      <c r="S694" s="1605"/>
      <c r="T694" s="1605"/>
      <c r="U694" s="1605"/>
      <c r="V694" s="1605"/>
      <c r="W694" s="1605"/>
      <c r="X694" s="1605"/>
      <c r="Y694" s="1605"/>
      <c r="Z694" s="1605"/>
      <c r="AA694" s="1605"/>
      <c r="AB694" s="1605"/>
      <c r="AC694" s="1605"/>
      <c r="AD694" s="1605"/>
      <c r="AE694" s="1605"/>
      <c r="AF694" s="1605"/>
      <c r="AG694" s="1605"/>
      <c r="AH694" s="1605"/>
      <c r="AI694" s="1605"/>
      <c r="AJ694" s="1605"/>
      <c r="AK694" s="1605"/>
      <c r="AL694" s="1605"/>
      <c r="AM694" s="1605"/>
      <c r="AN694" s="1605"/>
      <c r="AO694" s="1605"/>
      <c r="AP694" s="1605"/>
      <c r="AQ694" s="1605"/>
      <c r="AR694" s="1605"/>
      <c r="AS694" s="1605"/>
      <c r="AT694" s="1605"/>
      <c r="AU694" s="1605"/>
      <c r="AV694" s="1605"/>
      <c r="AW694" s="1605"/>
      <c r="AX694" s="1605"/>
      <c r="AY694" s="1605"/>
      <c r="AZ694" s="1605"/>
      <c r="BA694" s="1605"/>
      <c r="BB694" s="1605"/>
      <c r="BC694" s="1605"/>
      <c r="BD694" s="1605"/>
      <c r="BE694" s="1605"/>
      <c r="BF694" s="1605"/>
      <c r="BG694" s="1605"/>
      <c r="BH694" s="1605"/>
      <c r="BI694" s="1605"/>
      <c r="BJ694" s="1605"/>
      <c r="BK694" s="1605"/>
      <c r="BL694" s="1605"/>
      <c r="BM694" s="1605"/>
      <c r="BN694" s="1605"/>
      <c r="BO694" s="1605"/>
      <c r="BP694" s="1605"/>
      <c r="BQ694" s="1605"/>
      <c r="BR694" s="1605"/>
      <c r="BS694" s="1605"/>
      <c r="BT694" s="1605"/>
      <c r="BU694" s="1605"/>
      <c r="BV694" s="1605"/>
      <c r="BW694" s="1605"/>
      <c r="BX694" s="1605"/>
      <c r="BY694" s="1605"/>
      <c r="BZ694" s="1605"/>
      <c r="CA694" s="1605"/>
      <c r="CB694" s="1605"/>
      <c r="CC694" s="1605"/>
      <c r="CD694" s="1605"/>
      <c r="CE694" s="1605"/>
      <c r="CF694" s="1605"/>
      <c r="CG694" s="1605"/>
      <c r="CH694" s="1605"/>
      <c r="CI694" s="1605"/>
      <c r="CJ694" s="1605"/>
      <c r="CK694" s="1605"/>
      <c r="CL694" s="1605"/>
      <c r="CM694" s="1605"/>
      <c r="CN694" s="1605"/>
      <c r="CO694" s="1605"/>
      <c r="CP694" s="1605"/>
      <c r="CQ694" s="1605"/>
      <c r="CR694" s="1605"/>
      <c r="CS694" s="1605"/>
      <c r="CT694" s="1605"/>
      <c r="CU694" s="1605"/>
      <c r="CV694" s="1605"/>
      <c r="CW694" s="1605"/>
      <c r="CX694" s="1605"/>
      <c r="CY694" s="1605"/>
      <c r="CZ694" s="1605"/>
      <c r="DA694" s="1605"/>
      <c r="DB694" s="1605"/>
      <c r="DC694" s="1605"/>
      <c r="DD694" s="1605"/>
      <c r="DE694" s="1605"/>
      <c r="DF694" s="1605"/>
      <c r="DG694" s="1605"/>
      <c r="DH694" s="1605"/>
      <c r="DI694" s="1605"/>
      <c r="DJ694" s="1605"/>
      <c r="DK694" s="1605"/>
      <c r="DL694" s="1605"/>
      <c r="DM694" s="1605"/>
      <c r="DN694" s="1605"/>
      <c r="DO694" s="1605"/>
      <c r="DP694" s="1605"/>
      <c r="DQ694" s="1605"/>
      <c r="DR694" s="1605"/>
      <c r="DS694" s="1605"/>
      <c r="DT694" s="1605"/>
      <c r="DU694" s="1605"/>
      <c r="DV694" s="1605"/>
      <c r="DW694" s="1605"/>
      <c r="DX694" s="1605"/>
      <c r="DY694" s="1605"/>
      <c r="DZ694" s="1605"/>
      <c r="EA694" s="1605"/>
      <c r="EB694" s="1605"/>
      <c r="EC694" s="1605"/>
      <c r="ED694" s="1605"/>
      <c r="EE694" s="1605"/>
      <c r="EF694" s="1605"/>
      <c r="EG694" s="1605"/>
      <c r="EH694" s="1605"/>
      <c r="EI694" s="1605"/>
      <c r="EJ694" s="1605"/>
      <c r="EK694" s="1605"/>
      <c r="EL694" s="1605"/>
      <c r="EM694" s="1605"/>
      <c r="EN694" s="1605"/>
      <c r="EO694" s="1605"/>
      <c r="EP694" s="1605"/>
      <c r="EQ694" s="1605"/>
      <c r="ER694" s="1605"/>
      <c r="ES694" s="1605"/>
      <c r="ET694" s="1605"/>
      <c r="EU694" s="1605"/>
      <c r="EV694" s="1605"/>
      <c r="EW694" s="1605"/>
      <c r="EX694" s="1605"/>
      <c r="EY694" s="1605"/>
      <c r="EZ694" s="1605"/>
      <c r="FA694" s="1605"/>
      <c r="FB694" s="1605"/>
      <c r="FC694" s="1605"/>
      <c r="FD694" s="1605"/>
      <c r="FE694" s="1605"/>
      <c r="FF694" s="1605"/>
      <c r="FG694" s="1605"/>
      <c r="FH694" s="1605"/>
      <c r="FI694" s="1605"/>
      <c r="FJ694" s="1605"/>
      <c r="FK694" s="1605"/>
      <c r="FL694" s="1605"/>
      <c r="FM694" s="1605"/>
      <c r="FN694" s="1605"/>
      <c r="FO694" s="1605"/>
      <c r="FP694" s="1605"/>
      <c r="FQ694" s="1605"/>
      <c r="FR694" s="1605"/>
      <c r="FS694" s="1605"/>
      <c r="FT694" s="1605"/>
      <c r="FU694" s="1605"/>
      <c r="FV694" s="1605"/>
      <c r="FW694" s="1605"/>
      <c r="FX694" s="1605"/>
      <c r="FY694" s="1605"/>
      <c r="FZ694" s="1605"/>
      <c r="GA694" s="1605"/>
      <c r="GB694" s="1605"/>
      <c r="GC694" s="1605"/>
      <c r="GD694" s="1605"/>
      <c r="GE694" s="1605"/>
      <c r="GF694" s="1605"/>
      <c r="GG694" s="1605"/>
      <c r="GH694" s="1605"/>
      <c r="GI694" s="1605"/>
      <c r="GJ694" s="1605"/>
      <c r="GK694" s="1605"/>
      <c r="GL694" s="1605"/>
      <c r="GM694" s="1605"/>
      <c r="GN694" s="1605"/>
      <c r="GO694" s="1605"/>
      <c r="GP694" s="1605"/>
      <c r="GQ694" s="1605"/>
      <c r="GR694" s="1605"/>
      <c r="GS694" s="1605"/>
      <c r="GT694" s="1605"/>
      <c r="GU694" s="1605"/>
      <c r="GV694" s="1605"/>
      <c r="GW694" s="1605"/>
      <c r="GX694" s="1605"/>
      <c r="GY694" s="1605"/>
      <c r="GZ694" s="1605"/>
      <c r="HA694" s="1605"/>
      <c r="HB694" s="1605"/>
      <c r="HC694" s="1605"/>
      <c r="HD694" s="1605"/>
      <c r="HE694" s="1605"/>
      <c r="HF694" s="1605"/>
      <c r="HG694" s="1605"/>
      <c r="HH694" s="1605"/>
      <c r="HI694" s="1605"/>
      <c r="HJ694" s="1605"/>
      <c r="HK694" s="1605"/>
      <c r="HL694" s="1605"/>
      <c r="HM694" s="1605"/>
      <c r="HN694" s="1605"/>
      <c r="HO694" s="1605"/>
      <c r="HP694" s="1605"/>
      <c r="HQ694" s="1605"/>
      <c r="HR694" s="1605"/>
      <c r="HS694" s="1605"/>
      <c r="HT694" s="1605"/>
      <c r="HU694" s="1605"/>
      <c r="HV694" s="1605"/>
      <c r="HW694" s="1605"/>
      <c r="HX694" s="1605"/>
      <c r="HY694" s="1605"/>
      <c r="HZ694" s="1605"/>
      <c r="IA694" s="1605"/>
      <c r="IB694" s="1605"/>
      <c r="IC694" s="1605"/>
      <c r="ID694" s="1605"/>
      <c r="IE694" s="1605"/>
      <c r="IF694" s="1605"/>
      <c r="IG694" s="1605"/>
      <c r="IH694" s="1605"/>
      <c r="II694" s="1605"/>
      <c r="IJ694" s="1605"/>
      <c r="IK694" s="1605"/>
      <c r="IL694" s="1605"/>
      <c r="IM694" s="1605"/>
      <c r="IN694" s="1605"/>
      <c r="IO694" s="1605"/>
      <c r="IP694" s="1605"/>
      <c r="IQ694" s="1605"/>
      <c r="IR694" s="1605"/>
      <c r="IS694" s="1605"/>
      <c r="IT694" s="1605"/>
      <c r="IU694" s="1605"/>
      <c r="IV694" s="1605"/>
      <c r="IW694" s="1605"/>
      <c r="IX694" s="1605"/>
      <c r="IY694" s="1605"/>
      <c r="IZ694" s="1605"/>
      <c r="JA694" s="1605"/>
      <c r="JB694" s="1605"/>
      <c r="JC694" s="1605"/>
      <c r="JD694" s="1605"/>
      <c r="JE694" s="1605"/>
      <c r="JF694" s="1605"/>
      <c r="JG694" s="1605"/>
      <c r="JH694" s="1605"/>
      <c r="JI694" s="1605"/>
      <c r="JJ694" s="1605"/>
      <c r="JK694" s="1605"/>
      <c r="JL694" s="1605"/>
      <c r="JM694" s="1605"/>
      <c r="JN694" s="1605"/>
      <c r="JO694" s="1605"/>
      <c r="JP694" s="1605"/>
      <c r="JQ694" s="1605"/>
      <c r="JR694" s="1605"/>
      <c r="JS694" s="1605"/>
      <c r="JT694" s="1605"/>
      <c r="JU694" s="1605"/>
      <c r="JV694" s="1605"/>
      <c r="JW694" s="1605"/>
      <c r="JX694" s="1605"/>
      <c r="JY694" s="1605"/>
      <c r="JZ694" s="1605"/>
      <c r="KA694" s="1605"/>
      <c r="KB694" s="1606"/>
    </row>
    <row r="695" spans="2:288" ht="15" customHeight="1" x14ac:dyDescent="0.25">
      <c r="B695" s="216" t="str">
        <f t="shared" ref="B695:B726" si="56">B75</f>
        <v>Desk 65</v>
      </c>
      <c r="C695" s="218" t="str">
        <v/>
      </c>
      <c r="D695" s="218" t="str">
        <v/>
      </c>
      <c r="E695" s="218" t="str">
        <v/>
      </c>
      <c r="F695" s="218" t="str">
        <v/>
      </c>
      <c r="G695" s="402" t="str">
        <v/>
      </c>
      <c r="H695" s="1605"/>
      <c r="I695" s="1605"/>
      <c r="J695" s="1605"/>
      <c r="K695" s="1605"/>
      <c r="L695" s="1605"/>
      <c r="M695" s="1605"/>
      <c r="N695" s="1605"/>
      <c r="O695" s="1605"/>
      <c r="P695" s="1605"/>
      <c r="Q695" s="1605"/>
      <c r="R695" s="1605"/>
      <c r="S695" s="1605"/>
      <c r="T695" s="1605"/>
      <c r="U695" s="1605"/>
      <c r="V695" s="1605"/>
      <c r="W695" s="1605"/>
      <c r="X695" s="1605"/>
      <c r="Y695" s="1605"/>
      <c r="Z695" s="1605"/>
      <c r="AA695" s="1605"/>
      <c r="AB695" s="1605"/>
      <c r="AC695" s="1605"/>
      <c r="AD695" s="1605"/>
      <c r="AE695" s="1605"/>
      <c r="AF695" s="1605"/>
      <c r="AG695" s="1605"/>
      <c r="AH695" s="1605"/>
      <c r="AI695" s="1605"/>
      <c r="AJ695" s="1605"/>
      <c r="AK695" s="1605"/>
      <c r="AL695" s="1605"/>
      <c r="AM695" s="1605"/>
      <c r="AN695" s="1605"/>
      <c r="AO695" s="1605"/>
      <c r="AP695" s="1605"/>
      <c r="AQ695" s="1605"/>
      <c r="AR695" s="1605"/>
      <c r="AS695" s="1605"/>
      <c r="AT695" s="1605"/>
      <c r="AU695" s="1605"/>
      <c r="AV695" s="1605"/>
      <c r="AW695" s="1605"/>
      <c r="AX695" s="1605"/>
      <c r="AY695" s="1605"/>
      <c r="AZ695" s="1605"/>
      <c r="BA695" s="1605"/>
      <c r="BB695" s="1605"/>
      <c r="BC695" s="1605"/>
      <c r="BD695" s="1605"/>
      <c r="BE695" s="1605"/>
      <c r="BF695" s="1605"/>
      <c r="BG695" s="1605"/>
      <c r="BH695" s="1605"/>
      <c r="BI695" s="1605"/>
      <c r="BJ695" s="1605"/>
      <c r="BK695" s="1605"/>
      <c r="BL695" s="1605"/>
      <c r="BM695" s="1605"/>
      <c r="BN695" s="1605"/>
      <c r="BO695" s="1605"/>
      <c r="BP695" s="1605"/>
      <c r="BQ695" s="1605"/>
      <c r="BR695" s="1605"/>
      <c r="BS695" s="1605"/>
      <c r="BT695" s="1605"/>
      <c r="BU695" s="1605"/>
      <c r="BV695" s="1605"/>
      <c r="BW695" s="1605"/>
      <c r="BX695" s="1605"/>
      <c r="BY695" s="1605"/>
      <c r="BZ695" s="1605"/>
      <c r="CA695" s="1605"/>
      <c r="CB695" s="1605"/>
      <c r="CC695" s="1605"/>
      <c r="CD695" s="1605"/>
      <c r="CE695" s="1605"/>
      <c r="CF695" s="1605"/>
      <c r="CG695" s="1605"/>
      <c r="CH695" s="1605"/>
      <c r="CI695" s="1605"/>
      <c r="CJ695" s="1605"/>
      <c r="CK695" s="1605"/>
      <c r="CL695" s="1605"/>
      <c r="CM695" s="1605"/>
      <c r="CN695" s="1605"/>
      <c r="CO695" s="1605"/>
      <c r="CP695" s="1605"/>
      <c r="CQ695" s="1605"/>
      <c r="CR695" s="1605"/>
      <c r="CS695" s="1605"/>
      <c r="CT695" s="1605"/>
      <c r="CU695" s="1605"/>
      <c r="CV695" s="1605"/>
      <c r="CW695" s="1605"/>
      <c r="CX695" s="1605"/>
      <c r="CY695" s="1605"/>
      <c r="CZ695" s="1605"/>
      <c r="DA695" s="1605"/>
      <c r="DB695" s="1605"/>
      <c r="DC695" s="1605"/>
      <c r="DD695" s="1605"/>
      <c r="DE695" s="1605"/>
      <c r="DF695" s="1605"/>
      <c r="DG695" s="1605"/>
      <c r="DH695" s="1605"/>
      <c r="DI695" s="1605"/>
      <c r="DJ695" s="1605"/>
      <c r="DK695" s="1605"/>
      <c r="DL695" s="1605"/>
      <c r="DM695" s="1605"/>
      <c r="DN695" s="1605"/>
      <c r="DO695" s="1605"/>
      <c r="DP695" s="1605"/>
      <c r="DQ695" s="1605"/>
      <c r="DR695" s="1605"/>
      <c r="DS695" s="1605"/>
      <c r="DT695" s="1605"/>
      <c r="DU695" s="1605"/>
      <c r="DV695" s="1605"/>
      <c r="DW695" s="1605"/>
      <c r="DX695" s="1605"/>
      <c r="DY695" s="1605"/>
      <c r="DZ695" s="1605"/>
      <c r="EA695" s="1605"/>
      <c r="EB695" s="1605"/>
      <c r="EC695" s="1605"/>
      <c r="ED695" s="1605"/>
      <c r="EE695" s="1605"/>
      <c r="EF695" s="1605"/>
      <c r="EG695" s="1605"/>
      <c r="EH695" s="1605"/>
      <c r="EI695" s="1605"/>
      <c r="EJ695" s="1605"/>
      <c r="EK695" s="1605"/>
      <c r="EL695" s="1605"/>
      <c r="EM695" s="1605"/>
      <c r="EN695" s="1605"/>
      <c r="EO695" s="1605"/>
      <c r="EP695" s="1605"/>
      <c r="EQ695" s="1605"/>
      <c r="ER695" s="1605"/>
      <c r="ES695" s="1605"/>
      <c r="ET695" s="1605"/>
      <c r="EU695" s="1605"/>
      <c r="EV695" s="1605"/>
      <c r="EW695" s="1605"/>
      <c r="EX695" s="1605"/>
      <c r="EY695" s="1605"/>
      <c r="EZ695" s="1605"/>
      <c r="FA695" s="1605"/>
      <c r="FB695" s="1605"/>
      <c r="FC695" s="1605"/>
      <c r="FD695" s="1605"/>
      <c r="FE695" s="1605"/>
      <c r="FF695" s="1605"/>
      <c r="FG695" s="1605"/>
      <c r="FH695" s="1605"/>
      <c r="FI695" s="1605"/>
      <c r="FJ695" s="1605"/>
      <c r="FK695" s="1605"/>
      <c r="FL695" s="1605"/>
      <c r="FM695" s="1605"/>
      <c r="FN695" s="1605"/>
      <c r="FO695" s="1605"/>
      <c r="FP695" s="1605"/>
      <c r="FQ695" s="1605"/>
      <c r="FR695" s="1605"/>
      <c r="FS695" s="1605"/>
      <c r="FT695" s="1605"/>
      <c r="FU695" s="1605"/>
      <c r="FV695" s="1605"/>
      <c r="FW695" s="1605"/>
      <c r="FX695" s="1605"/>
      <c r="FY695" s="1605"/>
      <c r="FZ695" s="1605"/>
      <c r="GA695" s="1605"/>
      <c r="GB695" s="1605"/>
      <c r="GC695" s="1605"/>
      <c r="GD695" s="1605"/>
      <c r="GE695" s="1605"/>
      <c r="GF695" s="1605"/>
      <c r="GG695" s="1605"/>
      <c r="GH695" s="1605"/>
      <c r="GI695" s="1605"/>
      <c r="GJ695" s="1605"/>
      <c r="GK695" s="1605"/>
      <c r="GL695" s="1605"/>
      <c r="GM695" s="1605"/>
      <c r="GN695" s="1605"/>
      <c r="GO695" s="1605"/>
      <c r="GP695" s="1605"/>
      <c r="GQ695" s="1605"/>
      <c r="GR695" s="1605"/>
      <c r="GS695" s="1605"/>
      <c r="GT695" s="1605"/>
      <c r="GU695" s="1605"/>
      <c r="GV695" s="1605"/>
      <c r="GW695" s="1605"/>
      <c r="GX695" s="1605"/>
      <c r="GY695" s="1605"/>
      <c r="GZ695" s="1605"/>
      <c r="HA695" s="1605"/>
      <c r="HB695" s="1605"/>
      <c r="HC695" s="1605"/>
      <c r="HD695" s="1605"/>
      <c r="HE695" s="1605"/>
      <c r="HF695" s="1605"/>
      <c r="HG695" s="1605"/>
      <c r="HH695" s="1605"/>
      <c r="HI695" s="1605"/>
      <c r="HJ695" s="1605"/>
      <c r="HK695" s="1605"/>
      <c r="HL695" s="1605"/>
      <c r="HM695" s="1605"/>
      <c r="HN695" s="1605"/>
      <c r="HO695" s="1605"/>
      <c r="HP695" s="1605"/>
      <c r="HQ695" s="1605"/>
      <c r="HR695" s="1605"/>
      <c r="HS695" s="1605"/>
      <c r="HT695" s="1605"/>
      <c r="HU695" s="1605"/>
      <c r="HV695" s="1605"/>
      <c r="HW695" s="1605"/>
      <c r="HX695" s="1605"/>
      <c r="HY695" s="1605"/>
      <c r="HZ695" s="1605"/>
      <c r="IA695" s="1605"/>
      <c r="IB695" s="1605"/>
      <c r="IC695" s="1605"/>
      <c r="ID695" s="1605"/>
      <c r="IE695" s="1605"/>
      <c r="IF695" s="1605"/>
      <c r="IG695" s="1605"/>
      <c r="IH695" s="1605"/>
      <c r="II695" s="1605"/>
      <c r="IJ695" s="1605"/>
      <c r="IK695" s="1605"/>
      <c r="IL695" s="1605"/>
      <c r="IM695" s="1605"/>
      <c r="IN695" s="1605"/>
      <c r="IO695" s="1605"/>
      <c r="IP695" s="1605"/>
      <c r="IQ695" s="1605"/>
      <c r="IR695" s="1605"/>
      <c r="IS695" s="1605"/>
      <c r="IT695" s="1605"/>
      <c r="IU695" s="1605"/>
      <c r="IV695" s="1605"/>
      <c r="IW695" s="1605"/>
      <c r="IX695" s="1605"/>
      <c r="IY695" s="1605"/>
      <c r="IZ695" s="1605"/>
      <c r="JA695" s="1605"/>
      <c r="JB695" s="1605"/>
      <c r="JC695" s="1605"/>
      <c r="JD695" s="1605"/>
      <c r="JE695" s="1605"/>
      <c r="JF695" s="1605"/>
      <c r="JG695" s="1605"/>
      <c r="JH695" s="1605"/>
      <c r="JI695" s="1605"/>
      <c r="JJ695" s="1605"/>
      <c r="JK695" s="1605"/>
      <c r="JL695" s="1605"/>
      <c r="JM695" s="1605"/>
      <c r="JN695" s="1605"/>
      <c r="JO695" s="1605"/>
      <c r="JP695" s="1605"/>
      <c r="JQ695" s="1605"/>
      <c r="JR695" s="1605"/>
      <c r="JS695" s="1605"/>
      <c r="JT695" s="1605"/>
      <c r="JU695" s="1605"/>
      <c r="JV695" s="1605"/>
      <c r="JW695" s="1605"/>
      <c r="JX695" s="1605"/>
      <c r="JY695" s="1605"/>
      <c r="JZ695" s="1605"/>
      <c r="KA695" s="1605"/>
      <c r="KB695" s="1606"/>
    </row>
    <row r="696" spans="2:288" ht="15" customHeight="1" x14ac:dyDescent="0.25">
      <c r="B696" s="216" t="str">
        <f t="shared" si="56"/>
        <v>Desk 66</v>
      </c>
      <c r="C696" s="218" t="str">
        <v/>
      </c>
      <c r="D696" s="218" t="str">
        <v/>
      </c>
      <c r="E696" s="218" t="str">
        <v/>
      </c>
      <c r="F696" s="218" t="str">
        <v/>
      </c>
      <c r="G696" s="402" t="str">
        <v/>
      </c>
      <c r="H696" s="1605"/>
      <c r="I696" s="1605"/>
      <c r="J696" s="1605"/>
      <c r="K696" s="1605"/>
      <c r="L696" s="1605"/>
      <c r="M696" s="1605"/>
      <c r="N696" s="1605"/>
      <c r="O696" s="1605"/>
      <c r="P696" s="1605"/>
      <c r="Q696" s="1605"/>
      <c r="R696" s="1605"/>
      <c r="S696" s="1605"/>
      <c r="T696" s="1605"/>
      <c r="U696" s="1605"/>
      <c r="V696" s="1605"/>
      <c r="W696" s="1605"/>
      <c r="X696" s="1605"/>
      <c r="Y696" s="1605"/>
      <c r="Z696" s="1605"/>
      <c r="AA696" s="1605"/>
      <c r="AB696" s="1605"/>
      <c r="AC696" s="1605"/>
      <c r="AD696" s="1605"/>
      <c r="AE696" s="1605"/>
      <c r="AF696" s="1605"/>
      <c r="AG696" s="1605"/>
      <c r="AH696" s="1605"/>
      <c r="AI696" s="1605"/>
      <c r="AJ696" s="1605"/>
      <c r="AK696" s="1605"/>
      <c r="AL696" s="1605"/>
      <c r="AM696" s="1605"/>
      <c r="AN696" s="1605"/>
      <c r="AO696" s="1605"/>
      <c r="AP696" s="1605"/>
      <c r="AQ696" s="1605"/>
      <c r="AR696" s="1605"/>
      <c r="AS696" s="1605"/>
      <c r="AT696" s="1605"/>
      <c r="AU696" s="1605"/>
      <c r="AV696" s="1605"/>
      <c r="AW696" s="1605"/>
      <c r="AX696" s="1605"/>
      <c r="AY696" s="1605"/>
      <c r="AZ696" s="1605"/>
      <c r="BA696" s="1605"/>
      <c r="BB696" s="1605"/>
      <c r="BC696" s="1605"/>
      <c r="BD696" s="1605"/>
      <c r="BE696" s="1605"/>
      <c r="BF696" s="1605"/>
      <c r="BG696" s="1605"/>
      <c r="BH696" s="1605"/>
      <c r="BI696" s="1605"/>
      <c r="BJ696" s="1605"/>
      <c r="BK696" s="1605"/>
      <c r="BL696" s="1605"/>
      <c r="BM696" s="1605"/>
      <c r="BN696" s="1605"/>
      <c r="BO696" s="1605"/>
      <c r="BP696" s="1605"/>
      <c r="BQ696" s="1605"/>
      <c r="BR696" s="1605"/>
      <c r="BS696" s="1605"/>
      <c r="BT696" s="1605"/>
      <c r="BU696" s="1605"/>
      <c r="BV696" s="1605"/>
      <c r="BW696" s="1605"/>
      <c r="BX696" s="1605"/>
      <c r="BY696" s="1605"/>
      <c r="BZ696" s="1605"/>
      <c r="CA696" s="1605"/>
      <c r="CB696" s="1605"/>
      <c r="CC696" s="1605"/>
      <c r="CD696" s="1605"/>
      <c r="CE696" s="1605"/>
      <c r="CF696" s="1605"/>
      <c r="CG696" s="1605"/>
      <c r="CH696" s="1605"/>
      <c r="CI696" s="1605"/>
      <c r="CJ696" s="1605"/>
      <c r="CK696" s="1605"/>
      <c r="CL696" s="1605"/>
      <c r="CM696" s="1605"/>
      <c r="CN696" s="1605"/>
      <c r="CO696" s="1605"/>
      <c r="CP696" s="1605"/>
      <c r="CQ696" s="1605"/>
      <c r="CR696" s="1605"/>
      <c r="CS696" s="1605"/>
      <c r="CT696" s="1605"/>
      <c r="CU696" s="1605"/>
      <c r="CV696" s="1605"/>
      <c r="CW696" s="1605"/>
      <c r="CX696" s="1605"/>
      <c r="CY696" s="1605"/>
      <c r="CZ696" s="1605"/>
      <c r="DA696" s="1605"/>
      <c r="DB696" s="1605"/>
      <c r="DC696" s="1605"/>
      <c r="DD696" s="1605"/>
      <c r="DE696" s="1605"/>
      <c r="DF696" s="1605"/>
      <c r="DG696" s="1605"/>
      <c r="DH696" s="1605"/>
      <c r="DI696" s="1605"/>
      <c r="DJ696" s="1605"/>
      <c r="DK696" s="1605"/>
      <c r="DL696" s="1605"/>
      <c r="DM696" s="1605"/>
      <c r="DN696" s="1605"/>
      <c r="DO696" s="1605"/>
      <c r="DP696" s="1605"/>
      <c r="DQ696" s="1605"/>
      <c r="DR696" s="1605"/>
      <c r="DS696" s="1605"/>
      <c r="DT696" s="1605"/>
      <c r="DU696" s="1605"/>
      <c r="DV696" s="1605"/>
      <c r="DW696" s="1605"/>
      <c r="DX696" s="1605"/>
      <c r="DY696" s="1605"/>
      <c r="DZ696" s="1605"/>
      <c r="EA696" s="1605"/>
      <c r="EB696" s="1605"/>
      <c r="EC696" s="1605"/>
      <c r="ED696" s="1605"/>
      <c r="EE696" s="1605"/>
      <c r="EF696" s="1605"/>
      <c r="EG696" s="1605"/>
      <c r="EH696" s="1605"/>
      <c r="EI696" s="1605"/>
      <c r="EJ696" s="1605"/>
      <c r="EK696" s="1605"/>
      <c r="EL696" s="1605"/>
      <c r="EM696" s="1605"/>
      <c r="EN696" s="1605"/>
      <c r="EO696" s="1605"/>
      <c r="EP696" s="1605"/>
      <c r="EQ696" s="1605"/>
      <c r="ER696" s="1605"/>
      <c r="ES696" s="1605"/>
      <c r="ET696" s="1605"/>
      <c r="EU696" s="1605"/>
      <c r="EV696" s="1605"/>
      <c r="EW696" s="1605"/>
      <c r="EX696" s="1605"/>
      <c r="EY696" s="1605"/>
      <c r="EZ696" s="1605"/>
      <c r="FA696" s="1605"/>
      <c r="FB696" s="1605"/>
      <c r="FC696" s="1605"/>
      <c r="FD696" s="1605"/>
      <c r="FE696" s="1605"/>
      <c r="FF696" s="1605"/>
      <c r="FG696" s="1605"/>
      <c r="FH696" s="1605"/>
      <c r="FI696" s="1605"/>
      <c r="FJ696" s="1605"/>
      <c r="FK696" s="1605"/>
      <c r="FL696" s="1605"/>
      <c r="FM696" s="1605"/>
      <c r="FN696" s="1605"/>
      <c r="FO696" s="1605"/>
      <c r="FP696" s="1605"/>
      <c r="FQ696" s="1605"/>
      <c r="FR696" s="1605"/>
      <c r="FS696" s="1605"/>
      <c r="FT696" s="1605"/>
      <c r="FU696" s="1605"/>
      <c r="FV696" s="1605"/>
      <c r="FW696" s="1605"/>
      <c r="FX696" s="1605"/>
      <c r="FY696" s="1605"/>
      <c r="FZ696" s="1605"/>
      <c r="GA696" s="1605"/>
      <c r="GB696" s="1605"/>
      <c r="GC696" s="1605"/>
      <c r="GD696" s="1605"/>
      <c r="GE696" s="1605"/>
      <c r="GF696" s="1605"/>
      <c r="GG696" s="1605"/>
      <c r="GH696" s="1605"/>
      <c r="GI696" s="1605"/>
      <c r="GJ696" s="1605"/>
      <c r="GK696" s="1605"/>
      <c r="GL696" s="1605"/>
      <c r="GM696" s="1605"/>
      <c r="GN696" s="1605"/>
      <c r="GO696" s="1605"/>
      <c r="GP696" s="1605"/>
      <c r="GQ696" s="1605"/>
      <c r="GR696" s="1605"/>
      <c r="GS696" s="1605"/>
      <c r="GT696" s="1605"/>
      <c r="GU696" s="1605"/>
      <c r="GV696" s="1605"/>
      <c r="GW696" s="1605"/>
      <c r="GX696" s="1605"/>
      <c r="GY696" s="1605"/>
      <c r="GZ696" s="1605"/>
      <c r="HA696" s="1605"/>
      <c r="HB696" s="1605"/>
      <c r="HC696" s="1605"/>
      <c r="HD696" s="1605"/>
      <c r="HE696" s="1605"/>
      <c r="HF696" s="1605"/>
      <c r="HG696" s="1605"/>
      <c r="HH696" s="1605"/>
      <c r="HI696" s="1605"/>
      <c r="HJ696" s="1605"/>
      <c r="HK696" s="1605"/>
      <c r="HL696" s="1605"/>
      <c r="HM696" s="1605"/>
      <c r="HN696" s="1605"/>
      <c r="HO696" s="1605"/>
      <c r="HP696" s="1605"/>
      <c r="HQ696" s="1605"/>
      <c r="HR696" s="1605"/>
      <c r="HS696" s="1605"/>
      <c r="HT696" s="1605"/>
      <c r="HU696" s="1605"/>
      <c r="HV696" s="1605"/>
      <c r="HW696" s="1605"/>
      <c r="HX696" s="1605"/>
      <c r="HY696" s="1605"/>
      <c r="HZ696" s="1605"/>
      <c r="IA696" s="1605"/>
      <c r="IB696" s="1605"/>
      <c r="IC696" s="1605"/>
      <c r="ID696" s="1605"/>
      <c r="IE696" s="1605"/>
      <c r="IF696" s="1605"/>
      <c r="IG696" s="1605"/>
      <c r="IH696" s="1605"/>
      <c r="II696" s="1605"/>
      <c r="IJ696" s="1605"/>
      <c r="IK696" s="1605"/>
      <c r="IL696" s="1605"/>
      <c r="IM696" s="1605"/>
      <c r="IN696" s="1605"/>
      <c r="IO696" s="1605"/>
      <c r="IP696" s="1605"/>
      <c r="IQ696" s="1605"/>
      <c r="IR696" s="1605"/>
      <c r="IS696" s="1605"/>
      <c r="IT696" s="1605"/>
      <c r="IU696" s="1605"/>
      <c r="IV696" s="1605"/>
      <c r="IW696" s="1605"/>
      <c r="IX696" s="1605"/>
      <c r="IY696" s="1605"/>
      <c r="IZ696" s="1605"/>
      <c r="JA696" s="1605"/>
      <c r="JB696" s="1605"/>
      <c r="JC696" s="1605"/>
      <c r="JD696" s="1605"/>
      <c r="JE696" s="1605"/>
      <c r="JF696" s="1605"/>
      <c r="JG696" s="1605"/>
      <c r="JH696" s="1605"/>
      <c r="JI696" s="1605"/>
      <c r="JJ696" s="1605"/>
      <c r="JK696" s="1605"/>
      <c r="JL696" s="1605"/>
      <c r="JM696" s="1605"/>
      <c r="JN696" s="1605"/>
      <c r="JO696" s="1605"/>
      <c r="JP696" s="1605"/>
      <c r="JQ696" s="1605"/>
      <c r="JR696" s="1605"/>
      <c r="JS696" s="1605"/>
      <c r="JT696" s="1605"/>
      <c r="JU696" s="1605"/>
      <c r="JV696" s="1605"/>
      <c r="JW696" s="1605"/>
      <c r="JX696" s="1605"/>
      <c r="JY696" s="1605"/>
      <c r="JZ696" s="1605"/>
      <c r="KA696" s="1605"/>
      <c r="KB696" s="1606"/>
    </row>
    <row r="697" spans="2:288" ht="15" customHeight="1" x14ac:dyDescent="0.25">
      <c r="B697" s="216" t="str">
        <f t="shared" si="56"/>
        <v>Desk 67</v>
      </c>
      <c r="C697" s="218" t="str">
        <v/>
      </c>
      <c r="D697" s="218" t="str">
        <v/>
      </c>
      <c r="E697" s="218" t="str">
        <v/>
      </c>
      <c r="F697" s="218" t="str">
        <v/>
      </c>
      <c r="G697" s="402" t="str">
        <v/>
      </c>
      <c r="H697" s="1605"/>
      <c r="I697" s="1605"/>
      <c r="J697" s="1605"/>
      <c r="K697" s="1605"/>
      <c r="L697" s="1605"/>
      <c r="M697" s="1605"/>
      <c r="N697" s="1605"/>
      <c r="O697" s="1605"/>
      <c r="P697" s="1605"/>
      <c r="Q697" s="1605"/>
      <c r="R697" s="1605"/>
      <c r="S697" s="1605"/>
      <c r="T697" s="1605"/>
      <c r="U697" s="1605"/>
      <c r="V697" s="1605"/>
      <c r="W697" s="1605"/>
      <c r="X697" s="1605"/>
      <c r="Y697" s="1605"/>
      <c r="Z697" s="1605"/>
      <c r="AA697" s="1605"/>
      <c r="AB697" s="1605"/>
      <c r="AC697" s="1605"/>
      <c r="AD697" s="1605"/>
      <c r="AE697" s="1605"/>
      <c r="AF697" s="1605"/>
      <c r="AG697" s="1605"/>
      <c r="AH697" s="1605"/>
      <c r="AI697" s="1605"/>
      <c r="AJ697" s="1605"/>
      <c r="AK697" s="1605"/>
      <c r="AL697" s="1605"/>
      <c r="AM697" s="1605"/>
      <c r="AN697" s="1605"/>
      <c r="AO697" s="1605"/>
      <c r="AP697" s="1605"/>
      <c r="AQ697" s="1605"/>
      <c r="AR697" s="1605"/>
      <c r="AS697" s="1605"/>
      <c r="AT697" s="1605"/>
      <c r="AU697" s="1605"/>
      <c r="AV697" s="1605"/>
      <c r="AW697" s="1605"/>
      <c r="AX697" s="1605"/>
      <c r="AY697" s="1605"/>
      <c r="AZ697" s="1605"/>
      <c r="BA697" s="1605"/>
      <c r="BB697" s="1605"/>
      <c r="BC697" s="1605"/>
      <c r="BD697" s="1605"/>
      <c r="BE697" s="1605"/>
      <c r="BF697" s="1605"/>
      <c r="BG697" s="1605"/>
      <c r="BH697" s="1605"/>
      <c r="BI697" s="1605"/>
      <c r="BJ697" s="1605"/>
      <c r="BK697" s="1605"/>
      <c r="BL697" s="1605"/>
      <c r="BM697" s="1605"/>
      <c r="BN697" s="1605"/>
      <c r="BO697" s="1605"/>
      <c r="BP697" s="1605"/>
      <c r="BQ697" s="1605"/>
      <c r="BR697" s="1605"/>
      <c r="BS697" s="1605"/>
      <c r="BT697" s="1605"/>
      <c r="BU697" s="1605"/>
      <c r="BV697" s="1605"/>
      <c r="BW697" s="1605"/>
      <c r="BX697" s="1605"/>
      <c r="BY697" s="1605"/>
      <c r="BZ697" s="1605"/>
      <c r="CA697" s="1605"/>
      <c r="CB697" s="1605"/>
      <c r="CC697" s="1605"/>
      <c r="CD697" s="1605"/>
      <c r="CE697" s="1605"/>
      <c r="CF697" s="1605"/>
      <c r="CG697" s="1605"/>
      <c r="CH697" s="1605"/>
      <c r="CI697" s="1605"/>
      <c r="CJ697" s="1605"/>
      <c r="CK697" s="1605"/>
      <c r="CL697" s="1605"/>
      <c r="CM697" s="1605"/>
      <c r="CN697" s="1605"/>
      <c r="CO697" s="1605"/>
      <c r="CP697" s="1605"/>
      <c r="CQ697" s="1605"/>
      <c r="CR697" s="1605"/>
      <c r="CS697" s="1605"/>
      <c r="CT697" s="1605"/>
      <c r="CU697" s="1605"/>
      <c r="CV697" s="1605"/>
      <c r="CW697" s="1605"/>
      <c r="CX697" s="1605"/>
      <c r="CY697" s="1605"/>
      <c r="CZ697" s="1605"/>
      <c r="DA697" s="1605"/>
      <c r="DB697" s="1605"/>
      <c r="DC697" s="1605"/>
      <c r="DD697" s="1605"/>
      <c r="DE697" s="1605"/>
      <c r="DF697" s="1605"/>
      <c r="DG697" s="1605"/>
      <c r="DH697" s="1605"/>
      <c r="DI697" s="1605"/>
      <c r="DJ697" s="1605"/>
      <c r="DK697" s="1605"/>
      <c r="DL697" s="1605"/>
      <c r="DM697" s="1605"/>
      <c r="DN697" s="1605"/>
      <c r="DO697" s="1605"/>
      <c r="DP697" s="1605"/>
      <c r="DQ697" s="1605"/>
      <c r="DR697" s="1605"/>
      <c r="DS697" s="1605"/>
      <c r="DT697" s="1605"/>
      <c r="DU697" s="1605"/>
      <c r="DV697" s="1605"/>
      <c r="DW697" s="1605"/>
      <c r="DX697" s="1605"/>
      <c r="DY697" s="1605"/>
      <c r="DZ697" s="1605"/>
      <c r="EA697" s="1605"/>
      <c r="EB697" s="1605"/>
      <c r="EC697" s="1605"/>
      <c r="ED697" s="1605"/>
      <c r="EE697" s="1605"/>
      <c r="EF697" s="1605"/>
      <c r="EG697" s="1605"/>
      <c r="EH697" s="1605"/>
      <c r="EI697" s="1605"/>
      <c r="EJ697" s="1605"/>
      <c r="EK697" s="1605"/>
      <c r="EL697" s="1605"/>
      <c r="EM697" s="1605"/>
      <c r="EN697" s="1605"/>
      <c r="EO697" s="1605"/>
      <c r="EP697" s="1605"/>
      <c r="EQ697" s="1605"/>
      <c r="ER697" s="1605"/>
      <c r="ES697" s="1605"/>
      <c r="ET697" s="1605"/>
      <c r="EU697" s="1605"/>
      <c r="EV697" s="1605"/>
      <c r="EW697" s="1605"/>
      <c r="EX697" s="1605"/>
      <c r="EY697" s="1605"/>
      <c r="EZ697" s="1605"/>
      <c r="FA697" s="1605"/>
      <c r="FB697" s="1605"/>
      <c r="FC697" s="1605"/>
      <c r="FD697" s="1605"/>
      <c r="FE697" s="1605"/>
      <c r="FF697" s="1605"/>
      <c r="FG697" s="1605"/>
      <c r="FH697" s="1605"/>
      <c r="FI697" s="1605"/>
      <c r="FJ697" s="1605"/>
      <c r="FK697" s="1605"/>
      <c r="FL697" s="1605"/>
      <c r="FM697" s="1605"/>
      <c r="FN697" s="1605"/>
      <c r="FO697" s="1605"/>
      <c r="FP697" s="1605"/>
      <c r="FQ697" s="1605"/>
      <c r="FR697" s="1605"/>
      <c r="FS697" s="1605"/>
      <c r="FT697" s="1605"/>
      <c r="FU697" s="1605"/>
      <c r="FV697" s="1605"/>
      <c r="FW697" s="1605"/>
      <c r="FX697" s="1605"/>
      <c r="FY697" s="1605"/>
      <c r="FZ697" s="1605"/>
      <c r="GA697" s="1605"/>
      <c r="GB697" s="1605"/>
      <c r="GC697" s="1605"/>
      <c r="GD697" s="1605"/>
      <c r="GE697" s="1605"/>
      <c r="GF697" s="1605"/>
      <c r="GG697" s="1605"/>
      <c r="GH697" s="1605"/>
      <c r="GI697" s="1605"/>
      <c r="GJ697" s="1605"/>
      <c r="GK697" s="1605"/>
      <c r="GL697" s="1605"/>
      <c r="GM697" s="1605"/>
      <c r="GN697" s="1605"/>
      <c r="GO697" s="1605"/>
      <c r="GP697" s="1605"/>
      <c r="GQ697" s="1605"/>
      <c r="GR697" s="1605"/>
      <c r="GS697" s="1605"/>
      <c r="GT697" s="1605"/>
      <c r="GU697" s="1605"/>
      <c r="GV697" s="1605"/>
      <c r="GW697" s="1605"/>
      <c r="GX697" s="1605"/>
      <c r="GY697" s="1605"/>
      <c r="GZ697" s="1605"/>
      <c r="HA697" s="1605"/>
      <c r="HB697" s="1605"/>
      <c r="HC697" s="1605"/>
      <c r="HD697" s="1605"/>
      <c r="HE697" s="1605"/>
      <c r="HF697" s="1605"/>
      <c r="HG697" s="1605"/>
      <c r="HH697" s="1605"/>
      <c r="HI697" s="1605"/>
      <c r="HJ697" s="1605"/>
      <c r="HK697" s="1605"/>
      <c r="HL697" s="1605"/>
      <c r="HM697" s="1605"/>
      <c r="HN697" s="1605"/>
      <c r="HO697" s="1605"/>
      <c r="HP697" s="1605"/>
      <c r="HQ697" s="1605"/>
      <c r="HR697" s="1605"/>
      <c r="HS697" s="1605"/>
      <c r="HT697" s="1605"/>
      <c r="HU697" s="1605"/>
      <c r="HV697" s="1605"/>
      <c r="HW697" s="1605"/>
      <c r="HX697" s="1605"/>
      <c r="HY697" s="1605"/>
      <c r="HZ697" s="1605"/>
      <c r="IA697" s="1605"/>
      <c r="IB697" s="1605"/>
      <c r="IC697" s="1605"/>
      <c r="ID697" s="1605"/>
      <c r="IE697" s="1605"/>
      <c r="IF697" s="1605"/>
      <c r="IG697" s="1605"/>
      <c r="IH697" s="1605"/>
      <c r="II697" s="1605"/>
      <c r="IJ697" s="1605"/>
      <c r="IK697" s="1605"/>
      <c r="IL697" s="1605"/>
      <c r="IM697" s="1605"/>
      <c r="IN697" s="1605"/>
      <c r="IO697" s="1605"/>
      <c r="IP697" s="1605"/>
      <c r="IQ697" s="1605"/>
      <c r="IR697" s="1605"/>
      <c r="IS697" s="1605"/>
      <c r="IT697" s="1605"/>
      <c r="IU697" s="1605"/>
      <c r="IV697" s="1605"/>
      <c r="IW697" s="1605"/>
      <c r="IX697" s="1605"/>
      <c r="IY697" s="1605"/>
      <c r="IZ697" s="1605"/>
      <c r="JA697" s="1605"/>
      <c r="JB697" s="1605"/>
      <c r="JC697" s="1605"/>
      <c r="JD697" s="1605"/>
      <c r="JE697" s="1605"/>
      <c r="JF697" s="1605"/>
      <c r="JG697" s="1605"/>
      <c r="JH697" s="1605"/>
      <c r="JI697" s="1605"/>
      <c r="JJ697" s="1605"/>
      <c r="JK697" s="1605"/>
      <c r="JL697" s="1605"/>
      <c r="JM697" s="1605"/>
      <c r="JN697" s="1605"/>
      <c r="JO697" s="1605"/>
      <c r="JP697" s="1605"/>
      <c r="JQ697" s="1605"/>
      <c r="JR697" s="1605"/>
      <c r="JS697" s="1605"/>
      <c r="JT697" s="1605"/>
      <c r="JU697" s="1605"/>
      <c r="JV697" s="1605"/>
      <c r="JW697" s="1605"/>
      <c r="JX697" s="1605"/>
      <c r="JY697" s="1605"/>
      <c r="JZ697" s="1605"/>
      <c r="KA697" s="1605"/>
      <c r="KB697" s="1606"/>
    </row>
    <row r="698" spans="2:288" ht="15" customHeight="1" x14ac:dyDescent="0.25">
      <c r="B698" s="216" t="str">
        <f t="shared" si="56"/>
        <v>Desk 68</v>
      </c>
      <c r="C698" s="218" t="str">
        <v/>
      </c>
      <c r="D698" s="218" t="str">
        <v/>
      </c>
      <c r="E698" s="218" t="str">
        <v/>
      </c>
      <c r="F698" s="218" t="str">
        <v/>
      </c>
      <c r="G698" s="402" t="str">
        <v/>
      </c>
      <c r="H698" s="1605"/>
      <c r="I698" s="1605"/>
      <c r="J698" s="1605"/>
      <c r="K698" s="1605"/>
      <c r="L698" s="1605"/>
      <c r="M698" s="1605"/>
      <c r="N698" s="1605"/>
      <c r="O698" s="1605"/>
      <c r="P698" s="1605"/>
      <c r="Q698" s="1605"/>
      <c r="R698" s="1605"/>
      <c r="S698" s="1605"/>
      <c r="T698" s="1605"/>
      <c r="U698" s="1605"/>
      <c r="V698" s="1605"/>
      <c r="W698" s="1605"/>
      <c r="X698" s="1605"/>
      <c r="Y698" s="1605"/>
      <c r="Z698" s="1605"/>
      <c r="AA698" s="1605"/>
      <c r="AB698" s="1605"/>
      <c r="AC698" s="1605"/>
      <c r="AD698" s="1605"/>
      <c r="AE698" s="1605"/>
      <c r="AF698" s="1605"/>
      <c r="AG698" s="1605"/>
      <c r="AH698" s="1605"/>
      <c r="AI698" s="1605"/>
      <c r="AJ698" s="1605"/>
      <c r="AK698" s="1605"/>
      <c r="AL698" s="1605"/>
      <c r="AM698" s="1605"/>
      <c r="AN698" s="1605"/>
      <c r="AO698" s="1605"/>
      <c r="AP698" s="1605"/>
      <c r="AQ698" s="1605"/>
      <c r="AR698" s="1605"/>
      <c r="AS698" s="1605"/>
      <c r="AT698" s="1605"/>
      <c r="AU698" s="1605"/>
      <c r="AV698" s="1605"/>
      <c r="AW698" s="1605"/>
      <c r="AX698" s="1605"/>
      <c r="AY698" s="1605"/>
      <c r="AZ698" s="1605"/>
      <c r="BA698" s="1605"/>
      <c r="BB698" s="1605"/>
      <c r="BC698" s="1605"/>
      <c r="BD698" s="1605"/>
      <c r="BE698" s="1605"/>
      <c r="BF698" s="1605"/>
      <c r="BG698" s="1605"/>
      <c r="BH698" s="1605"/>
      <c r="BI698" s="1605"/>
      <c r="BJ698" s="1605"/>
      <c r="BK698" s="1605"/>
      <c r="BL698" s="1605"/>
      <c r="BM698" s="1605"/>
      <c r="BN698" s="1605"/>
      <c r="BO698" s="1605"/>
      <c r="BP698" s="1605"/>
      <c r="BQ698" s="1605"/>
      <c r="BR698" s="1605"/>
      <c r="BS698" s="1605"/>
      <c r="BT698" s="1605"/>
      <c r="BU698" s="1605"/>
      <c r="BV698" s="1605"/>
      <c r="BW698" s="1605"/>
      <c r="BX698" s="1605"/>
      <c r="BY698" s="1605"/>
      <c r="BZ698" s="1605"/>
      <c r="CA698" s="1605"/>
      <c r="CB698" s="1605"/>
      <c r="CC698" s="1605"/>
      <c r="CD698" s="1605"/>
      <c r="CE698" s="1605"/>
      <c r="CF698" s="1605"/>
      <c r="CG698" s="1605"/>
      <c r="CH698" s="1605"/>
      <c r="CI698" s="1605"/>
      <c r="CJ698" s="1605"/>
      <c r="CK698" s="1605"/>
      <c r="CL698" s="1605"/>
      <c r="CM698" s="1605"/>
      <c r="CN698" s="1605"/>
      <c r="CO698" s="1605"/>
      <c r="CP698" s="1605"/>
      <c r="CQ698" s="1605"/>
      <c r="CR698" s="1605"/>
      <c r="CS698" s="1605"/>
      <c r="CT698" s="1605"/>
      <c r="CU698" s="1605"/>
      <c r="CV698" s="1605"/>
      <c r="CW698" s="1605"/>
      <c r="CX698" s="1605"/>
      <c r="CY698" s="1605"/>
      <c r="CZ698" s="1605"/>
      <c r="DA698" s="1605"/>
      <c r="DB698" s="1605"/>
      <c r="DC698" s="1605"/>
      <c r="DD698" s="1605"/>
      <c r="DE698" s="1605"/>
      <c r="DF698" s="1605"/>
      <c r="DG698" s="1605"/>
      <c r="DH698" s="1605"/>
      <c r="DI698" s="1605"/>
      <c r="DJ698" s="1605"/>
      <c r="DK698" s="1605"/>
      <c r="DL698" s="1605"/>
      <c r="DM698" s="1605"/>
      <c r="DN698" s="1605"/>
      <c r="DO698" s="1605"/>
      <c r="DP698" s="1605"/>
      <c r="DQ698" s="1605"/>
      <c r="DR698" s="1605"/>
      <c r="DS698" s="1605"/>
      <c r="DT698" s="1605"/>
      <c r="DU698" s="1605"/>
      <c r="DV698" s="1605"/>
      <c r="DW698" s="1605"/>
      <c r="DX698" s="1605"/>
      <c r="DY698" s="1605"/>
      <c r="DZ698" s="1605"/>
      <c r="EA698" s="1605"/>
      <c r="EB698" s="1605"/>
      <c r="EC698" s="1605"/>
      <c r="ED698" s="1605"/>
      <c r="EE698" s="1605"/>
      <c r="EF698" s="1605"/>
      <c r="EG698" s="1605"/>
      <c r="EH698" s="1605"/>
      <c r="EI698" s="1605"/>
      <c r="EJ698" s="1605"/>
      <c r="EK698" s="1605"/>
      <c r="EL698" s="1605"/>
      <c r="EM698" s="1605"/>
      <c r="EN698" s="1605"/>
      <c r="EO698" s="1605"/>
      <c r="EP698" s="1605"/>
      <c r="EQ698" s="1605"/>
      <c r="ER698" s="1605"/>
      <c r="ES698" s="1605"/>
      <c r="ET698" s="1605"/>
      <c r="EU698" s="1605"/>
      <c r="EV698" s="1605"/>
      <c r="EW698" s="1605"/>
      <c r="EX698" s="1605"/>
      <c r="EY698" s="1605"/>
      <c r="EZ698" s="1605"/>
      <c r="FA698" s="1605"/>
      <c r="FB698" s="1605"/>
      <c r="FC698" s="1605"/>
      <c r="FD698" s="1605"/>
      <c r="FE698" s="1605"/>
      <c r="FF698" s="1605"/>
      <c r="FG698" s="1605"/>
      <c r="FH698" s="1605"/>
      <c r="FI698" s="1605"/>
      <c r="FJ698" s="1605"/>
      <c r="FK698" s="1605"/>
      <c r="FL698" s="1605"/>
      <c r="FM698" s="1605"/>
      <c r="FN698" s="1605"/>
      <c r="FO698" s="1605"/>
      <c r="FP698" s="1605"/>
      <c r="FQ698" s="1605"/>
      <c r="FR698" s="1605"/>
      <c r="FS698" s="1605"/>
      <c r="FT698" s="1605"/>
      <c r="FU698" s="1605"/>
      <c r="FV698" s="1605"/>
      <c r="FW698" s="1605"/>
      <c r="FX698" s="1605"/>
      <c r="FY698" s="1605"/>
      <c r="FZ698" s="1605"/>
      <c r="GA698" s="1605"/>
      <c r="GB698" s="1605"/>
      <c r="GC698" s="1605"/>
      <c r="GD698" s="1605"/>
      <c r="GE698" s="1605"/>
      <c r="GF698" s="1605"/>
      <c r="GG698" s="1605"/>
      <c r="GH698" s="1605"/>
      <c r="GI698" s="1605"/>
      <c r="GJ698" s="1605"/>
      <c r="GK698" s="1605"/>
      <c r="GL698" s="1605"/>
      <c r="GM698" s="1605"/>
      <c r="GN698" s="1605"/>
      <c r="GO698" s="1605"/>
      <c r="GP698" s="1605"/>
      <c r="GQ698" s="1605"/>
      <c r="GR698" s="1605"/>
      <c r="GS698" s="1605"/>
      <c r="GT698" s="1605"/>
      <c r="GU698" s="1605"/>
      <c r="GV698" s="1605"/>
      <c r="GW698" s="1605"/>
      <c r="GX698" s="1605"/>
      <c r="GY698" s="1605"/>
      <c r="GZ698" s="1605"/>
      <c r="HA698" s="1605"/>
      <c r="HB698" s="1605"/>
      <c r="HC698" s="1605"/>
      <c r="HD698" s="1605"/>
      <c r="HE698" s="1605"/>
      <c r="HF698" s="1605"/>
      <c r="HG698" s="1605"/>
      <c r="HH698" s="1605"/>
      <c r="HI698" s="1605"/>
      <c r="HJ698" s="1605"/>
      <c r="HK698" s="1605"/>
      <c r="HL698" s="1605"/>
      <c r="HM698" s="1605"/>
      <c r="HN698" s="1605"/>
      <c r="HO698" s="1605"/>
      <c r="HP698" s="1605"/>
      <c r="HQ698" s="1605"/>
      <c r="HR698" s="1605"/>
      <c r="HS698" s="1605"/>
      <c r="HT698" s="1605"/>
      <c r="HU698" s="1605"/>
      <c r="HV698" s="1605"/>
      <c r="HW698" s="1605"/>
      <c r="HX698" s="1605"/>
      <c r="HY698" s="1605"/>
      <c r="HZ698" s="1605"/>
      <c r="IA698" s="1605"/>
      <c r="IB698" s="1605"/>
      <c r="IC698" s="1605"/>
      <c r="ID698" s="1605"/>
      <c r="IE698" s="1605"/>
      <c r="IF698" s="1605"/>
      <c r="IG698" s="1605"/>
      <c r="IH698" s="1605"/>
      <c r="II698" s="1605"/>
      <c r="IJ698" s="1605"/>
      <c r="IK698" s="1605"/>
      <c r="IL698" s="1605"/>
      <c r="IM698" s="1605"/>
      <c r="IN698" s="1605"/>
      <c r="IO698" s="1605"/>
      <c r="IP698" s="1605"/>
      <c r="IQ698" s="1605"/>
      <c r="IR698" s="1605"/>
      <c r="IS698" s="1605"/>
      <c r="IT698" s="1605"/>
      <c r="IU698" s="1605"/>
      <c r="IV698" s="1605"/>
      <c r="IW698" s="1605"/>
      <c r="IX698" s="1605"/>
      <c r="IY698" s="1605"/>
      <c r="IZ698" s="1605"/>
      <c r="JA698" s="1605"/>
      <c r="JB698" s="1605"/>
      <c r="JC698" s="1605"/>
      <c r="JD698" s="1605"/>
      <c r="JE698" s="1605"/>
      <c r="JF698" s="1605"/>
      <c r="JG698" s="1605"/>
      <c r="JH698" s="1605"/>
      <c r="JI698" s="1605"/>
      <c r="JJ698" s="1605"/>
      <c r="JK698" s="1605"/>
      <c r="JL698" s="1605"/>
      <c r="JM698" s="1605"/>
      <c r="JN698" s="1605"/>
      <c r="JO698" s="1605"/>
      <c r="JP698" s="1605"/>
      <c r="JQ698" s="1605"/>
      <c r="JR698" s="1605"/>
      <c r="JS698" s="1605"/>
      <c r="JT698" s="1605"/>
      <c r="JU698" s="1605"/>
      <c r="JV698" s="1605"/>
      <c r="JW698" s="1605"/>
      <c r="JX698" s="1605"/>
      <c r="JY698" s="1605"/>
      <c r="JZ698" s="1605"/>
      <c r="KA698" s="1605"/>
      <c r="KB698" s="1606"/>
    </row>
    <row r="699" spans="2:288" ht="15" customHeight="1" x14ac:dyDescent="0.25">
      <c r="B699" s="216" t="str">
        <f t="shared" si="56"/>
        <v>Desk 69</v>
      </c>
      <c r="C699" s="218" t="str">
        <v/>
      </c>
      <c r="D699" s="218" t="str">
        <v/>
      </c>
      <c r="E699" s="218" t="str">
        <v/>
      </c>
      <c r="F699" s="218" t="str">
        <v/>
      </c>
      <c r="G699" s="402" t="str">
        <v/>
      </c>
      <c r="H699" s="1605"/>
      <c r="I699" s="1605"/>
      <c r="J699" s="1605"/>
      <c r="K699" s="1605"/>
      <c r="L699" s="1605"/>
      <c r="M699" s="1605"/>
      <c r="N699" s="1605"/>
      <c r="O699" s="1605"/>
      <c r="P699" s="1605"/>
      <c r="Q699" s="1605"/>
      <c r="R699" s="1605"/>
      <c r="S699" s="1605"/>
      <c r="T699" s="1605"/>
      <c r="U699" s="1605"/>
      <c r="V699" s="1605"/>
      <c r="W699" s="1605"/>
      <c r="X699" s="1605"/>
      <c r="Y699" s="1605"/>
      <c r="Z699" s="1605"/>
      <c r="AA699" s="1605"/>
      <c r="AB699" s="1605"/>
      <c r="AC699" s="1605"/>
      <c r="AD699" s="1605"/>
      <c r="AE699" s="1605"/>
      <c r="AF699" s="1605"/>
      <c r="AG699" s="1605"/>
      <c r="AH699" s="1605"/>
      <c r="AI699" s="1605"/>
      <c r="AJ699" s="1605"/>
      <c r="AK699" s="1605"/>
      <c r="AL699" s="1605"/>
      <c r="AM699" s="1605"/>
      <c r="AN699" s="1605"/>
      <c r="AO699" s="1605"/>
      <c r="AP699" s="1605"/>
      <c r="AQ699" s="1605"/>
      <c r="AR699" s="1605"/>
      <c r="AS699" s="1605"/>
      <c r="AT699" s="1605"/>
      <c r="AU699" s="1605"/>
      <c r="AV699" s="1605"/>
      <c r="AW699" s="1605"/>
      <c r="AX699" s="1605"/>
      <c r="AY699" s="1605"/>
      <c r="AZ699" s="1605"/>
      <c r="BA699" s="1605"/>
      <c r="BB699" s="1605"/>
      <c r="BC699" s="1605"/>
      <c r="BD699" s="1605"/>
      <c r="BE699" s="1605"/>
      <c r="BF699" s="1605"/>
      <c r="BG699" s="1605"/>
      <c r="BH699" s="1605"/>
      <c r="BI699" s="1605"/>
      <c r="BJ699" s="1605"/>
      <c r="BK699" s="1605"/>
      <c r="BL699" s="1605"/>
      <c r="BM699" s="1605"/>
      <c r="BN699" s="1605"/>
      <c r="BO699" s="1605"/>
      <c r="BP699" s="1605"/>
      <c r="BQ699" s="1605"/>
      <c r="BR699" s="1605"/>
      <c r="BS699" s="1605"/>
      <c r="BT699" s="1605"/>
      <c r="BU699" s="1605"/>
      <c r="BV699" s="1605"/>
      <c r="BW699" s="1605"/>
      <c r="BX699" s="1605"/>
      <c r="BY699" s="1605"/>
      <c r="BZ699" s="1605"/>
      <c r="CA699" s="1605"/>
      <c r="CB699" s="1605"/>
      <c r="CC699" s="1605"/>
      <c r="CD699" s="1605"/>
      <c r="CE699" s="1605"/>
      <c r="CF699" s="1605"/>
      <c r="CG699" s="1605"/>
      <c r="CH699" s="1605"/>
      <c r="CI699" s="1605"/>
      <c r="CJ699" s="1605"/>
      <c r="CK699" s="1605"/>
      <c r="CL699" s="1605"/>
      <c r="CM699" s="1605"/>
      <c r="CN699" s="1605"/>
      <c r="CO699" s="1605"/>
      <c r="CP699" s="1605"/>
      <c r="CQ699" s="1605"/>
      <c r="CR699" s="1605"/>
      <c r="CS699" s="1605"/>
      <c r="CT699" s="1605"/>
      <c r="CU699" s="1605"/>
      <c r="CV699" s="1605"/>
      <c r="CW699" s="1605"/>
      <c r="CX699" s="1605"/>
      <c r="CY699" s="1605"/>
      <c r="CZ699" s="1605"/>
      <c r="DA699" s="1605"/>
      <c r="DB699" s="1605"/>
      <c r="DC699" s="1605"/>
      <c r="DD699" s="1605"/>
      <c r="DE699" s="1605"/>
      <c r="DF699" s="1605"/>
      <c r="DG699" s="1605"/>
      <c r="DH699" s="1605"/>
      <c r="DI699" s="1605"/>
      <c r="DJ699" s="1605"/>
      <c r="DK699" s="1605"/>
      <c r="DL699" s="1605"/>
      <c r="DM699" s="1605"/>
      <c r="DN699" s="1605"/>
      <c r="DO699" s="1605"/>
      <c r="DP699" s="1605"/>
      <c r="DQ699" s="1605"/>
      <c r="DR699" s="1605"/>
      <c r="DS699" s="1605"/>
      <c r="DT699" s="1605"/>
      <c r="DU699" s="1605"/>
      <c r="DV699" s="1605"/>
      <c r="DW699" s="1605"/>
      <c r="DX699" s="1605"/>
      <c r="DY699" s="1605"/>
      <c r="DZ699" s="1605"/>
      <c r="EA699" s="1605"/>
      <c r="EB699" s="1605"/>
      <c r="EC699" s="1605"/>
      <c r="ED699" s="1605"/>
      <c r="EE699" s="1605"/>
      <c r="EF699" s="1605"/>
      <c r="EG699" s="1605"/>
      <c r="EH699" s="1605"/>
      <c r="EI699" s="1605"/>
      <c r="EJ699" s="1605"/>
      <c r="EK699" s="1605"/>
      <c r="EL699" s="1605"/>
      <c r="EM699" s="1605"/>
      <c r="EN699" s="1605"/>
      <c r="EO699" s="1605"/>
      <c r="EP699" s="1605"/>
      <c r="EQ699" s="1605"/>
      <c r="ER699" s="1605"/>
      <c r="ES699" s="1605"/>
      <c r="ET699" s="1605"/>
      <c r="EU699" s="1605"/>
      <c r="EV699" s="1605"/>
      <c r="EW699" s="1605"/>
      <c r="EX699" s="1605"/>
      <c r="EY699" s="1605"/>
      <c r="EZ699" s="1605"/>
      <c r="FA699" s="1605"/>
      <c r="FB699" s="1605"/>
      <c r="FC699" s="1605"/>
      <c r="FD699" s="1605"/>
      <c r="FE699" s="1605"/>
      <c r="FF699" s="1605"/>
      <c r="FG699" s="1605"/>
      <c r="FH699" s="1605"/>
      <c r="FI699" s="1605"/>
      <c r="FJ699" s="1605"/>
      <c r="FK699" s="1605"/>
      <c r="FL699" s="1605"/>
      <c r="FM699" s="1605"/>
      <c r="FN699" s="1605"/>
      <c r="FO699" s="1605"/>
      <c r="FP699" s="1605"/>
      <c r="FQ699" s="1605"/>
      <c r="FR699" s="1605"/>
      <c r="FS699" s="1605"/>
      <c r="FT699" s="1605"/>
      <c r="FU699" s="1605"/>
      <c r="FV699" s="1605"/>
      <c r="FW699" s="1605"/>
      <c r="FX699" s="1605"/>
      <c r="FY699" s="1605"/>
      <c r="FZ699" s="1605"/>
      <c r="GA699" s="1605"/>
      <c r="GB699" s="1605"/>
      <c r="GC699" s="1605"/>
      <c r="GD699" s="1605"/>
      <c r="GE699" s="1605"/>
      <c r="GF699" s="1605"/>
      <c r="GG699" s="1605"/>
      <c r="GH699" s="1605"/>
      <c r="GI699" s="1605"/>
      <c r="GJ699" s="1605"/>
      <c r="GK699" s="1605"/>
      <c r="GL699" s="1605"/>
      <c r="GM699" s="1605"/>
      <c r="GN699" s="1605"/>
      <c r="GO699" s="1605"/>
      <c r="GP699" s="1605"/>
      <c r="GQ699" s="1605"/>
      <c r="GR699" s="1605"/>
      <c r="GS699" s="1605"/>
      <c r="GT699" s="1605"/>
      <c r="GU699" s="1605"/>
      <c r="GV699" s="1605"/>
      <c r="GW699" s="1605"/>
      <c r="GX699" s="1605"/>
      <c r="GY699" s="1605"/>
      <c r="GZ699" s="1605"/>
      <c r="HA699" s="1605"/>
      <c r="HB699" s="1605"/>
      <c r="HC699" s="1605"/>
      <c r="HD699" s="1605"/>
      <c r="HE699" s="1605"/>
      <c r="HF699" s="1605"/>
      <c r="HG699" s="1605"/>
      <c r="HH699" s="1605"/>
      <c r="HI699" s="1605"/>
      <c r="HJ699" s="1605"/>
      <c r="HK699" s="1605"/>
      <c r="HL699" s="1605"/>
      <c r="HM699" s="1605"/>
      <c r="HN699" s="1605"/>
      <c r="HO699" s="1605"/>
      <c r="HP699" s="1605"/>
      <c r="HQ699" s="1605"/>
      <c r="HR699" s="1605"/>
      <c r="HS699" s="1605"/>
      <c r="HT699" s="1605"/>
      <c r="HU699" s="1605"/>
      <c r="HV699" s="1605"/>
      <c r="HW699" s="1605"/>
      <c r="HX699" s="1605"/>
      <c r="HY699" s="1605"/>
      <c r="HZ699" s="1605"/>
      <c r="IA699" s="1605"/>
      <c r="IB699" s="1605"/>
      <c r="IC699" s="1605"/>
      <c r="ID699" s="1605"/>
      <c r="IE699" s="1605"/>
      <c r="IF699" s="1605"/>
      <c r="IG699" s="1605"/>
      <c r="IH699" s="1605"/>
      <c r="II699" s="1605"/>
      <c r="IJ699" s="1605"/>
      <c r="IK699" s="1605"/>
      <c r="IL699" s="1605"/>
      <c r="IM699" s="1605"/>
      <c r="IN699" s="1605"/>
      <c r="IO699" s="1605"/>
      <c r="IP699" s="1605"/>
      <c r="IQ699" s="1605"/>
      <c r="IR699" s="1605"/>
      <c r="IS699" s="1605"/>
      <c r="IT699" s="1605"/>
      <c r="IU699" s="1605"/>
      <c r="IV699" s="1605"/>
      <c r="IW699" s="1605"/>
      <c r="IX699" s="1605"/>
      <c r="IY699" s="1605"/>
      <c r="IZ699" s="1605"/>
      <c r="JA699" s="1605"/>
      <c r="JB699" s="1605"/>
      <c r="JC699" s="1605"/>
      <c r="JD699" s="1605"/>
      <c r="JE699" s="1605"/>
      <c r="JF699" s="1605"/>
      <c r="JG699" s="1605"/>
      <c r="JH699" s="1605"/>
      <c r="JI699" s="1605"/>
      <c r="JJ699" s="1605"/>
      <c r="JK699" s="1605"/>
      <c r="JL699" s="1605"/>
      <c r="JM699" s="1605"/>
      <c r="JN699" s="1605"/>
      <c r="JO699" s="1605"/>
      <c r="JP699" s="1605"/>
      <c r="JQ699" s="1605"/>
      <c r="JR699" s="1605"/>
      <c r="JS699" s="1605"/>
      <c r="JT699" s="1605"/>
      <c r="JU699" s="1605"/>
      <c r="JV699" s="1605"/>
      <c r="JW699" s="1605"/>
      <c r="JX699" s="1605"/>
      <c r="JY699" s="1605"/>
      <c r="JZ699" s="1605"/>
      <c r="KA699" s="1605"/>
      <c r="KB699" s="1606"/>
    </row>
    <row r="700" spans="2:288" ht="15" customHeight="1" x14ac:dyDescent="0.25">
      <c r="B700" s="216" t="str">
        <f t="shared" si="56"/>
        <v>Desk 70</v>
      </c>
      <c r="C700" s="218" t="str">
        <v/>
      </c>
      <c r="D700" s="218" t="str">
        <v/>
      </c>
      <c r="E700" s="218" t="str">
        <v/>
      </c>
      <c r="F700" s="218" t="str">
        <v/>
      </c>
      <c r="G700" s="402" t="str">
        <v/>
      </c>
      <c r="H700" s="1605"/>
      <c r="I700" s="1605"/>
      <c r="J700" s="1605"/>
      <c r="K700" s="1605"/>
      <c r="L700" s="1605"/>
      <c r="M700" s="1605"/>
      <c r="N700" s="1605"/>
      <c r="O700" s="1605"/>
      <c r="P700" s="1605"/>
      <c r="Q700" s="1605"/>
      <c r="R700" s="1605"/>
      <c r="S700" s="1605"/>
      <c r="T700" s="1605"/>
      <c r="U700" s="1605"/>
      <c r="V700" s="1605"/>
      <c r="W700" s="1605"/>
      <c r="X700" s="1605"/>
      <c r="Y700" s="1605"/>
      <c r="Z700" s="1605"/>
      <c r="AA700" s="1605"/>
      <c r="AB700" s="1605"/>
      <c r="AC700" s="1605"/>
      <c r="AD700" s="1605"/>
      <c r="AE700" s="1605"/>
      <c r="AF700" s="1605"/>
      <c r="AG700" s="1605"/>
      <c r="AH700" s="1605"/>
      <c r="AI700" s="1605"/>
      <c r="AJ700" s="1605"/>
      <c r="AK700" s="1605"/>
      <c r="AL700" s="1605"/>
      <c r="AM700" s="1605"/>
      <c r="AN700" s="1605"/>
      <c r="AO700" s="1605"/>
      <c r="AP700" s="1605"/>
      <c r="AQ700" s="1605"/>
      <c r="AR700" s="1605"/>
      <c r="AS700" s="1605"/>
      <c r="AT700" s="1605"/>
      <c r="AU700" s="1605"/>
      <c r="AV700" s="1605"/>
      <c r="AW700" s="1605"/>
      <c r="AX700" s="1605"/>
      <c r="AY700" s="1605"/>
      <c r="AZ700" s="1605"/>
      <c r="BA700" s="1605"/>
      <c r="BB700" s="1605"/>
      <c r="BC700" s="1605"/>
      <c r="BD700" s="1605"/>
      <c r="BE700" s="1605"/>
      <c r="BF700" s="1605"/>
      <c r="BG700" s="1605"/>
      <c r="BH700" s="1605"/>
      <c r="BI700" s="1605"/>
      <c r="BJ700" s="1605"/>
      <c r="BK700" s="1605"/>
      <c r="BL700" s="1605"/>
      <c r="BM700" s="1605"/>
      <c r="BN700" s="1605"/>
      <c r="BO700" s="1605"/>
      <c r="BP700" s="1605"/>
      <c r="BQ700" s="1605"/>
      <c r="BR700" s="1605"/>
      <c r="BS700" s="1605"/>
      <c r="BT700" s="1605"/>
      <c r="BU700" s="1605"/>
      <c r="BV700" s="1605"/>
      <c r="BW700" s="1605"/>
      <c r="BX700" s="1605"/>
      <c r="BY700" s="1605"/>
      <c r="BZ700" s="1605"/>
      <c r="CA700" s="1605"/>
      <c r="CB700" s="1605"/>
      <c r="CC700" s="1605"/>
      <c r="CD700" s="1605"/>
      <c r="CE700" s="1605"/>
      <c r="CF700" s="1605"/>
      <c r="CG700" s="1605"/>
      <c r="CH700" s="1605"/>
      <c r="CI700" s="1605"/>
      <c r="CJ700" s="1605"/>
      <c r="CK700" s="1605"/>
      <c r="CL700" s="1605"/>
      <c r="CM700" s="1605"/>
      <c r="CN700" s="1605"/>
      <c r="CO700" s="1605"/>
      <c r="CP700" s="1605"/>
      <c r="CQ700" s="1605"/>
      <c r="CR700" s="1605"/>
      <c r="CS700" s="1605"/>
      <c r="CT700" s="1605"/>
      <c r="CU700" s="1605"/>
      <c r="CV700" s="1605"/>
      <c r="CW700" s="1605"/>
      <c r="CX700" s="1605"/>
      <c r="CY700" s="1605"/>
      <c r="CZ700" s="1605"/>
      <c r="DA700" s="1605"/>
      <c r="DB700" s="1605"/>
      <c r="DC700" s="1605"/>
      <c r="DD700" s="1605"/>
      <c r="DE700" s="1605"/>
      <c r="DF700" s="1605"/>
      <c r="DG700" s="1605"/>
      <c r="DH700" s="1605"/>
      <c r="DI700" s="1605"/>
      <c r="DJ700" s="1605"/>
      <c r="DK700" s="1605"/>
      <c r="DL700" s="1605"/>
      <c r="DM700" s="1605"/>
      <c r="DN700" s="1605"/>
      <c r="DO700" s="1605"/>
      <c r="DP700" s="1605"/>
      <c r="DQ700" s="1605"/>
      <c r="DR700" s="1605"/>
      <c r="DS700" s="1605"/>
      <c r="DT700" s="1605"/>
      <c r="DU700" s="1605"/>
      <c r="DV700" s="1605"/>
      <c r="DW700" s="1605"/>
      <c r="DX700" s="1605"/>
      <c r="DY700" s="1605"/>
      <c r="DZ700" s="1605"/>
      <c r="EA700" s="1605"/>
      <c r="EB700" s="1605"/>
      <c r="EC700" s="1605"/>
      <c r="ED700" s="1605"/>
      <c r="EE700" s="1605"/>
      <c r="EF700" s="1605"/>
      <c r="EG700" s="1605"/>
      <c r="EH700" s="1605"/>
      <c r="EI700" s="1605"/>
      <c r="EJ700" s="1605"/>
      <c r="EK700" s="1605"/>
      <c r="EL700" s="1605"/>
      <c r="EM700" s="1605"/>
      <c r="EN700" s="1605"/>
      <c r="EO700" s="1605"/>
      <c r="EP700" s="1605"/>
      <c r="EQ700" s="1605"/>
      <c r="ER700" s="1605"/>
      <c r="ES700" s="1605"/>
      <c r="ET700" s="1605"/>
      <c r="EU700" s="1605"/>
      <c r="EV700" s="1605"/>
      <c r="EW700" s="1605"/>
      <c r="EX700" s="1605"/>
      <c r="EY700" s="1605"/>
      <c r="EZ700" s="1605"/>
      <c r="FA700" s="1605"/>
      <c r="FB700" s="1605"/>
      <c r="FC700" s="1605"/>
      <c r="FD700" s="1605"/>
      <c r="FE700" s="1605"/>
      <c r="FF700" s="1605"/>
      <c r="FG700" s="1605"/>
      <c r="FH700" s="1605"/>
      <c r="FI700" s="1605"/>
      <c r="FJ700" s="1605"/>
      <c r="FK700" s="1605"/>
      <c r="FL700" s="1605"/>
      <c r="FM700" s="1605"/>
      <c r="FN700" s="1605"/>
      <c r="FO700" s="1605"/>
      <c r="FP700" s="1605"/>
      <c r="FQ700" s="1605"/>
      <c r="FR700" s="1605"/>
      <c r="FS700" s="1605"/>
      <c r="FT700" s="1605"/>
      <c r="FU700" s="1605"/>
      <c r="FV700" s="1605"/>
      <c r="FW700" s="1605"/>
      <c r="FX700" s="1605"/>
      <c r="FY700" s="1605"/>
      <c r="FZ700" s="1605"/>
      <c r="GA700" s="1605"/>
      <c r="GB700" s="1605"/>
      <c r="GC700" s="1605"/>
      <c r="GD700" s="1605"/>
      <c r="GE700" s="1605"/>
      <c r="GF700" s="1605"/>
      <c r="GG700" s="1605"/>
      <c r="GH700" s="1605"/>
      <c r="GI700" s="1605"/>
      <c r="GJ700" s="1605"/>
      <c r="GK700" s="1605"/>
      <c r="GL700" s="1605"/>
      <c r="GM700" s="1605"/>
      <c r="GN700" s="1605"/>
      <c r="GO700" s="1605"/>
      <c r="GP700" s="1605"/>
      <c r="GQ700" s="1605"/>
      <c r="GR700" s="1605"/>
      <c r="GS700" s="1605"/>
      <c r="GT700" s="1605"/>
      <c r="GU700" s="1605"/>
      <c r="GV700" s="1605"/>
      <c r="GW700" s="1605"/>
      <c r="GX700" s="1605"/>
      <c r="GY700" s="1605"/>
      <c r="GZ700" s="1605"/>
      <c r="HA700" s="1605"/>
      <c r="HB700" s="1605"/>
      <c r="HC700" s="1605"/>
      <c r="HD700" s="1605"/>
      <c r="HE700" s="1605"/>
      <c r="HF700" s="1605"/>
      <c r="HG700" s="1605"/>
      <c r="HH700" s="1605"/>
      <c r="HI700" s="1605"/>
      <c r="HJ700" s="1605"/>
      <c r="HK700" s="1605"/>
      <c r="HL700" s="1605"/>
      <c r="HM700" s="1605"/>
      <c r="HN700" s="1605"/>
      <c r="HO700" s="1605"/>
      <c r="HP700" s="1605"/>
      <c r="HQ700" s="1605"/>
      <c r="HR700" s="1605"/>
      <c r="HS700" s="1605"/>
      <c r="HT700" s="1605"/>
      <c r="HU700" s="1605"/>
      <c r="HV700" s="1605"/>
      <c r="HW700" s="1605"/>
      <c r="HX700" s="1605"/>
      <c r="HY700" s="1605"/>
      <c r="HZ700" s="1605"/>
      <c r="IA700" s="1605"/>
      <c r="IB700" s="1605"/>
      <c r="IC700" s="1605"/>
      <c r="ID700" s="1605"/>
      <c r="IE700" s="1605"/>
      <c r="IF700" s="1605"/>
      <c r="IG700" s="1605"/>
      <c r="IH700" s="1605"/>
      <c r="II700" s="1605"/>
      <c r="IJ700" s="1605"/>
      <c r="IK700" s="1605"/>
      <c r="IL700" s="1605"/>
      <c r="IM700" s="1605"/>
      <c r="IN700" s="1605"/>
      <c r="IO700" s="1605"/>
      <c r="IP700" s="1605"/>
      <c r="IQ700" s="1605"/>
      <c r="IR700" s="1605"/>
      <c r="IS700" s="1605"/>
      <c r="IT700" s="1605"/>
      <c r="IU700" s="1605"/>
      <c r="IV700" s="1605"/>
      <c r="IW700" s="1605"/>
      <c r="IX700" s="1605"/>
      <c r="IY700" s="1605"/>
      <c r="IZ700" s="1605"/>
      <c r="JA700" s="1605"/>
      <c r="JB700" s="1605"/>
      <c r="JC700" s="1605"/>
      <c r="JD700" s="1605"/>
      <c r="JE700" s="1605"/>
      <c r="JF700" s="1605"/>
      <c r="JG700" s="1605"/>
      <c r="JH700" s="1605"/>
      <c r="JI700" s="1605"/>
      <c r="JJ700" s="1605"/>
      <c r="JK700" s="1605"/>
      <c r="JL700" s="1605"/>
      <c r="JM700" s="1605"/>
      <c r="JN700" s="1605"/>
      <c r="JO700" s="1605"/>
      <c r="JP700" s="1605"/>
      <c r="JQ700" s="1605"/>
      <c r="JR700" s="1605"/>
      <c r="JS700" s="1605"/>
      <c r="JT700" s="1605"/>
      <c r="JU700" s="1605"/>
      <c r="JV700" s="1605"/>
      <c r="JW700" s="1605"/>
      <c r="JX700" s="1605"/>
      <c r="JY700" s="1605"/>
      <c r="JZ700" s="1605"/>
      <c r="KA700" s="1605"/>
      <c r="KB700" s="1606"/>
    </row>
    <row r="701" spans="2:288" ht="15" customHeight="1" x14ac:dyDescent="0.25">
      <c r="B701" s="216" t="str">
        <f t="shared" si="56"/>
        <v>Desk 71</v>
      </c>
      <c r="C701" s="218" t="str">
        <v/>
      </c>
      <c r="D701" s="218" t="str">
        <v/>
      </c>
      <c r="E701" s="218" t="str">
        <v/>
      </c>
      <c r="F701" s="218" t="str">
        <v/>
      </c>
      <c r="G701" s="402" t="str">
        <v/>
      </c>
      <c r="H701" s="1605"/>
      <c r="I701" s="1605"/>
      <c r="J701" s="1605"/>
      <c r="K701" s="1605"/>
      <c r="L701" s="1605"/>
      <c r="M701" s="1605"/>
      <c r="N701" s="1605"/>
      <c r="O701" s="1605"/>
      <c r="P701" s="1605"/>
      <c r="Q701" s="1605"/>
      <c r="R701" s="1605"/>
      <c r="S701" s="1605"/>
      <c r="T701" s="1605"/>
      <c r="U701" s="1605"/>
      <c r="V701" s="1605"/>
      <c r="W701" s="1605"/>
      <c r="X701" s="1605"/>
      <c r="Y701" s="1605"/>
      <c r="Z701" s="1605"/>
      <c r="AA701" s="1605"/>
      <c r="AB701" s="1605"/>
      <c r="AC701" s="1605"/>
      <c r="AD701" s="1605"/>
      <c r="AE701" s="1605"/>
      <c r="AF701" s="1605"/>
      <c r="AG701" s="1605"/>
      <c r="AH701" s="1605"/>
      <c r="AI701" s="1605"/>
      <c r="AJ701" s="1605"/>
      <c r="AK701" s="1605"/>
      <c r="AL701" s="1605"/>
      <c r="AM701" s="1605"/>
      <c r="AN701" s="1605"/>
      <c r="AO701" s="1605"/>
      <c r="AP701" s="1605"/>
      <c r="AQ701" s="1605"/>
      <c r="AR701" s="1605"/>
      <c r="AS701" s="1605"/>
      <c r="AT701" s="1605"/>
      <c r="AU701" s="1605"/>
      <c r="AV701" s="1605"/>
      <c r="AW701" s="1605"/>
      <c r="AX701" s="1605"/>
      <c r="AY701" s="1605"/>
      <c r="AZ701" s="1605"/>
      <c r="BA701" s="1605"/>
      <c r="BB701" s="1605"/>
      <c r="BC701" s="1605"/>
      <c r="BD701" s="1605"/>
      <c r="BE701" s="1605"/>
      <c r="BF701" s="1605"/>
      <c r="BG701" s="1605"/>
      <c r="BH701" s="1605"/>
      <c r="BI701" s="1605"/>
      <c r="BJ701" s="1605"/>
      <c r="BK701" s="1605"/>
      <c r="BL701" s="1605"/>
      <c r="BM701" s="1605"/>
      <c r="BN701" s="1605"/>
      <c r="BO701" s="1605"/>
      <c r="BP701" s="1605"/>
      <c r="BQ701" s="1605"/>
      <c r="BR701" s="1605"/>
      <c r="BS701" s="1605"/>
      <c r="BT701" s="1605"/>
      <c r="BU701" s="1605"/>
      <c r="BV701" s="1605"/>
      <c r="BW701" s="1605"/>
      <c r="BX701" s="1605"/>
      <c r="BY701" s="1605"/>
      <c r="BZ701" s="1605"/>
      <c r="CA701" s="1605"/>
      <c r="CB701" s="1605"/>
      <c r="CC701" s="1605"/>
      <c r="CD701" s="1605"/>
      <c r="CE701" s="1605"/>
      <c r="CF701" s="1605"/>
      <c r="CG701" s="1605"/>
      <c r="CH701" s="1605"/>
      <c r="CI701" s="1605"/>
      <c r="CJ701" s="1605"/>
      <c r="CK701" s="1605"/>
      <c r="CL701" s="1605"/>
      <c r="CM701" s="1605"/>
      <c r="CN701" s="1605"/>
      <c r="CO701" s="1605"/>
      <c r="CP701" s="1605"/>
      <c r="CQ701" s="1605"/>
      <c r="CR701" s="1605"/>
      <c r="CS701" s="1605"/>
      <c r="CT701" s="1605"/>
      <c r="CU701" s="1605"/>
      <c r="CV701" s="1605"/>
      <c r="CW701" s="1605"/>
      <c r="CX701" s="1605"/>
      <c r="CY701" s="1605"/>
      <c r="CZ701" s="1605"/>
      <c r="DA701" s="1605"/>
      <c r="DB701" s="1605"/>
      <c r="DC701" s="1605"/>
      <c r="DD701" s="1605"/>
      <c r="DE701" s="1605"/>
      <c r="DF701" s="1605"/>
      <c r="DG701" s="1605"/>
      <c r="DH701" s="1605"/>
      <c r="DI701" s="1605"/>
      <c r="DJ701" s="1605"/>
      <c r="DK701" s="1605"/>
      <c r="DL701" s="1605"/>
      <c r="DM701" s="1605"/>
      <c r="DN701" s="1605"/>
      <c r="DO701" s="1605"/>
      <c r="DP701" s="1605"/>
      <c r="DQ701" s="1605"/>
      <c r="DR701" s="1605"/>
      <c r="DS701" s="1605"/>
      <c r="DT701" s="1605"/>
      <c r="DU701" s="1605"/>
      <c r="DV701" s="1605"/>
      <c r="DW701" s="1605"/>
      <c r="DX701" s="1605"/>
      <c r="DY701" s="1605"/>
      <c r="DZ701" s="1605"/>
      <c r="EA701" s="1605"/>
      <c r="EB701" s="1605"/>
      <c r="EC701" s="1605"/>
      <c r="ED701" s="1605"/>
      <c r="EE701" s="1605"/>
      <c r="EF701" s="1605"/>
      <c r="EG701" s="1605"/>
      <c r="EH701" s="1605"/>
      <c r="EI701" s="1605"/>
      <c r="EJ701" s="1605"/>
      <c r="EK701" s="1605"/>
      <c r="EL701" s="1605"/>
      <c r="EM701" s="1605"/>
      <c r="EN701" s="1605"/>
      <c r="EO701" s="1605"/>
      <c r="EP701" s="1605"/>
      <c r="EQ701" s="1605"/>
      <c r="ER701" s="1605"/>
      <c r="ES701" s="1605"/>
      <c r="ET701" s="1605"/>
      <c r="EU701" s="1605"/>
      <c r="EV701" s="1605"/>
      <c r="EW701" s="1605"/>
      <c r="EX701" s="1605"/>
      <c r="EY701" s="1605"/>
      <c r="EZ701" s="1605"/>
      <c r="FA701" s="1605"/>
      <c r="FB701" s="1605"/>
      <c r="FC701" s="1605"/>
      <c r="FD701" s="1605"/>
      <c r="FE701" s="1605"/>
      <c r="FF701" s="1605"/>
      <c r="FG701" s="1605"/>
      <c r="FH701" s="1605"/>
      <c r="FI701" s="1605"/>
      <c r="FJ701" s="1605"/>
      <c r="FK701" s="1605"/>
      <c r="FL701" s="1605"/>
      <c r="FM701" s="1605"/>
      <c r="FN701" s="1605"/>
      <c r="FO701" s="1605"/>
      <c r="FP701" s="1605"/>
      <c r="FQ701" s="1605"/>
      <c r="FR701" s="1605"/>
      <c r="FS701" s="1605"/>
      <c r="FT701" s="1605"/>
      <c r="FU701" s="1605"/>
      <c r="FV701" s="1605"/>
      <c r="FW701" s="1605"/>
      <c r="FX701" s="1605"/>
      <c r="FY701" s="1605"/>
      <c r="FZ701" s="1605"/>
      <c r="GA701" s="1605"/>
      <c r="GB701" s="1605"/>
      <c r="GC701" s="1605"/>
      <c r="GD701" s="1605"/>
      <c r="GE701" s="1605"/>
      <c r="GF701" s="1605"/>
      <c r="GG701" s="1605"/>
      <c r="GH701" s="1605"/>
      <c r="GI701" s="1605"/>
      <c r="GJ701" s="1605"/>
      <c r="GK701" s="1605"/>
      <c r="GL701" s="1605"/>
      <c r="GM701" s="1605"/>
      <c r="GN701" s="1605"/>
      <c r="GO701" s="1605"/>
      <c r="GP701" s="1605"/>
      <c r="GQ701" s="1605"/>
      <c r="GR701" s="1605"/>
      <c r="GS701" s="1605"/>
      <c r="GT701" s="1605"/>
      <c r="GU701" s="1605"/>
      <c r="GV701" s="1605"/>
      <c r="GW701" s="1605"/>
      <c r="GX701" s="1605"/>
      <c r="GY701" s="1605"/>
      <c r="GZ701" s="1605"/>
      <c r="HA701" s="1605"/>
      <c r="HB701" s="1605"/>
      <c r="HC701" s="1605"/>
      <c r="HD701" s="1605"/>
      <c r="HE701" s="1605"/>
      <c r="HF701" s="1605"/>
      <c r="HG701" s="1605"/>
      <c r="HH701" s="1605"/>
      <c r="HI701" s="1605"/>
      <c r="HJ701" s="1605"/>
      <c r="HK701" s="1605"/>
      <c r="HL701" s="1605"/>
      <c r="HM701" s="1605"/>
      <c r="HN701" s="1605"/>
      <c r="HO701" s="1605"/>
      <c r="HP701" s="1605"/>
      <c r="HQ701" s="1605"/>
      <c r="HR701" s="1605"/>
      <c r="HS701" s="1605"/>
      <c r="HT701" s="1605"/>
      <c r="HU701" s="1605"/>
      <c r="HV701" s="1605"/>
      <c r="HW701" s="1605"/>
      <c r="HX701" s="1605"/>
      <c r="HY701" s="1605"/>
      <c r="HZ701" s="1605"/>
      <c r="IA701" s="1605"/>
      <c r="IB701" s="1605"/>
      <c r="IC701" s="1605"/>
      <c r="ID701" s="1605"/>
      <c r="IE701" s="1605"/>
      <c r="IF701" s="1605"/>
      <c r="IG701" s="1605"/>
      <c r="IH701" s="1605"/>
      <c r="II701" s="1605"/>
      <c r="IJ701" s="1605"/>
      <c r="IK701" s="1605"/>
      <c r="IL701" s="1605"/>
      <c r="IM701" s="1605"/>
      <c r="IN701" s="1605"/>
      <c r="IO701" s="1605"/>
      <c r="IP701" s="1605"/>
      <c r="IQ701" s="1605"/>
      <c r="IR701" s="1605"/>
      <c r="IS701" s="1605"/>
      <c r="IT701" s="1605"/>
      <c r="IU701" s="1605"/>
      <c r="IV701" s="1605"/>
      <c r="IW701" s="1605"/>
      <c r="IX701" s="1605"/>
      <c r="IY701" s="1605"/>
      <c r="IZ701" s="1605"/>
      <c r="JA701" s="1605"/>
      <c r="JB701" s="1605"/>
      <c r="JC701" s="1605"/>
      <c r="JD701" s="1605"/>
      <c r="JE701" s="1605"/>
      <c r="JF701" s="1605"/>
      <c r="JG701" s="1605"/>
      <c r="JH701" s="1605"/>
      <c r="JI701" s="1605"/>
      <c r="JJ701" s="1605"/>
      <c r="JK701" s="1605"/>
      <c r="JL701" s="1605"/>
      <c r="JM701" s="1605"/>
      <c r="JN701" s="1605"/>
      <c r="JO701" s="1605"/>
      <c r="JP701" s="1605"/>
      <c r="JQ701" s="1605"/>
      <c r="JR701" s="1605"/>
      <c r="JS701" s="1605"/>
      <c r="JT701" s="1605"/>
      <c r="JU701" s="1605"/>
      <c r="JV701" s="1605"/>
      <c r="JW701" s="1605"/>
      <c r="JX701" s="1605"/>
      <c r="JY701" s="1605"/>
      <c r="JZ701" s="1605"/>
      <c r="KA701" s="1605"/>
      <c r="KB701" s="1606"/>
    </row>
    <row r="702" spans="2:288" ht="15" customHeight="1" x14ac:dyDescent="0.25">
      <c r="B702" s="216" t="str">
        <f t="shared" si="56"/>
        <v>Desk 72</v>
      </c>
      <c r="C702" s="218" t="str">
        <v/>
      </c>
      <c r="D702" s="218" t="str">
        <v/>
      </c>
      <c r="E702" s="218" t="str">
        <v/>
      </c>
      <c r="F702" s="218" t="str">
        <v/>
      </c>
      <c r="G702" s="402" t="str">
        <v/>
      </c>
      <c r="H702" s="1605"/>
      <c r="I702" s="1605"/>
      <c r="J702" s="1605"/>
      <c r="K702" s="1605"/>
      <c r="L702" s="1605"/>
      <c r="M702" s="1605"/>
      <c r="N702" s="1605"/>
      <c r="O702" s="1605"/>
      <c r="P702" s="1605"/>
      <c r="Q702" s="1605"/>
      <c r="R702" s="1605"/>
      <c r="S702" s="1605"/>
      <c r="T702" s="1605"/>
      <c r="U702" s="1605"/>
      <c r="V702" s="1605"/>
      <c r="W702" s="1605"/>
      <c r="X702" s="1605"/>
      <c r="Y702" s="1605"/>
      <c r="Z702" s="1605"/>
      <c r="AA702" s="1605"/>
      <c r="AB702" s="1605"/>
      <c r="AC702" s="1605"/>
      <c r="AD702" s="1605"/>
      <c r="AE702" s="1605"/>
      <c r="AF702" s="1605"/>
      <c r="AG702" s="1605"/>
      <c r="AH702" s="1605"/>
      <c r="AI702" s="1605"/>
      <c r="AJ702" s="1605"/>
      <c r="AK702" s="1605"/>
      <c r="AL702" s="1605"/>
      <c r="AM702" s="1605"/>
      <c r="AN702" s="1605"/>
      <c r="AO702" s="1605"/>
      <c r="AP702" s="1605"/>
      <c r="AQ702" s="1605"/>
      <c r="AR702" s="1605"/>
      <c r="AS702" s="1605"/>
      <c r="AT702" s="1605"/>
      <c r="AU702" s="1605"/>
      <c r="AV702" s="1605"/>
      <c r="AW702" s="1605"/>
      <c r="AX702" s="1605"/>
      <c r="AY702" s="1605"/>
      <c r="AZ702" s="1605"/>
      <c r="BA702" s="1605"/>
      <c r="BB702" s="1605"/>
      <c r="BC702" s="1605"/>
      <c r="BD702" s="1605"/>
      <c r="BE702" s="1605"/>
      <c r="BF702" s="1605"/>
      <c r="BG702" s="1605"/>
      <c r="BH702" s="1605"/>
      <c r="BI702" s="1605"/>
      <c r="BJ702" s="1605"/>
      <c r="BK702" s="1605"/>
      <c r="BL702" s="1605"/>
      <c r="BM702" s="1605"/>
      <c r="BN702" s="1605"/>
      <c r="BO702" s="1605"/>
      <c r="BP702" s="1605"/>
      <c r="BQ702" s="1605"/>
      <c r="BR702" s="1605"/>
      <c r="BS702" s="1605"/>
      <c r="BT702" s="1605"/>
      <c r="BU702" s="1605"/>
      <c r="BV702" s="1605"/>
      <c r="BW702" s="1605"/>
      <c r="BX702" s="1605"/>
      <c r="BY702" s="1605"/>
      <c r="BZ702" s="1605"/>
      <c r="CA702" s="1605"/>
      <c r="CB702" s="1605"/>
      <c r="CC702" s="1605"/>
      <c r="CD702" s="1605"/>
      <c r="CE702" s="1605"/>
      <c r="CF702" s="1605"/>
      <c r="CG702" s="1605"/>
      <c r="CH702" s="1605"/>
      <c r="CI702" s="1605"/>
      <c r="CJ702" s="1605"/>
      <c r="CK702" s="1605"/>
      <c r="CL702" s="1605"/>
      <c r="CM702" s="1605"/>
      <c r="CN702" s="1605"/>
      <c r="CO702" s="1605"/>
      <c r="CP702" s="1605"/>
      <c r="CQ702" s="1605"/>
      <c r="CR702" s="1605"/>
      <c r="CS702" s="1605"/>
      <c r="CT702" s="1605"/>
      <c r="CU702" s="1605"/>
      <c r="CV702" s="1605"/>
      <c r="CW702" s="1605"/>
      <c r="CX702" s="1605"/>
      <c r="CY702" s="1605"/>
      <c r="CZ702" s="1605"/>
      <c r="DA702" s="1605"/>
      <c r="DB702" s="1605"/>
      <c r="DC702" s="1605"/>
      <c r="DD702" s="1605"/>
      <c r="DE702" s="1605"/>
      <c r="DF702" s="1605"/>
      <c r="DG702" s="1605"/>
      <c r="DH702" s="1605"/>
      <c r="DI702" s="1605"/>
      <c r="DJ702" s="1605"/>
      <c r="DK702" s="1605"/>
      <c r="DL702" s="1605"/>
      <c r="DM702" s="1605"/>
      <c r="DN702" s="1605"/>
      <c r="DO702" s="1605"/>
      <c r="DP702" s="1605"/>
      <c r="DQ702" s="1605"/>
      <c r="DR702" s="1605"/>
      <c r="DS702" s="1605"/>
      <c r="DT702" s="1605"/>
      <c r="DU702" s="1605"/>
      <c r="DV702" s="1605"/>
      <c r="DW702" s="1605"/>
      <c r="DX702" s="1605"/>
      <c r="DY702" s="1605"/>
      <c r="DZ702" s="1605"/>
      <c r="EA702" s="1605"/>
      <c r="EB702" s="1605"/>
      <c r="EC702" s="1605"/>
      <c r="ED702" s="1605"/>
      <c r="EE702" s="1605"/>
      <c r="EF702" s="1605"/>
      <c r="EG702" s="1605"/>
      <c r="EH702" s="1605"/>
      <c r="EI702" s="1605"/>
      <c r="EJ702" s="1605"/>
      <c r="EK702" s="1605"/>
      <c r="EL702" s="1605"/>
      <c r="EM702" s="1605"/>
      <c r="EN702" s="1605"/>
      <c r="EO702" s="1605"/>
      <c r="EP702" s="1605"/>
      <c r="EQ702" s="1605"/>
      <c r="ER702" s="1605"/>
      <c r="ES702" s="1605"/>
      <c r="ET702" s="1605"/>
      <c r="EU702" s="1605"/>
      <c r="EV702" s="1605"/>
      <c r="EW702" s="1605"/>
      <c r="EX702" s="1605"/>
      <c r="EY702" s="1605"/>
      <c r="EZ702" s="1605"/>
      <c r="FA702" s="1605"/>
      <c r="FB702" s="1605"/>
      <c r="FC702" s="1605"/>
      <c r="FD702" s="1605"/>
      <c r="FE702" s="1605"/>
      <c r="FF702" s="1605"/>
      <c r="FG702" s="1605"/>
      <c r="FH702" s="1605"/>
      <c r="FI702" s="1605"/>
      <c r="FJ702" s="1605"/>
      <c r="FK702" s="1605"/>
      <c r="FL702" s="1605"/>
      <c r="FM702" s="1605"/>
      <c r="FN702" s="1605"/>
      <c r="FO702" s="1605"/>
      <c r="FP702" s="1605"/>
      <c r="FQ702" s="1605"/>
      <c r="FR702" s="1605"/>
      <c r="FS702" s="1605"/>
      <c r="FT702" s="1605"/>
      <c r="FU702" s="1605"/>
      <c r="FV702" s="1605"/>
      <c r="FW702" s="1605"/>
      <c r="FX702" s="1605"/>
      <c r="FY702" s="1605"/>
      <c r="FZ702" s="1605"/>
      <c r="GA702" s="1605"/>
      <c r="GB702" s="1605"/>
      <c r="GC702" s="1605"/>
      <c r="GD702" s="1605"/>
      <c r="GE702" s="1605"/>
      <c r="GF702" s="1605"/>
      <c r="GG702" s="1605"/>
      <c r="GH702" s="1605"/>
      <c r="GI702" s="1605"/>
      <c r="GJ702" s="1605"/>
      <c r="GK702" s="1605"/>
      <c r="GL702" s="1605"/>
      <c r="GM702" s="1605"/>
      <c r="GN702" s="1605"/>
      <c r="GO702" s="1605"/>
      <c r="GP702" s="1605"/>
      <c r="GQ702" s="1605"/>
      <c r="GR702" s="1605"/>
      <c r="GS702" s="1605"/>
      <c r="GT702" s="1605"/>
      <c r="GU702" s="1605"/>
      <c r="GV702" s="1605"/>
      <c r="GW702" s="1605"/>
      <c r="GX702" s="1605"/>
      <c r="GY702" s="1605"/>
      <c r="GZ702" s="1605"/>
      <c r="HA702" s="1605"/>
      <c r="HB702" s="1605"/>
      <c r="HC702" s="1605"/>
      <c r="HD702" s="1605"/>
      <c r="HE702" s="1605"/>
      <c r="HF702" s="1605"/>
      <c r="HG702" s="1605"/>
      <c r="HH702" s="1605"/>
      <c r="HI702" s="1605"/>
      <c r="HJ702" s="1605"/>
      <c r="HK702" s="1605"/>
      <c r="HL702" s="1605"/>
      <c r="HM702" s="1605"/>
      <c r="HN702" s="1605"/>
      <c r="HO702" s="1605"/>
      <c r="HP702" s="1605"/>
      <c r="HQ702" s="1605"/>
      <c r="HR702" s="1605"/>
      <c r="HS702" s="1605"/>
      <c r="HT702" s="1605"/>
      <c r="HU702" s="1605"/>
      <c r="HV702" s="1605"/>
      <c r="HW702" s="1605"/>
      <c r="HX702" s="1605"/>
      <c r="HY702" s="1605"/>
      <c r="HZ702" s="1605"/>
      <c r="IA702" s="1605"/>
      <c r="IB702" s="1605"/>
      <c r="IC702" s="1605"/>
      <c r="ID702" s="1605"/>
      <c r="IE702" s="1605"/>
      <c r="IF702" s="1605"/>
      <c r="IG702" s="1605"/>
      <c r="IH702" s="1605"/>
      <c r="II702" s="1605"/>
      <c r="IJ702" s="1605"/>
      <c r="IK702" s="1605"/>
      <c r="IL702" s="1605"/>
      <c r="IM702" s="1605"/>
      <c r="IN702" s="1605"/>
      <c r="IO702" s="1605"/>
      <c r="IP702" s="1605"/>
      <c r="IQ702" s="1605"/>
      <c r="IR702" s="1605"/>
      <c r="IS702" s="1605"/>
      <c r="IT702" s="1605"/>
      <c r="IU702" s="1605"/>
      <c r="IV702" s="1605"/>
      <c r="IW702" s="1605"/>
      <c r="IX702" s="1605"/>
      <c r="IY702" s="1605"/>
      <c r="IZ702" s="1605"/>
      <c r="JA702" s="1605"/>
      <c r="JB702" s="1605"/>
      <c r="JC702" s="1605"/>
      <c r="JD702" s="1605"/>
      <c r="JE702" s="1605"/>
      <c r="JF702" s="1605"/>
      <c r="JG702" s="1605"/>
      <c r="JH702" s="1605"/>
      <c r="JI702" s="1605"/>
      <c r="JJ702" s="1605"/>
      <c r="JK702" s="1605"/>
      <c r="JL702" s="1605"/>
      <c r="JM702" s="1605"/>
      <c r="JN702" s="1605"/>
      <c r="JO702" s="1605"/>
      <c r="JP702" s="1605"/>
      <c r="JQ702" s="1605"/>
      <c r="JR702" s="1605"/>
      <c r="JS702" s="1605"/>
      <c r="JT702" s="1605"/>
      <c r="JU702" s="1605"/>
      <c r="JV702" s="1605"/>
      <c r="JW702" s="1605"/>
      <c r="JX702" s="1605"/>
      <c r="JY702" s="1605"/>
      <c r="JZ702" s="1605"/>
      <c r="KA702" s="1605"/>
      <c r="KB702" s="1606"/>
    </row>
    <row r="703" spans="2:288" ht="15" customHeight="1" x14ac:dyDescent="0.25">
      <c r="B703" s="216" t="str">
        <f t="shared" si="56"/>
        <v>Desk 73</v>
      </c>
      <c r="C703" s="218" t="str">
        <v/>
      </c>
      <c r="D703" s="218" t="str">
        <v/>
      </c>
      <c r="E703" s="218" t="str">
        <v/>
      </c>
      <c r="F703" s="218" t="str">
        <v/>
      </c>
      <c r="G703" s="402" t="str">
        <v/>
      </c>
      <c r="H703" s="1605"/>
      <c r="I703" s="1605"/>
      <c r="J703" s="1605"/>
      <c r="K703" s="1605"/>
      <c r="L703" s="1605"/>
      <c r="M703" s="1605"/>
      <c r="N703" s="1605"/>
      <c r="O703" s="1605"/>
      <c r="P703" s="1605"/>
      <c r="Q703" s="1605"/>
      <c r="R703" s="1605"/>
      <c r="S703" s="1605"/>
      <c r="T703" s="1605"/>
      <c r="U703" s="1605"/>
      <c r="V703" s="1605"/>
      <c r="W703" s="1605"/>
      <c r="X703" s="1605"/>
      <c r="Y703" s="1605"/>
      <c r="Z703" s="1605"/>
      <c r="AA703" s="1605"/>
      <c r="AB703" s="1605"/>
      <c r="AC703" s="1605"/>
      <c r="AD703" s="1605"/>
      <c r="AE703" s="1605"/>
      <c r="AF703" s="1605"/>
      <c r="AG703" s="1605"/>
      <c r="AH703" s="1605"/>
      <c r="AI703" s="1605"/>
      <c r="AJ703" s="1605"/>
      <c r="AK703" s="1605"/>
      <c r="AL703" s="1605"/>
      <c r="AM703" s="1605"/>
      <c r="AN703" s="1605"/>
      <c r="AO703" s="1605"/>
      <c r="AP703" s="1605"/>
      <c r="AQ703" s="1605"/>
      <c r="AR703" s="1605"/>
      <c r="AS703" s="1605"/>
      <c r="AT703" s="1605"/>
      <c r="AU703" s="1605"/>
      <c r="AV703" s="1605"/>
      <c r="AW703" s="1605"/>
      <c r="AX703" s="1605"/>
      <c r="AY703" s="1605"/>
      <c r="AZ703" s="1605"/>
      <c r="BA703" s="1605"/>
      <c r="BB703" s="1605"/>
      <c r="BC703" s="1605"/>
      <c r="BD703" s="1605"/>
      <c r="BE703" s="1605"/>
      <c r="BF703" s="1605"/>
      <c r="BG703" s="1605"/>
      <c r="BH703" s="1605"/>
      <c r="BI703" s="1605"/>
      <c r="BJ703" s="1605"/>
      <c r="BK703" s="1605"/>
      <c r="BL703" s="1605"/>
      <c r="BM703" s="1605"/>
      <c r="BN703" s="1605"/>
      <c r="BO703" s="1605"/>
      <c r="BP703" s="1605"/>
      <c r="BQ703" s="1605"/>
      <c r="BR703" s="1605"/>
      <c r="BS703" s="1605"/>
      <c r="BT703" s="1605"/>
      <c r="BU703" s="1605"/>
      <c r="BV703" s="1605"/>
      <c r="BW703" s="1605"/>
      <c r="BX703" s="1605"/>
      <c r="BY703" s="1605"/>
      <c r="BZ703" s="1605"/>
      <c r="CA703" s="1605"/>
      <c r="CB703" s="1605"/>
      <c r="CC703" s="1605"/>
      <c r="CD703" s="1605"/>
      <c r="CE703" s="1605"/>
      <c r="CF703" s="1605"/>
      <c r="CG703" s="1605"/>
      <c r="CH703" s="1605"/>
      <c r="CI703" s="1605"/>
      <c r="CJ703" s="1605"/>
      <c r="CK703" s="1605"/>
      <c r="CL703" s="1605"/>
      <c r="CM703" s="1605"/>
      <c r="CN703" s="1605"/>
      <c r="CO703" s="1605"/>
      <c r="CP703" s="1605"/>
      <c r="CQ703" s="1605"/>
      <c r="CR703" s="1605"/>
      <c r="CS703" s="1605"/>
      <c r="CT703" s="1605"/>
      <c r="CU703" s="1605"/>
      <c r="CV703" s="1605"/>
      <c r="CW703" s="1605"/>
      <c r="CX703" s="1605"/>
      <c r="CY703" s="1605"/>
      <c r="CZ703" s="1605"/>
      <c r="DA703" s="1605"/>
      <c r="DB703" s="1605"/>
      <c r="DC703" s="1605"/>
      <c r="DD703" s="1605"/>
      <c r="DE703" s="1605"/>
      <c r="DF703" s="1605"/>
      <c r="DG703" s="1605"/>
      <c r="DH703" s="1605"/>
      <c r="DI703" s="1605"/>
      <c r="DJ703" s="1605"/>
      <c r="DK703" s="1605"/>
      <c r="DL703" s="1605"/>
      <c r="DM703" s="1605"/>
      <c r="DN703" s="1605"/>
      <c r="DO703" s="1605"/>
      <c r="DP703" s="1605"/>
      <c r="DQ703" s="1605"/>
      <c r="DR703" s="1605"/>
      <c r="DS703" s="1605"/>
      <c r="DT703" s="1605"/>
      <c r="DU703" s="1605"/>
      <c r="DV703" s="1605"/>
      <c r="DW703" s="1605"/>
      <c r="DX703" s="1605"/>
      <c r="DY703" s="1605"/>
      <c r="DZ703" s="1605"/>
      <c r="EA703" s="1605"/>
      <c r="EB703" s="1605"/>
      <c r="EC703" s="1605"/>
      <c r="ED703" s="1605"/>
      <c r="EE703" s="1605"/>
      <c r="EF703" s="1605"/>
      <c r="EG703" s="1605"/>
      <c r="EH703" s="1605"/>
      <c r="EI703" s="1605"/>
      <c r="EJ703" s="1605"/>
      <c r="EK703" s="1605"/>
      <c r="EL703" s="1605"/>
      <c r="EM703" s="1605"/>
      <c r="EN703" s="1605"/>
      <c r="EO703" s="1605"/>
      <c r="EP703" s="1605"/>
      <c r="EQ703" s="1605"/>
      <c r="ER703" s="1605"/>
      <c r="ES703" s="1605"/>
      <c r="ET703" s="1605"/>
      <c r="EU703" s="1605"/>
      <c r="EV703" s="1605"/>
      <c r="EW703" s="1605"/>
      <c r="EX703" s="1605"/>
      <c r="EY703" s="1605"/>
      <c r="EZ703" s="1605"/>
      <c r="FA703" s="1605"/>
      <c r="FB703" s="1605"/>
      <c r="FC703" s="1605"/>
      <c r="FD703" s="1605"/>
      <c r="FE703" s="1605"/>
      <c r="FF703" s="1605"/>
      <c r="FG703" s="1605"/>
      <c r="FH703" s="1605"/>
      <c r="FI703" s="1605"/>
      <c r="FJ703" s="1605"/>
      <c r="FK703" s="1605"/>
      <c r="FL703" s="1605"/>
      <c r="FM703" s="1605"/>
      <c r="FN703" s="1605"/>
      <c r="FO703" s="1605"/>
      <c r="FP703" s="1605"/>
      <c r="FQ703" s="1605"/>
      <c r="FR703" s="1605"/>
      <c r="FS703" s="1605"/>
      <c r="FT703" s="1605"/>
      <c r="FU703" s="1605"/>
      <c r="FV703" s="1605"/>
      <c r="FW703" s="1605"/>
      <c r="FX703" s="1605"/>
      <c r="FY703" s="1605"/>
      <c r="FZ703" s="1605"/>
      <c r="GA703" s="1605"/>
      <c r="GB703" s="1605"/>
      <c r="GC703" s="1605"/>
      <c r="GD703" s="1605"/>
      <c r="GE703" s="1605"/>
      <c r="GF703" s="1605"/>
      <c r="GG703" s="1605"/>
      <c r="GH703" s="1605"/>
      <c r="GI703" s="1605"/>
      <c r="GJ703" s="1605"/>
      <c r="GK703" s="1605"/>
      <c r="GL703" s="1605"/>
      <c r="GM703" s="1605"/>
      <c r="GN703" s="1605"/>
      <c r="GO703" s="1605"/>
      <c r="GP703" s="1605"/>
      <c r="GQ703" s="1605"/>
      <c r="GR703" s="1605"/>
      <c r="GS703" s="1605"/>
      <c r="GT703" s="1605"/>
      <c r="GU703" s="1605"/>
      <c r="GV703" s="1605"/>
      <c r="GW703" s="1605"/>
      <c r="GX703" s="1605"/>
      <c r="GY703" s="1605"/>
      <c r="GZ703" s="1605"/>
      <c r="HA703" s="1605"/>
      <c r="HB703" s="1605"/>
      <c r="HC703" s="1605"/>
      <c r="HD703" s="1605"/>
      <c r="HE703" s="1605"/>
      <c r="HF703" s="1605"/>
      <c r="HG703" s="1605"/>
      <c r="HH703" s="1605"/>
      <c r="HI703" s="1605"/>
      <c r="HJ703" s="1605"/>
      <c r="HK703" s="1605"/>
      <c r="HL703" s="1605"/>
      <c r="HM703" s="1605"/>
      <c r="HN703" s="1605"/>
      <c r="HO703" s="1605"/>
      <c r="HP703" s="1605"/>
      <c r="HQ703" s="1605"/>
      <c r="HR703" s="1605"/>
      <c r="HS703" s="1605"/>
      <c r="HT703" s="1605"/>
      <c r="HU703" s="1605"/>
      <c r="HV703" s="1605"/>
      <c r="HW703" s="1605"/>
      <c r="HX703" s="1605"/>
      <c r="HY703" s="1605"/>
      <c r="HZ703" s="1605"/>
      <c r="IA703" s="1605"/>
      <c r="IB703" s="1605"/>
      <c r="IC703" s="1605"/>
      <c r="ID703" s="1605"/>
      <c r="IE703" s="1605"/>
      <c r="IF703" s="1605"/>
      <c r="IG703" s="1605"/>
      <c r="IH703" s="1605"/>
      <c r="II703" s="1605"/>
      <c r="IJ703" s="1605"/>
      <c r="IK703" s="1605"/>
      <c r="IL703" s="1605"/>
      <c r="IM703" s="1605"/>
      <c r="IN703" s="1605"/>
      <c r="IO703" s="1605"/>
      <c r="IP703" s="1605"/>
      <c r="IQ703" s="1605"/>
      <c r="IR703" s="1605"/>
      <c r="IS703" s="1605"/>
      <c r="IT703" s="1605"/>
      <c r="IU703" s="1605"/>
      <c r="IV703" s="1605"/>
      <c r="IW703" s="1605"/>
      <c r="IX703" s="1605"/>
      <c r="IY703" s="1605"/>
      <c r="IZ703" s="1605"/>
      <c r="JA703" s="1605"/>
      <c r="JB703" s="1605"/>
      <c r="JC703" s="1605"/>
      <c r="JD703" s="1605"/>
      <c r="JE703" s="1605"/>
      <c r="JF703" s="1605"/>
      <c r="JG703" s="1605"/>
      <c r="JH703" s="1605"/>
      <c r="JI703" s="1605"/>
      <c r="JJ703" s="1605"/>
      <c r="JK703" s="1605"/>
      <c r="JL703" s="1605"/>
      <c r="JM703" s="1605"/>
      <c r="JN703" s="1605"/>
      <c r="JO703" s="1605"/>
      <c r="JP703" s="1605"/>
      <c r="JQ703" s="1605"/>
      <c r="JR703" s="1605"/>
      <c r="JS703" s="1605"/>
      <c r="JT703" s="1605"/>
      <c r="JU703" s="1605"/>
      <c r="JV703" s="1605"/>
      <c r="JW703" s="1605"/>
      <c r="JX703" s="1605"/>
      <c r="JY703" s="1605"/>
      <c r="JZ703" s="1605"/>
      <c r="KA703" s="1605"/>
      <c r="KB703" s="1606"/>
    </row>
    <row r="704" spans="2:288" ht="15" customHeight="1" x14ac:dyDescent="0.25">
      <c r="B704" s="216" t="str">
        <f t="shared" si="56"/>
        <v>Desk 74</v>
      </c>
      <c r="C704" s="218" t="str">
        <v/>
      </c>
      <c r="D704" s="218" t="str">
        <v/>
      </c>
      <c r="E704" s="218" t="str">
        <v/>
      </c>
      <c r="F704" s="218" t="str">
        <v/>
      </c>
      <c r="G704" s="402" t="str">
        <v/>
      </c>
      <c r="H704" s="1605"/>
      <c r="I704" s="1605"/>
      <c r="J704" s="1605"/>
      <c r="K704" s="1605"/>
      <c r="L704" s="1605"/>
      <c r="M704" s="1605"/>
      <c r="N704" s="1605"/>
      <c r="O704" s="1605"/>
      <c r="P704" s="1605"/>
      <c r="Q704" s="1605"/>
      <c r="R704" s="1605"/>
      <c r="S704" s="1605"/>
      <c r="T704" s="1605"/>
      <c r="U704" s="1605"/>
      <c r="V704" s="1605"/>
      <c r="W704" s="1605"/>
      <c r="X704" s="1605"/>
      <c r="Y704" s="1605"/>
      <c r="Z704" s="1605"/>
      <c r="AA704" s="1605"/>
      <c r="AB704" s="1605"/>
      <c r="AC704" s="1605"/>
      <c r="AD704" s="1605"/>
      <c r="AE704" s="1605"/>
      <c r="AF704" s="1605"/>
      <c r="AG704" s="1605"/>
      <c r="AH704" s="1605"/>
      <c r="AI704" s="1605"/>
      <c r="AJ704" s="1605"/>
      <c r="AK704" s="1605"/>
      <c r="AL704" s="1605"/>
      <c r="AM704" s="1605"/>
      <c r="AN704" s="1605"/>
      <c r="AO704" s="1605"/>
      <c r="AP704" s="1605"/>
      <c r="AQ704" s="1605"/>
      <c r="AR704" s="1605"/>
      <c r="AS704" s="1605"/>
      <c r="AT704" s="1605"/>
      <c r="AU704" s="1605"/>
      <c r="AV704" s="1605"/>
      <c r="AW704" s="1605"/>
      <c r="AX704" s="1605"/>
      <c r="AY704" s="1605"/>
      <c r="AZ704" s="1605"/>
      <c r="BA704" s="1605"/>
      <c r="BB704" s="1605"/>
      <c r="BC704" s="1605"/>
      <c r="BD704" s="1605"/>
      <c r="BE704" s="1605"/>
      <c r="BF704" s="1605"/>
      <c r="BG704" s="1605"/>
      <c r="BH704" s="1605"/>
      <c r="BI704" s="1605"/>
      <c r="BJ704" s="1605"/>
      <c r="BK704" s="1605"/>
      <c r="BL704" s="1605"/>
      <c r="BM704" s="1605"/>
      <c r="BN704" s="1605"/>
      <c r="BO704" s="1605"/>
      <c r="BP704" s="1605"/>
      <c r="BQ704" s="1605"/>
      <c r="BR704" s="1605"/>
      <c r="BS704" s="1605"/>
      <c r="BT704" s="1605"/>
      <c r="BU704" s="1605"/>
      <c r="BV704" s="1605"/>
      <c r="BW704" s="1605"/>
      <c r="BX704" s="1605"/>
      <c r="BY704" s="1605"/>
      <c r="BZ704" s="1605"/>
      <c r="CA704" s="1605"/>
      <c r="CB704" s="1605"/>
      <c r="CC704" s="1605"/>
      <c r="CD704" s="1605"/>
      <c r="CE704" s="1605"/>
      <c r="CF704" s="1605"/>
      <c r="CG704" s="1605"/>
      <c r="CH704" s="1605"/>
      <c r="CI704" s="1605"/>
      <c r="CJ704" s="1605"/>
      <c r="CK704" s="1605"/>
      <c r="CL704" s="1605"/>
      <c r="CM704" s="1605"/>
      <c r="CN704" s="1605"/>
      <c r="CO704" s="1605"/>
      <c r="CP704" s="1605"/>
      <c r="CQ704" s="1605"/>
      <c r="CR704" s="1605"/>
      <c r="CS704" s="1605"/>
      <c r="CT704" s="1605"/>
      <c r="CU704" s="1605"/>
      <c r="CV704" s="1605"/>
      <c r="CW704" s="1605"/>
      <c r="CX704" s="1605"/>
      <c r="CY704" s="1605"/>
      <c r="CZ704" s="1605"/>
      <c r="DA704" s="1605"/>
      <c r="DB704" s="1605"/>
      <c r="DC704" s="1605"/>
      <c r="DD704" s="1605"/>
      <c r="DE704" s="1605"/>
      <c r="DF704" s="1605"/>
      <c r="DG704" s="1605"/>
      <c r="DH704" s="1605"/>
      <c r="DI704" s="1605"/>
      <c r="DJ704" s="1605"/>
      <c r="DK704" s="1605"/>
      <c r="DL704" s="1605"/>
      <c r="DM704" s="1605"/>
      <c r="DN704" s="1605"/>
      <c r="DO704" s="1605"/>
      <c r="DP704" s="1605"/>
      <c r="DQ704" s="1605"/>
      <c r="DR704" s="1605"/>
      <c r="DS704" s="1605"/>
      <c r="DT704" s="1605"/>
      <c r="DU704" s="1605"/>
      <c r="DV704" s="1605"/>
      <c r="DW704" s="1605"/>
      <c r="DX704" s="1605"/>
      <c r="DY704" s="1605"/>
      <c r="DZ704" s="1605"/>
      <c r="EA704" s="1605"/>
      <c r="EB704" s="1605"/>
      <c r="EC704" s="1605"/>
      <c r="ED704" s="1605"/>
      <c r="EE704" s="1605"/>
      <c r="EF704" s="1605"/>
      <c r="EG704" s="1605"/>
      <c r="EH704" s="1605"/>
      <c r="EI704" s="1605"/>
      <c r="EJ704" s="1605"/>
      <c r="EK704" s="1605"/>
      <c r="EL704" s="1605"/>
      <c r="EM704" s="1605"/>
      <c r="EN704" s="1605"/>
      <c r="EO704" s="1605"/>
      <c r="EP704" s="1605"/>
      <c r="EQ704" s="1605"/>
      <c r="ER704" s="1605"/>
      <c r="ES704" s="1605"/>
      <c r="ET704" s="1605"/>
      <c r="EU704" s="1605"/>
      <c r="EV704" s="1605"/>
      <c r="EW704" s="1605"/>
      <c r="EX704" s="1605"/>
      <c r="EY704" s="1605"/>
      <c r="EZ704" s="1605"/>
      <c r="FA704" s="1605"/>
      <c r="FB704" s="1605"/>
      <c r="FC704" s="1605"/>
      <c r="FD704" s="1605"/>
      <c r="FE704" s="1605"/>
      <c r="FF704" s="1605"/>
      <c r="FG704" s="1605"/>
      <c r="FH704" s="1605"/>
      <c r="FI704" s="1605"/>
      <c r="FJ704" s="1605"/>
      <c r="FK704" s="1605"/>
      <c r="FL704" s="1605"/>
      <c r="FM704" s="1605"/>
      <c r="FN704" s="1605"/>
      <c r="FO704" s="1605"/>
      <c r="FP704" s="1605"/>
      <c r="FQ704" s="1605"/>
      <c r="FR704" s="1605"/>
      <c r="FS704" s="1605"/>
      <c r="FT704" s="1605"/>
      <c r="FU704" s="1605"/>
      <c r="FV704" s="1605"/>
      <c r="FW704" s="1605"/>
      <c r="FX704" s="1605"/>
      <c r="FY704" s="1605"/>
      <c r="FZ704" s="1605"/>
      <c r="GA704" s="1605"/>
      <c r="GB704" s="1605"/>
      <c r="GC704" s="1605"/>
      <c r="GD704" s="1605"/>
      <c r="GE704" s="1605"/>
      <c r="GF704" s="1605"/>
      <c r="GG704" s="1605"/>
      <c r="GH704" s="1605"/>
      <c r="GI704" s="1605"/>
      <c r="GJ704" s="1605"/>
      <c r="GK704" s="1605"/>
      <c r="GL704" s="1605"/>
      <c r="GM704" s="1605"/>
      <c r="GN704" s="1605"/>
      <c r="GO704" s="1605"/>
      <c r="GP704" s="1605"/>
      <c r="GQ704" s="1605"/>
      <c r="GR704" s="1605"/>
      <c r="GS704" s="1605"/>
      <c r="GT704" s="1605"/>
      <c r="GU704" s="1605"/>
      <c r="GV704" s="1605"/>
      <c r="GW704" s="1605"/>
      <c r="GX704" s="1605"/>
      <c r="GY704" s="1605"/>
      <c r="GZ704" s="1605"/>
      <c r="HA704" s="1605"/>
      <c r="HB704" s="1605"/>
      <c r="HC704" s="1605"/>
      <c r="HD704" s="1605"/>
      <c r="HE704" s="1605"/>
      <c r="HF704" s="1605"/>
      <c r="HG704" s="1605"/>
      <c r="HH704" s="1605"/>
      <c r="HI704" s="1605"/>
      <c r="HJ704" s="1605"/>
      <c r="HK704" s="1605"/>
      <c r="HL704" s="1605"/>
      <c r="HM704" s="1605"/>
      <c r="HN704" s="1605"/>
      <c r="HO704" s="1605"/>
      <c r="HP704" s="1605"/>
      <c r="HQ704" s="1605"/>
      <c r="HR704" s="1605"/>
      <c r="HS704" s="1605"/>
      <c r="HT704" s="1605"/>
      <c r="HU704" s="1605"/>
      <c r="HV704" s="1605"/>
      <c r="HW704" s="1605"/>
      <c r="HX704" s="1605"/>
      <c r="HY704" s="1605"/>
      <c r="HZ704" s="1605"/>
      <c r="IA704" s="1605"/>
      <c r="IB704" s="1605"/>
      <c r="IC704" s="1605"/>
      <c r="ID704" s="1605"/>
      <c r="IE704" s="1605"/>
      <c r="IF704" s="1605"/>
      <c r="IG704" s="1605"/>
      <c r="IH704" s="1605"/>
      <c r="II704" s="1605"/>
      <c r="IJ704" s="1605"/>
      <c r="IK704" s="1605"/>
      <c r="IL704" s="1605"/>
      <c r="IM704" s="1605"/>
      <c r="IN704" s="1605"/>
      <c r="IO704" s="1605"/>
      <c r="IP704" s="1605"/>
      <c r="IQ704" s="1605"/>
      <c r="IR704" s="1605"/>
      <c r="IS704" s="1605"/>
      <c r="IT704" s="1605"/>
      <c r="IU704" s="1605"/>
      <c r="IV704" s="1605"/>
      <c r="IW704" s="1605"/>
      <c r="IX704" s="1605"/>
      <c r="IY704" s="1605"/>
      <c r="IZ704" s="1605"/>
      <c r="JA704" s="1605"/>
      <c r="JB704" s="1605"/>
      <c r="JC704" s="1605"/>
      <c r="JD704" s="1605"/>
      <c r="JE704" s="1605"/>
      <c r="JF704" s="1605"/>
      <c r="JG704" s="1605"/>
      <c r="JH704" s="1605"/>
      <c r="JI704" s="1605"/>
      <c r="JJ704" s="1605"/>
      <c r="JK704" s="1605"/>
      <c r="JL704" s="1605"/>
      <c r="JM704" s="1605"/>
      <c r="JN704" s="1605"/>
      <c r="JO704" s="1605"/>
      <c r="JP704" s="1605"/>
      <c r="JQ704" s="1605"/>
      <c r="JR704" s="1605"/>
      <c r="JS704" s="1605"/>
      <c r="JT704" s="1605"/>
      <c r="JU704" s="1605"/>
      <c r="JV704" s="1605"/>
      <c r="JW704" s="1605"/>
      <c r="JX704" s="1605"/>
      <c r="JY704" s="1605"/>
      <c r="JZ704" s="1605"/>
      <c r="KA704" s="1605"/>
      <c r="KB704" s="1606"/>
    </row>
    <row r="705" spans="2:288" ht="15" customHeight="1" x14ac:dyDescent="0.25">
      <c r="B705" s="216" t="str">
        <f t="shared" si="56"/>
        <v>Desk 75</v>
      </c>
      <c r="C705" s="218" t="str">
        <v/>
      </c>
      <c r="D705" s="218" t="str">
        <v/>
      </c>
      <c r="E705" s="218" t="str">
        <v/>
      </c>
      <c r="F705" s="218" t="str">
        <v/>
      </c>
      <c r="G705" s="402" t="str">
        <v/>
      </c>
      <c r="H705" s="1605"/>
      <c r="I705" s="1605"/>
      <c r="J705" s="1605"/>
      <c r="K705" s="1605"/>
      <c r="L705" s="1605"/>
      <c r="M705" s="1605"/>
      <c r="N705" s="1605"/>
      <c r="O705" s="1605"/>
      <c r="P705" s="1605"/>
      <c r="Q705" s="1605"/>
      <c r="R705" s="1605"/>
      <c r="S705" s="1605"/>
      <c r="T705" s="1605"/>
      <c r="U705" s="1605"/>
      <c r="V705" s="1605"/>
      <c r="W705" s="1605"/>
      <c r="X705" s="1605"/>
      <c r="Y705" s="1605"/>
      <c r="Z705" s="1605"/>
      <c r="AA705" s="1605"/>
      <c r="AB705" s="1605"/>
      <c r="AC705" s="1605"/>
      <c r="AD705" s="1605"/>
      <c r="AE705" s="1605"/>
      <c r="AF705" s="1605"/>
      <c r="AG705" s="1605"/>
      <c r="AH705" s="1605"/>
      <c r="AI705" s="1605"/>
      <c r="AJ705" s="1605"/>
      <c r="AK705" s="1605"/>
      <c r="AL705" s="1605"/>
      <c r="AM705" s="1605"/>
      <c r="AN705" s="1605"/>
      <c r="AO705" s="1605"/>
      <c r="AP705" s="1605"/>
      <c r="AQ705" s="1605"/>
      <c r="AR705" s="1605"/>
      <c r="AS705" s="1605"/>
      <c r="AT705" s="1605"/>
      <c r="AU705" s="1605"/>
      <c r="AV705" s="1605"/>
      <c r="AW705" s="1605"/>
      <c r="AX705" s="1605"/>
      <c r="AY705" s="1605"/>
      <c r="AZ705" s="1605"/>
      <c r="BA705" s="1605"/>
      <c r="BB705" s="1605"/>
      <c r="BC705" s="1605"/>
      <c r="BD705" s="1605"/>
      <c r="BE705" s="1605"/>
      <c r="BF705" s="1605"/>
      <c r="BG705" s="1605"/>
      <c r="BH705" s="1605"/>
      <c r="BI705" s="1605"/>
      <c r="BJ705" s="1605"/>
      <c r="BK705" s="1605"/>
      <c r="BL705" s="1605"/>
      <c r="BM705" s="1605"/>
      <c r="BN705" s="1605"/>
      <c r="BO705" s="1605"/>
      <c r="BP705" s="1605"/>
      <c r="BQ705" s="1605"/>
      <c r="BR705" s="1605"/>
      <c r="BS705" s="1605"/>
      <c r="BT705" s="1605"/>
      <c r="BU705" s="1605"/>
      <c r="BV705" s="1605"/>
      <c r="BW705" s="1605"/>
      <c r="BX705" s="1605"/>
      <c r="BY705" s="1605"/>
      <c r="BZ705" s="1605"/>
      <c r="CA705" s="1605"/>
      <c r="CB705" s="1605"/>
      <c r="CC705" s="1605"/>
      <c r="CD705" s="1605"/>
      <c r="CE705" s="1605"/>
      <c r="CF705" s="1605"/>
      <c r="CG705" s="1605"/>
      <c r="CH705" s="1605"/>
      <c r="CI705" s="1605"/>
      <c r="CJ705" s="1605"/>
      <c r="CK705" s="1605"/>
      <c r="CL705" s="1605"/>
      <c r="CM705" s="1605"/>
      <c r="CN705" s="1605"/>
      <c r="CO705" s="1605"/>
      <c r="CP705" s="1605"/>
      <c r="CQ705" s="1605"/>
      <c r="CR705" s="1605"/>
      <c r="CS705" s="1605"/>
      <c r="CT705" s="1605"/>
      <c r="CU705" s="1605"/>
      <c r="CV705" s="1605"/>
      <c r="CW705" s="1605"/>
      <c r="CX705" s="1605"/>
      <c r="CY705" s="1605"/>
      <c r="CZ705" s="1605"/>
      <c r="DA705" s="1605"/>
      <c r="DB705" s="1605"/>
      <c r="DC705" s="1605"/>
      <c r="DD705" s="1605"/>
      <c r="DE705" s="1605"/>
      <c r="DF705" s="1605"/>
      <c r="DG705" s="1605"/>
      <c r="DH705" s="1605"/>
      <c r="DI705" s="1605"/>
      <c r="DJ705" s="1605"/>
      <c r="DK705" s="1605"/>
      <c r="DL705" s="1605"/>
      <c r="DM705" s="1605"/>
      <c r="DN705" s="1605"/>
      <c r="DO705" s="1605"/>
      <c r="DP705" s="1605"/>
      <c r="DQ705" s="1605"/>
      <c r="DR705" s="1605"/>
      <c r="DS705" s="1605"/>
      <c r="DT705" s="1605"/>
      <c r="DU705" s="1605"/>
      <c r="DV705" s="1605"/>
      <c r="DW705" s="1605"/>
      <c r="DX705" s="1605"/>
      <c r="DY705" s="1605"/>
      <c r="DZ705" s="1605"/>
      <c r="EA705" s="1605"/>
      <c r="EB705" s="1605"/>
      <c r="EC705" s="1605"/>
      <c r="ED705" s="1605"/>
      <c r="EE705" s="1605"/>
      <c r="EF705" s="1605"/>
      <c r="EG705" s="1605"/>
      <c r="EH705" s="1605"/>
      <c r="EI705" s="1605"/>
      <c r="EJ705" s="1605"/>
      <c r="EK705" s="1605"/>
      <c r="EL705" s="1605"/>
      <c r="EM705" s="1605"/>
      <c r="EN705" s="1605"/>
      <c r="EO705" s="1605"/>
      <c r="EP705" s="1605"/>
      <c r="EQ705" s="1605"/>
      <c r="ER705" s="1605"/>
      <c r="ES705" s="1605"/>
      <c r="ET705" s="1605"/>
      <c r="EU705" s="1605"/>
      <c r="EV705" s="1605"/>
      <c r="EW705" s="1605"/>
      <c r="EX705" s="1605"/>
      <c r="EY705" s="1605"/>
      <c r="EZ705" s="1605"/>
      <c r="FA705" s="1605"/>
      <c r="FB705" s="1605"/>
      <c r="FC705" s="1605"/>
      <c r="FD705" s="1605"/>
      <c r="FE705" s="1605"/>
      <c r="FF705" s="1605"/>
      <c r="FG705" s="1605"/>
      <c r="FH705" s="1605"/>
      <c r="FI705" s="1605"/>
      <c r="FJ705" s="1605"/>
      <c r="FK705" s="1605"/>
      <c r="FL705" s="1605"/>
      <c r="FM705" s="1605"/>
      <c r="FN705" s="1605"/>
      <c r="FO705" s="1605"/>
      <c r="FP705" s="1605"/>
      <c r="FQ705" s="1605"/>
      <c r="FR705" s="1605"/>
      <c r="FS705" s="1605"/>
      <c r="FT705" s="1605"/>
      <c r="FU705" s="1605"/>
      <c r="FV705" s="1605"/>
      <c r="FW705" s="1605"/>
      <c r="FX705" s="1605"/>
      <c r="FY705" s="1605"/>
      <c r="FZ705" s="1605"/>
      <c r="GA705" s="1605"/>
      <c r="GB705" s="1605"/>
      <c r="GC705" s="1605"/>
      <c r="GD705" s="1605"/>
      <c r="GE705" s="1605"/>
      <c r="GF705" s="1605"/>
      <c r="GG705" s="1605"/>
      <c r="GH705" s="1605"/>
      <c r="GI705" s="1605"/>
      <c r="GJ705" s="1605"/>
      <c r="GK705" s="1605"/>
      <c r="GL705" s="1605"/>
      <c r="GM705" s="1605"/>
      <c r="GN705" s="1605"/>
      <c r="GO705" s="1605"/>
      <c r="GP705" s="1605"/>
      <c r="GQ705" s="1605"/>
      <c r="GR705" s="1605"/>
      <c r="GS705" s="1605"/>
      <c r="GT705" s="1605"/>
      <c r="GU705" s="1605"/>
      <c r="GV705" s="1605"/>
      <c r="GW705" s="1605"/>
      <c r="GX705" s="1605"/>
      <c r="GY705" s="1605"/>
      <c r="GZ705" s="1605"/>
      <c r="HA705" s="1605"/>
      <c r="HB705" s="1605"/>
      <c r="HC705" s="1605"/>
      <c r="HD705" s="1605"/>
      <c r="HE705" s="1605"/>
      <c r="HF705" s="1605"/>
      <c r="HG705" s="1605"/>
      <c r="HH705" s="1605"/>
      <c r="HI705" s="1605"/>
      <c r="HJ705" s="1605"/>
      <c r="HK705" s="1605"/>
      <c r="HL705" s="1605"/>
      <c r="HM705" s="1605"/>
      <c r="HN705" s="1605"/>
      <c r="HO705" s="1605"/>
      <c r="HP705" s="1605"/>
      <c r="HQ705" s="1605"/>
      <c r="HR705" s="1605"/>
      <c r="HS705" s="1605"/>
      <c r="HT705" s="1605"/>
      <c r="HU705" s="1605"/>
      <c r="HV705" s="1605"/>
      <c r="HW705" s="1605"/>
      <c r="HX705" s="1605"/>
      <c r="HY705" s="1605"/>
      <c r="HZ705" s="1605"/>
      <c r="IA705" s="1605"/>
      <c r="IB705" s="1605"/>
      <c r="IC705" s="1605"/>
      <c r="ID705" s="1605"/>
      <c r="IE705" s="1605"/>
      <c r="IF705" s="1605"/>
      <c r="IG705" s="1605"/>
      <c r="IH705" s="1605"/>
      <c r="II705" s="1605"/>
      <c r="IJ705" s="1605"/>
      <c r="IK705" s="1605"/>
      <c r="IL705" s="1605"/>
      <c r="IM705" s="1605"/>
      <c r="IN705" s="1605"/>
      <c r="IO705" s="1605"/>
      <c r="IP705" s="1605"/>
      <c r="IQ705" s="1605"/>
      <c r="IR705" s="1605"/>
      <c r="IS705" s="1605"/>
      <c r="IT705" s="1605"/>
      <c r="IU705" s="1605"/>
      <c r="IV705" s="1605"/>
      <c r="IW705" s="1605"/>
      <c r="IX705" s="1605"/>
      <c r="IY705" s="1605"/>
      <c r="IZ705" s="1605"/>
      <c r="JA705" s="1605"/>
      <c r="JB705" s="1605"/>
      <c r="JC705" s="1605"/>
      <c r="JD705" s="1605"/>
      <c r="JE705" s="1605"/>
      <c r="JF705" s="1605"/>
      <c r="JG705" s="1605"/>
      <c r="JH705" s="1605"/>
      <c r="JI705" s="1605"/>
      <c r="JJ705" s="1605"/>
      <c r="JK705" s="1605"/>
      <c r="JL705" s="1605"/>
      <c r="JM705" s="1605"/>
      <c r="JN705" s="1605"/>
      <c r="JO705" s="1605"/>
      <c r="JP705" s="1605"/>
      <c r="JQ705" s="1605"/>
      <c r="JR705" s="1605"/>
      <c r="JS705" s="1605"/>
      <c r="JT705" s="1605"/>
      <c r="JU705" s="1605"/>
      <c r="JV705" s="1605"/>
      <c r="JW705" s="1605"/>
      <c r="JX705" s="1605"/>
      <c r="JY705" s="1605"/>
      <c r="JZ705" s="1605"/>
      <c r="KA705" s="1605"/>
      <c r="KB705" s="1606"/>
    </row>
    <row r="706" spans="2:288" ht="15" customHeight="1" x14ac:dyDescent="0.25">
      <c r="B706" s="216" t="str">
        <f t="shared" si="56"/>
        <v>Desk 76</v>
      </c>
      <c r="C706" s="218" t="str">
        <v/>
      </c>
      <c r="D706" s="218" t="str">
        <v/>
      </c>
      <c r="E706" s="218" t="str">
        <v/>
      </c>
      <c r="F706" s="218" t="str">
        <v/>
      </c>
      <c r="G706" s="402" t="str">
        <v/>
      </c>
      <c r="H706" s="1605"/>
      <c r="I706" s="1605"/>
      <c r="J706" s="1605"/>
      <c r="K706" s="1605"/>
      <c r="L706" s="1605"/>
      <c r="M706" s="1605"/>
      <c r="N706" s="1605"/>
      <c r="O706" s="1605"/>
      <c r="P706" s="1605"/>
      <c r="Q706" s="1605"/>
      <c r="R706" s="1605"/>
      <c r="S706" s="1605"/>
      <c r="T706" s="1605"/>
      <c r="U706" s="1605"/>
      <c r="V706" s="1605"/>
      <c r="W706" s="1605"/>
      <c r="X706" s="1605"/>
      <c r="Y706" s="1605"/>
      <c r="Z706" s="1605"/>
      <c r="AA706" s="1605"/>
      <c r="AB706" s="1605"/>
      <c r="AC706" s="1605"/>
      <c r="AD706" s="1605"/>
      <c r="AE706" s="1605"/>
      <c r="AF706" s="1605"/>
      <c r="AG706" s="1605"/>
      <c r="AH706" s="1605"/>
      <c r="AI706" s="1605"/>
      <c r="AJ706" s="1605"/>
      <c r="AK706" s="1605"/>
      <c r="AL706" s="1605"/>
      <c r="AM706" s="1605"/>
      <c r="AN706" s="1605"/>
      <c r="AO706" s="1605"/>
      <c r="AP706" s="1605"/>
      <c r="AQ706" s="1605"/>
      <c r="AR706" s="1605"/>
      <c r="AS706" s="1605"/>
      <c r="AT706" s="1605"/>
      <c r="AU706" s="1605"/>
      <c r="AV706" s="1605"/>
      <c r="AW706" s="1605"/>
      <c r="AX706" s="1605"/>
      <c r="AY706" s="1605"/>
      <c r="AZ706" s="1605"/>
      <c r="BA706" s="1605"/>
      <c r="BB706" s="1605"/>
      <c r="BC706" s="1605"/>
      <c r="BD706" s="1605"/>
      <c r="BE706" s="1605"/>
      <c r="BF706" s="1605"/>
      <c r="BG706" s="1605"/>
      <c r="BH706" s="1605"/>
      <c r="BI706" s="1605"/>
      <c r="BJ706" s="1605"/>
      <c r="BK706" s="1605"/>
      <c r="BL706" s="1605"/>
      <c r="BM706" s="1605"/>
      <c r="BN706" s="1605"/>
      <c r="BO706" s="1605"/>
      <c r="BP706" s="1605"/>
      <c r="BQ706" s="1605"/>
      <c r="BR706" s="1605"/>
      <c r="BS706" s="1605"/>
      <c r="BT706" s="1605"/>
      <c r="BU706" s="1605"/>
      <c r="BV706" s="1605"/>
      <c r="BW706" s="1605"/>
      <c r="BX706" s="1605"/>
      <c r="BY706" s="1605"/>
      <c r="BZ706" s="1605"/>
      <c r="CA706" s="1605"/>
      <c r="CB706" s="1605"/>
      <c r="CC706" s="1605"/>
      <c r="CD706" s="1605"/>
      <c r="CE706" s="1605"/>
      <c r="CF706" s="1605"/>
      <c r="CG706" s="1605"/>
      <c r="CH706" s="1605"/>
      <c r="CI706" s="1605"/>
      <c r="CJ706" s="1605"/>
      <c r="CK706" s="1605"/>
      <c r="CL706" s="1605"/>
      <c r="CM706" s="1605"/>
      <c r="CN706" s="1605"/>
      <c r="CO706" s="1605"/>
      <c r="CP706" s="1605"/>
      <c r="CQ706" s="1605"/>
      <c r="CR706" s="1605"/>
      <c r="CS706" s="1605"/>
      <c r="CT706" s="1605"/>
      <c r="CU706" s="1605"/>
      <c r="CV706" s="1605"/>
      <c r="CW706" s="1605"/>
      <c r="CX706" s="1605"/>
      <c r="CY706" s="1605"/>
      <c r="CZ706" s="1605"/>
      <c r="DA706" s="1605"/>
      <c r="DB706" s="1605"/>
      <c r="DC706" s="1605"/>
      <c r="DD706" s="1605"/>
      <c r="DE706" s="1605"/>
      <c r="DF706" s="1605"/>
      <c r="DG706" s="1605"/>
      <c r="DH706" s="1605"/>
      <c r="DI706" s="1605"/>
      <c r="DJ706" s="1605"/>
      <c r="DK706" s="1605"/>
      <c r="DL706" s="1605"/>
      <c r="DM706" s="1605"/>
      <c r="DN706" s="1605"/>
      <c r="DO706" s="1605"/>
      <c r="DP706" s="1605"/>
      <c r="DQ706" s="1605"/>
      <c r="DR706" s="1605"/>
      <c r="DS706" s="1605"/>
      <c r="DT706" s="1605"/>
      <c r="DU706" s="1605"/>
      <c r="DV706" s="1605"/>
      <c r="DW706" s="1605"/>
      <c r="DX706" s="1605"/>
      <c r="DY706" s="1605"/>
      <c r="DZ706" s="1605"/>
      <c r="EA706" s="1605"/>
      <c r="EB706" s="1605"/>
      <c r="EC706" s="1605"/>
      <c r="ED706" s="1605"/>
      <c r="EE706" s="1605"/>
      <c r="EF706" s="1605"/>
      <c r="EG706" s="1605"/>
      <c r="EH706" s="1605"/>
      <c r="EI706" s="1605"/>
      <c r="EJ706" s="1605"/>
      <c r="EK706" s="1605"/>
      <c r="EL706" s="1605"/>
      <c r="EM706" s="1605"/>
      <c r="EN706" s="1605"/>
      <c r="EO706" s="1605"/>
      <c r="EP706" s="1605"/>
      <c r="EQ706" s="1605"/>
      <c r="ER706" s="1605"/>
      <c r="ES706" s="1605"/>
      <c r="ET706" s="1605"/>
      <c r="EU706" s="1605"/>
      <c r="EV706" s="1605"/>
      <c r="EW706" s="1605"/>
      <c r="EX706" s="1605"/>
      <c r="EY706" s="1605"/>
      <c r="EZ706" s="1605"/>
      <c r="FA706" s="1605"/>
      <c r="FB706" s="1605"/>
      <c r="FC706" s="1605"/>
      <c r="FD706" s="1605"/>
      <c r="FE706" s="1605"/>
      <c r="FF706" s="1605"/>
      <c r="FG706" s="1605"/>
      <c r="FH706" s="1605"/>
      <c r="FI706" s="1605"/>
      <c r="FJ706" s="1605"/>
      <c r="FK706" s="1605"/>
      <c r="FL706" s="1605"/>
      <c r="FM706" s="1605"/>
      <c r="FN706" s="1605"/>
      <c r="FO706" s="1605"/>
      <c r="FP706" s="1605"/>
      <c r="FQ706" s="1605"/>
      <c r="FR706" s="1605"/>
      <c r="FS706" s="1605"/>
      <c r="FT706" s="1605"/>
      <c r="FU706" s="1605"/>
      <c r="FV706" s="1605"/>
      <c r="FW706" s="1605"/>
      <c r="FX706" s="1605"/>
      <c r="FY706" s="1605"/>
      <c r="FZ706" s="1605"/>
      <c r="GA706" s="1605"/>
      <c r="GB706" s="1605"/>
      <c r="GC706" s="1605"/>
      <c r="GD706" s="1605"/>
      <c r="GE706" s="1605"/>
      <c r="GF706" s="1605"/>
      <c r="GG706" s="1605"/>
      <c r="GH706" s="1605"/>
      <c r="GI706" s="1605"/>
      <c r="GJ706" s="1605"/>
      <c r="GK706" s="1605"/>
      <c r="GL706" s="1605"/>
      <c r="GM706" s="1605"/>
      <c r="GN706" s="1605"/>
      <c r="GO706" s="1605"/>
      <c r="GP706" s="1605"/>
      <c r="GQ706" s="1605"/>
      <c r="GR706" s="1605"/>
      <c r="GS706" s="1605"/>
      <c r="GT706" s="1605"/>
      <c r="GU706" s="1605"/>
      <c r="GV706" s="1605"/>
      <c r="GW706" s="1605"/>
      <c r="GX706" s="1605"/>
      <c r="GY706" s="1605"/>
      <c r="GZ706" s="1605"/>
      <c r="HA706" s="1605"/>
      <c r="HB706" s="1605"/>
      <c r="HC706" s="1605"/>
      <c r="HD706" s="1605"/>
      <c r="HE706" s="1605"/>
      <c r="HF706" s="1605"/>
      <c r="HG706" s="1605"/>
      <c r="HH706" s="1605"/>
      <c r="HI706" s="1605"/>
      <c r="HJ706" s="1605"/>
      <c r="HK706" s="1605"/>
      <c r="HL706" s="1605"/>
      <c r="HM706" s="1605"/>
      <c r="HN706" s="1605"/>
      <c r="HO706" s="1605"/>
      <c r="HP706" s="1605"/>
      <c r="HQ706" s="1605"/>
      <c r="HR706" s="1605"/>
      <c r="HS706" s="1605"/>
      <c r="HT706" s="1605"/>
      <c r="HU706" s="1605"/>
      <c r="HV706" s="1605"/>
      <c r="HW706" s="1605"/>
      <c r="HX706" s="1605"/>
      <c r="HY706" s="1605"/>
      <c r="HZ706" s="1605"/>
      <c r="IA706" s="1605"/>
      <c r="IB706" s="1605"/>
      <c r="IC706" s="1605"/>
      <c r="ID706" s="1605"/>
      <c r="IE706" s="1605"/>
      <c r="IF706" s="1605"/>
      <c r="IG706" s="1605"/>
      <c r="IH706" s="1605"/>
      <c r="II706" s="1605"/>
      <c r="IJ706" s="1605"/>
      <c r="IK706" s="1605"/>
      <c r="IL706" s="1605"/>
      <c r="IM706" s="1605"/>
      <c r="IN706" s="1605"/>
      <c r="IO706" s="1605"/>
      <c r="IP706" s="1605"/>
      <c r="IQ706" s="1605"/>
      <c r="IR706" s="1605"/>
      <c r="IS706" s="1605"/>
      <c r="IT706" s="1605"/>
      <c r="IU706" s="1605"/>
      <c r="IV706" s="1605"/>
      <c r="IW706" s="1605"/>
      <c r="IX706" s="1605"/>
      <c r="IY706" s="1605"/>
      <c r="IZ706" s="1605"/>
      <c r="JA706" s="1605"/>
      <c r="JB706" s="1605"/>
      <c r="JC706" s="1605"/>
      <c r="JD706" s="1605"/>
      <c r="JE706" s="1605"/>
      <c r="JF706" s="1605"/>
      <c r="JG706" s="1605"/>
      <c r="JH706" s="1605"/>
      <c r="JI706" s="1605"/>
      <c r="JJ706" s="1605"/>
      <c r="JK706" s="1605"/>
      <c r="JL706" s="1605"/>
      <c r="JM706" s="1605"/>
      <c r="JN706" s="1605"/>
      <c r="JO706" s="1605"/>
      <c r="JP706" s="1605"/>
      <c r="JQ706" s="1605"/>
      <c r="JR706" s="1605"/>
      <c r="JS706" s="1605"/>
      <c r="JT706" s="1605"/>
      <c r="JU706" s="1605"/>
      <c r="JV706" s="1605"/>
      <c r="JW706" s="1605"/>
      <c r="JX706" s="1605"/>
      <c r="JY706" s="1605"/>
      <c r="JZ706" s="1605"/>
      <c r="KA706" s="1605"/>
      <c r="KB706" s="1606"/>
    </row>
    <row r="707" spans="2:288" ht="15" customHeight="1" x14ac:dyDescent="0.25">
      <c r="B707" s="216" t="str">
        <f t="shared" si="56"/>
        <v>Desk 77</v>
      </c>
      <c r="C707" s="218" t="str">
        <v/>
      </c>
      <c r="D707" s="218" t="str">
        <v/>
      </c>
      <c r="E707" s="218" t="str">
        <v/>
      </c>
      <c r="F707" s="218" t="str">
        <v/>
      </c>
      <c r="G707" s="402" t="str">
        <v/>
      </c>
      <c r="H707" s="1605"/>
      <c r="I707" s="1605"/>
      <c r="J707" s="1605"/>
      <c r="K707" s="1605"/>
      <c r="L707" s="1605"/>
      <c r="M707" s="1605"/>
      <c r="N707" s="1605"/>
      <c r="O707" s="1605"/>
      <c r="P707" s="1605"/>
      <c r="Q707" s="1605"/>
      <c r="R707" s="1605"/>
      <c r="S707" s="1605"/>
      <c r="T707" s="1605"/>
      <c r="U707" s="1605"/>
      <c r="V707" s="1605"/>
      <c r="W707" s="1605"/>
      <c r="X707" s="1605"/>
      <c r="Y707" s="1605"/>
      <c r="Z707" s="1605"/>
      <c r="AA707" s="1605"/>
      <c r="AB707" s="1605"/>
      <c r="AC707" s="1605"/>
      <c r="AD707" s="1605"/>
      <c r="AE707" s="1605"/>
      <c r="AF707" s="1605"/>
      <c r="AG707" s="1605"/>
      <c r="AH707" s="1605"/>
      <c r="AI707" s="1605"/>
      <c r="AJ707" s="1605"/>
      <c r="AK707" s="1605"/>
      <c r="AL707" s="1605"/>
      <c r="AM707" s="1605"/>
      <c r="AN707" s="1605"/>
      <c r="AO707" s="1605"/>
      <c r="AP707" s="1605"/>
      <c r="AQ707" s="1605"/>
      <c r="AR707" s="1605"/>
      <c r="AS707" s="1605"/>
      <c r="AT707" s="1605"/>
      <c r="AU707" s="1605"/>
      <c r="AV707" s="1605"/>
      <c r="AW707" s="1605"/>
      <c r="AX707" s="1605"/>
      <c r="AY707" s="1605"/>
      <c r="AZ707" s="1605"/>
      <c r="BA707" s="1605"/>
      <c r="BB707" s="1605"/>
      <c r="BC707" s="1605"/>
      <c r="BD707" s="1605"/>
      <c r="BE707" s="1605"/>
      <c r="BF707" s="1605"/>
      <c r="BG707" s="1605"/>
      <c r="BH707" s="1605"/>
      <c r="BI707" s="1605"/>
      <c r="BJ707" s="1605"/>
      <c r="BK707" s="1605"/>
      <c r="BL707" s="1605"/>
      <c r="BM707" s="1605"/>
      <c r="BN707" s="1605"/>
      <c r="BO707" s="1605"/>
      <c r="BP707" s="1605"/>
      <c r="BQ707" s="1605"/>
      <c r="BR707" s="1605"/>
      <c r="BS707" s="1605"/>
      <c r="BT707" s="1605"/>
      <c r="BU707" s="1605"/>
      <c r="BV707" s="1605"/>
      <c r="BW707" s="1605"/>
      <c r="BX707" s="1605"/>
      <c r="BY707" s="1605"/>
      <c r="BZ707" s="1605"/>
      <c r="CA707" s="1605"/>
      <c r="CB707" s="1605"/>
      <c r="CC707" s="1605"/>
      <c r="CD707" s="1605"/>
      <c r="CE707" s="1605"/>
      <c r="CF707" s="1605"/>
      <c r="CG707" s="1605"/>
      <c r="CH707" s="1605"/>
      <c r="CI707" s="1605"/>
      <c r="CJ707" s="1605"/>
      <c r="CK707" s="1605"/>
      <c r="CL707" s="1605"/>
      <c r="CM707" s="1605"/>
      <c r="CN707" s="1605"/>
      <c r="CO707" s="1605"/>
      <c r="CP707" s="1605"/>
      <c r="CQ707" s="1605"/>
      <c r="CR707" s="1605"/>
      <c r="CS707" s="1605"/>
      <c r="CT707" s="1605"/>
      <c r="CU707" s="1605"/>
      <c r="CV707" s="1605"/>
      <c r="CW707" s="1605"/>
      <c r="CX707" s="1605"/>
      <c r="CY707" s="1605"/>
      <c r="CZ707" s="1605"/>
      <c r="DA707" s="1605"/>
      <c r="DB707" s="1605"/>
      <c r="DC707" s="1605"/>
      <c r="DD707" s="1605"/>
      <c r="DE707" s="1605"/>
      <c r="DF707" s="1605"/>
      <c r="DG707" s="1605"/>
      <c r="DH707" s="1605"/>
      <c r="DI707" s="1605"/>
      <c r="DJ707" s="1605"/>
      <c r="DK707" s="1605"/>
      <c r="DL707" s="1605"/>
      <c r="DM707" s="1605"/>
      <c r="DN707" s="1605"/>
      <c r="DO707" s="1605"/>
      <c r="DP707" s="1605"/>
      <c r="DQ707" s="1605"/>
      <c r="DR707" s="1605"/>
      <c r="DS707" s="1605"/>
      <c r="DT707" s="1605"/>
      <c r="DU707" s="1605"/>
      <c r="DV707" s="1605"/>
      <c r="DW707" s="1605"/>
      <c r="DX707" s="1605"/>
      <c r="DY707" s="1605"/>
      <c r="DZ707" s="1605"/>
      <c r="EA707" s="1605"/>
      <c r="EB707" s="1605"/>
      <c r="EC707" s="1605"/>
      <c r="ED707" s="1605"/>
      <c r="EE707" s="1605"/>
      <c r="EF707" s="1605"/>
      <c r="EG707" s="1605"/>
      <c r="EH707" s="1605"/>
      <c r="EI707" s="1605"/>
      <c r="EJ707" s="1605"/>
      <c r="EK707" s="1605"/>
      <c r="EL707" s="1605"/>
      <c r="EM707" s="1605"/>
      <c r="EN707" s="1605"/>
      <c r="EO707" s="1605"/>
      <c r="EP707" s="1605"/>
      <c r="EQ707" s="1605"/>
      <c r="ER707" s="1605"/>
      <c r="ES707" s="1605"/>
      <c r="ET707" s="1605"/>
      <c r="EU707" s="1605"/>
      <c r="EV707" s="1605"/>
      <c r="EW707" s="1605"/>
      <c r="EX707" s="1605"/>
      <c r="EY707" s="1605"/>
      <c r="EZ707" s="1605"/>
      <c r="FA707" s="1605"/>
      <c r="FB707" s="1605"/>
      <c r="FC707" s="1605"/>
      <c r="FD707" s="1605"/>
      <c r="FE707" s="1605"/>
      <c r="FF707" s="1605"/>
      <c r="FG707" s="1605"/>
      <c r="FH707" s="1605"/>
      <c r="FI707" s="1605"/>
      <c r="FJ707" s="1605"/>
      <c r="FK707" s="1605"/>
      <c r="FL707" s="1605"/>
      <c r="FM707" s="1605"/>
      <c r="FN707" s="1605"/>
      <c r="FO707" s="1605"/>
      <c r="FP707" s="1605"/>
      <c r="FQ707" s="1605"/>
      <c r="FR707" s="1605"/>
      <c r="FS707" s="1605"/>
      <c r="FT707" s="1605"/>
      <c r="FU707" s="1605"/>
      <c r="FV707" s="1605"/>
      <c r="FW707" s="1605"/>
      <c r="FX707" s="1605"/>
      <c r="FY707" s="1605"/>
      <c r="FZ707" s="1605"/>
      <c r="GA707" s="1605"/>
      <c r="GB707" s="1605"/>
      <c r="GC707" s="1605"/>
      <c r="GD707" s="1605"/>
      <c r="GE707" s="1605"/>
      <c r="GF707" s="1605"/>
      <c r="GG707" s="1605"/>
      <c r="GH707" s="1605"/>
      <c r="GI707" s="1605"/>
      <c r="GJ707" s="1605"/>
      <c r="GK707" s="1605"/>
      <c r="GL707" s="1605"/>
      <c r="GM707" s="1605"/>
      <c r="GN707" s="1605"/>
      <c r="GO707" s="1605"/>
      <c r="GP707" s="1605"/>
      <c r="GQ707" s="1605"/>
      <c r="GR707" s="1605"/>
      <c r="GS707" s="1605"/>
      <c r="GT707" s="1605"/>
      <c r="GU707" s="1605"/>
      <c r="GV707" s="1605"/>
      <c r="GW707" s="1605"/>
      <c r="GX707" s="1605"/>
      <c r="GY707" s="1605"/>
      <c r="GZ707" s="1605"/>
      <c r="HA707" s="1605"/>
      <c r="HB707" s="1605"/>
      <c r="HC707" s="1605"/>
      <c r="HD707" s="1605"/>
      <c r="HE707" s="1605"/>
      <c r="HF707" s="1605"/>
      <c r="HG707" s="1605"/>
      <c r="HH707" s="1605"/>
      <c r="HI707" s="1605"/>
      <c r="HJ707" s="1605"/>
      <c r="HK707" s="1605"/>
      <c r="HL707" s="1605"/>
      <c r="HM707" s="1605"/>
      <c r="HN707" s="1605"/>
      <c r="HO707" s="1605"/>
      <c r="HP707" s="1605"/>
      <c r="HQ707" s="1605"/>
      <c r="HR707" s="1605"/>
      <c r="HS707" s="1605"/>
      <c r="HT707" s="1605"/>
      <c r="HU707" s="1605"/>
      <c r="HV707" s="1605"/>
      <c r="HW707" s="1605"/>
      <c r="HX707" s="1605"/>
      <c r="HY707" s="1605"/>
      <c r="HZ707" s="1605"/>
      <c r="IA707" s="1605"/>
      <c r="IB707" s="1605"/>
      <c r="IC707" s="1605"/>
      <c r="ID707" s="1605"/>
      <c r="IE707" s="1605"/>
      <c r="IF707" s="1605"/>
      <c r="IG707" s="1605"/>
      <c r="IH707" s="1605"/>
      <c r="II707" s="1605"/>
      <c r="IJ707" s="1605"/>
      <c r="IK707" s="1605"/>
      <c r="IL707" s="1605"/>
      <c r="IM707" s="1605"/>
      <c r="IN707" s="1605"/>
      <c r="IO707" s="1605"/>
      <c r="IP707" s="1605"/>
      <c r="IQ707" s="1605"/>
      <c r="IR707" s="1605"/>
      <c r="IS707" s="1605"/>
      <c r="IT707" s="1605"/>
      <c r="IU707" s="1605"/>
      <c r="IV707" s="1605"/>
      <c r="IW707" s="1605"/>
      <c r="IX707" s="1605"/>
      <c r="IY707" s="1605"/>
      <c r="IZ707" s="1605"/>
      <c r="JA707" s="1605"/>
      <c r="JB707" s="1605"/>
      <c r="JC707" s="1605"/>
      <c r="JD707" s="1605"/>
      <c r="JE707" s="1605"/>
      <c r="JF707" s="1605"/>
      <c r="JG707" s="1605"/>
      <c r="JH707" s="1605"/>
      <c r="JI707" s="1605"/>
      <c r="JJ707" s="1605"/>
      <c r="JK707" s="1605"/>
      <c r="JL707" s="1605"/>
      <c r="JM707" s="1605"/>
      <c r="JN707" s="1605"/>
      <c r="JO707" s="1605"/>
      <c r="JP707" s="1605"/>
      <c r="JQ707" s="1605"/>
      <c r="JR707" s="1605"/>
      <c r="JS707" s="1605"/>
      <c r="JT707" s="1605"/>
      <c r="JU707" s="1605"/>
      <c r="JV707" s="1605"/>
      <c r="JW707" s="1605"/>
      <c r="JX707" s="1605"/>
      <c r="JY707" s="1605"/>
      <c r="JZ707" s="1605"/>
      <c r="KA707" s="1605"/>
      <c r="KB707" s="1606"/>
    </row>
    <row r="708" spans="2:288" ht="15" customHeight="1" x14ac:dyDescent="0.25">
      <c r="B708" s="216" t="str">
        <f t="shared" si="56"/>
        <v>Desk 78</v>
      </c>
      <c r="C708" s="218" t="str">
        <v/>
      </c>
      <c r="D708" s="218" t="str">
        <v/>
      </c>
      <c r="E708" s="218" t="str">
        <v/>
      </c>
      <c r="F708" s="218" t="str">
        <v/>
      </c>
      <c r="G708" s="402" t="str">
        <v/>
      </c>
      <c r="H708" s="1605"/>
      <c r="I708" s="1605"/>
      <c r="J708" s="1605"/>
      <c r="K708" s="1605"/>
      <c r="L708" s="1605"/>
      <c r="M708" s="1605"/>
      <c r="N708" s="1605"/>
      <c r="O708" s="1605"/>
      <c r="P708" s="1605"/>
      <c r="Q708" s="1605"/>
      <c r="R708" s="1605"/>
      <c r="S708" s="1605"/>
      <c r="T708" s="1605"/>
      <c r="U708" s="1605"/>
      <c r="V708" s="1605"/>
      <c r="W708" s="1605"/>
      <c r="X708" s="1605"/>
      <c r="Y708" s="1605"/>
      <c r="Z708" s="1605"/>
      <c r="AA708" s="1605"/>
      <c r="AB708" s="1605"/>
      <c r="AC708" s="1605"/>
      <c r="AD708" s="1605"/>
      <c r="AE708" s="1605"/>
      <c r="AF708" s="1605"/>
      <c r="AG708" s="1605"/>
      <c r="AH708" s="1605"/>
      <c r="AI708" s="1605"/>
      <c r="AJ708" s="1605"/>
      <c r="AK708" s="1605"/>
      <c r="AL708" s="1605"/>
      <c r="AM708" s="1605"/>
      <c r="AN708" s="1605"/>
      <c r="AO708" s="1605"/>
      <c r="AP708" s="1605"/>
      <c r="AQ708" s="1605"/>
      <c r="AR708" s="1605"/>
      <c r="AS708" s="1605"/>
      <c r="AT708" s="1605"/>
      <c r="AU708" s="1605"/>
      <c r="AV708" s="1605"/>
      <c r="AW708" s="1605"/>
      <c r="AX708" s="1605"/>
      <c r="AY708" s="1605"/>
      <c r="AZ708" s="1605"/>
      <c r="BA708" s="1605"/>
      <c r="BB708" s="1605"/>
      <c r="BC708" s="1605"/>
      <c r="BD708" s="1605"/>
      <c r="BE708" s="1605"/>
      <c r="BF708" s="1605"/>
      <c r="BG708" s="1605"/>
      <c r="BH708" s="1605"/>
      <c r="BI708" s="1605"/>
      <c r="BJ708" s="1605"/>
      <c r="BK708" s="1605"/>
      <c r="BL708" s="1605"/>
      <c r="BM708" s="1605"/>
      <c r="BN708" s="1605"/>
      <c r="BO708" s="1605"/>
      <c r="BP708" s="1605"/>
      <c r="BQ708" s="1605"/>
      <c r="BR708" s="1605"/>
      <c r="BS708" s="1605"/>
      <c r="BT708" s="1605"/>
      <c r="BU708" s="1605"/>
      <c r="BV708" s="1605"/>
      <c r="BW708" s="1605"/>
      <c r="BX708" s="1605"/>
      <c r="BY708" s="1605"/>
      <c r="BZ708" s="1605"/>
      <c r="CA708" s="1605"/>
      <c r="CB708" s="1605"/>
      <c r="CC708" s="1605"/>
      <c r="CD708" s="1605"/>
      <c r="CE708" s="1605"/>
      <c r="CF708" s="1605"/>
      <c r="CG708" s="1605"/>
      <c r="CH708" s="1605"/>
      <c r="CI708" s="1605"/>
      <c r="CJ708" s="1605"/>
      <c r="CK708" s="1605"/>
      <c r="CL708" s="1605"/>
      <c r="CM708" s="1605"/>
      <c r="CN708" s="1605"/>
      <c r="CO708" s="1605"/>
      <c r="CP708" s="1605"/>
      <c r="CQ708" s="1605"/>
      <c r="CR708" s="1605"/>
      <c r="CS708" s="1605"/>
      <c r="CT708" s="1605"/>
      <c r="CU708" s="1605"/>
      <c r="CV708" s="1605"/>
      <c r="CW708" s="1605"/>
      <c r="CX708" s="1605"/>
      <c r="CY708" s="1605"/>
      <c r="CZ708" s="1605"/>
      <c r="DA708" s="1605"/>
      <c r="DB708" s="1605"/>
      <c r="DC708" s="1605"/>
      <c r="DD708" s="1605"/>
      <c r="DE708" s="1605"/>
      <c r="DF708" s="1605"/>
      <c r="DG708" s="1605"/>
      <c r="DH708" s="1605"/>
      <c r="DI708" s="1605"/>
      <c r="DJ708" s="1605"/>
      <c r="DK708" s="1605"/>
      <c r="DL708" s="1605"/>
      <c r="DM708" s="1605"/>
      <c r="DN708" s="1605"/>
      <c r="DO708" s="1605"/>
      <c r="DP708" s="1605"/>
      <c r="DQ708" s="1605"/>
      <c r="DR708" s="1605"/>
      <c r="DS708" s="1605"/>
      <c r="DT708" s="1605"/>
      <c r="DU708" s="1605"/>
      <c r="DV708" s="1605"/>
      <c r="DW708" s="1605"/>
      <c r="DX708" s="1605"/>
      <c r="DY708" s="1605"/>
      <c r="DZ708" s="1605"/>
      <c r="EA708" s="1605"/>
      <c r="EB708" s="1605"/>
      <c r="EC708" s="1605"/>
      <c r="ED708" s="1605"/>
      <c r="EE708" s="1605"/>
      <c r="EF708" s="1605"/>
      <c r="EG708" s="1605"/>
      <c r="EH708" s="1605"/>
      <c r="EI708" s="1605"/>
      <c r="EJ708" s="1605"/>
      <c r="EK708" s="1605"/>
      <c r="EL708" s="1605"/>
      <c r="EM708" s="1605"/>
      <c r="EN708" s="1605"/>
      <c r="EO708" s="1605"/>
      <c r="EP708" s="1605"/>
      <c r="EQ708" s="1605"/>
      <c r="ER708" s="1605"/>
      <c r="ES708" s="1605"/>
      <c r="ET708" s="1605"/>
      <c r="EU708" s="1605"/>
      <c r="EV708" s="1605"/>
      <c r="EW708" s="1605"/>
      <c r="EX708" s="1605"/>
      <c r="EY708" s="1605"/>
      <c r="EZ708" s="1605"/>
      <c r="FA708" s="1605"/>
      <c r="FB708" s="1605"/>
      <c r="FC708" s="1605"/>
      <c r="FD708" s="1605"/>
      <c r="FE708" s="1605"/>
      <c r="FF708" s="1605"/>
      <c r="FG708" s="1605"/>
      <c r="FH708" s="1605"/>
      <c r="FI708" s="1605"/>
      <c r="FJ708" s="1605"/>
      <c r="FK708" s="1605"/>
      <c r="FL708" s="1605"/>
      <c r="FM708" s="1605"/>
      <c r="FN708" s="1605"/>
      <c r="FO708" s="1605"/>
      <c r="FP708" s="1605"/>
      <c r="FQ708" s="1605"/>
      <c r="FR708" s="1605"/>
      <c r="FS708" s="1605"/>
      <c r="FT708" s="1605"/>
      <c r="FU708" s="1605"/>
      <c r="FV708" s="1605"/>
      <c r="FW708" s="1605"/>
      <c r="FX708" s="1605"/>
      <c r="FY708" s="1605"/>
      <c r="FZ708" s="1605"/>
      <c r="GA708" s="1605"/>
      <c r="GB708" s="1605"/>
      <c r="GC708" s="1605"/>
      <c r="GD708" s="1605"/>
      <c r="GE708" s="1605"/>
      <c r="GF708" s="1605"/>
      <c r="GG708" s="1605"/>
      <c r="GH708" s="1605"/>
      <c r="GI708" s="1605"/>
      <c r="GJ708" s="1605"/>
      <c r="GK708" s="1605"/>
      <c r="GL708" s="1605"/>
      <c r="GM708" s="1605"/>
      <c r="GN708" s="1605"/>
      <c r="GO708" s="1605"/>
      <c r="GP708" s="1605"/>
      <c r="GQ708" s="1605"/>
      <c r="GR708" s="1605"/>
      <c r="GS708" s="1605"/>
      <c r="GT708" s="1605"/>
      <c r="GU708" s="1605"/>
      <c r="GV708" s="1605"/>
      <c r="GW708" s="1605"/>
      <c r="GX708" s="1605"/>
      <c r="GY708" s="1605"/>
      <c r="GZ708" s="1605"/>
      <c r="HA708" s="1605"/>
      <c r="HB708" s="1605"/>
      <c r="HC708" s="1605"/>
      <c r="HD708" s="1605"/>
      <c r="HE708" s="1605"/>
      <c r="HF708" s="1605"/>
      <c r="HG708" s="1605"/>
      <c r="HH708" s="1605"/>
      <c r="HI708" s="1605"/>
      <c r="HJ708" s="1605"/>
      <c r="HK708" s="1605"/>
      <c r="HL708" s="1605"/>
      <c r="HM708" s="1605"/>
      <c r="HN708" s="1605"/>
      <c r="HO708" s="1605"/>
      <c r="HP708" s="1605"/>
      <c r="HQ708" s="1605"/>
      <c r="HR708" s="1605"/>
      <c r="HS708" s="1605"/>
      <c r="HT708" s="1605"/>
      <c r="HU708" s="1605"/>
      <c r="HV708" s="1605"/>
      <c r="HW708" s="1605"/>
      <c r="HX708" s="1605"/>
      <c r="HY708" s="1605"/>
      <c r="HZ708" s="1605"/>
      <c r="IA708" s="1605"/>
      <c r="IB708" s="1605"/>
      <c r="IC708" s="1605"/>
      <c r="ID708" s="1605"/>
      <c r="IE708" s="1605"/>
      <c r="IF708" s="1605"/>
      <c r="IG708" s="1605"/>
      <c r="IH708" s="1605"/>
      <c r="II708" s="1605"/>
      <c r="IJ708" s="1605"/>
      <c r="IK708" s="1605"/>
      <c r="IL708" s="1605"/>
      <c r="IM708" s="1605"/>
      <c r="IN708" s="1605"/>
      <c r="IO708" s="1605"/>
      <c r="IP708" s="1605"/>
      <c r="IQ708" s="1605"/>
      <c r="IR708" s="1605"/>
      <c r="IS708" s="1605"/>
      <c r="IT708" s="1605"/>
      <c r="IU708" s="1605"/>
      <c r="IV708" s="1605"/>
      <c r="IW708" s="1605"/>
      <c r="IX708" s="1605"/>
      <c r="IY708" s="1605"/>
      <c r="IZ708" s="1605"/>
      <c r="JA708" s="1605"/>
      <c r="JB708" s="1605"/>
      <c r="JC708" s="1605"/>
      <c r="JD708" s="1605"/>
      <c r="JE708" s="1605"/>
      <c r="JF708" s="1605"/>
      <c r="JG708" s="1605"/>
      <c r="JH708" s="1605"/>
      <c r="JI708" s="1605"/>
      <c r="JJ708" s="1605"/>
      <c r="JK708" s="1605"/>
      <c r="JL708" s="1605"/>
      <c r="JM708" s="1605"/>
      <c r="JN708" s="1605"/>
      <c r="JO708" s="1605"/>
      <c r="JP708" s="1605"/>
      <c r="JQ708" s="1605"/>
      <c r="JR708" s="1605"/>
      <c r="JS708" s="1605"/>
      <c r="JT708" s="1605"/>
      <c r="JU708" s="1605"/>
      <c r="JV708" s="1605"/>
      <c r="JW708" s="1605"/>
      <c r="JX708" s="1605"/>
      <c r="JY708" s="1605"/>
      <c r="JZ708" s="1605"/>
      <c r="KA708" s="1605"/>
      <c r="KB708" s="1606"/>
    </row>
    <row r="709" spans="2:288" ht="15" customHeight="1" x14ac:dyDescent="0.25">
      <c r="B709" s="216" t="str">
        <f t="shared" si="56"/>
        <v>Desk 79</v>
      </c>
      <c r="C709" s="218" t="str">
        <v/>
      </c>
      <c r="D709" s="218" t="str">
        <v/>
      </c>
      <c r="E709" s="218" t="str">
        <v/>
      </c>
      <c r="F709" s="218" t="str">
        <v/>
      </c>
      <c r="G709" s="402" t="str">
        <v/>
      </c>
      <c r="H709" s="1605"/>
      <c r="I709" s="1605"/>
      <c r="J709" s="1605"/>
      <c r="K709" s="1605"/>
      <c r="L709" s="1605"/>
      <c r="M709" s="1605"/>
      <c r="N709" s="1605"/>
      <c r="O709" s="1605"/>
      <c r="P709" s="1605"/>
      <c r="Q709" s="1605"/>
      <c r="R709" s="1605"/>
      <c r="S709" s="1605"/>
      <c r="T709" s="1605"/>
      <c r="U709" s="1605"/>
      <c r="V709" s="1605"/>
      <c r="W709" s="1605"/>
      <c r="X709" s="1605"/>
      <c r="Y709" s="1605"/>
      <c r="Z709" s="1605"/>
      <c r="AA709" s="1605"/>
      <c r="AB709" s="1605"/>
      <c r="AC709" s="1605"/>
      <c r="AD709" s="1605"/>
      <c r="AE709" s="1605"/>
      <c r="AF709" s="1605"/>
      <c r="AG709" s="1605"/>
      <c r="AH709" s="1605"/>
      <c r="AI709" s="1605"/>
      <c r="AJ709" s="1605"/>
      <c r="AK709" s="1605"/>
      <c r="AL709" s="1605"/>
      <c r="AM709" s="1605"/>
      <c r="AN709" s="1605"/>
      <c r="AO709" s="1605"/>
      <c r="AP709" s="1605"/>
      <c r="AQ709" s="1605"/>
      <c r="AR709" s="1605"/>
      <c r="AS709" s="1605"/>
      <c r="AT709" s="1605"/>
      <c r="AU709" s="1605"/>
      <c r="AV709" s="1605"/>
      <c r="AW709" s="1605"/>
      <c r="AX709" s="1605"/>
      <c r="AY709" s="1605"/>
      <c r="AZ709" s="1605"/>
      <c r="BA709" s="1605"/>
      <c r="BB709" s="1605"/>
      <c r="BC709" s="1605"/>
      <c r="BD709" s="1605"/>
      <c r="BE709" s="1605"/>
      <c r="BF709" s="1605"/>
      <c r="BG709" s="1605"/>
      <c r="BH709" s="1605"/>
      <c r="BI709" s="1605"/>
      <c r="BJ709" s="1605"/>
      <c r="BK709" s="1605"/>
      <c r="BL709" s="1605"/>
      <c r="BM709" s="1605"/>
      <c r="BN709" s="1605"/>
      <c r="BO709" s="1605"/>
      <c r="BP709" s="1605"/>
      <c r="BQ709" s="1605"/>
      <c r="BR709" s="1605"/>
      <c r="BS709" s="1605"/>
      <c r="BT709" s="1605"/>
      <c r="BU709" s="1605"/>
      <c r="BV709" s="1605"/>
      <c r="BW709" s="1605"/>
      <c r="BX709" s="1605"/>
      <c r="BY709" s="1605"/>
      <c r="BZ709" s="1605"/>
      <c r="CA709" s="1605"/>
      <c r="CB709" s="1605"/>
      <c r="CC709" s="1605"/>
      <c r="CD709" s="1605"/>
      <c r="CE709" s="1605"/>
      <c r="CF709" s="1605"/>
      <c r="CG709" s="1605"/>
      <c r="CH709" s="1605"/>
      <c r="CI709" s="1605"/>
      <c r="CJ709" s="1605"/>
      <c r="CK709" s="1605"/>
      <c r="CL709" s="1605"/>
      <c r="CM709" s="1605"/>
      <c r="CN709" s="1605"/>
      <c r="CO709" s="1605"/>
      <c r="CP709" s="1605"/>
      <c r="CQ709" s="1605"/>
      <c r="CR709" s="1605"/>
      <c r="CS709" s="1605"/>
      <c r="CT709" s="1605"/>
      <c r="CU709" s="1605"/>
      <c r="CV709" s="1605"/>
      <c r="CW709" s="1605"/>
      <c r="CX709" s="1605"/>
      <c r="CY709" s="1605"/>
      <c r="CZ709" s="1605"/>
      <c r="DA709" s="1605"/>
      <c r="DB709" s="1605"/>
      <c r="DC709" s="1605"/>
      <c r="DD709" s="1605"/>
      <c r="DE709" s="1605"/>
      <c r="DF709" s="1605"/>
      <c r="DG709" s="1605"/>
      <c r="DH709" s="1605"/>
      <c r="DI709" s="1605"/>
      <c r="DJ709" s="1605"/>
      <c r="DK709" s="1605"/>
      <c r="DL709" s="1605"/>
      <c r="DM709" s="1605"/>
      <c r="DN709" s="1605"/>
      <c r="DO709" s="1605"/>
      <c r="DP709" s="1605"/>
      <c r="DQ709" s="1605"/>
      <c r="DR709" s="1605"/>
      <c r="DS709" s="1605"/>
      <c r="DT709" s="1605"/>
      <c r="DU709" s="1605"/>
      <c r="DV709" s="1605"/>
      <c r="DW709" s="1605"/>
      <c r="DX709" s="1605"/>
      <c r="DY709" s="1605"/>
      <c r="DZ709" s="1605"/>
      <c r="EA709" s="1605"/>
      <c r="EB709" s="1605"/>
      <c r="EC709" s="1605"/>
      <c r="ED709" s="1605"/>
      <c r="EE709" s="1605"/>
      <c r="EF709" s="1605"/>
      <c r="EG709" s="1605"/>
      <c r="EH709" s="1605"/>
      <c r="EI709" s="1605"/>
      <c r="EJ709" s="1605"/>
      <c r="EK709" s="1605"/>
      <c r="EL709" s="1605"/>
      <c r="EM709" s="1605"/>
      <c r="EN709" s="1605"/>
      <c r="EO709" s="1605"/>
      <c r="EP709" s="1605"/>
      <c r="EQ709" s="1605"/>
      <c r="ER709" s="1605"/>
      <c r="ES709" s="1605"/>
      <c r="ET709" s="1605"/>
      <c r="EU709" s="1605"/>
      <c r="EV709" s="1605"/>
      <c r="EW709" s="1605"/>
      <c r="EX709" s="1605"/>
      <c r="EY709" s="1605"/>
      <c r="EZ709" s="1605"/>
      <c r="FA709" s="1605"/>
      <c r="FB709" s="1605"/>
      <c r="FC709" s="1605"/>
      <c r="FD709" s="1605"/>
      <c r="FE709" s="1605"/>
      <c r="FF709" s="1605"/>
      <c r="FG709" s="1605"/>
      <c r="FH709" s="1605"/>
      <c r="FI709" s="1605"/>
      <c r="FJ709" s="1605"/>
      <c r="FK709" s="1605"/>
      <c r="FL709" s="1605"/>
      <c r="FM709" s="1605"/>
      <c r="FN709" s="1605"/>
      <c r="FO709" s="1605"/>
      <c r="FP709" s="1605"/>
      <c r="FQ709" s="1605"/>
      <c r="FR709" s="1605"/>
      <c r="FS709" s="1605"/>
      <c r="FT709" s="1605"/>
      <c r="FU709" s="1605"/>
      <c r="FV709" s="1605"/>
      <c r="FW709" s="1605"/>
      <c r="FX709" s="1605"/>
      <c r="FY709" s="1605"/>
      <c r="FZ709" s="1605"/>
      <c r="GA709" s="1605"/>
      <c r="GB709" s="1605"/>
      <c r="GC709" s="1605"/>
      <c r="GD709" s="1605"/>
      <c r="GE709" s="1605"/>
      <c r="GF709" s="1605"/>
      <c r="GG709" s="1605"/>
      <c r="GH709" s="1605"/>
      <c r="GI709" s="1605"/>
      <c r="GJ709" s="1605"/>
      <c r="GK709" s="1605"/>
      <c r="GL709" s="1605"/>
      <c r="GM709" s="1605"/>
      <c r="GN709" s="1605"/>
      <c r="GO709" s="1605"/>
      <c r="GP709" s="1605"/>
      <c r="GQ709" s="1605"/>
      <c r="GR709" s="1605"/>
      <c r="GS709" s="1605"/>
      <c r="GT709" s="1605"/>
      <c r="GU709" s="1605"/>
      <c r="GV709" s="1605"/>
      <c r="GW709" s="1605"/>
      <c r="GX709" s="1605"/>
      <c r="GY709" s="1605"/>
      <c r="GZ709" s="1605"/>
      <c r="HA709" s="1605"/>
      <c r="HB709" s="1605"/>
      <c r="HC709" s="1605"/>
      <c r="HD709" s="1605"/>
      <c r="HE709" s="1605"/>
      <c r="HF709" s="1605"/>
      <c r="HG709" s="1605"/>
      <c r="HH709" s="1605"/>
      <c r="HI709" s="1605"/>
      <c r="HJ709" s="1605"/>
      <c r="HK709" s="1605"/>
      <c r="HL709" s="1605"/>
      <c r="HM709" s="1605"/>
      <c r="HN709" s="1605"/>
      <c r="HO709" s="1605"/>
      <c r="HP709" s="1605"/>
      <c r="HQ709" s="1605"/>
      <c r="HR709" s="1605"/>
      <c r="HS709" s="1605"/>
      <c r="HT709" s="1605"/>
      <c r="HU709" s="1605"/>
      <c r="HV709" s="1605"/>
      <c r="HW709" s="1605"/>
      <c r="HX709" s="1605"/>
      <c r="HY709" s="1605"/>
      <c r="HZ709" s="1605"/>
      <c r="IA709" s="1605"/>
      <c r="IB709" s="1605"/>
      <c r="IC709" s="1605"/>
      <c r="ID709" s="1605"/>
      <c r="IE709" s="1605"/>
      <c r="IF709" s="1605"/>
      <c r="IG709" s="1605"/>
      <c r="IH709" s="1605"/>
      <c r="II709" s="1605"/>
      <c r="IJ709" s="1605"/>
      <c r="IK709" s="1605"/>
      <c r="IL709" s="1605"/>
      <c r="IM709" s="1605"/>
      <c r="IN709" s="1605"/>
      <c r="IO709" s="1605"/>
      <c r="IP709" s="1605"/>
      <c r="IQ709" s="1605"/>
      <c r="IR709" s="1605"/>
      <c r="IS709" s="1605"/>
      <c r="IT709" s="1605"/>
      <c r="IU709" s="1605"/>
      <c r="IV709" s="1605"/>
      <c r="IW709" s="1605"/>
      <c r="IX709" s="1605"/>
      <c r="IY709" s="1605"/>
      <c r="IZ709" s="1605"/>
      <c r="JA709" s="1605"/>
      <c r="JB709" s="1605"/>
      <c r="JC709" s="1605"/>
      <c r="JD709" s="1605"/>
      <c r="JE709" s="1605"/>
      <c r="JF709" s="1605"/>
      <c r="JG709" s="1605"/>
      <c r="JH709" s="1605"/>
      <c r="JI709" s="1605"/>
      <c r="JJ709" s="1605"/>
      <c r="JK709" s="1605"/>
      <c r="JL709" s="1605"/>
      <c r="JM709" s="1605"/>
      <c r="JN709" s="1605"/>
      <c r="JO709" s="1605"/>
      <c r="JP709" s="1605"/>
      <c r="JQ709" s="1605"/>
      <c r="JR709" s="1605"/>
      <c r="JS709" s="1605"/>
      <c r="JT709" s="1605"/>
      <c r="JU709" s="1605"/>
      <c r="JV709" s="1605"/>
      <c r="JW709" s="1605"/>
      <c r="JX709" s="1605"/>
      <c r="JY709" s="1605"/>
      <c r="JZ709" s="1605"/>
      <c r="KA709" s="1605"/>
      <c r="KB709" s="1606"/>
    </row>
    <row r="710" spans="2:288" ht="15" customHeight="1" x14ac:dyDescent="0.25">
      <c r="B710" s="216" t="str">
        <f t="shared" si="56"/>
        <v>Desk 80</v>
      </c>
      <c r="C710" s="218" t="str">
        <v/>
      </c>
      <c r="D710" s="218" t="str">
        <v/>
      </c>
      <c r="E710" s="218" t="str">
        <v/>
      </c>
      <c r="F710" s="218" t="str">
        <v/>
      </c>
      <c r="G710" s="402" t="str">
        <v/>
      </c>
      <c r="H710" s="1605"/>
      <c r="I710" s="1605"/>
      <c r="J710" s="1605"/>
      <c r="K710" s="1605"/>
      <c r="L710" s="1605"/>
      <c r="M710" s="1605"/>
      <c r="N710" s="1605"/>
      <c r="O710" s="1605"/>
      <c r="P710" s="1605"/>
      <c r="Q710" s="1605"/>
      <c r="R710" s="1605"/>
      <c r="S710" s="1605"/>
      <c r="T710" s="1605"/>
      <c r="U710" s="1605"/>
      <c r="V710" s="1605"/>
      <c r="W710" s="1605"/>
      <c r="X710" s="1605"/>
      <c r="Y710" s="1605"/>
      <c r="Z710" s="1605"/>
      <c r="AA710" s="1605"/>
      <c r="AB710" s="1605"/>
      <c r="AC710" s="1605"/>
      <c r="AD710" s="1605"/>
      <c r="AE710" s="1605"/>
      <c r="AF710" s="1605"/>
      <c r="AG710" s="1605"/>
      <c r="AH710" s="1605"/>
      <c r="AI710" s="1605"/>
      <c r="AJ710" s="1605"/>
      <c r="AK710" s="1605"/>
      <c r="AL710" s="1605"/>
      <c r="AM710" s="1605"/>
      <c r="AN710" s="1605"/>
      <c r="AO710" s="1605"/>
      <c r="AP710" s="1605"/>
      <c r="AQ710" s="1605"/>
      <c r="AR710" s="1605"/>
      <c r="AS710" s="1605"/>
      <c r="AT710" s="1605"/>
      <c r="AU710" s="1605"/>
      <c r="AV710" s="1605"/>
      <c r="AW710" s="1605"/>
      <c r="AX710" s="1605"/>
      <c r="AY710" s="1605"/>
      <c r="AZ710" s="1605"/>
      <c r="BA710" s="1605"/>
      <c r="BB710" s="1605"/>
      <c r="BC710" s="1605"/>
      <c r="BD710" s="1605"/>
      <c r="BE710" s="1605"/>
      <c r="BF710" s="1605"/>
      <c r="BG710" s="1605"/>
      <c r="BH710" s="1605"/>
      <c r="BI710" s="1605"/>
      <c r="BJ710" s="1605"/>
      <c r="BK710" s="1605"/>
      <c r="BL710" s="1605"/>
      <c r="BM710" s="1605"/>
      <c r="BN710" s="1605"/>
      <c r="BO710" s="1605"/>
      <c r="BP710" s="1605"/>
      <c r="BQ710" s="1605"/>
      <c r="BR710" s="1605"/>
      <c r="BS710" s="1605"/>
      <c r="BT710" s="1605"/>
      <c r="BU710" s="1605"/>
      <c r="BV710" s="1605"/>
      <c r="BW710" s="1605"/>
      <c r="BX710" s="1605"/>
      <c r="BY710" s="1605"/>
      <c r="BZ710" s="1605"/>
      <c r="CA710" s="1605"/>
      <c r="CB710" s="1605"/>
      <c r="CC710" s="1605"/>
      <c r="CD710" s="1605"/>
      <c r="CE710" s="1605"/>
      <c r="CF710" s="1605"/>
      <c r="CG710" s="1605"/>
      <c r="CH710" s="1605"/>
      <c r="CI710" s="1605"/>
      <c r="CJ710" s="1605"/>
      <c r="CK710" s="1605"/>
      <c r="CL710" s="1605"/>
      <c r="CM710" s="1605"/>
      <c r="CN710" s="1605"/>
      <c r="CO710" s="1605"/>
      <c r="CP710" s="1605"/>
      <c r="CQ710" s="1605"/>
      <c r="CR710" s="1605"/>
      <c r="CS710" s="1605"/>
      <c r="CT710" s="1605"/>
      <c r="CU710" s="1605"/>
      <c r="CV710" s="1605"/>
      <c r="CW710" s="1605"/>
      <c r="CX710" s="1605"/>
      <c r="CY710" s="1605"/>
      <c r="CZ710" s="1605"/>
      <c r="DA710" s="1605"/>
      <c r="DB710" s="1605"/>
      <c r="DC710" s="1605"/>
      <c r="DD710" s="1605"/>
      <c r="DE710" s="1605"/>
      <c r="DF710" s="1605"/>
      <c r="DG710" s="1605"/>
      <c r="DH710" s="1605"/>
      <c r="DI710" s="1605"/>
      <c r="DJ710" s="1605"/>
      <c r="DK710" s="1605"/>
      <c r="DL710" s="1605"/>
      <c r="DM710" s="1605"/>
      <c r="DN710" s="1605"/>
      <c r="DO710" s="1605"/>
      <c r="DP710" s="1605"/>
      <c r="DQ710" s="1605"/>
      <c r="DR710" s="1605"/>
      <c r="DS710" s="1605"/>
      <c r="DT710" s="1605"/>
      <c r="DU710" s="1605"/>
      <c r="DV710" s="1605"/>
      <c r="DW710" s="1605"/>
      <c r="DX710" s="1605"/>
      <c r="DY710" s="1605"/>
      <c r="DZ710" s="1605"/>
      <c r="EA710" s="1605"/>
      <c r="EB710" s="1605"/>
      <c r="EC710" s="1605"/>
      <c r="ED710" s="1605"/>
      <c r="EE710" s="1605"/>
      <c r="EF710" s="1605"/>
      <c r="EG710" s="1605"/>
      <c r="EH710" s="1605"/>
      <c r="EI710" s="1605"/>
      <c r="EJ710" s="1605"/>
      <c r="EK710" s="1605"/>
      <c r="EL710" s="1605"/>
      <c r="EM710" s="1605"/>
      <c r="EN710" s="1605"/>
      <c r="EO710" s="1605"/>
      <c r="EP710" s="1605"/>
      <c r="EQ710" s="1605"/>
      <c r="ER710" s="1605"/>
      <c r="ES710" s="1605"/>
      <c r="ET710" s="1605"/>
      <c r="EU710" s="1605"/>
      <c r="EV710" s="1605"/>
      <c r="EW710" s="1605"/>
      <c r="EX710" s="1605"/>
      <c r="EY710" s="1605"/>
      <c r="EZ710" s="1605"/>
      <c r="FA710" s="1605"/>
      <c r="FB710" s="1605"/>
      <c r="FC710" s="1605"/>
      <c r="FD710" s="1605"/>
      <c r="FE710" s="1605"/>
      <c r="FF710" s="1605"/>
      <c r="FG710" s="1605"/>
      <c r="FH710" s="1605"/>
      <c r="FI710" s="1605"/>
      <c r="FJ710" s="1605"/>
      <c r="FK710" s="1605"/>
      <c r="FL710" s="1605"/>
      <c r="FM710" s="1605"/>
      <c r="FN710" s="1605"/>
      <c r="FO710" s="1605"/>
      <c r="FP710" s="1605"/>
      <c r="FQ710" s="1605"/>
      <c r="FR710" s="1605"/>
      <c r="FS710" s="1605"/>
      <c r="FT710" s="1605"/>
      <c r="FU710" s="1605"/>
      <c r="FV710" s="1605"/>
      <c r="FW710" s="1605"/>
      <c r="FX710" s="1605"/>
      <c r="FY710" s="1605"/>
      <c r="FZ710" s="1605"/>
      <c r="GA710" s="1605"/>
      <c r="GB710" s="1605"/>
      <c r="GC710" s="1605"/>
      <c r="GD710" s="1605"/>
      <c r="GE710" s="1605"/>
      <c r="GF710" s="1605"/>
      <c r="GG710" s="1605"/>
      <c r="GH710" s="1605"/>
      <c r="GI710" s="1605"/>
      <c r="GJ710" s="1605"/>
      <c r="GK710" s="1605"/>
      <c r="GL710" s="1605"/>
      <c r="GM710" s="1605"/>
      <c r="GN710" s="1605"/>
      <c r="GO710" s="1605"/>
      <c r="GP710" s="1605"/>
      <c r="GQ710" s="1605"/>
      <c r="GR710" s="1605"/>
      <c r="GS710" s="1605"/>
      <c r="GT710" s="1605"/>
      <c r="GU710" s="1605"/>
      <c r="GV710" s="1605"/>
      <c r="GW710" s="1605"/>
      <c r="GX710" s="1605"/>
      <c r="GY710" s="1605"/>
      <c r="GZ710" s="1605"/>
      <c r="HA710" s="1605"/>
      <c r="HB710" s="1605"/>
      <c r="HC710" s="1605"/>
      <c r="HD710" s="1605"/>
      <c r="HE710" s="1605"/>
      <c r="HF710" s="1605"/>
      <c r="HG710" s="1605"/>
      <c r="HH710" s="1605"/>
      <c r="HI710" s="1605"/>
      <c r="HJ710" s="1605"/>
      <c r="HK710" s="1605"/>
      <c r="HL710" s="1605"/>
      <c r="HM710" s="1605"/>
      <c r="HN710" s="1605"/>
      <c r="HO710" s="1605"/>
      <c r="HP710" s="1605"/>
      <c r="HQ710" s="1605"/>
      <c r="HR710" s="1605"/>
      <c r="HS710" s="1605"/>
      <c r="HT710" s="1605"/>
      <c r="HU710" s="1605"/>
      <c r="HV710" s="1605"/>
      <c r="HW710" s="1605"/>
      <c r="HX710" s="1605"/>
      <c r="HY710" s="1605"/>
      <c r="HZ710" s="1605"/>
      <c r="IA710" s="1605"/>
      <c r="IB710" s="1605"/>
      <c r="IC710" s="1605"/>
      <c r="ID710" s="1605"/>
      <c r="IE710" s="1605"/>
      <c r="IF710" s="1605"/>
      <c r="IG710" s="1605"/>
      <c r="IH710" s="1605"/>
      <c r="II710" s="1605"/>
      <c r="IJ710" s="1605"/>
      <c r="IK710" s="1605"/>
      <c r="IL710" s="1605"/>
      <c r="IM710" s="1605"/>
      <c r="IN710" s="1605"/>
      <c r="IO710" s="1605"/>
      <c r="IP710" s="1605"/>
      <c r="IQ710" s="1605"/>
      <c r="IR710" s="1605"/>
      <c r="IS710" s="1605"/>
      <c r="IT710" s="1605"/>
      <c r="IU710" s="1605"/>
      <c r="IV710" s="1605"/>
      <c r="IW710" s="1605"/>
      <c r="IX710" s="1605"/>
      <c r="IY710" s="1605"/>
      <c r="IZ710" s="1605"/>
      <c r="JA710" s="1605"/>
      <c r="JB710" s="1605"/>
      <c r="JC710" s="1605"/>
      <c r="JD710" s="1605"/>
      <c r="JE710" s="1605"/>
      <c r="JF710" s="1605"/>
      <c r="JG710" s="1605"/>
      <c r="JH710" s="1605"/>
      <c r="JI710" s="1605"/>
      <c r="JJ710" s="1605"/>
      <c r="JK710" s="1605"/>
      <c r="JL710" s="1605"/>
      <c r="JM710" s="1605"/>
      <c r="JN710" s="1605"/>
      <c r="JO710" s="1605"/>
      <c r="JP710" s="1605"/>
      <c r="JQ710" s="1605"/>
      <c r="JR710" s="1605"/>
      <c r="JS710" s="1605"/>
      <c r="JT710" s="1605"/>
      <c r="JU710" s="1605"/>
      <c r="JV710" s="1605"/>
      <c r="JW710" s="1605"/>
      <c r="JX710" s="1605"/>
      <c r="JY710" s="1605"/>
      <c r="JZ710" s="1605"/>
      <c r="KA710" s="1605"/>
      <c r="KB710" s="1606"/>
    </row>
    <row r="711" spans="2:288" ht="15" customHeight="1" x14ac:dyDescent="0.25">
      <c r="B711" s="216" t="str">
        <f t="shared" si="56"/>
        <v>Desk 81</v>
      </c>
      <c r="C711" s="218" t="str">
        <v/>
      </c>
      <c r="D711" s="218" t="str">
        <v/>
      </c>
      <c r="E711" s="218" t="str">
        <v/>
      </c>
      <c r="F711" s="218" t="str">
        <v/>
      </c>
      <c r="G711" s="402" t="str">
        <v/>
      </c>
      <c r="H711" s="1605"/>
      <c r="I711" s="1605"/>
      <c r="J711" s="1605"/>
      <c r="K711" s="1605"/>
      <c r="L711" s="1605"/>
      <c r="M711" s="1605"/>
      <c r="N711" s="1605"/>
      <c r="O711" s="1605"/>
      <c r="P711" s="1605"/>
      <c r="Q711" s="1605"/>
      <c r="R711" s="1605"/>
      <c r="S711" s="1605"/>
      <c r="T711" s="1605"/>
      <c r="U711" s="1605"/>
      <c r="V711" s="1605"/>
      <c r="W711" s="1605"/>
      <c r="X711" s="1605"/>
      <c r="Y711" s="1605"/>
      <c r="Z711" s="1605"/>
      <c r="AA711" s="1605"/>
      <c r="AB711" s="1605"/>
      <c r="AC711" s="1605"/>
      <c r="AD711" s="1605"/>
      <c r="AE711" s="1605"/>
      <c r="AF711" s="1605"/>
      <c r="AG711" s="1605"/>
      <c r="AH711" s="1605"/>
      <c r="AI711" s="1605"/>
      <c r="AJ711" s="1605"/>
      <c r="AK711" s="1605"/>
      <c r="AL711" s="1605"/>
      <c r="AM711" s="1605"/>
      <c r="AN711" s="1605"/>
      <c r="AO711" s="1605"/>
      <c r="AP711" s="1605"/>
      <c r="AQ711" s="1605"/>
      <c r="AR711" s="1605"/>
      <c r="AS711" s="1605"/>
      <c r="AT711" s="1605"/>
      <c r="AU711" s="1605"/>
      <c r="AV711" s="1605"/>
      <c r="AW711" s="1605"/>
      <c r="AX711" s="1605"/>
      <c r="AY711" s="1605"/>
      <c r="AZ711" s="1605"/>
      <c r="BA711" s="1605"/>
      <c r="BB711" s="1605"/>
      <c r="BC711" s="1605"/>
      <c r="BD711" s="1605"/>
      <c r="BE711" s="1605"/>
      <c r="BF711" s="1605"/>
      <c r="BG711" s="1605"/>
      <c r="BH711" s="1605"/>
      <c r="BI711" s="1605"/>
      <c r="BJ711" s="1605"/>
      <c r="BK711" s="1605"/>
      <c r="BL711" s="1605"/>
      <c r="BM711" s="1605"/>
      <c r="BN711" s="1605"/>
      <c r="BO711" s="1605"/>
      <c r="BP711" s="1605"/>
      <c r="BQ711" s="1605"/>
      <c r="BR711" s="1605"/>
      <c r="BS711" s="1605"/>
      <c r="BT711" s="1605"/>
      <c r="BU711" s="1605"/>
      <c r="BV711" s="1605"/>
      <c r="BW711" s="1605"/>
      <c r="BX711" s="1605"/>
      <c r="BY711" s="1605"/>
      <c r="BZ711" s="1605"/>
      <c r="CA711" s="1605"/>
      <c r="CB711" s="1605"/>
      <c r="CC711" s="1605"/>
      <c r="CD711" s="1605"/>
      <c r="CE711" s="1605"/>
      <c r="CF711" s="1605"/>
      <c r="CG711" s="1605"/>
      <c r="CH711" s="1605"/>
      <c r="CI711" s="1605"/>
      <c r="CJ711" s="1605"/>
      <c r="CK711" s="1605"/>
      <c r="CL711" s="1605"/>
      <c r="CM711" s="1605"/>
      <c r="CN711" s="1605"/>
      <c r="CO711" s="1605"/>
      <c r="CP711" s="1605"/>
      <c r="CQ711" s="1605"/>
      <c r="CR711" s="1605"/>
      <c r="CS711" s="1605"/>
      <c r="CT711" s="1605"/>
      <c r="CU711" s="1605"/>
      <c r="CV711" s="1605"/>
      <c r="CW711" s="1605"/>
      <c r="CX711" s="1605"/>
      <c r="CY711" s="1605"/>
      <c r="CZ711" s="1605"/>
      <c r="DA711" s="1605"/>
      <c r="DB711" s="1605"/>
      <c r="DC711" s="1605"/>
      <c r="DD711" s="1605"/>
      <c r="DE711" s="1605"/>
      <c r="DF711" s="1605"/>
      <c r="DG711" s="1605"/>
      <c r="DH711" s="1605"/>
      <c r="DI711" s="1605"/>
      <c r="DJ711" s="1605"/>
      <c r="DK711" s="1605"/>
      <c r="DL711" s="1605"/>
      <c r="DM711" s="1605"/>
      <c r="DN711" s="1605"/>
      <c r="DO711" s="1605"/>
      <c r="DP711" s="1605"/>
      <c r="DQ711" s="1605"/>
      <c r="DR711" s="1605"/>
      <c r="DS711" s="1605"/>
      <c r="DT711" s="1605"/>
      <c r="DU711" s="1605"/>
      <c r="DV711" s="1605"/>
      <c r="DW711" s="1605"/>
      <c r="DX711" s="1605"/>
      <c r="DY711" s="1605"/>
      <c r="DZ711" s="1605"/>
      <c r="EA711" s="1605"/>
      <c r="EB711" s="1605"/>
      <c r="EC711" s="1605"/>
      <c r="ED711" s="1605"/>
      <c r="EE711" s="1605"/>
      <c r="EF711" s="1605"/>
      <c r="EG711" s="1605"/>
      <c r="EH711" s="1605"/>
      <c r="EI711" s="1605"/>
      <c r="EJ711" s="1605"/>
      <c r="EK711" s="1605"/>
      <c r="EL711" s="1605"/>
      <c r="EM711" s="1605"/>
      <c r="EN711" s="1605"/>
      <c r="EO711" s="1605"/>
      <c r="EP711" s="1605"/>
      <c r="EQ711" s="1605"/>
      <c r="ER711" s="1605"/>
      <c r="ES711" s="1605"/>
      <c r="ET711" s="1605"/>
      <c r="EU711" s="1605"/>
      <c r="EV711" s="1605"/>
      <c r="EW711" s="1605"/>
      <c r="EX711" s="1605"/>
      <c r="EY711" s="1605"/>
      <c r="EZ711" s="1605"/>
      <c r="FA711" s="1605"/>
      <c r="FB711" s="1605"/>
      <c r="FC711" s="1605"/>
      <c r="FD711" s="1605"/>
      <c r="FE711" s="1605"/>
      <c r="FF711" s="1605"/>
      <c r="FG711" s="1605"/>
      <c r="FH711" s="1605"/>
      <c r="FI711" s="1605"/>
      <c r="FJ711" s="1605"/>
      <c r="FK711" s="1605"/>
      <c r="FL711" s="1605"/>
      <c r="FM711" s="1605"/>
      <c r="FN711" s="1605"/>
      <c r="FO711" s="1605"/>
      <c r="FP711" s="1605"/>
      <c r="FQ711" s="1605"/>
      <c r="FR711" s="1605"/>
      <c r="FS711" s="1605"/>
      <c r="FT711" s="1605"/>
      <c r="FU711" s="1605"/>
      <c r="FV711" s="1605"/>
      <c r="FW711" s="1605"/>
      <c r="FX711" s="1605"/>
      <c r="FY711" s="1605"/>
      <c r="FZ711" s="1605"/>
      <c r="GA711" s="1605"/>
      <c r="GB711" s="1605"/>
      <c r="GC711" s="1605"/>
      <c r="GD711" s="1605"/>
      <c r="GE711" s="1605"/>
      <c r="GF711" s="1605"/>
      <c r="GG711" s="1605"/>
      <c r="GH711" s="1605"/>
      <c r="GI711" s="1605"/>
      <c r="GJ711" s="1605"/>
      <c r="GK711" s="1605"/>
      <c r="GL711" s="1605"/>
      <c r="GM711" s="1605"/>
      <c r="GN711" s="1605"/>
      <c r="GO711" s="1605"/>
      <c r="GP711" s="1605"/>
      <c r="GQ711" s="1605"/>
      <c r="GR711" s="1605"/>
      <c r="GS711" s="1605"/>
      <c r="GT711" s="1605"/>
      <c r="GU711" s="1605"/>
      <c r="GV711" s="1605"/>
      <c r="GW711" s="1605"/>
      <c r="GX711" s="1605"/>
      <c r="GY711" s="1605"/>
      <c r="GZ711" s="1605"/>
      <c r="HA711" s="1605"/>
      <c r="HB711" s="1605"/>
      <c r="HC711" s="1605"/>
      <c r="HD711" s="1605"/>
      <c r="HE711" s="1605"/>
      <c r="HF711" s="1605"/>
      <c r="HG711" s="1605"/>
      <c r="HH711" s="1605"/>
      <c r="HI711" s="1605"/>
      <c r="HJ711" s="1605"/>
      <c r="HK711" s="1605"/>
      <c r="HL711" s="1605"/>
      <c r="HM711" s="1605"/>
      <c r="HN711" s="1605"/>
      <c r="HO711" s="1605"/>
      <c r="HP711" s="1605"/>
      <c r="HQ711" s="1605"/>
      <c r="HR711" s="1605"/>
      <c r="HS711" s="1605"/>
      <c r="HT711" s="1605"/>
      <c r="HU711" s="1605"/>
      <c r="HV711" s="1605"/>
      <c r="HW711" s="1605"/>
      <c r="HX711" s="1605"/>
      <c r="HY711" s="1605"/>
      <c r="HZ711" s="1605"/>
      <c r="IA711" s="1605"/>
      <c r="IB711" s="1605"/>
      <c r="IC711" s="1605"/>
      <c r="ID711" s="1605"/>
      <c r="IE711" s="1605"/>
      <c r="IF711" s="1605"/>
      <c r="IG711" s="1605"/>
      <c r="IH711" s="1605"/>
      <c r="II711" s="1605"/>
      <c r="IJ711" s="1605"/>
      <c r="IK711" s="1605"/>
      <c r="IL711" s="1605"/>
      <c r="IM711" s="1605"/>
      <c r="IN711" s="1605"/>
      <c r="IO711" s="1605"/>
      <c r="IP711" s="1605"/>
      <c r="IQ711" s="1605"/>
      <c r="IR711" s="1605"/>
      <c r="IS711" s="1605"/>
      <c r="IT711" s="1605"/>
      <c r="IU711" s="1605"/>
      <c r="IV711" s="1605"/>
      <c r="IW711" s="1605"/>
      <c r="IX711" s="1605"/>
      <c r="IY711" s="1605"/>
      <c r="IZ711" s="1605"/>
      <c r="JA711" s="1605"/>
      <c r="JB711" s="1605"/>
      <c r="JC711" s="1605"/>
      <c r="JD711" s="1605"/>
      <c r="JE711" s="1605"/>
      <c r="JF711" s="1605"/>
      <c r="JG711" s="1605"/>
      <c r="JH711" s="1605"/>
      <c r="JI711" s="1605"/>
      <c r="JJ711" s="1605"/>
      <c r="JK711" s="1605"/>
      <c r="JL711" s="1605"/>
      <c r="JM711" s="1605"/>
      <c r="JN711" s="1605"/>
      <c r="JO711" s="1605"/>
      <c r="JP711" s="1605"/>
      <c r="JQ711" s="1605"/>
      <c r="JR711" s="1605"/>
      <c r="JS711" s="1605"/>
      <c r="JT711" s="1605"/>
      <c r="JU711" s="1605"/>
      <c r="JV711" s="1605"/>
      <c r="JW711" s="1605"/>
      <c r="JX711" s="1605"/>
      <c r="JY711" s="1605"/>
      <c r="JZ711" s="1605"/>
      <c r="KA711" s="1605"/>
      <c r="KB711" s="1606"/>
    </row>
    <row r="712" spans="2:288" ht="15" customHeight="1" x14ac:dyDescent="0.25">
      <c r="B712" s="216" t="str">
        <f t="shared" si="56"/>
        <v>Desk 82</v>
      </c>
      <c r="C712" s="218" t="str">
        <v/>
      </c>
      <c r="D712" s="218" t="str">
        <v/>
      </c>
      <c r="E712" s="218" t="str">
        <v/>
      </c>
      <c r="F712" s="218" t="str">
        <v/>
      </c>
      <c r="G712" s="402" t="str">
        <v/>
      </c>
      <c r="H712" s="1605"/>
      <c r="I712" s="1605"/>
      <c r="J712" s="1605"/>
      <c r="K712" s="1605"/>
      <c r="L712" s="1605"/>
      <c r="M712" s="1605"/>
      <c r="N712" s="1605"/>
      <c r="O712" s="1605"/>
      <c r="P712" s="1605"/>
      <c r="Q712" s="1605"/>
      <c r="R712" s="1605"/>
      <c r="S712" s="1605"/>
      <c r="T712" s="1605"/>
      <c r="U712" s="1605"/>
      <c r="V712" s="1605"/>
      <c r="W712" s="1605"/>
      <c r="X712" s="1605"/>
      <c r="Y712" s="1605"/>
      <c r="Z712" s="1605"/>
      <c r="AA712" s="1605"/>
      <c r="AB712" s="1605"/>
      <c r="AC712" s="1605"/>
      <c r="AD712" s="1605"/>
      <c r="AE712" s="1605"/>
      <c r="AF712" s="1605"/>
      <c r="AG712" s="1605"/>
      <c r="AH712" s="1605"/>
      <c r="AI712" s="1605"/>
      <c r="AJ712" s="1605"/>
      <c r="AK712" s="1605"/>
      <c r="AL712" s="1605"/>
      <c r="AM712" s="1605"/>
      <c r="AN712" s="1605"/>
      <c r="AO712" s="1605"/>
      <c r="AP712" s="1605"/>
      <c r="AQ712" s="1605"/>
      <c r="AR712" s="1605"/>
      <c r="AS712" s="1605"/>
      <c r="AT712" s="1605"/>
      <c r="AU712" s="1605"/>
      <c r="AV712" s="1605"/>
      <c r="AW712" s="1605"/>
      <c r="AX712" s="1605"/>
      <c r="AY712" s="1605"/>
      <c r="AZ712" s="1605"/>
      <c r="BA712" s="1605"/>
      <c r="BB712" s="1605"/>
      <c r="BC712" s="1605"/>
      <c r="BD712" s="1605"/>
      <c r="BE712" s="1605"/>
      <c r="BF712" s="1605"/>
      <c r="BG712" s="1605"/>
      <c r="BH712" s="1605"/>
      <c r="BI712" s="1605"/>
      <c r="BJ712" s="1605"/>
      <c r="BK712" s="1605"/>
      <c r="BL712" s="1605"/>
      <c r="BM712" s="1605"/>
      <c r="BN712" s="1605"/>
      <c r="BO712" s="1605"/>
      <c r="BP712" s="1605"/>
      <c r="BQ712" s="1605"/>
      <c r="BR712" s="1605"/>
      <c r="BS712" s="1605"/>
      <c r="BT712" s="1605"/>
      <c r="BU712" s="1605"/>
      <c r="BV712" s="1605"/>
      <c r="BW712" s="1605"/>
      <c r="BX712" s="1605"/>
      <c r="BY712" s="1605"/>
      <c r="BZ712" s="1605"/>
      <c r="CA712" s="1605"/>
      <c r="CB712" s="1605"/>
      <c r="CC712" s="1605"/>
      <c r="CD712" s="1605"/>
      <c r="CE712" s="1605"/>
      <c r="CF712" s="1605"/>
      <c r="CG712" s="1605"/>
      <c r="CH712" s="1605"/>
      <c r="CI712" s="1605"/>
      <c r="CJ712" s="1605"/>
      <c r="CK712" s="1605"/>
      <c r="CL712" s="1605"/>
      <c r="CM712" s="1605"/>
      <c r="CN712" s="1605"/>
      <c r="CO712" s="1605"/>
      <c r="CP712" s="1605"/>
      <c r="CQ712" s="1605"/>
      <c r="CR712" s="1605"/>
      <c r="CS712" s="1605"/>
      <c r="CT712" s="1605"/>
      <c r="CU712" s="1605"/>
      <c r="CV712" s="1605"/>
      <c r="CW712" s="1605"/>
      <c r="CX712" s="1605"/>
      <c r="CY712" s="1605"/>
      <c r="CZ712" s="1605"/>
      <c r="DA712" s="1605"/>
      <c r="DB712" s="1605"/>
      <c r="DC712" s="1605"/>
      <c r="DD712" s="1605"/>
      <c r="DE712" s="1605"/>
      <c r="DF712" s="1605"/>
      <c r="DG712" s="1605"/>
      <c r="DH712" s="1605"/>
      <c r="DI712" s="1605"/>
      <c r="DJ712" s="1605"/>
      <c r="DK712" s="1605"/>
      <c r="DL712" s="1605"/>
      <c r="DM712" s="1605"/>
      <c r="DN712" s="1605"/>
      <c r="DO712" s="1605"/>
      <c r="DP712" s="1605"/>
      <c r="DQ712" s="1605"/>
      <c r="DR712" s="1605"/>
      <c r="DS712" s="1605"/>
      <c r="DT712" s="1605"/>
      <c r="DU712" s="1605"/>
      <c r="DV712" s="1605"/>
      <c r="DW712" s="1605"/>
      <c r="DX712" s="1605"/>
      <c r="DY712" s="1605"/>
      <c r="DZ712" s="1605"/>
      <c r="EA712" s="1605"/>
      <c r="EB712" s="1605"/>
      <c r="EC712" s="1605"/>
      <c r="ED712" s="1605"/>
      <c r="EE712" s="1605"/>
      <c r="EF712" s="1605"/>
      <c r="EG712" s="1605"/>
      <c r="EH712" s="1605"/>
      <c r="EI712" s="1605"/>
      <c r="EJ712" s="1605"/>
      <c r="EK712" s="1605"/>
      <c r="EL712" s="1605"/>
      <c r="EM712" s="1605"/>
      <c r="EN712" s="1605"/>
      <c r="EO712" s="1605"/>
      <c r="EP712" s="1605"/>
      <c r="EQ712" s="1605"/>
      <c r="ER712" s="1605"/>
      <c r="ES712" s="1605"/>
      <c r="ET712" s="1605"/>
      <c r="EU712" s="1605"/>
      <c r="EV712" s="1605"/>
      <c r="EW712" s="1605"/>
      <c r="EX712" s="1605"/>
      <c r="EY712" s="1605"/>
      <c r="EZ712" s="1605"/>
      <c r="FA712" s="1605"/>
      <c r="FB712" s="1605"/>
      <c r="FC712" s="1605"/>
      <c r="FD712" s="1605"/>
      <c r="FE712" s="1605"/>
      <c r="FF712" s="1605"/>
      <c r="FG712" s="1605"/>
      <c r="FH712" s="1605"/>
      <c r="FI712" s="1605"/>
      <c r="FJ712" s="1605"/>
      <c r="FK712" s="1605"/>
      <c r="FL712" s="1605"/>
      <c r="FM712" s="1605"/>
      <c r="FN712" s="1605"/>
      <c r="FO712" s="1605"/>
      <c r="FP712" s="1605"/>
      <c r="FQ712" s="1605"/>
      <c r="FR712" s="1605"/>
      <c r="FS712" s="1605"/>
      <c r="FT712" s="1605"/>
      <c r="FU712" s="1605"/>
      <c r="FV712" s="1605"/>
      <c r="FW712" s="1605"/>
      <c r="FX712" s="1605"/>
      <c r="FY712" s="1605"/>
      <c r="FZ712" s="1605"/>
      <c r="GA712" s="1605"/>
      <c r="GB712" s="1605"/>
      <c r="GC712" s="1605"/>
      <c r="GD712" s="1605"/>
      <c r="GE712" s="1605"/>
      <c r="GF712" s="1605"/>
      <c r="GG712" s="1605"/>
      <c r="GH712" s="1605"/>
      <c r="GI712" s="1605"/>
      <c r="GJ712" s="1605"/>
      <c r="GK712" s="1605"/>
      <c r="GL712" s="1605"/>
      <c r="GM712" s="1605"/>
      <c r="GN712" s="1605"/>
      <c r="GO712" s="1605"/>
      <c r="GP712" s="1605"/>
      <c r="GQ712" s="1605"/>
      <c r="GR712" s="1605"/>
      <c r="GS712" s="1605"/>
      <c r="GT712" s="1605"/>
      <c r="GU712" s="1605"/>
      <c r="GV712" s="1605"/>
      <c r="GW712" s="1605"/>
      <c r="GX712" s="1605"/>
      <c r="GY712" s="1605"/>
      <c r="GZ712" s="1605"/>
      <c r="HA712" s="1605"/>
      <c r="HB712" s="1605"/>
      <c r="HC712" s="1605"/>
      <c r="HD712" s="1605"/>
      <c r="HE712" s="1605"/>
      <c r="HF712" s="1605"/>
      <c r="HG712" s="1605"/>
      <c r="HH712" s="1605"/>
      <c r="HI712" s="1605"/>
      <c r="HJ712" s="1605"/>
      <c r="HK712" s="1605"/>
      <c r="HL712" s="1605"/>
      <c r="HM712" s="1605"/>
      <c r="HN712" s="1605"/>
      <c r="HO712" s="1605"/>
      <c r="HP712" s="1605"/>
      <c r="HQ712" s="1605"/>
      <c r="HR712" s="1605"/>
      <c r="HS712" s="1605"/>
      <c r="HT712" s="1605"/>
      <c r="HU712" s="1605"/>
      <c r="HV712" s="1605"/>
      <c r="HW712" s="1605"/>
      <c r="HX712" s="1605"/>
      <c r="HY712" s="1605"/>
      <c r="HZ712" s="1605"/>
      <c r="IA712" s="1605"/>
      <c r="IB712" s="1605"/>
      <c r="IC712" s="1605"/>
      <c r="ID712" s="1605"/>
      <c r="IE712" s="1605"/>
      <c r="IF712" s="1605"/>
      <c r="IG712" s="1605"/>
      <c r="IH712" s="1605"/>
      <c r="II712" s="1605"/>
      <c r="IJ712" s="1605"/>
      <c r="IK712" s="1605"/>
      <c r="IL712" s="1605"/>
      <c r="IM712" s="1605"/>
      <c r="IN712" s="1605"/>
      <c r="IO712" s="1605"/>
      <c r="IP712" s="1605"/>
      <c r="IQ712" s="1605"/>
      <c r="IR712" s="1605"/>
      <c r="IS712" s="1605"/>
      <c r="IT712" s="1605"/>
      <c r="IU712" s="1605"/>
      <c r="IV712" s="1605"/>
      <c r="IW712" s="1605"/>
      <c r="IX712" s="1605"/>
      <c r="IY712" s="1605"/>
      <c r="IZ712" s="1605"/>
      <c r="JA712" s="1605"/>
      <c r="JB712" s="1605"/>
      <c r="JC712" s="1605"/>
      <c r="JD712" s="1605"/>
      <c r="JE712" s="1605"/>
      <c r="JF712" s="1605"/>
      <c r="JG712" s="1605"/>
      <c r="JH712" s="1605"/>
      <c r="JI712" s="1605"/>
      <c r="JJ712" s="1605"/>
      <c r="JK712" s="1605"/>
      <c r="JL712" s="1605"/>
      <c r="JM712" s="1605"/>
      <c r="JN712" s="1605"/>
      <c r="JO712" s="1605"/>
      <c r="JP712" s="1605"/>
      <c r="JQ712" s="1605"/>
      <c r="JR712" s="1605"/>
      <c r="JS712" s="1605"/>
      <c r="JT712" s="1605"/>
      <c r="JU712" s="1605"/>
      <c r="JV712" s="1605"/>
      <c r="JW712" s="1605"/>
      <c r="JX712" s="1605"/>
      <c r="JY712" s="1605"/>
      <c r="JZ712" s="1605"/>
      <c r="KA712" s="1605"/>
      <c r="KB712" s="1606"/>
    </row>
    <row r="713" spans="2:288" ht="15" customHeight="1" x14ac:dyDescent="0.25">
      <c r="B713" s="216" t="str">
        <f t="shared" si="56"/>
        <v>Desk 83</v>
      </c>
      <c r="C713" s="218" t="str">
        <v/>
      </c>
      <c r="D713" s="218" t="str">
        <v/>
      </c>
      <c r="E713" s="218" t="str">
        <v/>
      </c>
      <c r="F713" s="218" t="str">
        <v/>
      </c>
      <c r="G713" s="402" t="str">
        <v/>
      </c>
      <c r="H713" s="1605"/>
      <c r="I713" s="1605"/>
      <c r="J713" s="1605"/>
      <c r="K713" s="1605"/>
      <c r="L713" s="1605"/>
      <c r="M713" s="1605"/>
      <c r="N713" s="1605"/>
      <c r="O713" s="1605"/>
      <c r="P713" s="1605"/>
      <c r="Q713" s="1605"/>
      <c r="R713" s="1605"/>
      <c r="S713" s="1605"/>
      <c r="T713" s="1605"/>
      <c r="U713" s="1605"/>
      <c r="V713" s="1605"/>
      <c r="W713" s="1605"/>
      <c r="X713" s="1605"/>
      <c r="Y713" s="1605"/>
      <c r="Z713" s="1605"/>
      <c r="AA713" s="1605"/>
      <c r="AB713" s="1605"/>
      <c r="AC713" s="1605"/>
      <c r="AD713" s="1605"/>
      <c r="AE713" s="1605"/>
      <c r="AF713" s="1605"/>
      <c r="AG713" s="1605"/>
      <c r="AH713" s="1605"/>
      <c r="AI713" s="1605"/>
      <c r="AJ713" s="1605"/>
      <c r="AK713" s="1605"/>
      <c r="AL713" s="1605"/>
      <c r="AM713" s="1605"/>
      <c r="AN713" s="1605"/>
      <c r="AO713" s="1605"/>
      <c r="AP713" s="1605"/>
      <c r="AQ713" s="1605"/>
      <c r="AR713" s="1605"/>
      <c r="AS713" s="1605"/>
      <c r="AT713" s="1605"/>
      <c r="AU713" s="1605"/>
      <c r="AV713" s="1605"/>
      <c r="AW713" s="1605"/>
      <c r="AX713" s="1605"/>
      <c r="AY713" s="1605"/>
      <c r="AZ713" s="1605"/>
      <c r="BA713" s="1605"/>
      <c r="BB713" s="1605"/>
      <c r="BC713" s="1605"/>
      <c r="BD713" s="1605"/>
      <c r="BE713" s="1605"/>
      <c r="BF713" s="1605"/>
      <c r="BG713" s="1605"/>
      <c r="BH713" s="1605"/>
      <c r="BI713" s="1605"/>
      <c r="BJ713" s="1605"/>
      <c r="BK713" s="1605"/>
      <c r="BL713" s="1605"/>
      <c r="BM713" s="1605"/>
      <c r="BN713" s="1605"/>
      <c r="BO713" s="1605"/>
      <c r="BP713" s="1605"/>
      <c r="BQ713" s="1605"/>
      <c r="BR713" s="1605"/>
      <c r="BS713" s="1605"/>
      <c r="BT713" s="1605"/>
      <c r="BU713" s="1605"/>
      <c r="BV713" s="1605"/>
      <c r="BW713" s="1605"/>
      <c r="BX713" s="1605"/>
      <c r="BY713" s="1605"/>
      <c r="BZ713" s="1605"/>
      <c r="CA713" s="1605"/>
      <c r="CB713" s="1605"/>
      <c r="CC713" s="1605"/>
      <c r="CD713" s="1605"/>
      <c r="CE713" s="1605"/>
      <c r="CF713" s="1605"/>
      <c r="CG713" s="1605"/>
      <c r="CH713" s="1605"/>
      <c r="CI713" s="1605"/>
      <c r="CJ713" s="1605"/>
      <c r="CK713" s="1605"/>
      <c r="CL713" s="1605"/>
      <c r="CM713" s="1605"/>
      <c r="CN713" s="1605"/>
      <c r="CO713" s="1605"/>
      <c r="CP713" s="1605"/>
      <c r="CQ713" s="1605"/>
      <c r="CR713" s="1605"/>
      <c r="CS713" s="1605"/>
      <c r="CT713" s="1605"/>
      <c r="CU713" s="1605"/>
      <c r="CV713" s="1605"/>
      <c r="CW713" s="1605"/>
      <c r="CX713" s="1605"/>
      <c r="CY713" s="1605"/>
      <c r="CZ713" s="1605"/>
      <c r="DA713" s="1605"/>
      <c r="DB713" s="1605"/>
      <c r="DC713" s="1605"/>
      <c r="DD713" s="1605"/>
      <c r="DE713" s="1605"/>
      <c r="DF713" s="1605"/>
      <c r="DG713" s="1605"/>
      <c r="DH713" s="1605"/>
      <c r="DI713" s="1605"/>
      <c r="DJ713" s="1605"/>
      <c r="DK713" s="1605"/>
      <c r="DL713" s="1605"/>
      <c r="DM713" s="1605"/>
      <c r="DN713" s="1605"/>
      <c r="DO713" s="1605"/>
      <c r="DP713" s="1605"/>
      <c r="DQ713" s="1605"/>
      <c r="DR713" s="1605"/>
      <c r="DS713" s="1605"/>
      <c r="DT713" s="1605"/>
      <c r="DU713" s="1605"/>
      <c r="DV713" s="1605"/>
      <c r="DW713" s="1605"/>
      <c r="DX713" s="1605"/>
      <c r="DY713" s="1605"/>
      <c r="DZ713" s="1605"/>
      <c r="EA713" s="1605"/>
      <c r="EB713" s="1605"/>
      <c r="EC713" s="1605"/>
      <c r="ED713" s="1605"/>
      <c r="EE713" s="1605"/>
      <c r="EF713" s="1605"/>
      <c r="EG713" s="1605"/>
      <c r="EH713" s="1605"/>
      <c r="EI713" s="1605"/>
      <c r="EJ713" s="1605"/>
      <c r="EK713" s="1605"/>
      <c r="EL713" s="1605"/>
      <c r="EM713" s="1605"/>
      <c r="EN713" s="1605"/>
      <c r="EO713" s="1605"/>
      <c r="EP713" s="1605"/>
      <c r="EQ713" s="1605"/>
      <c r="ER713" s="1605"/>
      <c r="ES713" s="1605"/>
      <c r="ET713" s="1605"/>
      <c r="EU713" s="1605"/>
      <c r="EV713" s="1605"/>
      <c r="EW713" s="1605"/>
      <c r="EX713" s="1605"/>
      <c r="EY713" s="1605"/>
      <c r="EZ713" s="1605"/>
      <c r="FA713" s="1605"/>
      <c r="FB713" s="1605"/>
      <c r="FC713" s="1605"/>
      <c r="FD713" s="1605"/>
      <c r="FE713" s="1605"/>
      <c r="FF713" s="1605"/>
      <c r="FG713" s="1605"/>
      <c r="FH713" s="1605"/>
      <c r="FI713" s="1605"/>
      <c r="FJ713" s="1605"/>
      <c r="FK713" s="1605"/>
      <c r="FL713" s="1605"/>
      <c r="FM713" s="1605"/>
      <c r="FN713" s="1605"/>
      <c r="FO713" s="1605"/>
      <c r="FP713" s="1605"/>
      <c r="FQ713" s="1605"/>
      <c r="FR713" s="1605"/>
      <c r="FS713" s="1605"/>
      <c r="FT713" s="1605"/>
      <c r="FU713" s="1605"/>
      <c r="FV713" s="1605"/>
      <c r="FW713" s="1605"/>
      <c r="FX713" s="1605"/>
      <c r="FY713" s="1605"/>
      <c r="FZ713" s="1605"/>
      <c r="GA713" s="1605"/>
      <c r="GB713" s="1605"/>
      <c r="GC713" s="1605"/>
      <c r="GD713" s="1605"/>
      <c r="GE713" s="1605"/>
      <c r="GF713" s="1605"/>
      <c r="GG713" s="1605"/>
      <c r="GH713" s="1605"/>
      <c r="GI713" s="1605"/>
      <c r="GJ713" s="1605"/>
      <c r="GK713" s="1605"/>
      <c r="GL713" s="1605"/>
      <c r="GM713" s="1605"/>
      <c r="GN713" s="1605"/>
      <c r="GO713" s="1605"/>
      <c r="GP713" s="1605"/>
      <c r="GQ713" s="1605"/>
      <c r="GR713" s="1605"/>
      <c r="GS713" s="1605"/>
      <c r="GT713" s="1605"/>
      <c r="GU713" s="1605"/>
      <c r="GV713" s="1605"/>
      <c r="GW713" s="1605"/>
      <c r="GX713" s="1605"/>
      <c r="GY713" s="1605"/>
      <c r="GZ713" s="1605"/>
      <c r="HA713" s="1605"/>
      <c r="HB713" s="1605"/>
      <c r="HC713" s="1605"/>
      <c r="HD713" s="1605"/>
      <c r="HE713" s="1605"/>
      <c r="HF713" s="1605"/>
      <c r="HG713" s="1605"/>
      <c r="HH713" s="1605"/>
      <c r="HI713" s="1605"/>
      <c r="HJ713" s="1605"/>
      <c r="HK713" s="1605"/>
      <c r="HL713" s="1605"/>
      <c r="HM713" s="1605"/>
      <c r="HN713" s="1605"/>
      <c r="HO713" s="1605"/>
      <c r="HP713" s="1605"/>
      <c r="HQ713" s="1605"/>
      <c r="HR713" s="1605"/>
      <c r="HS713" s="1605"/>
      <c r="HT713" s="1605"/>
      <c r="HU713" s="1605"/>
      <c r="HV713" s="1605"/>
      <c r="HW713" s="1605"/>
      <c r="HX713" s="1605"/>
      <c r="HY713" s="1605"/>
      <c r="HZ713" s="1605"/>
      <c r="IA713" s="1605"/>
      <c r="IB713" s="1605"/>
      <c r="IC713" s="1605"/>
      <c r="ID713" s="1605"/>
      <c r="IE713" s="1605"/>
      <c r="IF713" s="1605"/>
      <c r="IG713" s="1605"/>
      <c r="IH713" s="1605"/>
      <c r="II713" s="1605"/>
      <c r="IJ713" s="1605"/>
      <c r="IK713" s="1605"/>
      <c r="IL713" s="1605"/>
      <c r="IM713" s="1605"/>
      <c r="IN713" s="1605"/>
      <c r="IO713" s="1605"/>
      <c r="IP713" s="1605"/>
      <c r="IQ713" s="1605"/>
      <c r="IR713" s="1605"/>
      <c r="IS713" s="1605"/>
      <c r="IT713" s="1605"/>
      <c r="IU713" s="1605"/>
      <c r="IV713" s="1605"/>
      <c r="IW713" s="1605"/>
      <c r="IX713" s="1605"/>
      <c r="IY713" s="1605"/>
      <c r="IZ713" s="1605"/>
      <c r="JA713" s="1605"/>
      <c r="JB713" s="1605"/>
      <c r="JC713" s="1605"/>
      <c r="JD713" s="1605"/>
      <c r="JE713" s="1605"/>
      <c r="JF713" s="1605"/>
      <c r="JG713" s="1605"/>
      <c r="JH713" s="1605"/>
      <c r="JI713" s="1605"/>
      <c r="JJ713" s="1605"/>
      <c r="JK713" s="1605"/>
      <c r="JL713" s="1605"/>
      <c r="JM713" s="1605"/>
      <c r="JN713" s="1605"/>
      <c r="JO713" s="1605"/>
      <c r="JP713" s="1605"/>
      <c r="JQ713" s="1605"/>
      <c r="JR713" s="1605"/>
      <c r="JS713" s="1605"/>
      <c r="JT713" s="1605"/>
      <c r="JU713" s="1605"/>
      <c r="JV713" s="1605"/>
      <c r="JW713" s="1605"/>
      <c r="JX713" s="1605"/>
      <c r="JY713" s="1605"/>
      <c r="JZ713" s="1605"/>
      <c r="KA713" s="1605"/>
      <c r="KB713" s="1606"/>
    </row>
    <row r="714" spans="2:288" ht="15" customHeight="1" x14ac:dyDescent="0.25">
      <c r="B714" s="216" t="str">
        <f t="shared" si="56"/>
        <v>Desk 84</v>
      </c>
      <c r="C714" s="218" t="str">
        <v/>
      </c>
      <c r="D714" s="218" t="str">
        <v/>
      </c>
      <c r="E714" s="218" t="str">
        <v/>
      </c>
      <c r="F714" s="218" t="str">
        <v/>
      </c>
      <c r="G714" s="402" t="str">
        <v/>
      </c>
      <c r="H714" s="1605"/>
      <c r="I714" s="1605"/>
      <c r="J714" s="1605"/>
      <c r="K714" s="1605"/>
      <c r="L714" s="1605"/>
      <c r="M714" s="1605"/>
      <c r="N714" s="1605"/>
      <c r="O714" s="1605"/>
      <c r="P714" s="1605"/>
      <c r="Q714" s="1605"/>
      <c r="R714" s="1605"/>
      <c r="S714" s="1605"/>
      <c r="T714" s="1605"/>
      <c r="U714" s="1605"/>
      <c r="V714" s="1605"/>
      <c r="W714" s="1605"/>
      <c r="X714" s="1605"/>
      <c r="Y714" s="1605"/>
      <c r="Z714" s="1605"/>
      <c r="AA714" s="1605"/>
      <c r="AB714" s="1605"/>
      <c r="AC714" s="1605"/>
      <c r="AD714" s="1605"/>
      <c r="AE714" s="1605"/>
      <c r="AF714" s="1605"/>
      <c r="AG714" s="1605"/>
      <c r="AH714" s="1605"/>
      <c r="AI714" s="1605"/>
      <c r="AJ714" s="1605"/>
      <c r="AK714" s="1605"/>
      <c r="AL714" s="1605"/>
      <c r="AM714" s="1605"/>
      <c r="AN714" s="1605"/>
      <c r="AO714" s="1605"/>
      <c r="AP714" s="1605"/>
      <c r="AQ714" s="1605"/>
      <c r="AR714" s="1605"/>
      <c r="AS714" s="1605"/>
      <c r="AT714" s="1605"/>
      <c r="AU714" s="1605"/>
      <c r="AV714" s="1605"/>
      <c r="AW714" s="1605"/>
      <c r="AX714" s="1605"/>
      <c r="AY714" s="1605"/>
      <c r="AZ714" s="1605"/>
      <c r="BA714" s="1605"/>
      <c r="BB714" s="1605"/>
      <c r="BC714" s="1605"/>
      <c r="BD714" s="1605"/>
      <c r="BE714" s="1605"/>
      <c r="BF714" s="1605"/>
      <c r="BG714" s="1605"/>
      <c r="BH714" s="1605"/>
      <c r="BI714" s="1605"/>
      <c r="BJ714" s="1605"/>
      <c r="BK714" s="1605"/>
      <c r="BL714" s="1605"/>
      <c r="BM714" s="1605"/>
      <c r="BN714" s="1605"/>
      <c r="BO714" s="1605"/>
      <c r="BP714" s="1605"/>
      <c r="BQ714" s="1605"/>
      <c r="BR714" s="1605"/>
      <c r="BS714" s="1605"/>
      <c r="BT714" s="1605"/>
      <c r="BU714" s="1605"/>
      <c r="BV714" s="1605"/>
      <c r="BW714" s="1605"/>
      <c r="BX714" s="1605"/>
      <c r="BY714" s="1605"/>
      <c r="BZ714" s="1605"/>
      <c r="CA714" s="1605"/>
      <c r="CB714" s="1605"/>
      <c r="CC714" s="1605"/>
      <c r="CD714" s="1605"/>
      <c r="CE714" s="1605"/>
      <c r="CF714" s="1605"/>
      <c r="CG714" s="1605"/>
      <c r="CH714" s="1605"/>
      <c r="CI714" s="1605"/>
      <c r="CJ714" s="1605"/>
      <c r="CK714" s="1605"/>
      <c r="CL714" s="1605"/>
      <c r="CM714" s="1605"/>
      <c r="CN714" s="1605"/>
      <c r="CO714" s="1605"/>
      <c r="CP714" s="1605"/>
      <c r="CQ714" s="1605"/>
      <c r="CR714" s="1605"/>
      <c r="CS714" s="1605"/>
      <c r="CT714" s="1605"/>
      <c r="CU714" s="1605"/>
      <c r="CV714" s="1605"/>
      <c r="CW714" s="1605"/>
      <c r="CX714" s="1605"/>
      <c r="CY714" s="1605"/>
      <c r="CZ714" s="1605"/>
      <c r="DA714" s="1605"/>
      <c r="DB714" s="1605"/>
      <c r="DC714" s="1605"/>
      <c r="DD714" s="1605"/>
      <c r="DE714" s="1605"/>
      <c r="DF714" s="1605"/>
      <c r="DG714" s="1605"/>
      <c r="DH714" s="1605"/>
      <c r="DI714" s="1605"/>
      <c r="DJ714" s="1605"/>
      <c r="DK714" s="1605"/>
      <c r="DL714" s="1605"/>
      <c r="DM714" s="1605"/>
      <c r="DN714" s="1605"/>
      <c r="DO714" s="1605"/>
      <c r="DP714" s="1605"/>
      <c r="DQ714" s="1605"/>
      <c r="DR714" s="1605"/>
      <c r="DS714" s="1605"/>
      <c r="DT714" s="1605"/>
      <c r="DU714" s="1605"/>
      <c r="DV714" s="1605"/>
      <c r="DW714" s="1605"/>
      <c r="DX714" s="1605"/>
      <c r="DY714" s="1605"/>
      <c r="DZ714" s="1605"/>
      <c r="EA714" s="1605"/>
      <c r="EB714" s="1605"/>
      <c r="EC714" s="1605"/>
      <c r="ED714" s="1605"/>
      <c r="EE714" s="1605"/>
      <c r="EF714" s="1605"/>
      <c r="EG714" s="1605"/>
      <c r="EH714" s="1605"/>
      <c r="EI714" s="1605"/>
      <c r="EJ714" s="1605"/>
      <c r="EK714" s="1605"/>
      <c r="EL714" s="1605"/>
      <c r="EM714" s="1605"/>
      <c r="EN714" s="1605"/>
      <c r="EO714" s="1605"/>
      <c r="EP714" s="1605"/>
      <c r="EQ714" s="1605"/>
      <c r="ER714" s="1605"/>
      <c r="ES714" s="1605"/>
      <c r="ET714" s="1605"/>
      <c r="EU714" s="1605"/>
      <c r="EV714" s="1605"/>
      <c r="EW714" s="1605"/>
      <c r="EX714" s="1605"/>
      <c r="EY714" s="1605"/>
      <c r="EZ714" s="1605"/>
      <c r="FA714" s="1605"/>
      <c r="FB714" s="1605"/>
      <c r="FC714" s="1605"/>
      <c r="FD714" s="1605"/>
      <c r="FE714" s="1605"/>
      <c r="FF714" s="1605"/>
      <c r="FG714" s="1605"/>
      <c r="FH714" s="1605"/>
      <c r="FI714" s="1605"/>
      <c r="FJ714" s="1605"/>
      <c r="FK714" s="1605"/>
      <c r="FL714" s="1605"/>
      <c r="FM714" s="1605"/>
      <c r="FN714" s="1605"/>
      <c r="FO714" s="1605"/>
      <c r="FP714" s="1605"/>
      <c r="FQ714" s="1605"/>
      <c r="FR714" s="1605"/>
      <c r="FS714" s="1605"/>
      <c r="FT714" s="1605"/>
      <c r="FU714" s="1605"/>
      <c r="FV714" s="1605"/>
      <c r="FW714" s="1605"/>
      <c r="FX714" s="1605"/>
      <c r="FY714" s="1605"/>
      <c r="FZ714" s="1605"/>
      <c r="GA714" s="1605"/>
      <c r="GB714" s="1605"/>
      <c r="GC714" s="1605"/>
      <c r="GD714" s="1605"/>
      <c r="GE714" s="1605"/>
      <c r="GF714" s="1605"/>
      <c r="GG714" s="1605"/>
      <c r="GH714" s="1605"/>
      <c r="GI714" s="1605"/>
      <c r="GJ714" s="1605"/>
      <c r="GK714" s="1605"/>
      <c r="GL714" s="1605"/>
      <c r="GM714" s="1605"/>
      <c r="GN714" s="1605"/>
      <c r="GO714" s="1605"/>
      <c r="GP714" s="1605"/>
      <c r="GQ714" s="1605"/>
      <c r="GR714" s="1605"/>
      <c r="GS714" s="1605"/>
      <c r="GT714" s="1605"/>
      <c r="GU714" s="1605"/>
      <c r="GV714" s="1605"/>
      <c r="GW714" s="1605"/>
      <c r="GX714" s="1605"/>
      <c r="GY714" s="1605"/>
      <c r="GZ714" s="1605"/>
      <c r="HA714" s="1605"/>
      <c r="HB714" s="1605"/>
      <c r="HC714" s="1605"/>
      <c r="HD714" s="1605"/>
      <c r="HE714" s="1605"/>
      <c r="HF714" s="1605"/>
      <c r="HG714" s="1605"/>
      <c r="HH714" s="1605"/>
      <c r="HI714" s="1605"/>
      <c r="HJ714" s="1605"/>
      <c r="HK714" s="1605"/>
      <c r="HL714" s="1605"/>
      <c r="HM714" s="1605"/>
      <c r="HN714" s="1605"/>
      <c r="HO714" s="1605"/>
      <c r="HP714" s="1605"/>
      <c r="HQ714" s="1605"/>
      <c r="HR714" s="1605"/>
      <c r="HS714" s="1605"/>
      <c r="HT714" s="1605"/>
      <c r="HU714" s="1605"/>
      <c r="HV714" s="1605"/>
      <c r="HW714" s="1605"/>
      <c r="HX714" s="1605"/>
      <c r="HY714" s="1605"/>
      <c r="HZ714" s="1605"/>
      <c r="IA714" s="1605"/>
      <c r="IB714" s="1605"/>
      <c r="IC714" s="1605"/>
      <c r="ID714" s="1605"/>
      <c r="IE714" s="1605"/>
      <c r="IF714" s="1605"/>
      <c r="IG714" s="1605"/>
      <c r="IH714" s="1605"/>
      <c r="II714" s="1605"/>
      <c r="IJ714" s="1605"/>
      <c r="IK714" s="1605"/>
      <c r="IL714" s="1605"/>
      <c r="IM714" s="1605"/>
      <c r="IN714" s="1605"/>
      <c r="IO714" s="1605"/>
      <c r="IP714" s="1605"/>
      <c r="IQ714" s="1605"/>
      <c r="IR714" s="1605"/>
      <c r="IS714" s="1605"/>
      <c r="IT714" s="1605"/>
      <c r="IU714" s="1605"/>
      <c r="IV714" s="1605"/>
      <c r="IW714" s="1605"/>
      <c r="IX714" s="1605"/>
      <c r="IY714" s="1605"/>
      <c r="IZ714" s="1605"/>
      <c r="JA714" s="1605"/>
      <c r="JB714" s="1605"/>
      <c r="JC714" s="1605"/>
      <c r="JD714" s="1605"/>
      <c r="JE714" s="1605"/>
      <c r="JF714" s="1605"/>
      <c r="JG714" s="1605"/>
      <c r="JH714" s="1605"/>
      <c r="JI714" s="1605"/>
      <c r="JJ714" s="1605"/>
      <c r="JK714" s="1605"/>
      <c r="JL714" s="1605"/>
      <c r="JM714" s="1605"/>
      <c r="JN714" s="1605"/>
      <c r="JO714" s="1605"/>
      <c r="JP714" s="1605"/>
      <c r="JQ714" s="1605"/>
      <c r="JR714" s="1605"/>
      <c r="JS714" s="1605"/>
      <c r="JT714" s="1605"/>
      <c r="JU714" s="1605"/>
      <c r="JV714" s="1605"/>
      <c r="JW714" s="1605"/>
      <c r="JX714" s="1605"/>
      <c r="JY714" s="1605"/>
      <c r="JZ714" s="1605"/>
      <c r="KA714" s="1605"/>
      <c r="KB714" s="1606"/>
    </row>
    <row r="715" spans="2:288" ht="15" customHeight="1" x14ac:dyDescent="0.25">
      <c r="B715" s="216" t="str">
        <f t="shared" si="56"/>
        <v>Desk 85</v>
      </c>
      <c r="C715" s="218" t="str">
        <v/>
      </c>
      <c r="D715" s="218" t="str">
        <v/>
      </c>
      <c r="E715" s="218" t="str">
        <v/>
      </c>
      <c r="F715" s="218" t="str">
        <v/>
      </c>
      <c r="G715" s="402" t="str">
        <v/>
      </c>
      <c r="H715" s="1605"/>
      <c r="I715" s="1605"/>
      <c r="J715" s="1605"/>
      <c r="K715" s="1605"/>
      <c r="L715" s="1605"/>
      <c r="M715" s="1605"/>
      <c r="N715" s="1605"/>
      <c r="O715" s="1605"/>
      <c r="P715" s="1605"/>
      <c r="Q715" s="1605"/>
      <c r="R715" s="1605"/>
      <c r="S715" s="1605"/>
      <c r="T715" s="1605"/>
      <c r="U715" s="1605"/>
      <c r="V715" s="1605"/>
      <c r="W715" s="1605"/>
      <c r="X715" s="1605"/>
      <c r="Y715" s="1605"/>
      <c r="Z715" s="1605"/>
      <c r="AA715" s="1605"/>
      <c r="AB715" s="1605"/>
      <c r="AC715" s="1605"/>
      <c r="AD715" s="1605"/>
      <c r="AE715" s="1605"/>
      <c r="AF715" s="1605"/>
      <c r="AG715" s="1605"/>
      <c r="AH715" s="1605"/>
      <c r="AI715" s="1605"/>
      <c r="AJ715" s="1605"/>
      <c r="AK715" s="1605"/>
      <c r="AL715" s="1605"/>
      <c r="AM715" s="1605"/>
      <c r="AN715" s="1605"/>
      <c r="AO715" s="1605"/>
      <c r="AP715" s="1605"/>
      <c r="AQ715" s="1605"/>
      <c r="AR715" s="1605"/>
      <c r="AS715" s="1605"/>
      <c r="AT715" s="1605"/>
      <c r="AU715" s="1605"/>
      <c r="AV715" s="1605"/>
      <c r="AW715" s="1605"/>
      <c r="AX715" s="1605"/>
      <c r="AY715" s="1605"/>
      <c r="AZ715" s="1605"/>
      <c r="BA715" s="1605"/>
      <c r="BB715" s="1605"/>
      <c r="BC715" s="1605"/>
      <c r="BD715" s="1605"/>
      <c r="BE715" s="1605"/>
      <c r="BF715" s="1605"/>
      <c r="BG715" s="1605"/>
      <c r="BH715" s="1605"/>
      <c r="BI715" s="1605"/>
      <c r="BJ715" s="1605"/>
      <c r="BK715" s="1605"/>
      <c r="BL715" s="1605"/>
      <c r="BM715" s="1605"/>
      <c r="BN715" s="1605"/>
      <c r="BO715" s="1605"/>
      <c r="BP715" s="1605"/>
      <c r="BQ715" s="1605"/>
      <c r="BR715" s="1605"/>
      <c r="BS715" s="1605"/>
      <c r="BT715" s="1605"/>
      <c r="BU715" s="1605"/>
      <c r="BV715" s="1605"/>
      <c r="BW715" s="1605"/>
      <c r="BX715" s="1605"/>
      <c r="BY715" s="1605"/>
      <c r="BZ715" s="1605"/>
      <c r="CA715" s="1605"/>
      <c r="CB715" s="1605"/>
      <c r="CC715" s="1605"/>
      <c r="CD715" s="1605"/>
      <c r="CE715" s="1605"/>
      <c r="CF715" s="1605"/>
      <c r="CG715" s="1605"/>
      <c r="CH715" s="1605"/>
      <c r="CI715" s="1605"/>
      <c r="CJ715" s="1605"/>
      <c r="CK715" s="1605"/>
      <c r="CL715" s="1605"/>
      <c r="CM715" s="1605"/>
      <c r="CN715" s="1605"/>
      <c r="CO715" s="1605"/>
      <c r="CP715" s="1605"/>
      <c r="CQ715" s="1605"/>
      <c r="CR715" s="1605"/>
      <c r="CS715" s="1605"/>
      <c r="CT715" s="1605"/>
      <c r="CU715" s="1605"/>
      <c r="CV715" s="1605"/>
      <c r="CW715" s="1605"/>
      <c r="CX715" s="1605"/>
      <c r="CY715" s="1605"/>
      <c r="CZ715" s="1605"/>
      <c r="DA715" s="1605"/>
      <c r="DB715" s="1605"/>
      <c r="DC715" s="1605"/>
      <c r="DD715" s="1605"/>
      <c r="DE715" s="1605"/>
      <c r="DF715" s="1605"/>
      <c r="DG715" s="1605"/>
      <c r="DH715" s="1605"/>
      <c r="DI715" s="1605"/>
      <c r="DJ715" s="1605"/>
      <c r="DK715" s="1605"/>
      <c r="DL715" s="1605"/>
      <c r="DM715" s="1605"/>
      <c r="DN715" s="1605"/>
      <c r="DO715" s="1605"/>
      <c r="DP715" s="1605"/>
      <c r="DQ715" s="1605"/>
      <c r="DR715" s="1605"/>
      <c r="DS715" s="1605"/>
      <c r="DT715" s="1605"/>
      <c r="DU715" s="1605"/>
      <c r="DV715" s="1605"/>
      <c r="DW715" s="1605"/>
      <c r="DX715" s="1605"/>
      <c r="DY715" s="1605"/>
      <c r="DZ715" s="1605"/>
      <c r="EA715" s="1605"/>
      <c r="EB715" s="1605"/>
      <c r="EC715" s="1605"/>
      <c r="ED715" s="1605"/>
      <c r="EE715" s="1605"/>
      <c r="EF715" s="1605"/>
      <c r="EG715" s="1605"/>
      <c r="EH715" s="1605"/>
      <c r="EI715" s="1605"/>
      <c r="EJ715" s="1605"/>
      <c r="EK715" s="1605"/>
      <c r="EL715" s="1605"/>
      <c r="EM715" s="1605"/>
      <c r="EN715" s="1605"/>
      <c r="EO715" s="1605"/>
      <c r="EP715" s="1605"/>
      <c r="EQ715" s="1605"/>
      <c r="ER715" s="1605"/>
      <c r="ES715" s="1605"/>
      <c r="ET715" s="1605"/>
      <c r="EU715" s="1605"/>
      <c r="EV715" s="1605"/>
      <c r="EW715" s="1605"/>
      <c r="EX715" s="1605"/>
      <c r="EY715" s="1605"/>
      <c r="EZ715" s="1605"/>
      <c r="FA715" s="1605"/>
      <c r="FB715" s="1605"/>
      <c r="FC715" s="1605"/>
      <c r="FD715" s="1605"/>
      <c r="FE715" s="1605"/>
      <c r="FF715" s="1605"/>
      <c r="FG715" s="1605"/>
      <c r="FH715" s="1605"/>
      <c r="FI715" s="1605"/>
      <c r="FJ715" s="1605"/>
      <c r="FK715" s="1605"/>
      <c r="FL715" s="1605"/>
      <c r="FM715" s="1605"/>
      <c r="FN715" s="1605"/>
      <c r="FO715" s="1605"/>
      <c r="FP715" s="1605"/>
      <c r="FQ715" s="1605"/>
      <c r="FR715" s="1605"/>
      <c r="FS715" s="1605"/>
      <c r="FT715" s="1605"/>
      <c r="FU715" s="1605"/>
      <c r="FV715" s="1605"/>
      <c r="FW715" s="1605"/>
      <c r="FX715" s="1605"/>
      <c r="FY715" s="1605"/>
      <c r="FZ715" s="1605"/>
      <c r="GA715" s="1605"/>
      <c r="GB715" s="1605"/>
      <c r="GC715" s="1605"/>
      <c r="GD715" s="1605"/>
      <c r="GE715" s="1605"/>
      <c r="GF715" s="1605"/>
      <c r="GG715" s="1605"/>
      <c r="GH715" s="1605"/>
      <c r="GI715" s="1605"/>
      <c r="GJ715" s="1605"/>
      <c r="GK715" s="1605"/>
      <c r="GL715" s="1605"/>
      <c r="GM715" s="1605"/>
      <c r="GN715" s="1605"/>
      <c r="GO715" s="1605"/>
      <c r="GP715" s="1605"/>
      <c r="GQ715" s="1605"/>
      <c r="GR715" s="1605"/>
      <c r="GS715" s="1605"/>
      <c r="GT715" s="1605"/>
      <c r="GU715" s="1605"/>
      <c r="GV715" s="1605"/>
      <c r="GW715" s="1605"/>
      <c r="GX715" s="1605"/>
      <c r="GY715" s="1605"/>
      <c r="GZ715" s="1605"/>
      <c r="HA715" s="1605"/>
      <c r="HB715" s="1605"/>
      <c r="HC715" s="1605"/>
      <c r="HD715" s="1605"/>
      <c r="HE715" s="1605"/>
      <c r="HF715" s="1605"/>
      <c r="HG715" s="1605"/>
      <c r="HH715" s="1605"/>
      <c r="HI715" s="1605"/>
      <c r="HJ715" s="1605"/>
      <c r="HK715" s="1605"/>
      <c r="HL715" s="1605"/>
      <c r="HM715" s="1605"/>
      <c r="HN715" s="1605"/>
      <c r="HO715" s="1605"/>
      <c r="HP715" s="1605"/>
      <c r="HQ715" s="1605"/>
      <c r="HR715" s="1605"/>
      <c r="HS715" s="1605"/>
      <c r="HT715" s="1605"/>
      <c r="HU715" s="1605"/>
      <c r="HV715" s="1605"/>
      <c r="HW715" s="1605"/>
      <c r="HX715" s="1605"/>
      <c r="HY715" s="1605"/>
      <c r="HZ715" s="1605"/>
      <c r="IA715" s="1605"/>
      <c r="IB715" s="1605"/>
      <c r="IC715" s="1605"/>
      <c r="ID715" s="1605"/>
      <c r="IE715" s="1605"/>
      <c r="IF715" s="1605"/>
      <c r="IG715" s="1605"/>
      <c r="IH715" s="1605"/>
      <c r="II715" s="1605"/>
      <c r="IJ715" s="1605"/>
      <c r="IK715" s="1605"/>
      <c r="IL715" s="1605"/>
      <c r="IM715" s="1605"/>
      <c r="IN715" s="1605"/>
      <c r="IO715" s="1605"/>
      <c r="IP715" s="1605"/>
      <c r="IQ715" s="1605"/>
      <c r="IR715" s="1605"/>
      <c r="IS715" s="1605"/>
      <c r="IT715" s="1605"/>
      <c r="IU715" s="1605"/>
      <c r="IV715" s="1605"/>
      <c r="IW715" s="1605"/>
      <c r="IX715" s="1605"/>
      <c r="IY715" s="1605"/>
      <c r="IZ715" s="1605"/>
      <c r="JA715" s="1605"/>
      <c r="JB715" s="1605"/>
      <c r="JC715" s="1605"/>
      <c r="JD715" s="1605"/>
      <c r="JE715" s="1605"/>
      <c r="JF715" s="1605"/>
      <c r="JG715" s="1605"/>
      <c r="JH715" s="1605"/>
      <c r="JI715" s="1605"/>
      <c r="JJ715" s="1605"/>
      <c r="JK715" s="1605"/>
      <c r="JL715" s="1605"/>
      <c r="JM715" s="1605"/>
      <c r="JN715" s="1605"/>
      <c r="JO715" s="1605"/>
      <c r="JP715" s="1605"/>
      <c r="JQ715" s="1605"/>
      <c r="JR715" s="1605"/>
      <c r="JS715" s="1605"/>
      <c r="JT715" s="1605"/>
      <c r="JU715" s="1605"/>
      <c r="JV715" s="1605"/>
      <c r="JW715" s="1605"/>
      <c r="JX715" s="1605"/>
      <c r="JY715" s="1605"/>
      <c r="JZ715" s="1605"/>
      <c r="KA715" s="1605"/>
      <c r="KB715" s="1606"/>
    </row>
    <row r="716" spans="2:288" ht="15" customHeight="1" x14ac:dyDescent="0.25">
      <c r="B716" s="216" t="str">
        <f t="shared" si="56"/>
        <v>Desk 86</v>
      </c>
      <c r="C716" s="218" t="str">
        <v/>
      </c>
      <c r="D716" s="218" t="str">
        <v/>
      </c>
      <c r="E716" s="218" t="str">
        <v/>
      </c>
      <c r="F716" s="218" t="str">
        <v/>
      </c>
      <c r="G716" s="402" t="str">
        <v/>
      </c>
      <c r="H716" s="1605"/>
      <c r="I716" s="1605"/>
      <c r="J716" s="1605"/>
      <c r="K716" s="1605"/>
      <c r="L716" s="1605"/>
      <c r="M716" s="1605"/>
      <c r="N716" s="1605"/>
      <c r="O716" s="1605"/>
      <c r="P716" s="1605"/>
      <c r="Q716" s="1605"/>
      <c r="R716" s="1605"/>
      <c r="S716" s="1605"/>
      <c r="T716" s="1605"/>
      <c r="U716" s="1605"/>
      <c r="V716" s="1605"/>
      <c r="W716" s="1605"/>
      <c r="X716" s="1605"/>
      <c r="Y716" s="1605"/>
      <c r="Z716" s="1605"/>
      <c r="AA716" s="1605"/>
      <c r="AB716" s="1605"/>
      <c r="AC716" s="1605"/>
      <c r="AD716" s="1605"/>
      <c r="AE716" s="1605"/>
      <c r="AF716" s="1605"/>
      <c r="AG716" s="1605"/>
      <c r="AH716" s="1605"/>
      <c r="AI716" s="1605"/>
      <c r="AJ716" s="1605"/>
      <c r="AK716" s="1605"/>
      <c r="AL716" s="1605"/>
      <c r="AM716" s="1605"/>
      <c r="AN716" s="1605"/>
      <c r="AO716" s="1605"/>
      <c r="AP716" s="1605"/>
      <c r="AQ716" s="1605"/>
      <c r="AR716" s="1605"/>
      <c r="AS716" s="1605"/>
      <c r="AT716" s="1605"/>
      <c r="AU716" s="1605"/>
      <c r="AV716" s="1605"/>
      <c r="AW716" s="1605"/>
      <c r="AX716" s="1605"/>
      <c r="AY716" s="1605"/>
      <c r="AZ716" s="1605"/>
      <c r="BA716" s="1605"/>
      <c r="BB716" s="1605"/>
      <c r="BC716" s="1605"/>
      <c r="BD716" s="1605"/>
      <c r="BE716" s="1605"/>
      <c r="BF716" s="1605"/>
      <c r="BG716" s="1605"/>
      <c r="BH716" s="1605"/>
      <c r="BI716" s="1605"/>
      <c r="BJ716" s="1605"/>
      <c r="BK716" s="1605"/>
      <c r="BL716" s="1605"/>
      <c r="BM716" s="1605"/>
      <c r="BN716" s="1605"/>
      <c r="BO716" s="1605"/>
      <c r="BP716" s="1605"/>
      <c r="BQ716" s="1605"/>
      <c r="BR716" s="1605"/>
      <c r="BS716" s="1605"/>
      <c r="BT716" s="1605"/>
      <c r="BU716" s="1605"/>
      <c r="BV716" s="1605"/>
      <c r="BW716" s="1605"/>
      <c r="BX716" s="1605"/>
      <c r="BY716" s="1605"/>
      <c r="BZ716" s="1605"/>
      <c r="CA716" s="1605"/>
      <c r="CB716" s="1605"/>
      <c r="CC716" s="1605"/>
      <c r="CD716" s="1605"/>
      <c r="CE716" s="1605"/>
      <c r="CF716" s="1605"/>
      <c r="CG716" s="1605"/>
      <c r="CH716" s="1605"/>
      <c r="CI716" s="1605"/>
      <c r="CJ716" s="1605"/>
      <c r="CK716" s="1605"/>
      <c r="CL716" s="1605"/>
      <c r="CM716" s="1605"/>
      <c r="CN716" s="1605"/>
      <c r="CO716" s="1605"/>
      <c r="CP716" s="1605"/>
      <c r="CQ716" s="1605"/>
      <c r="CR716" s="1605"/>
      <c r="CS716" s="1605"/>
      <c r="CT716" s="1605"/>
      <c r="CU716" s="1605"/>
      <c r="CV716" s="1605"/>
      <c r="CW716" s="1605"/>
      <c r="CX716" s="1605"/>
      <c r="CY716" s="1605"/>
      <c r="CZ716" s="1605"/>
      <c r="DA716" s="1605"/>
      <c r="DB716" s="1605"/>
      <c r="DC716" s="1605"/>
      <c r="DD716" s="1605"/>
      <c r="DE716" s="1605"/>
      <c r="DF716" s="1605"/>
      <c r="DG716" s="1605"/>
      <c r="DH716" s="1605"/>
      <c r="DI716" s="1605"/>
      <c r="DJ716" s="1605"/>
      <c r="DK716" s="1605"/>
      <c r="DL716" s="1605"/>
      <c r="DM716" s="1605"/>
      <c r="DN716" s="1605"/>
      <c r="DO716" s="1605"/>
      <c r="DP716" s="1605"/>
      <c r="DQ716" s="1605"/>
      <c r="DR716" s="1605"/>
      <c r="DS716" s="1605"/>
      <c r="DT716" s="1605"/>
      <c r="DU716" s="1605"/>
      <c r="DV716" s="1605"/>
      <c r="DW716" s="1605"/>
      <c r="DX716" s="1605"/>
      <c r="DY716" s="1605"/>
      <c r="DZ716" s="1605"/>
      <c r="EA716" s="1605"/>
      <c r="EB716" s="1605"/>
      <c r="EC716" s="1605"/>
      <c r="ED716" s="1605"/>
      <c r="EE716" s="1605"/>
      <c r="EF716" s="1605"/>
      <c r="EG716" s="1605"/>
      <c r="EH716" s="1605"/>
      <c r="EI716" s="1605"/>
      <c r="EJ716" s="1605"/>
      <c r="EK716" s="1605"/>
      <c r="EL716" s="1605"/>
      <c r="EM716" s="1605"/>
      <c r="EN716" s="1605"/>
      <c r="EO716" s="1605"/>
      <c r="EP716" s="1605"/>
      <c r="EQ716" s="1605"/>
      <c r="ER716" s="1605"/>
      <c r="ES716" s="1605"/>
      <c r="ET716" s="1605"/>
      <c r="EU716" s="1605"/>
      <c r="EV716" s="1605"/>
      <c r="EW716" s="1605"/>
      <c r="EX716" s="1605"/>
      <c r="EY716" s="1605"/>
      <c r="EZ716" s="1605"/>
      <c r="FA716" s="1605"/>
      <c r="FB716" s="1605"/>
      <c r="FC716" s="1605"/>
      <c r="FD716" s="1605"/>
      <c r="FE716" s="1605"/>
      <c r="FF716" s="1605"/>
      <c r="FG716" s="1605"/>
      <c r="FH716" s="1605"/>
      <c r="FI716" s="1605"/>
      <c r="FJ716" s="1605"/>
      <c r="FK716" s="1605"/>
      <c r="FL716" s="1605"/>
      <c r="FM716" s="1605"/>
      <c r="FN716" s="1605"/>
      <c r="FO716" s="1605"/>
      <c r="FP716" s="1605"/>
      <c r="FQ716" s="1605"/>
      <c r="FR716" s="1605"/>
      <c r="FS716" s="1605"/>
      <c r="FT716" s="1605"/>
      <c r="FU716" s="1605"/>
      <c r="FV716" s="1605"/>
      <c r="FW716" s="1605"/>
      <c r="FX716" s="1605"/>
      <c r="FY716" s="1605"/>
      <c r="FZ716" s="1605"/>
      <c r="GA716" s="1605"/>
      <c r="GB716" s="1605"/>
      <c r="GC716" s="1605"/>
      <c r="GD716" s="1605"/>
      <c r="GE716" s="1605"/>
      <c r="GF716" s="1605"/>
      <c r="GG716" s="1605"/>
      <c r="GH716" s="1605"/>
      <c r="GI716" s="1605"/>
      <c r="GJ716" s="1605"/>
      <c r="GK716" s="1605"/>
      <c r="GL716" s="1605"/>
      <c r="GM716" s="1605"/>
      <c r="GN716" s="1605"/>
      <c r="GO716" s="1605"/>
      <c r="GP716" s="1605"/>
      <c r="GQ716" s="1605"/>
      <c r="GR716" s="1605"/>
      <c r="GS716" s="1605"/>
      <c r="GT716" s="1605"/>
      <c r="GU716" s="1605"/>
      <c r="GV716" s="1605"/>
      <c r="GW716" s="1605"/>
      <c r="GX716" s="1605"/>
      <c r="GY716" s="1605"/>
      <c r="GZ716" s="1605"/>
      <c r="HA716" s="1605"/>
      <c r="HB716" s="1605"/>
      <c r="HC716" s="1605"/>
      <c r="HD716" s="1605"/>
      <c r="HE716" s="1605"/>
      <c r="HF716" s="1605"/>
      <c r="HG716" s="1605"/>
      <c r="HH716" s="1605"/>
      <c r="HI716" s="1605"/>
      <c r="HJ716" s="1605"/>
      <c r="HK716" s="1605"/>
      <c r="HL716" s="1605"/>
      <c r="HM716" s="1605"/>
      <c r="HN716" s="1605"/>
      <c r="HO716" s="1605"/>
      <c r="HP716" s="1605"/>
      <c r="HQ716" s="1605"/>
      <c r="HR716" s="1605"/>
      <c r="HS716" s="1605"/>
      <c r="HT716" s="1605"/>
      <c r="HU716" s="1605"/>
      <c r="HV716" s="1605"/>
      <c r="HW716" s="1605"/>
      <c r="HX716" s="1605"/>
      <c r="HY716" s="1605"/>
      <c r="HZ716" s="1605"/>
      <c r="IA716" s="1605"/>
      <c r="IB716" s="1605"/>
      <c r="IC716" s="1605"/>
      <c r="ID716" s="1605"/>
      <c r="IE716" s="1605"/>
      <c r="IF716" s="1605"/>
      <c r="IG716" s="1605"/>
      <c r="IH716" s="1605"/>
      <c r="II716" s="1605"/>
      <c r="IJ716" s="1605"/>
      <c r="IK716" s="1605"/>
      <c r="IL716" s="1605"/>
      <c r="IM716" s="1605"/>
      <c r="IN716" s="1605"/>
      <c r="IO716" s="1605"/>
      <c r="IP716" s="1605"/>
      <c r="IQ716" s="1605"/>
      <c r="IR716" s="1605"/>
      <c r="IS716" s="1605"/>
      <c r="IT716" s="1605"/>
      <c r="IU716" s="1605"/>
      <c r="IV716" s="1605"/>
      <c r="IW716" s="1605"/>
      <c r="IX716" s="1605"/>
      <c r="IY716" s="1605"/>
      <c r="IZ716" s="1605"/>
      <c r="JA716" s="1605"/>
      <c r="JB716" s="1605"/>
      <c r="JC716" s="1605"/>
      <c r="JD716" s="1605"/>
      <c r="JE716" s="1605"/>
      <c r="JF716" s="1605"/>
      <c r="JG716" s="1605"/>
      <c r="JH716" s="1605"/>
      <c r="JI716" s="1605"/>
      <c r="JJ716" s="1605"/>
      <c r="JK716" s="1605"/>
      <c r="JL716" s="1605"/>
      <c r="JM716" s="1605"/>
      <c r="JN716" s="1605"/>
      <c r="JO716" s="1605"/>
      <c r="JP716" s="1605"/>
      <c r="JQ716" s="1605"/>
      <c r="JR716" s="1605"/>
      <c r="JS716" s="1605"/>
      <c r="JT716" s="1605"/>
      <c r="JU716" s="1605"/>
      <c r="JV716" s="1605"/>
      <c r="JW716" s="1605"/>
      <c r="JX716" s="1605"/>
      <c r="JY716" s="1605"/>
      <c r="JZ716" s="1605"/>
      <c r="KA716" s="1605"/>
      <c r="KB716" s="1606"/>
    </row>
    <row r="717" spans="2:288" ht="15" customHeight="1" x14ac:dyDescent="0.25">
      <c r="B717" s="216" t="str">
        <f t="shared" si="56"/>
        <v>Desk 87</v>
      </c>
      <c r="C717" s="218" t="str">
        <v/>
      </c>
      <c r="D717" s="218" t="str">
        <v/>
      </c>
      <c r="E717" s="218" t="str">
        <v/>
      </c>
      <c r="F717" s="218" t="str">
        <v/>
      </c>
      <c r="G717" s="402" t="str">
        <v/>
      </c>
      <c r="H717" s="1605"/>
      <c r="I717" s="1605"/>
      <c r="J717" s="1605"/>
      <c r="K717" s="1605"/>
      <c r="L717" s="1605"/>
      <c r="M717" s="1605"/>
      <c r="N717" s="1605"/>
      <c r="O717" s="1605"/>
      <c r="P717" s="1605"/>
      <c r="Q717" s="1605"/>
      <c r="R717" s="1605"/>
      <c r="S717" s="1605"/>
      <c r="T717" s="1605"/>
      <c r="U717" s="1605"/>
      <c r="V717" s="1605"/>
      <c r="W717" s="1605"/>
      <c r="X717" s="1605"/>
      <c r="Y717" s="1605"/>
      <c r="Z717" s="1605"/>
      <c r="AA717" s="1605"/>
      <c r="AB717" s="1605"/>
      <c r="AC717" s="1605"/>
      <c r="AD717" s="1605"/>
      <c r="AE717" s="1605"/>
      <c r="AF717" s="1605"/>
      <c r="AG717" s="1605"/>
      <c r="AH717" s="1605"/>
      <c r="AI717" s="1605"/>
      <c r="AJ717" s="1605"/>
      <c r="AK717" s="1605"/>
      <c r="AL717" s="1605"/>
      <c r="AM717" s="1605"/>
      <c r="AN717" s="1605"/>
      <c r="AO717" s="1605"/>
      <c r="AP717" s="1605"/>
      <c r="AQ717" s="1605"/>
      <c r="AR717" s="1605"/>
      <c r="AS717" s="1605"/>
      <c r="AT717" s="1605"/>
      <c r="AU717" s="1605"/>
      <c r="AV717" s="1605"/>
      <c r="AW717" s="1605"/>
      <c r="AX717" s="1605"/>
      <c r="AY717" s="1605"/>
      <c r="AZ717" s="1605"/>
      <c r="BA717" s="1605"/>
      <c r="BB717" s="1605"/>
      <c r="BC717" s="1605"/>
      <c r="BD717" s="1605"/>
      <c r="BE717" s="1605"/>
      <c r="BF717" s="1605"/>
      <c r="BG717" s="1605"/>
      <c r="BH717" s="1605"/>
      <c r="BI717" s="1605"/>
      <c r="BJ717" s="1605"/>
      <c r="BK717" s="1605"/>
      <c r="BL717" s="1605"/>
      <c r="BM717" s="1605"/>
      <c r="BN717" s="1605"/>
      <c r="BO717" s="1605"/>
      <c r="BP717" s="1605"/>
      <c r="BQ717" s="1605"/>
      <c r="BR717" s="1605"/>
      <c r="BS717" s="1605"/>
      <c r="BT717" s="1605"/>
      <c r="BU717" s="1605"/>
      <c r="BV717" s="1605"/>
      <c r="BW717" s="1605"/>
      <c r="BX717" s="1605"/>
      <c r="BY717" s="1605"/>
      <c r="BZ717" s="1605"/>
      <c r="CA717" s="1605"/>
      <c r="CB717" s="1605"/>
      <c r="CC717" s="1605"/>
      <c r="CD717" s="1605"/>
      <c r="CE717" s="1605"/>
      <c r="CF717" s="1605"/>
      <c r="CG717" s="1605"/>
      <c r="CH717" s="1605"/>
      <c r="CI717" s="1605"/>
      <c r="CJ717" s="1605"/>
      <c r="CK717" s="1605"/>
      <c r="CL717" s="1605"/>
      <c r="CM717" s="1605"/>
      <c r="CN717" s="1605"/>
      <c r="CO717" s="1605"/>
      <c r="CP717" s="1605"/>
      <c r="CQ717" s="1605"/>
      <c r="CR717" s="1605"/>
      <c r="CS717" s="1605"/>
      <c r="CT717" s="1605"/>
      <c r="CU717" s="1605"/>
      <c r="CV717" s="1605"/>
      <c r="CW717" s="1605"/>
      <c r="CX717" s="1605"/>
      <c r="CY717" s="1605"/>
      <c r="CZ717" s="1605"/>
      <c r="DA717" s="1605"/>
      <c r="DB717" s="1605"/>
      <c r="DC717" s="1605"/>
      <c r="DD717" s="1605"/>
      <c r="DE717" s="1605"/>
      <c r="DF717" s="1605"/>
      <c r="DG717" s="1605"/>
      <c r="DH717" s="1605"/>
      <c r="DI717" s="1605"/>
      <c r="DJ717" s="1605"/>
      <c r="DK717" s="1605"/>
      <c r="DL717" s="1605"/>
      <c r="DM717" s="1605"/>
      <c r="DN717" s="1605"/>
      <c r="DO717" s="1605"/>
      <c r="DP717" s="1605"/>
      <c r="DQ717" s="1605"/>
      <c r="DR717" s="1605"/>
      <c r="DS717" s="1605"/>
      <c r="DT717" s="1605"/>
      <c r="DU717" s="1605"/>
      <c r="DV717" s="1605"/>
      <c r="DW717" s="1605"/>
      <c r="DX717" s="1605"/>
      <c r="DY717" s="1605"/>
      <c r="DZ717" s="1605"/>
      <c r="EA717" s="1605"/>
      <c r="EB717" s="1605"/>
      <c r="EC717" s="1605"/>
      <c r="ED717" s="1605"/>
      <c r="EE717" s="1605"/>
      <c r="EF717" s="1605"/>
      <c r="EG717" s="1605"/>
      <c r="EH717" s="1605"/>
      <c r="EI717" s="1605"/>
      <c r="EJ717" s="1605"/>
      <c r="EK717" s="1605"/>
      <c r="EL717" s="1605"/>
      <c r="EM717" s="1605"/>
      <c r="EN717" s="1605"/>
      <c r="EO717" s="1605"/>
      <c r="EP717" s="1605"/>
      <c r="EQ717" s="1605"/>
      <c r="ER717" s="1605"/>
      <c r="ES717" s="1605"/>
      <c r="ET717" s="1605"/>
      <c r="EU717" s="1605"/>
      <c r="EV717" s="1605"/>
      <c r="EW717" s="1605"/>
      <c r="EX717" s="1605"/>
      <c r="EY717" s="1605"/>
      <c r="EZ717" s="1605"/>
      <c r="FA717" s="1605"/>
      <c r="FB717" s="1605"/>
      <c r="FC717" s="1605"/>
      <c r="FD717" s="1605"/>
      <c r="FE717" s="1605"/>
      <c r="FF717" s="1605"/>
      <c r="FG717" s="1605"/>
      <c r="FH717" s="1605"/>
      <c r="FI717" s="1605"/>
      <c r="FJ717" s="1605"/>
      <c r="FK717" s="1605"/>
      <c r="FL717" s="1605"/>
      <c r="FM717" s="1605"/>
      <c r="FN717" s="1605"/>
      <c r="FO717" s="1605"/>
      <c r="FP717" s="1605"/>
      <c r="FQ717" s="1605"/>
      <c r="FR717" s="1605"/>
      <c r="FS717" s="1605"/>
      <c r="FT717" s="1605"/>
      <c r="FU717" s="1605"/>
      <c r="FV717" s="1605"/>
      <c r="FW717" s="1605"/>
      <c r="FX717" s="1605"/>
      <c r="FY717" s="1605"/>
      <c r="FZ717" s="1605"/>
      <c r="GA717" s="1605"/>
      <c r="GB717" s="1605"/>
      <c r="GC717" s="1605"/>
      <c r="GD717" s="1605"/>
      <c r="GE717" s="1605"/>
      <c r="GF717" s="1605"/>
      <c r="GG717" s="1605"/>
      <c r="GH717" s="1605"/>
      <c r="GI717" s="1605"/>
      <c r="GJ717" s="1605"/>
      <c r="GK717" s="1605"/>
      <c r="GL717" s="1605"/>
      <c r="GM717" s="1605"/>
      <c r="GN717" s="1605"/>
      <c r="GO717" s="1605"/>
      <c r="GP717" s="1605"/>
      <c r="GQ717" s="1605"/>
      <c r="GR717" s="1605"/>
      <c r="GS717" s="1605"/>
      <c r="GT717" s="1605"/>
      <c r="GU717" s="1605"/>
      <c r="GV717" s="1605"/>
      <c r="GW717" s="1605"/>
      <c r="GX717" s="1605"/>
      <c r="GY717" s="1605"/>
      <c r="GZ717" s="1605"/>
      <c r="HA717" s="1605"/>
      <c r="HB717" s="1605"/>
      <c r="HC717" s="1605"/>
      <c r="HD717" s="1605"/>
      <c r="HE717" s="1605"/>
      <c r="HF717" s="1605"/>
      <c r="HG717" s="1605"/>
      <c r="HH717" s="1605"/>
      <c r="HI717" s="1605"/>
      <c r="HJ717" s="1605"/>
      <c r="HK717" s="1605"/>
      <c r="HL717" s="1605"/>
      <c r="HM717" s="1605"/>
      <c r="HN717" s="1605"/>
      <c r="HO717" s="1605"/>
      <c r="HP717" s="1605"/>
      <c r="HQ717" s="1605"/>
      <c r="HR717" s="1605"/>
      <c r="HS717" s="1605"/>
      <c r="HT717" s="1605"/>
      <c r="HU717" s="1605"/>
      <c r="HV717" s="1605"/>
      <c r="HW717" s="1605"/>
      <c r="HX717" s="1605"/>
      <c r="HY717" s="1605"/>
      <c r="HZ717" s="1605"/>
      <c r="IA717" s="1605"/>
      <c r="IB717" s="1605"/>
      <c r="IC717" s="1605"/>
      <c r="ID717" s="1605"/>
      <c r="IE717" s="1605"/>
      <c r="IF717" s="1605"/>
      <c r="IG717" s="1605"/>
      <c r="IH717" s="1605"/>
      <c r="II717" s="1605"/>
      <c r="IJ717" s="1605"/>
      <c r="IK717" s="1605"/>
      <c r="IL717" s="1605"/>
      <c r="IM717" s="1605"/>
      <c r="IN717" s="1605"/>
      <c r="IO717" s="1605"/>
      <c r="IP717" s="1605"/>
      <c r="IQ717" s="1605"/>
      <c r="IR717" s="1605"/>
      <c r="IS717" s="1605"/>
      <c r="IT717" s="1605"/>
      <c r="IU717" s="1605"/>
      <c r="IV717" s="1605"/>
      <c r="IW717" s="1605"/>
      <c r="IX717" s="1605"/>
      <c r="IY717" s="1605"/>
      <c r="IZ717" s="1605"/>
      <c r="JA717" s="1605"/>
      <c r="JB717" s="1605"/>
      <c r="JC717" s="1605"/>
      <c r="JD717" s="1605"/>
      <c r="JE717" s="1605"/>
      <c r="JF717" s="1605"/>
      <c r="JG717" s="1605"/>
      <c r="JH717" s="1605"/>
      <c r="JI717" s="1605"/>
      <c r="JJ717" s="1605"/>
      <c r="JK717" s="1605"/>
      <c r="JL717" s="1605"/>
      <c r="JM717" s="1605"/>
      <c r="JN717" s="1605"/>
      <c r="JO717" s="1605"/>
      <c r="JP717" s="1605"/>
      <c r="JQ717" s="1605"/>
      <c r="JR717" s="1605"/>
      <c r="JS717" s="1605"/>
      <c r="JT717" s="1605"/>
      <c r="JU717" s="1605"/>
      <c r="JV717" s="1605"/>
      <c r="JW717" s="1605"/>
      <c r="JX717" s="1605"/>
      <c r="JY717" s="1605"/>
      <c r="JZ717" s="1605"/>
      <c r="KA717" s="1605"/>
      <c r="KB717" s="1606"/>
    </row>
    <row r="718" spans="2:288" ht="15" customHeight="1" x14ac:dyDescent="0.25">
      <c r="B718" s="216" t="str">
        <f t="shared" si="56"/>
        <v>Desk 88</v>
      </c>
      <c r="C718" s="218" t="str">
        <v/>
      </c>
      <c r="D718" s="218" t="str">
        <v/>
      </c>
      <c r="E718" s="218" t="str">
        <v/>
      </c>
      <c r="F718" s="218" t="str">
        <v/>
      </c>
      <c r="G718" s="402" t="str">
        <v/>
      </c>
      <c r="H718" s="1605"/>
      <c r="I718" s="1605"/>
      <c r="J718" s="1605"/>
      <c r="K718" s="1605"/>
      <c r="L718" s="1605"/>
      <c r="M718" s="1605"/>
      <c r="N718" s="1605"/>
      <c r="O718" s="1605"/>
      <c r="P718" s="1605"/>
      <c r="Q718" s="1605"/>
      <c r="R718" s="1605"/>
      <c r="S718" s="1605"/>
      <c r="T718" s="1605"/>
      <c r="U718" s="1605"/>
      <c r="V718" s="1605"/>
      <c r="W718" s="1605"/>
      <c r="X718" s="1605"/>
      <c r="Y718" s="1605"/>
      <c r="Z718" s="1605"/>
      <c r="AA718" s="1605"/>
      <c r="AB718" s="1605"/>
      <c r="AC718" s="1605"/>
      <c r="AD718" s="1605"/>
      <c r="AE718" s="1605"/>
      <c r="AF718" s="1605"/>
      <c r="AG718" s="1605"/>
      <c r="AH718" s="1605"/>
      <c r="AI718" s="1605"/>
      <c r="AJ718" s="1605"/>
      <c r="AK718" s="1605"/>
      <c r="AL718" s="1605"/>
      <c r="AM718" s="1605"/>
      <c r="AN718" s="1605"/>
      <c r="AO718" s="1605"/>
      <c r="AP718" s="1605"/>
      <c r="AQ718" s="1605"/>
      <c r="AR718" s="1605"/>
      <c r="AS718" s="1605"/>
      <c r="AT718" s="1605"/>
      <c r="AU718" s="1605"/>
      <c r="AV718" s="1605"/>
      <c r="AW718" s="1605"/>
      <c r="AX718" s="1605"/>
      <c r="AY718" s="1605"/>
      <c r="AZ718" s="1605"/>
      <c r="BA718" s="1605"/>
      <c r="BB718" s="1605"/>
      <c r="BC718" s="1605"/>
      <c r="BD718" s="1605"/>
      <c r="BE718" s="1605"/>
      <c r="BF718" s="1605"/>
      <c r="BG718" s="1605"/>
      <c r="BH718" s="1605"/>
      <c r="BI718" s="1605"/>
      <c r="BJ718" s="1605"/>
      <c r="BK718" s="1605"/>
      <c r="BL718" s="1605"/>
      <c r="BM718" s="1605"/>
      <c r="BN718" s="1605"/>
      <c r="BO718" s="1605"/>
      <c r="BP718" s="1605"/>
      <c r="BQ718" s="1605"/>
      <c r="BR718" s="1605"/>
      <c r="BS718" s="1605"/>
      <c r="BT718" s="1605"/>
      <c r="BU718" s="1605"/>
      <c r="BV718" s="1605"/>
      <c r="BW718" s="1605"/>
      <c r="BX718" s="1605"/>
      <c r="BY718" s="1605"/>
      <c r="BZ718" s="1605"/>
      <c r="CA718" s="1605"/>
      <c r="CB718" s="1605"/>
      <c r="CC718" s="1605"/>
      <c r="CD718" s="1605"/>
      <c r="CE718" s="1605"/>
      <c r="CF718" s="1605"/>
      <c r="CG718" s="1605"/>
      <c r="CH718" s="1605"/>
      <c r="CI718" s="1605"/>
      <c r="CJ718" s="1605"/>
      <c r="CK718" s="1605"/>
      <c r="CL718" s="1605"/>
      <c r="CM718" s="1605"/>
      <c r="CN718" s="1605"/>
      <c r="CO718" s="1605"/>
      <c r="CP718" s="1605"/>
      <c r="CQ718" s="1605"/>
      <c r="CR718" s="1605"/>
      <c r="CS718" s="1605"/>
      <c r="CT718" s="1605"/>
      <c r="CU718" s="1605"/>
      <c r="CV718" s="1605"/>
      <c r="CW718" s="1605"/>
      <c r="CX718" s="1605"/>
      <c r="CY718" s="1605"/>
      <c r="CZ718" s="1605"/>
      <c r="DA718" s="1605"/>
      <c r="DB718" s="1605"/>
      <c r="DC718" s="1605"/>
      <c r="DD718" s="1605"/>
      <c r="DE718" s="1605"/>
      <c r="DF718" s="1605"/>
      <c r="DG718" s="1605"/>
      <c r="DH718" s="1605"/>
      <c r="DI718" s="1605"/>
      <c r="DJ718" s="1605"/>
      <c r="DK718" s="1605"/>
      <c r="DL718" s="1605"/>
      <c r="DM718" s="1605"/>
      <c r="DN718" s="1605"/>
      <c r="DO718" s="1605"/>
      <c r="DP718" s="1605"/>
      <c r="DQ718" s="1605"/>
      <c r="DR718" s="1605"/>
      <c r="DS718" s="1605"/>
      <c r="DT718" s="1605"/>
      <c r="DU718" s="1605"/>
      <c r="DV718" s="1605"/>
      <c r="DW718" s="1605"/>
      <c r="DX718" s="1605"/>
      <c r="DY718" s="1605"/>
      <c r="DZ718" s="1605"/>
      <c r="EA718" s="1605"/>
      <c r="EB718" s="1605"/>
      <c r="EC718" s="1605"/>
      <c r="ED718" s="1605"/>
      <c r="EE718" s="1605"/>
      <c r="EF718" s="1605"/>
      <c r="EG718" s="1605"/>
      <c r="EH718" s="1605"/>
      <c r="EI718" s="1605"/>
      <c r="EJ718" s="1605"/>
      <c r="EK718" s="1605"/>
      <c r="EL718" s="1605"/>
      <c r="EM718" s="1605"/>
      <c r="EN718" s="1605"/>
      <c r="EO718" s="1605"/>
      <c r="EP718" s="1605"/>
      <c r="EQ718" s="1605"/>
      <c r="ER718" s="1605"/>
      <c r="ES718" s="1605"/>
      <c r="ET718" s="1605"/>
      <c r="EU718" s="1605"/>
      <c r="EV718" s="1605"/>
      <c r="EW718" s="1605"/>
      <c r="EX718" s="1605"/>
      <c r="EY718" s="1605"/>
      <c r="EZ718" s="1605"/>
      <c r="FA718" s="1605"/>
      <c r="FB718" s="1605"/>
      <c r="FC718" s="1605"/>
      <c r="FD718" s="1605"/>
      <c r="FE718" s="1605"/>
      <c r="FF718" s="1605"/>
      <c r="FG718" s="1605"/>
      <c r="FH718" s="1605"/>
      <c r="FI718" s="1605"/>
      <c r="FJ718" s="1605"/>
      <c r="FK718" s="1605"/>
      <c r="FL718" s="1605"/>
      <c r="FM718" s="1605"/>
      <c r="FN718" s="1605"/>
      <c r="FO718" s="1605"/>
      <c r="FP718" s="1605"/>
      <c r="FQ718" s="1605"/>
      <c r="FR718" s="1605"/>
      <c r="FS718" s="1605"/>
      <c r="FT718" s="1605"/>
      <c r="FU718" s="1605"/>
      <c r="FV718" s="1605"/>
      <c r="FW718" s="1605"/>
      <c r="FX718" s="1605"/>
      <c r="FY718" s="1605"/>
      <c r="FZ718" s="1605"/>
      <c r="GA718" s="1605"/>
      <c r="GB718" s="1605"/>
      <c r="GC718" s="1605"/>
      <c r="GD718" s="1605"/>
      <c r="GE718" s="1605"/>
      <c r="GF718" s="1605"/>
      <c r="GG718" s="1605"/>
      <c r="GH718" s="1605"/>
      <c r="GI718" s="1605"/>
      <c r="GJ718" s="1605"/>
      <c r="GK718" s="1605"/>
      <c r="GL718" s="1605"/>
      <c r="GM718" s="1605"/>
      <c r="GN718" s="1605"/>
      <c r="GO718" s="1605"/>
      <c r="GP718" s="1605"/>
      <c r="GQ718" s="1605"/>
      <c r="GR718" s="1605"/>
      <c r="GS718" s="1605"/>
      <c r="GT718" s="1605"/>
      <c r="GU718" s="1605"/>
      <c r="GV718" s="1605"/>
      <c r="GW718" s="1605"/>
      <c r="GX718" s="1605"/>
      <c r="GY718" s="1605"/>
      <c r="GZ718" s="1605"/>
      <c r="HA718" s="1605"/>
      <c r="HB718" s="1605"/>
      <c r="HC718" s="1605"/>
      <c r="HD718" s="1605"/>
      <c r="HE718" s="1605"/>
      <c r="HF718" s="1605"/>
      <c r="HG718" s="1605"/>
      <c r="HH718" s="1605"/>
      <c r="HI718" s="1605"/>
      <c r="HJ718" s="1605"/>
      <c r="HK718" s="1605"/>
      <c r="HL718" s="1605"/>
      <c r="HM718" s="1605"/>
      <c r="HN718" s="1605"/>
      <c r="HO718" s="1605"/>
      <c r="HP718" s="1605"/>
      <c r="HQ718" s="1605"/>
      <c r="HR718" s="1605"/>
      <c r="HS718" s="1605"/>
      <c r="HT718" s="1605"/>
      <c r="HU718" s="1605"/>
      <c r="HV718" s="1605"/>
      <c r="HW718" s="1605"/>
      <c r="HX718" s="1605"/>
      <c r="HY718" s="1605"/>
      <c r="HZ718" s="1605"/>
      <c r="IA718" s="1605"/>
      <c r="IB718" s="1605"/>
      <c r="IC718" s="1605"/>
      <c r="ID718" s="1605"/>
      <c r="IE718" s="1605"/>
      <c r="IF718" s="1605"/>
      <c r="IG718" s="1605"/>
      <c r="IH718" s="1605"/>
      <c r="II718" s="1605"/>
      <c r="IJ718" s="1605"/>
      <c r="IK718" s="1605"/>
      <c r="IL718" s="1605"/>
      <c r="IM718" s="1605"/>
      <c r="IN718" s="1605"/>
      <c r="IO718" s="1605"/>
      <c r="IP718" s="1605"/>
      <c r="IQ718" s="1605"/>
      <c r="IR718" s="1605"/>
      <c r="IS718" s="1605"/>
      <c r="IT718" s="1605"/>
      <c r="IU718" s="1605"/>
      <c r="IV718" s="1605"/>
      <c r="IW718" s="1605"/>
      <c r="IX718" s="1605"/>
      <c r="IY718" s="1605"/>
      <c r="IZ718" s="1605"/>
      <c r="JA718" s="1605"/>
      <c r="JB718" s="1605"/>
      <c r="JC718" s="1605"/>
      <c r="JD718" s="1605"/>
      <c r="JE718" s="1605"/>
      <c r="JF718" s="1605"/>
      <c r="JG718" s="1605"/>
      <c r="JH718" s="1605"/>
      <c r="JI718" s="1605"/>
      <c r="JJ718" s="1605"/>
      <c r="JK718" s="1605"/>
      <c r="JL718" s="1605"/>
      <c r="JM718" s="1605"/>
      <c r="JN718" s="1605"/>
      <c r="JO718" s="1605"/>
      <c r="JP718" s="1605"/>
      <c r="JQ718" s="1605"/>
      <c r="JR718" s="1605"/>
      <c r="JS718" s="1605"/>
      <c r="JT718" s="1605"/>
      <c r="JU718" s="1605"/>
      <c r="JV718" s="1605"/>
      <c r="JW718" s="1605"/>
      <c r="JX718" s="1605"/>
      <c r="JY718" s="1605"/>
      <c r="JZ718" s="1605"/>
      <c r="KA718" s="1605"/>
      <c r="KB718" s="1606"/>
    </row>
    <row r="719" spans="2:288" ht="15" customHeight="1" x14ac:dyDescent="0.25">
      <c r="B719" s="216" t="str">
        <f t="shared" si="56"/>
        <v>Desk 89</v>
      </c>
      <c r="C719" s="218" t="str">
        <v/>
      </c>
      <c r="D719" s="218" t="str">
        <v/>
      </c>
      <c r="E719" s="218" t="str">
        <v/>
      </c>
      <c r="F719" s="218" t="str">
        <v/>
      </c>
      <c r="G719" s="402" t="str">
        <v/>
      </c>
      <c r="H719" s="1605"/>
      <c r="I719" s="1605"/>
      <c r="J719" s="1605"/>
      <c r="K719" s="1605"/>
      <c r="L719" s="1605"/>
      <c r="M719" s="1605"/>
      <c r="N719" s="1605"/>
      <c r="O719" s="1605"/>
      <c r="P719" s="1605"/>
      <c r="Q719" s="1605"/>
      <c r="R719" s="1605"/>
      <c r="S719" s="1605"/>
      <c r="T719" s="1605"/>
      <c r="U719" s="1605"/>
      <c r="V719" s="1605"/>
      <c r="W719" s="1605"/>
      <c r="X719" s="1605"/>
      <c r="Y719" s="1605"/>
      <c r="Z719" s="1605"/>
      <c r="AA719" s="1605"/>
      <c r="AB719" s="1605"/>
      <c r="AC719" s="1605"/>
      <c r="AD719" s="1605"/>
      <c r="AE719" s="1605"/>
      <c r="AF719" s="1605"/>
      <c r="AG719" s="1605"/>
      <c r="AH719" s="1605"/>
      <c r="AI719" s="1605"/>
      <c r="AJ719" s="1605"/>
      <c r="AK719" s="1605"/>
      <c r="AL719" s="1605"/>
      <c r="AM719" s="1605"/>
      <c r="AN719" s="1605"/>
      <c r="AO719" s="1605"/>
      <c r="AP719" s="1605"/>
      <c r="AQ719" s="1605"/>
      <c r="AR719" s="1605"/>
      <c r="AS719" s="1605"/>
      <c r="AT719" s="1605"/>
      <c r="AU719" s="1605"/>
      <c r="AV719" s="1605"/>
      <c r="AW719" s="1605"/>
      <c r="AX719" s="1605"/>
      <c r="AY719" s="1605"/>
      <c r="AZ719" s="1605"/>
      <c r="BA719" s="1605"/>
      <c r="BB719" s="1605"/>
      <c r="BC719" s="1605"/>
      <c r="BD719" s="1605"/>
      <c r="BE719" s="1605"/>
      <c r="BF719" s="1605"/>
      <c r="BG719" s="1605"/>
      <c r="BH719" s="1605"/>
      <c r="BI719" s="1605"/>
      <c r="BJ719" s="1605"/>
      <c r="BK719" s="1605"/>
      <c r="BL719" s="1605"/>
      <c r="BM719" s="1605"/>
      <c r="BN719" s="1605"/>
      <c r="BO719" s="1605"/>
      <c r="BP719" s="1605"/>
      <c r="BQ719" s="1605"/>
      <c r="BR719" s="1605"/>
      <c r="BS719" s="1605"/>
      <c r="BT719" s="1605"/>
      <c r="BU719" s="1605"/>
      <c r="BV719" s="1605"/>
      <c r="BW719" s="1605"/>
      <c r="BX719" s="1605"/>
      <c r="BY719" s="1605"/>
      <c r="BZ719" s="1605"/>
      <c r="CA719" s="1605"/>
      <c r="CB719" s="1605"/>
      <c r="CC719" s="1605"/>
      <c r="CD719" s="1605"/>
      <c r="CE719" s="1605"/>
      <c r="CF719" s="1605"/>
      <c r="CG719" s="1605"/>
      <c r="CH719" s="1605"/>
      <c r="CI719" s="1605"/>
      <c r="CJ719" s="1605"/>
      <c r="CK719" s="1605"/>
      <c r="CL719" s="1605"/>
      <c r="CM719" s="1605"/>
      <c r="CN719" s="1605"/>
      <c r="CO719" s="1605"/>
      <c r="CP719" s="1605"/>
      <c r="CQ719" s="1605"/>
      <c r="CR719" s="1605"/>
      <c r="CS719" s="1605"/>
      <c r="CT719" s="1605"/>
      <c r="CU719" s="1605"/>
      <c r="CV719" s="1605"/>
      <c r="CW719" s="1605"/>
      <c r="CX719" s="1605"/>
      <c r="CY719" s="1605"/>
      <c r="CZ719" s="1605"/>
      <c r="DA719" s="1605"/>
      <c r="DB719" s="1605"/>
      <c r="DC719" s="1605"/>
      <c r="DD719" s="1605"/>
      <c r="DE719" s="1605"/>
      <c r="DF719" s="1605"/>
      <c r="DG719" s="1605"/>
      <c r="DH719" s="1605"/>
      <c r="DI719" s="1605"/>
      <c r="DJ719" s="1605"/>
      <c r="DK719" s="1605"/>
      <c r="DL719" s="1605"/>
      <c r="DM719" s="1605"/>
      <c r="DN719" s="1605"/>
      <c r="DO719" s="1605"/>
      <c r="DP719" s="1605"/>
      <c r="DQ719" s="1605"/>
      <c r="DR719" s="1605"/>
      <c r="DS719" s="1605"/>
      <c r="DT719" s="1605"/>
      <c r="DU719" s="1605"/>
      <c r="DV719" s="1605"/>
      <c r="DW719" s="1605"/>
      <c r="DX719" s="1605"/>
      <c r="DY719" s="1605"/>
      <c r="DZ719" s="1605"/>
      <c r="EA719" s="1605"/>
      <c r="EB719" s="1605"/>
      <c r="EC719" s="1605"/>
      <c r="ED719" s="1605"/>
      <c r="EE719" s="1605"/>
      <c r="EF719" s="1605"/>
      <c r="EG719" s="1605"/>
      <c r="EH719" s="1605"/>
      <c r="EI719" s="1605"/>
      <c r="EJ719" s="1605"/>
      <c r="EK719" s="1605"/>
      <c r="EL719" s="1605"/>
      <c r="EM719" s="1605"/>
      <c r="EN719" s="1605"/>
      <c r="EO719" s="1605"/>
      <c r="EP719" s="1605"/>
      <c r="EQ719" s="1605"/>
      <c r="ER719" s="1605"/>
      <c r="ES719" s="1605"/>
      <c r="ET719" s="1605"/>
      <c r="EU719" s="1605"/>
      <c r="EV719" s="1605"/>
      <c r="EW719" s="1605"/>
      <c r="EX719" s="1605"/>
      <c r="EY719" s="1605"/>
      <c r="EZ719" s="1605"/>
      <c r="FA719" s="1605"/>
      <c r="FB719" s="1605"/>
      <c r="FC719" s="1605"/>
      <c r="FD719" s="1605"/>
      <c r="FE719" s="1605"/>
      <c r="FF719" s="1605"/>
      <c r="FG719" s="1605"/>
      <c r="FH719" s="1605"/>
      <c r="FI719" s="1605"/>
      <c r="FJ719" s="1605"/>
      <c r="FK719" s="1605"/>
      <c r="FL719" s="1605"/>
      <c r="FM719" s="1605"/>
      <c r="FN719" s="1605"/>
      <c r="FO719" s="1605"/>
      <c r="FP719" s="1605"/>
      <c r="FQ719" s="1605"/>
      <c r="FR719" s="1605"/>
      <c r="FS719" s="1605"/>
      <c r="FT719" s="1605"/>
      <c r="FU719" s="1605"/>
      <c r="FV719" s="1605"/>
      <c r="FW719" s="1605"/>
      <c r="FX719" s="1605"/>
      <c r="FY719" s="1605"/>
      <c r="FZ719" s="1605"/>
      <c r="GA719" s="1605"/>
      <c r="GB719" s="1605"/>
      <c r="GC719" s="1605"/>
      <c r="GD719" s="1605"/>
      <c r="GE719" s="1605"/>
      <c r="GF719" s="1605"/>
      <c r="GG719" s="1605"/>
      <c r="GH719" s="1605"/>
      <c r="GI719" s="1605"/>
      <c r="GJ719" s="1605"/>
      <c r="GK719" s="1605"/>
      <c r="GL719" s="1605"/>
      <c r="GM719" s="1605"/>
      <c r="GN719" s="1605"/>
      <c r="GO719" s="1605"/>
      <c r="GP719" s="1605"/>
      <c r="GQ719" s="1605"/>
      <c r="GR719" s="1605"/>
      <c r="GS719" s="1605"/>
      <c r="GT719" s="1605"/>
      <c r="GU719" s="1605"/>
      <c r="GV719" s="1605"/>
      <c r="GW719" s="1605"/>
      <c r="GX719" s="1605"/>
      <c r="GY719" s="1605"/>
      <c r="GZ719" s="1605"/>
      <c r="HA719" s="1605"/>
      <c r="HB719" s="1605"/>
      <c r="HC719" s="1605"/>
      <c r="HD719" s="1605"/>
      <c r="HE719" s="1605"/>
      <c r="HF719" s="1605"/>
      <c r="HG719" s="1605"/>
      <c r="HH719" s="1605"/>
      <c r="HI719" s="1605"/>
      <c r="HJ719" s="1605"/>
      <c r="HK719" s="1605"/>
      <c r="HL719" s="1605"/>
      <c r="HM719" s="1605"/>
      <c r="HN719" s="1605"/>
      <c r="HO719" s="1605"/>
      <c r="HP719" s="1605"/>
      <c r="HQ719" s="1605"/>
      <c r="HR719" s="1605"/>
      <c r="HS719" s="1605"/>
      <c r="HT719" s="1605"/>
      <c r="HU719" s="1605"/>
      <c r="HV719" s="1605"/>
      <c r="HW719" s="1605"/>
      <c r="HX719" s="1605"/>
      <c r="HY719" s="1605"/>
      <c r="HZ719" s="1605"/>
      <c r="IA719" s="1605"/>
      <c r="IB719" s="1605"/>
      <c r="IC719" s="1605"/>
      <c r="ID719" s="1605"/>
      <c r="IE719" s="1605"/>
      <c r="IF719" s="1605"/>
      <c r="IG719" s="1605"/>
      <c r="IH719" s="1605"/>
      <c r="II719" s="1605"/>
      <c r="IJ719" s="1605"/>
      <c r="IK719" s="1605"/>
      <c r="IL719" s="1605"/>
      <c r="IM719" s="1605"/>
      <c r="IN719" s="1605"/>
      <c r="IO719" s="1605"/>
      <c r="IP719" s="1605"/>
      <c r="IQ719" s="1605"/>
      <c r="IR719" s="1605"/>
      <c r="IS719" s="1605"/>
      <c r="IT719" s="1605"/>
      <c r="IU719" s="1605"/>
      <c r="IV719" s="1605"/>
      <c r="IW719" s="1605"/>
      <c r="IX719" s="1605"/>
      <c r="IY719" s="1605"/>
      <c r="IZ719" s="1605"/>
      <c r="JA719" s="1605"/>
      <c r="JB719" s="1605"/>
      <c r="JC719" s="1605"/>
      <c r="JD719" s="1605"/>
      <c r="JE719" s="1605"/>
      <c r="JF719" s="1605"/>
      <c r="JG719" s="1605"/>
      <c r="JH719" s="1605"/>
      <c r="JI719" s="1605"/>
      <c r="JJ719" s="1605"/>
      <c r="JK719" s="1605"/>
      <c r="JL719" s="1605"/>
      <c r="JM719" s="1605"/>
      <c r="JN719" s="1605"/>
      <c r="JO719" s="1605"/>
      <c r="JP719" s="1605"/>
      <c r="JQ719" s="1605"/>
      <c r="JR719" s="1605"/>
      <c r="JS719" s="1605"/>
      <c r="JT719" s="1605"/>
      <c r="JU719" s="1605"/>
      <c r="JV719" s="1605"/>
      <c r="JW719" s="1605"/>
      <c r="JX719" s="1605"/>
      <c r="JY719" s="1605"/>
      <c r="JZ719" s="1605"/>
      <c r="KA719" s="1605"/>
      <c r="KB719" s="1606"/>
    </row>
    <row r="720" spans="2:288" ht="15" customHeight="1" x14ac:dyDescent="0.25">
      <c r="B720" s="216" t="str">
        <f t="shared" si="56"/>
        <v>Desk 90</v>
      </c>
      <c r="C720" s="218" t="str">
        <v/>
      </c>
      <c r="D720" s="218" t="str">
        <v/>
      </c>
      <c r="E720" s="218" t="str">
        <v/>
      </c>
      <c r="F720" s="218" t="str">
        <v/>
      </c>
      <c r="G720" s="402" t="str">
        <v/>
      </c>
      <c r="H720" s="1605"/>
      <c r="I720" s="1605"/>
      <c r="J720" s="1605"/>
      <c r="K720" s="1605"/>
      <c r="L720" s="1605"/>
      <c r="M720" s="1605"/>
      <c r="N720" s="1605"/>
      <c r="O720" s="1605"/>
      <c r="P720" s="1605"/>
      <c r="Q720" s="1605"/>
      <c r="R720" s="1605"/>
      <c r="S720" s="1605"/>
      <c r="T720" s="1605"/>
      <c r="U720" s="1605"/>
      <c r="V720" s="1605"/>
      <c r="W720" s="1605"/>
      <c r="X720" s="1605"/>
      <c r="Y720" s="1605"/>
      <c r="Z720" s="1605"/>
      <c r="AA720" s="1605"/>
      <c r="AB720" s="1605"/>
      <c r="AC720" s="1605"/>
      <c r="AD720" s="1605"/>
      <c r="AE720" s="1605"/>
      <c r="AF720" s="1605"/>
      <c r="AG720" s="1605"/>
      <c r="AH720" s="1605"/>
      <c r="AI720" s="1605"/>
      <c r="AJ720" s="1605"/>
      <c r="AK720" s="1605"/>
      <c r="AL720" s="1605"/>
      <c r="AM720" s="1605"/>
      <c r="AN720" s="1605"/>
      <c r="AO720" s="1605"/>
      <c r="AP720" s="1605"/>
      <c r="AQ720" s="1605"/>
      <c r="AR720" s="1605"/>
      <c r="AS720" s="1605"/>
      <c r="AT720" s="1605"/>
      <c r="AU720" s="1605"/>
      <c r="AV720" s="1605"/>
      <c r="AW720" s="1605"/>
      <c r="AX720" s="1605"/>
      <c r="AY720" s="1605"/>
      <c r="AZ720" s="1605"/>
      <c r="BA720" s="1605"/>
      <c r="BB720" s="1605"/>
      <c r="BC720" s="1605"/>
      <c r="BD720" s="1605"/>
      <c r="BE720" s="1605"/>
      <c r="BF720" s="1605"/>
      <c r="BG720" s="1605"/>
      <c r="BH720" s="1605"/>
      <c r="BI720" s="1605"/>
      <c r="BJ720" s="1605"/>
      <c r="BK720" s="1605"/>
      <c r="BL720" s="1605"/>
      <c r="BM720" s="1605"/>
      <c r="BN720" s="1605"/>
      <c r="BO720" s="1605"/>
      <c r="BP720" s="1605"/>
      <c r="BQ720" s="1605"/>
      <c r="BR720" s="1605"/>
      <c r="BS720" s="1605"/>
      <c r="BT720" s="1605"/>
      <c r="BU720" s="1605"/>
      <c r="BV720" s="1605"/>
      <c r="BW720" s="1605"/>
      <c r="BX720" s="1605"/>
      <c r="BY720" s="1605"/>
      <c r="BZ720" s="1605"/>
      <c r="CA720" s="1605"/>
      <c r="CB720" s="1605"/>
      <c r="CC720" s="1605"/>
      <c r="CD720" s="1605"/>
      <c r="CE720" s="1605"/>
      <c r="CF720" s="1605"/>
      <c r="CG720" s="1605"/>
      <c r="CH720" s="1605"/>
      <c r="CI720" s="1605"/>
      <c r="CJ720" s="1605"/>
      <c r="CK720" s="1605"/>
      <c r="CL720" s="1605"/>
      <c r="CM720" s="1605"/>
      <c r="CN720" s="1605"/>
      <c r="CO720" s="1605"/>
      <c r="CP720" s="1605"/>
      <c r="CQ720" s="1605"/>
      <c r="CR720" s="1605"/>
      <c r="CS720" s="1605"/>
      <c r="CT720" s="1605"/>
      <c r="CU720" s="1605"/>
      <c r="CV720" s="1605"/>
      <c r="CW720" s="1605"/>
      <c r="CX720" s="1605"/>
      <c r="CY720" s="1605"/>
      <c r="CZ720" s="1605"/>
      <c r="DA720" s="1605"/>
      <c r="DB720" s="1605"/>
      <c r="DC720" s="1605"/>
      <c r="DD720" s="1605"/>
      <c r="DE720" s="1605"/>
      <c r="DF720" s="1605"/>
      <c r="DG720" s="1605"/>
      <c r="DH720" s="1605"/>
      <c r="DI720" s="1605"/>
      <c r="DJ720" s="1605"/>
      <c r="DK720" s="1605"/>
      <c r="DL720" s="1605"/>
      <c r="DM720" s="1605"/>
      <c r="DN720" s="1605"/>
      <c r="DO720" s="1605"/>
      <c r="DP720" s="1605"/>
      <c r="DQ720" s="1605"/>
      <c r="DR720" s="1605"/>
      <c r="DS720" s="1605"/>
      <c r="DT720" s="1605"/>
      <c r="DU720" s="1605"/>
      <c r="DV720" s="1605"/>
      <c r="DW720" s="1605"/>
      <c r="DX720" s="1605"/>
      <c r="DY720" s="1605"/>
      <c r="DZ720" s="1605"/>
      <c r="EA720" s="1605"/>
      <c r="EB720" s="1605"/>
      <c r="EC720" s="1605"/>
      <c r="ED720" s="1605"/>
      <c r="EE720" s="1605"/>
      <c r="EF720" s="1605"/>
      <c r="EG720" s="1605"/>
      <c r="EH720" s="1605"/>
      <c r="EI720" s="1605"/>
      <c r="EJ720" s="1605"/>
      <c r="EK720" s="1605"/>
      <c r="EL720" s="1605"/>
      <c r="EM720" s="1605"/>
      <c r="EN720" s="1605"/>
      <c r="EO720" s="1605"/>
      <c r="EP720" s="1605"/>
      <c r="EQ720" s="1605"/>
      <c r="ER720" s="1605"/>
      <c r="ES720" s="1605"/>
      <c r="ET720" s="1605"/>
      <c r="EU720" s="1605"/>
      <c r="EV720" s="1605"/>
      <c r="EW720" s="1605"/>
      <c r="EX720" s="1605"/>
      <c r="EY720" s="1605"/>
      <c r="EZ720" s="1605"/>
      <c r="FA720" s="1605"/>
      <c r="FB720" s="1605"/>
      <c r="FC720" s="1605"/>
      <c r="FD720" s="1605"/>
      <c r="FE720" s="1605"/>
      <c r="FF720" s="1605"/>
      <c r="FG720" s="1605"/>
      <c r="FH720" s="1605"/>
      <c r="FI720" s="1605"/>
      <c r="FJ720" s="1605"/>
      <c r="FK720" s="1605"/>
      <c r="FL720" s="1605"/>
      <c r="FM720" s="1605"/>
      <c r="FN720" s="1605"/>
      <c r="FO720" s="1605"/>
      <c r="FP720" s="1605"/>
      <c r="FQ720" s="1605"/>
      <c r="FR720" s="1605"/>
      <c r="FS720" s="1605"/>
      <c r="FT720" s="1605"/>
      <c r="FU720" s="1605"/>
      <c r="FV720" s="1605"/>
      <c r="FW720" s="1605"/>
      <c r="FX720" s="1605"/>
      <c r="FY720" s="1605"/>
      <c r="FZ720" s="1605"/>
      <c r="GA720" s="1605"/>
      <c r="GB720" s="1605"/>
      <c r="GC720" s="1605"/>
      <c r="GD720" s="1605"/>
      <c r="GE720" s="1605"/>
      <c r="GF720" s="1605"/>
      <c r="GG720" s="1605"/>
      <c r="GH720" s="1605"/>
      <c r="GI720" s="1605"/>
      <c r="GJ720" s="1605"/>
      <c r="GK720" s="1605"/>
      <c r="GL720" s="1605"/>
      <c r="GM720" s="1605"/>
      <c r="GN720" s="1605"/>
      <c r="GO720" s="1605"/>
      <c r="GP720" s="1605"/>
      <c r="GQ720" s="1605"/>
      <c r="GR720" s="1605"/>
      <c r="GS720" s="1605"/>
      <c r="GT720" s="1605"/>
      <c r="GU720" s="1605"/>
      <c r="GV720" s="1605"/>
      <c r="GW720" s="1605"/>
      <c r="GX720" s="1605"/>
      <c r="GY720" s="1605"/>
      <c r="GZ720" s="1605"/>
      <c r="HA720" s="1605"/>
      <c r="HB720" s="1605"/>
      <c r="HC720" s="1605"/>
      <c r="HD720" s="1605"/>
      <c r="HE720" s="1605"/>
      <c r="HF720" s="1605"/>
      <c r="HG720" s="1605"/>
      <c r="HH720" s="1605"/>
      <c r="HI720" s="1605"/>
      <c r="HJ720" s="1605"/>
      <c r="HK720" s="1605"/>
      <c r="HL720" s="1605"/>
      <c r="HM720" s="1605"/>
      <c r="HN720" s="1605"/>
      <c r="HO720" s="1605"/>
      <c r="HP720" s="1605"/>
      <c r="HQ720" s="1605"/>
      <c r="HR720" s="1605"/>
      <c r="HS720" s="1605"/>
      <c r="HT720" s="1605"/>
      <c r="HU720" s="1605"/>
      <c r="HV720" s="1605"/>
      <c r="HW720" s="1605"/>
      <c r="HX720" s="1605"/>
      <c r="HY720" s="1605"/>
      <c r="HZ720" s="1605"/>
      <c r="IA720" s="1605"/>
      <c r="IB720" s="1605"/>
      <c r="IC720" s="1605"/>
      <c r="ID720" s="1605"/>
      <c r="IE720" s="1605"/>
      <c r="IF720" s="1605"/>
      <c r="IG720" s="1605"/>
      <c r="IH720" s="1605"/>
      <c r="II720" s="1605"/>
      <c r="IJ720" s="1605"/>
      <c r="IK720" s="1605"/>
      <c r="IL720" s="1605"/>
      <c r="IM720" s="1605"/>
      <c r="IN720" s="1605"/>
      <c r="IO720" s="1605"/>
      <c r="IP720" s="1605"/>
      <c r="IQ720" s="1605"/>
      <c r="IR720" s="1605"/>
      <c r="IS720" s="1605"/>
      <c r="IT720" s="1605"/>
      <c r="IU720" s="1605"/>
      <c r="IV720" s="1605"/>
      <c r="IW720" s="1605"/>
      <c r="IX720" s="1605"/>
      <c r="IY720" s="1605"/>
      <c r="IZ720" s="1605"/>
      <c r="JA720" s="1605"/>
      <c r="JB720" s="1605"/>
      <c r="JC720" s="1605"/>
      <c r="JD720" s="1605"/>
      <c r="JE720" s="1605"/>
      <c r="JF720" s="1605"/>
      <c r="JG720" s="1605"/>
      <c r="JH720" s="1605"/>
      <c r="JI720" s="1605"/>
      <c r="JJ720" s="1605"/>
      <c r="JK720" s="1605"/>
      <c r="JL720" s="1605"/>
      <c r="JM720" s="1605"/>
      <c r="JN720" s="1605"/>
      <c r="JO720" s="1605"/>
      <c r="JP720" s="1605"/>
      <c r="JQ720" s="1605"/>
      <c r="JR720" s="1605"/>
      <c r="JS720" s="1605"/>
      <c r="JT720" s="1605"/>
      <c r="JU720" s="1605"/>
      <c r="JV720" s="1605"/>
      <c r="JW720" s="1605"/>
      <c r="JX720" s="1605"/>
      <c r="JY720" s="1605"/>
      <c r="JZ720" s="1605"/>
      <c r="KA720" s="1605"/>
      <c r="KB720" s="1606"/>
    </row>
    <row r="721" spans="1:289" ht="15" customHeight="1" x14ac:dyDescent="0.25">
      <c r="B721" s="216" t="str">
        <f t="shared" si="56"/>
        <v>Desk 91</v>
      </c>
      <c r="C721" s="218" t="str">
        <v/>
      </c>
      <c r="D721" s="218" t="str">
        <v/>
      </c>
      <c r="E721" s="218" t="str">
        <v/>
      </c>
      <c r="F721" s="218" t="str">
        <v/>
      </c>
      <c r="G721" s="402" t="str">
        <v/>
      </c>
      <c r="H721" s="1605"/>
      <c r="I721" s="1605"/>
      <c r="J721" s="1605"/>
      <c r="K721" s="1605"/>
      <c r="L721" s="1605"/>
      <c r="M721" s="1605"/>
      <c r="N721" s="1605"/>
      <c r="O721" s="1605"/>
      <c r="P721" s="1605"/>
      <c r="Q721" s="1605"/>
      <c r="R721" s="1605"/>
      <c r="S721" s="1605"/>
      <c r="T721" s="1605"/>
      <c r="U721" s="1605"/>
      <c r="V721" s="1605"/>
      <c r="W721" s="1605"/>
      <c r="X721" s="1605"/>
      <c r="Y721" s="1605"/>
      <c r="Z721" s="1605"/>
      <c r="AA721" s="1605"/>
      <c r="AB721" s="1605"/>
      <c r="AC721" s="1605"/>
      <c r="AD721" s="1605"/>
      <c r="AE721" s="1605"/>
      <c r="AF721" s="1605"/>
      <c r="AG721" s="1605"/>
      <c r="AH721" s="1605"/>
      <c r="AI721" s="1605"/>
      <c r="AJ721" s="1605"/>
      <c r="AK721" s="1605"/>
      <c r="AL721" s="1605"/>
      <c r="AM721" s="1605"/>
      <c r="AN721" s="1605"/>
      <c r="AO721" s="1605"/>
      <c r="AP721" s="1605"/>
      <c r="AQ721" s="1605"/>
      <c r="AR721" s="1605"/>
      <c r="AS721" s="1605"/>
      <c r="AT721" s="1605"/>
      <c r="AU721" s="1605"/>
      <c r="AV721" s="1605"/>
      <c r="AW721" s="1605"/>
      <c r="AX721" s="1605"/>
      <c r="AY721" s="1605"/>
      <c r="AZ721" s="1605"/>
      <c r="BA721" s="1605"/>
      <c r="BB721" s="1605"/>
      <c r="BC721" s="1605"/>
      <c r="BD721" s="1605"/>
      <c r="BE721" s="1605"/>
      <c r="BF721" s="1605"/>
      <c r="BG721" s="1605"/>
      <c r="BH721" s="1605"/>
      <c r="BI721" s="1605"/>
      <c r="BJ721" s="1605"/>
      <c r="BK721" s="1605"/>
      <c r="BL721" s="1605"/>
      <c r="BM721" s="1605"/>
      <c r="BN721" s="1605"/>
      <c r="BO721" s="1605"/>
      <c r="BP721" s="1605"/>
      <c r="BQ721" s="1605"/>
      <c r="BR721" s="1605"/>
      <c r="BS721" s="1605"/>
      <c r="BT721" s="1605"/>
      <c r="BU721" s="1605"/>
      <c r="BV721" s="1605"/>
      <c r="BW721" s="1605"/>
      <c r="BX721" s="1605"/>
      <c r="BY721" s="1605"/>
      <c r="BZ721" s="1605"/>
      <c r="CA721" s="1605"/>
      <c r="CB721" s="1605"/>
      <c r="CC721" s="1605"/>
      <c r="CD721" s="1605"/>
      <c r="CE721" s="1605"/>
      <c r="CF721" s="1605"/>
      <c r="CG721" s="1605"/>
      <c r="CH721" s="1605"/>
      <c r="CI721" s="1605"/>
      <c r="CJ721" s="1605"/>
      <c r="CK721" s="1605"/>
      <c r="CL721" s="1605"/>
      <c r="CM721" s="1605"/>
      <c r="CN721" s="1605"/>
      <c r="CO721" s="1605"/>
      <c r="CP721" s="1605"/>
      <c r="CQ721" s="1605"/>
      <c r="CR721" s="1605"/>
      <c r="CS721" s="1605"/>
      <c r="CT721" s="1605"/>
      <c r="CU721" s="1605"/>
      <c r="CV721" s="1605"/>
      <c r="CW721" s="1605"/>
      <c r="CX721" s="1605"/>
      <c r="CY721" s="1605"/>
      <c r="CZ721" s="1605"/>
      <c r="DA721" s="1605"/>
      <c r="DB721" s="1605"/>
      <c r="DC721" s="1605"/>
      <c r="DD721" s="1605"/>
      <c r="DE721" s="1605"/>
      <c r="DF721" s="1605"/>
      <c r="DG721" s="1605"/>
      <c r="DH721" s="1605"/>
      <c r="DI721" s="1605"/>
      <c r="DJ721" s="1605"/>
      <c r="DK721" s="1605"/>
      <c r="DL721" s="1605"/>
      <c r="DM721" s="1605"/>
      <c r="DN721" s="1605"/>
      <c r="DO721" s="1605"/>
      <c r="DP721" s="1605"/>
      <c r="DQ721" s="1605"/>
      <c r="DR721" s="1605"/>
      <c r="DS721" s="1605"/>
      <c r="DT721" s="1605"/>
      <c r="DU721" s="1605"/>
      <c r="DV721" s="1605"/>
      <c r="DW721" s="1605"/>
      <c r="DX721" s="1605"/>
      <c r="DY721" s="1605"/>
      <c r="DZ721" s="1605"/>
      <c r="EA721" s="1605"/>
      <c r="EB721" s="1605"/>
      <c r="EC721" s="1605"/>
      <c r="ED721" s="1605"/>
      <c r="EE721" s="1605"/>
      <c r="EF721" s="1605"/>
      <c r="EG721" s="1605"/>
      <c r="EH721" s="1605"/>
      <c r="EI721" s="1605"/>
      <c r="EJ721" s="1605"/>
      <c r="EK721" s="1605"/>
      <c r="EL721" s="1605"/>
      <c r="EM721" s="1605"/>
      <c r="EN721" s="1605"/>
      <c r="EO721" s="1605"/>
      <c r="EP721" s="1605"/>
      <c r="EQ721" s="1605"/>
      <c r="ER721" s="1605"/>
      <c r="ES721" s="1605"/>
      <c r="ET721" s="1605"/>
      <c r="EU721" s="1605"/>
      <c r="EV721" s="1605"/>
      <c r="EW721" s="1605"/>
      <c r="EX721" s="1605"/>
      <c r="EY721" s="1605"/>
      <c r="EZ721" s="1605"/>
      <c r="FA721" s="1605"/>
      <c r="FB721" s="1605"/>
      <c r="FC721" s="1605"/>
      <c r="FD721" s="1605"/>
      <c r="FE721" s="1605"/>
      <c r="FF721" s="1605"/>
      <c r="FG721" s="1605"/>
      <c r="FH721" s="1605"/>
      <c r="FI721" s="1605"/>
      <c r="FJ721" s="1605"/>
      <c r="FK721" s="1605"/>
      <c r="FL721" s="1605"/>
      <c r="FM721" s="1605"/>
      <c r="FN721" s="1605"/>
      <c r="FO721" s="1605"/>
      <c r="FP721" s="1605"/>
      <c r="FQ721" s="1605"/>
      <c r="FR721" s="1605"/>
      <c r="FS721" s="1605"/>
      <c r="FT721" s="1605"/>
      <c r="FU721" s="1605"/>
      <c r="FV721" s="1605"/>
      <c r="FW721" s="1605"/>
      <c r="FX721" s="1605"/>
      <c r="FY721" s="1605"/>
      <c r="FZ721" s="1605"/>
      <c r="GA721" s="1605"/>
      <c r="GB721" s="1605"/>
      <c r="GC721" s="1605"/>
      <c r="GD721" s="1605"/>
      <c r="GE721" s="1605"/>
      <c r="GF721" s="1605"/>
      <c r="GG721" s="1605"/>
      <c r="GH721" s="1605"/>
      <c r="GI721" s="1605"/>
      <c r="GJ721" s="1605"/>
      <c r="GK721" s="1605"/>
      <c r="GL721" s="1605"/>
      <c r="GM721" s="1605"/>
      <c r="GN721" s="1605"/>
      <c r="GO721" s="1605"/>
      <c r="GP721" s="1605"/>
      <c r="GQ721" s="1605"/>
      <c r="GR721" s="1605"/>
      <c r="GS721" s="1605"/>
      <c r="GT721" s="1605"/>
      <c r="GU721" s="1605"/>
      <c r="GV721" s="1605"/>
      <c r="GW721" s="1605"/>
      <c r="GX721" s="1605"/>
      <c r="GY721" s="1605"/>
      <c r="GZ721" s="1605"/>
      <c r="HA721" s="1605"/>
      <c r="HB721" s="1605"/>
      <c r="HC721" s="1605"/>
      <c r="HD721" s="1605"/>
      <c r="HE721" s="1605"/>
      <c r="HF721" s="1605"/>
      <c r="HG721" s="1605"/>
      <c r="HH721" s="1605"/>
      <c r="HI721" s="1605"/>
      <c r="HJ721" s="1605"/>
      <c r="HK721" s="1605"/>
      <c r="HL721" s="1605"/>
      <c r="HM721" s="1605"/>
      <c r="HN721" s="1605"/>
      <c r="HO721" s="1605"/>
      <c r="HP721" s="1605"/>
      <c r="HQ721" s="1605"/>
      <c r="HR721" s="1605"/>
      <c r="HS721" s="1605"/>
      <c r="HT721" s="1605"/>
      <c r="HU721" s="1605"/>
      <c r="HV721" s="1605"/>
      <c r="HW721" s="1605"/>
      <c r="HX721" s="1605"/>
      <c r="HY721" s="1605"/>
      <c r="HZ721" s="1605"/>
      <c r="IA721" s="1605"/>
      <c r="IB721" s="1605"/>
      <c r="IC721" s="1605"/>
      <c r="ID721" s="1605"/>
      <c r="IE721" s="1605"/>
      <c r="IF721" s="1605"/>
      <c r="IG721" s="1605"/>
      <c r="IH721" s="1605"/>
      <c r="II721" s="1605"/>
      <c r="IJ721" s="1605"/>
      <c r="IK721" s="1605"/>
      <c r="IL721" s="1605"/>
      <c r="IM721" s="1605"/>
      <c r="IN721" s="1605"/>
      <c r="IO721" s="1605"/>
      <c r="IP721" s="1605"/>
      <c r="IQ721" s="1605"/>
      <c r="IR721" s="1605"/>
      <c r="IS721" s="1605"/>
      <c r="IT721" s="1605"/>
      <c r="IU721" s="1605"/>
      <c r="IV721" s="1605"/>
      <c r="IW721" s="1605"/>
      <c r="IX721" s="1605"/>
      <c r="IY721" s="1605"/>
      <c r="IZ721" s="1605"/>
      <c r="JA721" s="1605"/>
      <c r="JB721" s="1605"/>
      <c r="JC721" s="1605"/>
      <c r="JD721" s="1605"/>
      <c r="JE721" s="1605"/>
      <c r="JF721" s="1605"/>
      <c r="JG721" s="1605"/>
      <c r="JH721" s="1605"/>
      <c r="JI721" s="1605"/>
      <c r="JJ721" s="1605"/>
      <c r="JK721" s="1605"/>
      <c r="JL721" s="1605"/>
      <c r="JM721" s="1605"/>
      <c r="JN721" s="1605"/>
      <c r="JO721" s="1605"/>
      <c r="JP721" s="1605"/>
      <c r="JQ721" s="1605"/>
      <c r="JR721" s="1605"/>
      <c r="JS721" s="1605"/>
      <c r="JT721" s="1605"/>
      <c r="JU721" s="1605"/>
      <c r="JV721" s="1605"/>
      <c r="JW721" s="1605"/>
      <c r="JX721" s="1605"/>
      <c r="JY721" s="1605"/>
      <c r="JZ721" s="1605"/>
      <c r="KA721" s="1605"/>
      <c r="KB721" s="1606"/>
    </row>
    <row r="722" spans="1:289" ht="15" customHeight="1" x14ac:dyDescent="0.25">
      <c r="B722" s="216" t="str">
        <f t="shared" si="56"/>
        <v>Desk 92</v>
      </c>
      <c r="C722" s="218" t="str">
        <v/>
      </c>
      <c r="D722" s="218" t="str">
        <v/>
      </c>
      <c r="E722" s="218" t="str">
        <v/>
      </c>
      <c r="F722" s="218" t="str">
        <v/>
      </c>
      <c r="G722" s="402" t="str">
        <v/>
      </c>
      <c r="H722" s="1605"/>
      <c r="I722" s="1605"/>
      <c r="J722" s="1605"/>
      <c r="K722" s="1605"/>
      <c r="L722" s="1605"/>
      <c r="M722" s="1605"/>
      <c r="N722" s="1605"/>
      <c r="O722" s="1605"/>
      <c r="P722" s="1605"/>
      <c r="Q722" s="1605"/>
      <c r="R722" s="1605"/>
      <c r="S722" s="1605"/>
      <c r="T722" s="1605"/>
      <c r="U722" s="1605"/>
      <c r="V722" s="1605"/>
      <c r="W722" s="1605"/>
      <c r="X722" s="1605"/>
      <c r="Y722" s="1605"/>
      <c r="Z722" s="1605"/>
      <c r="AA722" s="1605"/>
      <c r="AB722" s="1605"/>
      <c r="AC722" s="1605"/>
      <c r="AD722" s="1605"/>
      <c r="AE722" s="1605"/>
      <c r="AF722" s="1605"/>
      <c r="AG722" s="1605"/>
      <c r="AH722" s="1605"/>
      <c r="AI722" s="1605"/>
      <c r="AJ722" s="1605"/>
      <c r="AK722" s="1605"/>
      <c r="AL722" s="1605"/>
      <c r="AM722" s="1605"/>
      <c r="AN722" s="1605"/>
      <c r="AO722" s="1605"/>
      <c r="AP722" s="1605"/>
      <c r="AQ722" s="1605"/>
      <c r="AR722" s="1605"/>
      <c r="AS722" s="1605"/>
      <c r="AT722" s="1605"/>
      <c r="AU722" s="1605"/>
      <c r="AV722" s="1605"/>
      <c r="AW722" s="1605"/>
      <c r="AX722" s="1605"/>
      <c r="AY722" s="1605"/>
      <c r="AZ722" s="1605"/>
      <c r="BA722" s="1605"/>
      <c r="BB722" s="1605"/>
      <c r="BC722" s="1605"/>
      <c r="BD722" s="1605"/>
      <c r="BE722" s="1605"/>
      <c r="BF722" s="1605"/>
      <c r="BG722" s="1605"/>
      <c r="BH722" s="1605"/>
      <c r="BI722" s="1605"/>
      <c r="BJ722" s="1605"/>
      <c r="BK722" s="1605"/>
      <c r="BL722" s="1605"/>
      <c r="BM722" s="1605"/>
      <c r="BN722" s="1605"/>
      <c r="BO722" s="1605"/>
      <c r="BP722" s="1605"/>
      <c r="BQ722" s="1605"/>
      <c r="BR722" s="1605"/>
      <c r="BS722" s="1605"/>
      <c r="BT722" s="1605"/>
      <c r="BU722" s="1605"/>
      <c r="BV722" s="1605"/>
      <c r="BW722" s="1605"/>
      <c r="BX722" s="1605"/>
      <c r="BY722" s="1605"/>
      <c r="BZ722" s="1605"/>
      <c r="CA722" s="1605"/>
      <c r="CB722" s="1605"/>
      <c r="CC722" s="1605"/>
      <c r="CD722" s="1605"/>
      <c r="CE722" s="1605"/>
      <c r="CF722" s="1605"/>
      <c r="CG722" s="1605"/>
      <c r="CH722" s="1605"/>
      <c r="CI722" s="1605"/>
      <c r="CJ722" s="1605"/>
      <c r="CK722" s="1605"/>
      <c r="CL722" s="1605"/>
      <c r="CM722" s="1605"/>
      <c r="CN722" s="1605"/>
      <c r="CO722" s="1605"/>
      <c r="CP722" s="1605"/>
      <c r="CQ722" s="1605"/>
      <c r="CR722" s="1605"/>
      <c r="CS722" s="1605"/>
      <c r="CT722" s="1605"/>
      <c r="CU722" s="1605"/>
      <c r="CV722" s="1605"/>
      <c r="CW722" s="1605"/>
      <c r="CX722" s="1605"/>
      <c r="CY722" s="1605"/>
      <c r="CZ722" s="1605"/>
      <c r="DA722" s="1605"/>
      <c r="DB722" s="1605"/>
      <c r="DC722" s="1605"/>
      <c r="DD722" s="1605"/>
      <c r="DE722" s="1605"/>
      <c r="DF722" s="1605"/>
      <c r="DG722" s="1605"/>
      <c r="DH722" s="1605"/>
      <c r="DI722" s="1605"/>
      <c r="DJ722" s="1605"/>
      <c r="DK722" s="1605"/>
      <c r="DL722" s="1605"/>
      <c r="DM722" s="1605"/>
      <c r="DN722" s="1605"/>
      <c r="DO722" s="1605"/>
      <c r="DP722" s="1605"/>
      <c r="DQ722" s="1605"/>
      <c r="DR722" s="1605"/>
      <c r="DS722" s="1605"/>
      <c r="DT722" s="1605"/>
      <c r="DU722" s="1605"/>
      <c r="DV722" s="1605"/>
      <c r="DW722" s="1605"/>
      <c r="DX722" s="1605"/>
      <c r="DY722" s="1605"/>
      <c r="DZ722" s="1605"/>
      <c r="EA722" s="1605"/>
      <c r="EB722" s="1605"/>
      <c r="EC722" s="1605"/>
      <c r="ED722" s="1605"/>
      <c r="EE722" s="1605"/>
      <c r="EF722" s="1605"/>
      <c r="EG722" s="1605"/>
      <c r="EH722" s="1605"/>
      <c r="EI722" s="1605"/>
      <c r="EJ722" s="1605"/>
      <c r="EK722" s="1605"/>
      <c r="EL722" s="1605"/>
      <c r="EM722" s="1605"/>
      <c r="EN722" s="1605"/>
      <c r="EO722" s="1605"/>
      <c r="EP722" s="1605"/>
      <c r="EQ722" s="1605"/>
      <c r="ER722" s="1605"/>
      <c r="ES722" s="1605"/>
      <c r="ET722" s="1605"/>
      <c r="EU722" s="1605"/>
      <c r="EV722" s="1605"/>
      <c r="EW722" s="1605"/>
      <c r="EX722" s="1605"/>
      <c r="EY722" s="1605"/>
      <c r="EZ722" s="1605"/>
      <c r="FA722" s="1605"/>
      <c r="FB722" s="1605"/>
      <c r="FC722" s="1605"/>
      <c r="FD722" s="1605"/>
      <c r="FE722" s="1605"/>
      <c r="FF722" s="1605"/>
      <c r="FG722" s="1605"/>
      <c r="FH722" s="1605"/>
      <c r="FI722" s="1605"/>
      <c r="FJ722" s="1605"/>
      <c r="FK722" s="1605"/>
      <c r="FL722" s="1605"/>
      <c r="FM722" s="1605"/>
      <c r="FN722" s="1605"/>
      <c r="FO722" s="1605"/>
      <c r="FP722" s="1605"/>
      <c r="FQ722" s="1605"/>
      <c r="FR722" s="1605"/>
      <c r="FS722" s="1605"/>
      <c r="FT722" s="1605"/>
      <c r="FU722" s="1605"/>
      <c r="FV722" s="1605"/>
      <c r="FW722" s="1605"/>
      <c r="FX722" s="1605"/>
      <c r="FY722" s="1605"/>
      <c r="FZ722" s="1605"/>
      <c r="GA722" s="1605"/>
      <c r="GB722" s="1605"/>
      <c r="GC722" s="1605"/>
      <c r="GD722" s="1605"/>
      <c r="GE722" s="1605"/>
      <c r="GF722" s="1605"/>
      <c r="GG722" s="1605"/>
      <c r="GH722" s="1605"/>
      <c r="GI722" s="1605"/>
      <c r="GJ722" s="1605"/>
      <c r="GK722" s="1605"/>
      <c r="GL722" s="1605"/>
      <c r="GM722" s="1605"/>
      <c r="GN722" s="1605"/>
      <c r="GO722" s="1605"/>
      <c r="GP722" s="1605"/>
      <c r="GQ722" s="1605"/>
      <c r="GR722" s="1605"/>
      <c r="GS722" s="1605"/>
      <c r="GT722" s="1605"/>
      <c r="GU722" s="1605"/>
      <c r="GV722" s="1605"/>
      <c r="GW722" s="1605"/>
      <c r="GX722" s="1605"/>
      <c r="GY722" s="1605"/>
      <c r="GZ722" s="1605"/>
      <c r="HA722" s="1605"/>
      <c r="HB722" s="1605"/>
      <c r="HC722" s="1605"/>
      <c r="HD722" s="1605"/>
      <c r="HE722" s="1605"/>
      <c r="HF722" s="1605"/>
      <c r="HG722" s="1605"/>
      <c r="HH722" s="1605"/>
      <c r="HI722" s="1605"/>
      <c r="HJ722" s="1605"/>
      <c r="HK722" s="1605"/>
      <c r="HL722" s="1605"/>
      <c r="HM722" s="1605"/>
      <c r="HN722" s="1605"/>
      <c r="HO722" s="1605"/>
      <c r="HP722" s="1605"/>
      <c r="HQ722" s="1605"/>
      <c r="HR722" s="1605"/>
      <c r="HS722" s="1605"/>
      <c r="HT722" s="1605"/>
      <c r="HU722" s="1605"/>
      <c r="HV722" s="1605"/>
      <c r="HW722" s="1605"/>
      <c r="HX722" s="1605"/>
      <c r="HY722" s="1605"/>
      <c r="HZ722" s="1605"/>
      <c r="IA722" s="1605"/>
      <c r="IB722" s="1605"/>
      <c r="IC722" s="1605"/>
      <c r="ID722" s="1605"/>
      <c r="IE722" s="1605"/>
      <c r="IF722" s="1605"/>
      <c r="IG722" s="1605"/>
      <c r="IH722" s="1605"/>
      <c r="II722" s="1605"/>
      <c r="IJ722" s="1605"/>
      <c r="IK722" s="1605"/>
      <c r="IL722" s="1605"/>
      <c r="IM722" s="1605"/>
      <c r="IN722" s="1605"/>
      <c r="IO722" s="1605"/>
      <c r="IP722" s="1605"/>
      <c r="IQ722" s="1605"/>
      <c r="IR722" s="1605"/>
      <c r="IS722" s="1605"/>
      <c r="IT722" s="1605"/>
      <c r="IU722" s="1605"/>
      <c r="IV722" s="1605"/>
      <c r="IW722" s="1605"/>
      <c r="IX722" s="1605"/>
      <c r="IY722" s="1605"/>
      <c r="IZ722" s="1605"/>
      <c r="JA722" s="1605"/>
      <c r="JB722" s="1605"/>
      <c r="JC722" s="1605"/>
      <c r="JD722" s="1605"/>
      <c r="JE722" s="1605"/>
      <c r="JF722" s="1605"/>
      <c r="JG722" s="1605"/>
      <c r="JH722" s="1605"/>
      <c r="JI722" s="1605"/>
      <c r="JJ722" s="1605"/>
      <c r="JK722" s="1605"/>
      <c r="JL722" s="1605"/>
      <c r="JM722" s="1605"/>
      <c r="JN722" s="1605"/>
      <c r="JO722" s="1605"/>
      <c r="JP722" s="1605"/>
      <c r="JQ722" s="1605"/>
      <c r="JR722" s="1605"/>
      <c r="JS722" s="1605"/>
      <c r="JT722" s="1605"/>
      <c r="JU722" s="1605"/>
      <c r="JV722" s="1605"/>
      <c r="JW722" s="1605"/>
      <c r="JX722" s="1605"/>
      <c r="JY722" s="1605"/>
      <c r="JZ722" s="1605"/>
      <c r="KA722" s="1605"/>
      <c r="KB722" s="1606"/>
    </row>
    <row r="723" spans="1:289" ht="15" customHeight="1" x14ac:dyDescent="0.25">
      <c r="B723" s="216" t="str">
        <f t="shared" si="56"/>
        <v>Desk 93</v>
      </c>
      <c r="C723" s="218" t="str">
        <v/>
      </c>
      <c r="D723" s="218" t="str">
        <v/>
      </c>
      <c r="E723" s="218" t="str">
        <v/>
      </c>
      <c r="F723" s="218" t="str">
        <v/>
      </c>
      <c r="G723" s="402" t="str">
        <v/>
      </c>
      <c r="H723" s="1605"/>
      <c r="I723" s="1605"/>
      <c r="J723" s="1605"/>
      <c r="K723" s="1605"/>
      <c r="L723" s="1605"/>
      <c r="M723" s="1605"/>
      <c r="N723" s="1605"/>
      <c r="O723" s="1605"/>
      <c r="P723" s="1605"/>
      <c r="Q723" s="1605"/>
      <c r="R723" s="1605"/>
      <c r="S723" s="1605"/>
      <c r="T723" s="1605"/>
      <c r="U723" s="1605"/>
      <c r="V723" s="1605"/>
      <c r="W723" s="1605"/>
      <c r="X723" s="1605"/>
      <c r="Y723" s="1605"/>
      <c r="Z723" s="1605"/>
      <c r="AA723" s="1605"/>
      <c r="AB723" s="1605"/>
      <c r="AC723" s="1605"/>
      <c r="AD723" s="1605"/>
      <c r="AE723" s="1605"/>
      <c r="AF723" s="1605"/>
      <c r="AG723" s="1605"/>
      <c r="AH723" s="1605"/>
      <c r="AI723" s="1605"/>
      <c r="AJ723" s="1605"/>
      <c r="AK723" s="1605"/>
      <c r="AL723" s="1605"/>
      <c r="AM723" s="1605"/>
      <c r="AN723" s="1605"/>
      <c r="AO723" s="1605"/>
      <c r="AP723" s="1605"/>
      <c r="AQ723" s="1605"/>
      <c r="AR723" s="1605"/>
      <c r="AS723" s="1605"/>
      <c r="AT723" s="1605"/>
      <c r="AU723" s="1605"/>
      <c r="AV723" s="1605"/>
      <c r="AW723" s="1605"/>
      <c r="AX723" s="1605"/>
      <c r="AY723" s="1605"/>
      <c r="AZ723" s="1605"/>
      <c r="BA723" s="1605"/>
      <c r="BB723" s="1605"/>
      <c r="BC723" s="1605"/>
      <c r="BD723" s="1605"/>
      <c r="BE723" s="1605"/>
      <c r="BF723" s="1605"/>
      <c r="BG723" s="1605"/>
      <c r="BH723" s="1605"/>
      <c r="BI723" s="1605"/>
      <c r="BJ723" s="1605"/>
      <c r="BK723" s="1605"/>
      <c r="BL723" s="1605"/>
      <c r="BM723" s="1605"/>
      <c r="BN723" s="1605"/>
      <c r="BO723" s="1605"/>
      <c r="BP723" s="1605"/>
      <c r="BQ723" s="1605"/>
      <c r="BR723" s="1605"/>
      <c r="BS723" s="1605"/>
      <c r="BT723" s="1605"/>
      <c r="BU723" s="1605"/>
      <c r="BV723" s="1605"/>
      <c r="BW723" s="1605"/>
      <c r="BX723" s="1605"/>
      <c r="BY723" s="1605"/>
      <c r="BZ723" s="1605"/>
      <c r="CA723" s="1605"/>
      <c r="CB723" s="1605"/>
      <c r="CC723" s="1605"/>
      <c r="CD723" s="1605"/>
      <c r="CE723" s="1605"/>
      <c r="CF723" s="1605"/>
      <c r="CG723" s="1605"/>
      <c r="CH723" s="1605"/>
      <c r="CI723" s="1605"/>
      <c r="CJ723" s="1605"/>
      <c r="CK723" s="1605"/>
      <c r="CL723" s="1605"/>
      <c r="CM723" s="1605"/>
      <c r="CN723" s="1605"/>
      <c r="CO723" s="1605"/>
      <c r="CP723" s="1605"/>
      <c r="CQ723" s="1605"/>
      <c r="CR723" s="1605"/>
      <c r="CS723" s="1605"/>
      <c r="CT723" s="1605"/>
      <c r="CU723" s="1605"/>
      <c r="CV723" s="1605"/>
      <c r="CW723" s="1605"/>
      <c r="CX723" s="1605"/>
      <c r="CY723" s="1605"/>
      <c r="CZ723" s="1605"/>
      <c r="DA723" s="1605"/>
      <c r="DB723" s="1605"/>
      <c r="DC723" s="1605"/>
      <c r="DD723" s="1605"/>
      <c r="DE723" s="1605"/>
      <c r="DF723" s="1605"/>
      <c r="DG723" s="1605"/>
      <c r="DH723" s="1605"/>
      <c r="DI723" s="1605"/>
      <c r="DJ723" s="1605"/>
      <c r="DK723" s="1605"/>
      <c r="DL723" s="1605"/>
      <c r="DM723" s="1605"/>
      <c r="DN723" s="1605"/>
      <c r="DO723" s="1605"/>
      <c r="DP723" s="1605"/>
      <c r="DQ723" s="1605"/>
      <c r="DR723" s="1605"/>
      <c r="DS723" s="1605"/>
      <c r="DT723" s="1605"/>
      <c r="DU723" s="1605"/>
      <c r="DV723" s="1605"/>
      <c r="DW723" s="1605"/>
      <c r="DX723" s="1605"/>
      <c r="DY723" s="1605"/>
      <c r="DZ723" s="1605"/>
      <c r="EA723" s="1605"/>
      <c r="EB723" s="1605"/>
      <c r="EC723" s="1605"/>
      <c r="ED723" s="1605"/>
      <c r="EE723" s="1605"/>
      <c r="EF723" s="1605"/>
      <c r="EG723" s="1605"/>
      <c r="EH723" s="1605"/>
      <c r="EI723" s="1605"/>
      <c r="EJ723" s="1605"/>
      <c r="EK723" s="1605"/>
      <c r="EL723" s="1605"/>
      <c r="EM723" s="1605"/>
      <c r="EN723" s="1605"/>
      <c r="EO723" s="1605"/>
      <c r="EP723" s="1605"/>
      <c r="EQ723" s="1605"/>
      <c r="ER723" s="1605"/>
      <c r="ES723" s="1605"/>
      <c r="ET723" s="1605"/>
      <c r="EU723" s="1605"/>
      <c r="EV723" s="1605"/>
      <c r="EW723" s="1605"/>
      <c r="EX723" s="1605"/>
      <c r="EY723" s="1605"/>
      <c r="EZ723" s="1605"/>
      <c r="FA723" s="1605"/>
      <c r="FB723" s="1605"/>
      <c r="FC723" s="1605"/>
      <c r="FD723" s="1605"/>
      <c r="FE723" s="1605"/>
      <c r="FF723" s="1605"/>
      <c r="FG723" s="1605"/>
      <c r="FH723" s="1605"/>
      <c r="FI723" s="1605"/>
      <c r="FJ723" s="1605"/>
      <c r="FK723" s="1605"/>
      <c r="FL723" s="1605"/>
      <c r="FM723" s="1605"/>
      <c r="FN723" s="1605"/>
      <c r="FO723" s="1605"/>
      <c r="FP723" s="1605"/>
      <c r="FQ723" s="1605"/>
      <c r="FR723" s="1605"/>
      <c r="FS723" s="1605"/>
      <c r="FT723" s="1605"/>
      <c r="FU723" s="1605"/>
      <c r="FV723" s="1605"/>
      <c r="FW723" s="1605"/>
      <c r="FX723" s="1605"/>
      <c r="FY723" s="1605"/>
      <c r="FZ723" s="1605"/>
      <c r="GA723" s="1605"/>
      <c r="GB723" s="1605"/>
      <c r="GC723" s="1605"/>
      <c r="GD723" s="1605"/>
      <c r="GE723" s="1605"/>
      <c r="GF723" s="1605"/>
      <c r="GG723" s="1605"/>
      <c r="GH723" s="1605"/>
      <c r="GI723" s="1605"/>
      <c r="GJ723" s="1605"/>
      <c r="GK723" s="1605"/>
      <c r="GL723" s="1605"/>
      <c r="GM723" s="1605"/>
      <c r="GN723" s="1605"/>
      <c r="GO723" s="1605"/>
      <c r="GP723" s="1605"/>
      <c r="GQ723" s="1605"/>
      <c r="GR723" s="1605"/>
      <c r="GS723" s="1605"/>
      <c r="GT723" s="1605"/>
      <c r="GU723" s="1605"/>
      <c r="GV723" s="1605"/>
      <c r="GW723" s="1605"/>
      <c r="GX723" s="1605"/>
      <c r="GY723" s="1605"/>
      <c r="GZ723" s="1605"/>
      <c r="HA723" s="1605"/>
      <c r="HB723" s="1605"/>
      <c r="HC723" s="1605"/>
      <c r="HD723" s="1605"/>
      <c r="HE723" s="1605"/>
      <c r="HF723" s="1605"/>
      <c r="HG723" s="1605"/>
      <c r="HH723" s="1605"/>
      <c r="HI723" s="1605"/>
      <c r="HJ723" s="1605"/>
      <c r="HK723" s="1605"/>
      <c r="HL723" s="1605"/>
      <c r="HM723" s="1605"/>
      <c r="HN723" s="1605"/>
      <c r="HO723" s="1605"/>
      <c r="HP723" s="1605"/>
      <c r="HQ723" s="1605"/>
      <c r="HR723" s="1605"/>
      <c r="HS723" s="1605"/>
      <c r="HT723" s="1605"/>
      <c r="HU723" s="1605"/>
      <c r="HV723" s="1605"/>
      <c r="HW723" s="1605"/>
      <c r="HX723" s="1605"/>
      <c r="HY723" s="1605"/>
      <c r="HZ723" s="1605"/>
      <c r="IA723" s="1605"/>
      <c r="IB723" s="1605"/>
      <c r="IC723" s="1605"/>
      <c r="ID723" s="1605"/>
      <c r="IE723" s="1605"/>
      <c r="IF723" s="1605"/>
      <c r="IG723" s="1605"/>
      <c r="IH723" s="1605"/>
      <c r="II723" s="1605"/>
      <c r="IJ723" s="1605"/>
      <c r="IK723" s="1605"/>
      <c r="IL723" s="1605"/>
      <c r="IM723" s="1605"/>
      <c r="IN723" s="1605"/>
      <c r="IO723" s="1605"/>
      <c r="IP723" s="1605"/>
      <c r="IQ723" s="1605"/>
      <c r="IR723" s="1605"/>
      <c r="IS723" s="1605"/>
      <c r="IT723" s="1605"/>
      <c r="IU723" s="1605"/>
      <c r="IV723" s="1605"/>
      <c r="IW723" s="1605"/>
      <c r="IX723" s="1605"/>
      <c r="IY723" s="1605"/>
      <c r="IZ723" s="1605"/>
      <c r="JA723" s="1605"/>
      <c r="JB723" s="1605"/>
      <c r="JC723" s="1605"/>
      <c r="JD723" s="1605"/>
      <c r="JE723" s="1605"/>
      <c r="JF723" s="1605"/>
      <c r="JG723" s="1605"/>
      <c r="JH723" s="1605"/>
      <c r="JI723" s="1605"/>
      <c r="JJ723" s="1605"/>
      <c r="JK723" s="1605"/>
      <c r="JL723" s="1605"/>
      <c r="JM723" s="1605"/>
      <c r="JN723" s="1605"/>
      <c r="JO723" s="1605"/>
      <c r="JP723" s="1605"/>
      <c r="JQ723" s="1605"/>
      <c r="JR723" s="1605"/>
      <c r="JS723" s="1605"/>
      <c r="JT723" s="1605"/>
      <c r="JU723" s="1605"/>
      <c r="JV723" s="1605"/>
      <c r="JW723" s="1605"/>
      <c r="JX723" s="1605"/>
      <c r="JY723" s="1605"/>
      <c r="JZ723" s="1605"/>
      <c r="KA723" s="1605"/>
      <c r="KB723" s="1606"/>
    </row>
    <row r="724" spans="1:289" ht="15" customHeight="1" x14ac:dyDescent="0.25">
      <c r="B724" s="216" t="str">
        <f t="shared" si="56"/>
        <v>Desk 94</v>
      </c>
      <c r="C724" s="218" t="str">
        <v/>
      </c>
      <c r="D724" s="218" t="str">
        <v/>
      </c>
      <c r="E724" s="218" t="str">
        <v/>
      </c>
      <c r="F724" s="218" t="str">
        <v/>
      </c>
      <c r="G724" s="402" t="str">
        <v/>
      </c>
      <c r="H724" s="1605"/>
      <c r="I724" s="1605"/>
      <c r="J724" s="1605"/>
      <c r="K724" s="1605"/>
      <c r="L724" s="1605"/>
      <c r="M724" s="1605"/>
      <c r="N724" s="1605"/>
      <c r="O724" s="1605"/>
      <c r="P724" s="1605"/>
      <c r="Q724" s="1605"/>
      <c r="R724" s="1605"/>
      <c r="S724" s="1605"/>
      <c r="T724" s="1605"/>
      <c r="U724" s="1605"/>
      <c r="V724" s="1605"/>
      <c r="W724" s="1605"/>
      <c r="X724" s="1605"/>
      <c r="Y724" s="1605"/>
      <c r="Z724" s="1605"/>
      <c r="AA724" s="1605"/>
      <c r="AB724" s="1605"/>
      <c r="AC724" s="1605"/>
      <c r="AD724" s="1605"/>
      <c r="AE724" s="1605"/>
      <c r="AF724" s="1605"/>
      <c r="AG724" s="1605"/>
      <c r="AH724" s="1605"/>
      <c r="AI724" s="1605"/>
      <c r="AJ724" s="1605"/>
      <c r="AK724" s="1605"/>
      <c r="AL724" s="1605"/>
      <c r="AM724" s="1605"/>
      <c r="AN724" s="1605"/>
      <c r="AO724" s="1605"/>
      <c r="AP724" s="1605"/>
      <c r="AQ724" s="1605"/>
      <c r="AR724" s="1605"/>
      <c r="AS724" s="1605"/>
      <c r="AT724" s="1605"/>
      <c r="AU724" s="1605"/>
      <c r="AV724" s="1605"/>
      <c r="AW724" s="1605"/>
      <c r="AX724" s="1605"/>
      <c r="AY724" s="1605"/>
      <c r="AZ724" s="1605"/>
      <c r="BA724" s="1605"/>
      <c r="BB724" s="1605"/>
      <c r="BC724" s="1605"/>
      <c r="BD724" s="1605"/>
      <c r="BE724" s="1605"/>
      <c r="BF724" s="1605"/>
      <c r="BG724" s="1605"/>
      <c r="BH724" s="1605"/>
      <c r="BI724" s="1605"/>
      <c r="BJ724" s="1605"/>
      <c r="BK724" s="1605"/>
      <c r="BL724" s="1605"/>
      <c r="BM724" s="1605"/>
      <c r="BN724" s="1605"/>
      <c r="BO724" s="1605"/>
      <c r="BP724" s="1605"/>
      <c r="BQ724" s="1605"/>
      <c r="BR724" s="1605"/>
      <c r="BS724" s="1605"/>
      <c r="BT724" s="1605"/>
      <c r="BU724" s="1605"/>
      <c r="BV724" s="1605"/>
      <c r="BW724" s="1605"/>
      <c r="BX724" s="1605"/>
      <c r="BY724" s="1605"/>
      <c r="BZ724" s="1605"/>
      <c r="CA724" s="1605"/>
      <c r="CB724" s="1605"/>
      <c r="CC724" s="1605"/>
      <c r="CD724" s="1605"/>
      <c r="CE724" s="1605"/>
      <c r="CF724" s="1605"/>
      <c r="CG724" s="1605"/>
      <c r="CH724" s="1605"/>
      <c r="CI724" s="1605"/>
      <c r="CJ724" s="1605"/>
      <c r="CK724" s="1605"/>
      <c r="CL724" s="1605"/>
      <c r="CM724" s="1605"/>
      <c r="CN724" s="1605"/>
      <c r="CO724" s="1605"/>
      <c r="CP724" s="1605"/>
      <c r="CQ724" s="1605"/>
      <c r="CR724" s="1605"/>
      <c r="CS724" s="1605"/>
      <c r="CT724" s="1605"/>
      <c r="CU724" s="1605"/>
      <c r="CV724" s="1605"/>
      <c r="CW724" s="1605"/>
      <c r="CX724" s="1605"/>
      <c r="CY724" s="1605"/>
      <c r="CZ724" s="1605"/>
      <c r="DA724" s="1605"/>
      <c r="DB724" s="1605"/>
      <c r="DC724" s="1605"/>
      <c r="DD724" s="1605"/>
      <c r="DE724" s="1605"/>
      <c r="DF724" s="1605"/>
      <c r="DG724" s="1605"/>
      <c r="DH724" s="1605"/>
      <c r="DI724" s="1605"/>
      <c r="DJ724" s="1605"/>
      <c r="DK724" s="1605"/>
      <c r="DL724" s="1605"/>
      <c r="DM724" s="1605"/>
      <c r="DN724" s="1605"/>
      <c r="DO724" s="1605"/>
      <c r="DP724" s="1605"/>
      <c r="DQ724" s="1605"/>
      <c r="DR724" s="1605"/>
      <c r="DS724" s="1605"/>
      <c r="DT724" s="1605"/>
      <c r="DU724" s="1605"/>
      <c r="DV724" s="1605"/>
      <c r="DW724" s="1605"/>
      <c r="DX724" s="1605"/>
      <c r="DY724" s="1605"/>
      <c r="DZ724" s="1605"/>
      <c r="EA724" s="1605"/>
      <c r="EB724" s="1605"/>
      <c r="EC724" s="1605"/>
      <c r="ED724" s="1605"/>
      <c r="EE724" s="1605"/>
      <c r="EF724" s="1605"/>
      <c r="EG724" s="1605"/>
      <c r="EH724" s="1605"/>
      <c r="EI724" s="1605"/>
      <c r="EJ724" s="1605"/>
      <c r="EK724" s="1605"/>
      <c r="EL724" s="1605"/>
      <c r="EM724" s="1605"/>
      <c r="EN724" s="1605"/>
      <c r="EO724" s="1605"/>
      <c r="EP724" s="1605"/>
      <c r="EQ724" s="1605"/>
      <c r="ER724" s="1605"/>
      <c r="ES724" s="1605"/>
      <c r="ET724" s="1605"/>
      <c r="EU724" s="1605"/>
      <c r="EV724" s="1605"/>
      <c r="EW724" s="1605"/>
      <c r="EX724" s="1605"/>
      <c r="EY724" s="1605"/>
      <c r="EZ724" s="1605"/>
      <c r="FA724" s="1605"/>
      <c r="FB724" s="1605"/>
      <c r="FC724" s="1605"/>
      <c r="FD724" s="1605"/>
      <c r="FE724" s="1605"/>
      <c r="FF724" s="1605"/>
      <c r="FG724" s="1605"/>
      <c r="FH724" s="1605"/>
      <c r="FI724" s="1605"/>
      <c r="FJ724" s="1605"/>
      <c r="FK724" s="1605"/>
      <c r="FL724" s="1605"/>
      <c r="FM724" s="1605"/>
      <c r="FN724" s="1605"/>
      <c r="FO724" s="1605"/>
      <c r="FP724" s="1605"/>
      <c r="FQ724" s="1605"/>
      <c r="FR724" s="1605"/>
      <c r="FS724" s="1605"/>
      <c r="FT724" s="1605"/>
      <c r="FU724" s="1605"/>
      <c r="FV724" s="1605"/>
      <c r="FW724" s="1605"/>
      <c r="FX724" s="1605"/>
      <c r="FY724" s="1605"/>
      <c r="FZ724" s="1605"/>
      <c r="GA724" s="1605"/>
      <c r="GB724" s="1605"/>
      <c r="GC724" s="1605"/>
      <c r="GD724" s="1605"/>
      <c r="GE724" s="1605"/>
      <c r="GF724" s="1605"/>
      <c r="GG724" s="1605"/>
      <c r="GH724" s="1605"/>
      <c r="GI724" s="1605"/>
      <c r="GJ724" s="1605"/>
      <c r="GK724" s="1605"/>
      <c r="GL724" s="1605"/>
      <c r="GM724" s="1605"/>
      <c r="GN724" s="1605"/>
      <c r="GO724" s="1605"/>
      <c r="GP724" s="1605"/>
      <c r="GQ724" s="1605"/>
      <c r="GR724" s="1605"/>
      <c r="GS724" s="1605"/>
      <c r="GT724" s="1605"/>
      <c r="GU724" s="1605"/>
      <c r="GV724" s="1605"/>
      <c r="GW724" s="1605"/>
      <c r="GX724" s="1605"/>
      <c r="GY724" s="1605"/>
      <c r="GZ724" s="1605"/>
      <c r="HA724" s="1605"/>
      <c r="HB724" s="1605"/>
      <c r="HC724" s="1605"/>
      <c r="HD724" s="1605"/>
      <c r="HE724" s="1605"/>
      <c r="HF724" s="1605"/>
      <c r="HG724" s="1605"/>
      <c r="HH724" s="1605"/>
      <c r="HI724" s="1605"/>
      <c r="HJ724" s="1605"/>
      <c r="HK724" s="1605"/>
      <c r="HL724" s="1605"/>
      <c r="HM724" s="1605"/>
      <c r="HN724" s="1605"/>
      <c r="HO724" s="1605"/>
      <c r="HP724" s="1605"/>
      <c r="HQ724" s="1605"/>
      <c r="HR724" s="1605"/>
      <c r="HS724" s="1605"/>
      <c r="HT724" s="1605"/>
      <c r="HU724" s="1605"/>
      <c r="HV724" s="1605"/>
      <c r="HW724" s="1605"/>
      <c r="HX724" s="1605"/>
      <c r="HY724" s="1605"/>
      <c r="HZ724" s="1605"/>
      <c r="IA724" s="1605"/>
      <c r="IB724" s="1605"/>
      <c r="IC724" s="1605"/>
      <c r="ID724" s="1605"/>
      <c r="IE724" s="1605"/>
      <c r="IF724" s="1605"/>
      <c r="IG724" s="1605"/>
      <c r="IH724" s="1605"/>
      <c r="II724" s="1605"/>
      <c r="IJ724" s="1605"/>
      <c r="IK724" s="1605"/>
      <c r="IL724" s="1605"/>
      <c r="IM724" s="1605"/>
      <c r="IN724" s="1605"/>
      <c r="IO724" s="1605"/>
      <c r="IP724" s="1605"/>
      <c r="IQ724" s="1605"/>
      <c r="IR724" s="1605"/>
      <c r="IS724" s="1605"/>
      <c r="IT724" s="1605"/>
      <c r="IU724" s="1605"/>
      <c r="IV724" s="1605"/>
      <c r="IW724" s="1605"/>
      <c r="IX724" s="1605"/>
      <c r="IY724" s="1605"/>
      <c r="IZ724" s="1605"/>
      <c r="JA724" s="1605"/>
      <c r="JB724" s="1605"/>
      <c r="JC724" s="1605"/>
      <c r="JD724" s="1605"/>
      <c r="JE724" s="1605"/>
      <c r="JF724" s="1605"/>
      <c r="JG724" s="1605"/>
      <c r="JH724" s="1605"/>
      <c r="JI724" s="1605"/>
      <c r="JJ724" s="1605"/>
      <c r="JK724" s="1605"/>
      <c r="JL724" s="1605"/>
      <c r="JM724" s="1605"/>
      <c r="JN724" s="1605"/>
      <c r="JO724" s="1605"/>
      <c r="JP724" s="1605"/>
      <c r="JQ724" s="1605"/>
      <c r="JR724" s="1605"/>
      <c r="JS724" s="1605"/>
      <c r="JT724" s="1605"/>
      <c r="JU724" s="1605"/>
      <c r="JV724" s="1605"/>
      <c r="JW724" s="1605"/>
      <c r="JX724" s="1605"/>
      <c r="JY724" s="1605"/>
      <c r="JZ724" s="1605"/>
      <c r="KA724" s="1605"/>
      <c r="KB724" s="1606"/>
    </row>
    <row r="725" spans="1:289" ht="15" customHeight="1" x14ac:dyDescent="0.25">
      <c r="B725" s="216" t="str">
        <f t="shared" si="56"/>
        <v>Desk 95</v>
      </c>
      <c r="C725" s="218" t="str">
        <v/>
      </c>
      <c r="D725" s="218" t="str">
        <v/>
      </c>
      <c r="E725" s="218" t="str">
        <v/>
      </c>
      <c r="F725" s="218" t="str">
        <v/>
      </c>
      <c r="G725" s="402" t="str">
        <v/>
      </c>
      <c r="H725" s="1605"/>
      <c r="I725" s="1605"/>
      <c r="J725" s="1605"/>
      <c r="K725" s="1605"/>
      <c r="L725" s="1605"/>
      <c r="M725" s="1605"/>
      <c r="N725" s="1605"/>
      <c r="O725" s="1605"/>
      <c r="P725" s="1605"/>
      <c r="Q725" s="1605"/>
      <c r="R725" s="1605"/>
      <c r="S725" s="1605"/>
      <c r="T725" s="1605"/>
      <c r="U725" s="1605"/>
      <c r="V725" s="1605"/>
      <c r="W725" s="1605"/>
      <c r="X725" s="1605"/>
      <c r="Y725" s="1605"/>
      <c r="Z725" s="1605"/>
      <c r="AA725" s="1605"/>
      <c r="AB725" s="1605"/>
      <c r="AC725" s="1605"/>
      <c r="AD725" s="1605"/>
      <c r="AE725" s="1605"/>
      <c r="AF725" s="1605"/>
      <c r="AG725" s="1605"/>
      <c r="AH725" s="1605"/>
      <c r="AI725" s="1605"/>
      <c r="AJ725" s="1605"/>
      <c r="AK725" s="1605"/>
      <c r="AL725" s="1605"/>
      <c r="AM725" s="1605"/>
      <c r="AN725" s="1605"/>
      <c r="AO725" s="1605"/>
      <c r="AP725" s="1605"/>
      <c r="AQ725" s="1605"/>
      <c r="AR725" s="1605"/>
      <c r="AS725" s="1605"/>
      <c r="AT725" s="1605"/>
      <c r="AU725" s="1605"/>
      <c r="AV725" s="1605"/>
      <c r="AW725" s="1605"/>
      <c r="AX725" s="1605"/>
      <c r="AY725" s="1605"/>
      <c r="AZ725" s="1605"/>
      <c r="BA725" s="1605"/>
      <c r="BB725" s="1605"/>
      <c r="BC725" s="1605"/>
      <c r="BD725" s="1605"/>
      <c r="BE725" s="1605"/>
      <c r="BF725" s="1605"/>
      <c r="BG725" s="1605"/>
      <c r="BH725" s="1605"/>
      <c r="BI725" s="1605"/>
      <c r="BJ725" s="1605"/>
      <c r="BK725" s="1605"/>
      <c r="BL725" s="1605"/>
      <c r="BM725" s="1605"/>
      <c r="BN725" s="1605"/>
      <c r="BO725" s="1605"/>
      <c r="BP725" s="1605"/>
      <c r="BQ725" s="1605"/>
      <c r="BR725" s="1605"/>
      <c r="BS725" s="1605"/>
      <c r="BT725" s="1605"/>
      <c r="BU725" s="1605"/>
      <c r="BV725" s="1605"/>
      <c r="BW725" s="1605"/>
      <c r="BX725" s="1605"/>
      <c r="BY725" s="1605"/>
      <c r="BZ725" s="1605"/>
      <c r="CA725" s="1605"/>
      <c r="CB725" s="1605"/>
      <c r="CC725" s="1605"/>
      <c r="CD725" s="1605"/>
      <c r="CE725" s="1605"/>
      <c r="CF725" s="1605"/>
      <c r="CG725" s="1605"/>
      <c r="CH725" s="1605"/>
      <c r="CI725" s="1605"/>
      <c r="CJ725" s="1605"/>
      <c r="CK725" s="1605"/>
      <c r="CL725" s="1605"/>
      <c r="CM725" s="1605"/>
      <c r="CN725" s="1605"/>
      <c r="CO725" s="1605"/>
      <c r="CP725" s="1605"/>
      <c r="CQ725" s="1605"/>
      <c r="CR725" s="1605"/>
      <c r="CS725" s="1605"/>
      <c r="CT725" s="1605"/>
      <c r="CU725" s="1605"/>
      <c r="CV725" s="1605"/>
      <c r="CW725" s="1605"/>
      <c r="CX725" s="1605"/>
      <c r="CY725" s="1605"/>
      <c r="CZ725" s="1605"/>
      <c r="DA725" s="1605"/>
      <c r="DB725" s="1605"/>
      <c r="DC725" s="1605"/>
      <c r="DD725" s="1605"/>
      <c r="DE725" s="1605"/>
      <c r="DF725" s="1605"/>
      <c r="DG725" s="1605"/>
      <c r="DH725" s="1605"/>
      <c r="DI725" s="1605"/>
      <c r="DJ725" s="1605"/>
      <c r="DK725" s="1605"/>
      <c r="DL725" s="1605"/>
      <c r="DM725" s="1605"/>
      <c r="DN725" s="1605"/>
      <c r="DO725" s="1605"/>
      <c r="DP725" s="1605"/>
      <c r="DQ725" s="1605"/>
      <c r="DR725" s="1605"/>
      <c r="DS725" s="1605"/>
      <c r="DT725" s="1605"/>
      <c r="DU725" s="1605"/>
      <c r="DV725" s="1605"/>
      <c r="DW725" s="1605"/>
      <c r="DX725" s="1605"/>
      <c r="DY725" s="1605"/>
      <c r="DZ725" s="1605"/>
      <c r="EA725" s="1605"/>
      <c r="EB725" s="1605"/>
      <c r="EC725" s="1605"/>
      <c r="ED725" s="1605"/>
      <c r="EE725" s="1605"/>
      <c r="EF725" s="1605"/>
      <c r="EG725" s="1605"/>
      <c r="EH725" s="1605"/>
      <c r="EI725" s="1605"/>
      <c r="EJ725" s="1605"/>
      <c r="EK725" s="1605"/>
      <c r="EL725" s="1605"/>
      <c r="EM725" s="1605"/>
      <c r="EN725" s="1605"/>
      <c r="EO725" s="1605"/>
      <c r="EP725" s="1605"/>
      <c r="EQ725" s="1605"/>
      <c r="ER725" s="1605"/>
      <c r="ES725" s="1605"/>
      <c r="ET725" s="1605"/>
      <c r="EU725" s="1605"/>
      <c r="EV725" s="1605"/>
      <c r="EW725" s="1605"/>
      <c r="EX725" s="1605"/>
      <c r="EY725" s="1605"/>
      <c r="EZ725" s="1605"/>
      <c r="FA725" s="1605"/>
      <c r="FB725" s="1605"/>
      <c r="FC725" s="1605"/>
      <c r="FD725" s="1605"/>
      <c r="FE725" s="1605"/>
      <c r="FF725" s="1605"/>
      <c r="FG725" s="1605"/>
      <c r="FH725" s="1605"/>
      <c r="FI725" s="1605"/>
      <c r="FJ725" s="1605"/>
      <c r="FK725" s="1605"/>
      <c r="FL725" s="1605"/>
      <c r="FM725" s="1605"/>
      <c r="FN725" s="1605"/>
      <c r="FO725" s="1605"/>
      <c r="FP725" s="1605"/>
      <c r="FQ725" s="1605"/>
      <c r="FR725" s="1605"/>
      <c r="FS725" s="1605"/>
      <c r="FT725" s="1605"/>
      <c r="FU725" s="1605"/>
      <c r="FV725" s="1605"/>
      <c r="FW725" s="1605"/>
      <c r="FX725" s="1605"/>
      <c r="FY725" s="1605"/>
      <c r="FZ725" s="1605"/>
      <c r="GA725" s="1605"/>
      <c r="GB725" s="1605"/>
      <c r="GC725" s="1605"/>
      <c r="GD725" s="1605"/>
      <c r="GE725" s="1605"/>
      <c r="GF725" s="1605"/>
      <c r="GG725" s="1605"/>
      <c r="GH725" s="1605"/>
      <c r="GI725" s="1605"/>
      <c r="GJ725" s="1605"/>
      <c r="GK725" s="1605"/>
      <c r="GL725" s="1605"/>
      <c r="GM725" s="1605"/>
      <c r="GN725" s="1605"/>
      <c r="GO725" s="1605"/>
      <c r="GP725" s="1605"/>
      <c r="GQ725" s="1605"/>
      <c r="GR725" s="1605"/>
      <c r="GS725" s="1605"/>
      <c r="GT725" s="1605"/>
      <c r="GU725" s="1605"/>
      <c r="GV725" s="1605"/>
      <c r="GW725" s="1605"/>
      <c r="GX725" s="1605"/>
      <c r="GY725" s="1605"/>
      <c r="GZ725" s="1605"/>
      <c r="HA725" s="1605"/>
      <c r="HB725" s="1605"/>
      <c r="HC725" s="1605"/>
      <c r="HD725" s="1605"/>
      <c r="HE725" s="1605"/>
      <c r="HF725" s="1605"/>
      <c r="HG725" s="1605"/>
      <c r="HH725" s="1605"/>
      <c r="HI725" s="1605"/>
      <c r="HJ725" s="1605"/>
      <c r="HK725" s="1605"/>
      <c r="HL725" s="1605"/>
      <c r="HM725" s="1605"/>
      <c r="HN725" s="1605"/>
      <c r="HO725" s="1605"/>
      <c r="HP725" s="1605"/>
      <c r="HQ725" s="1605"/>
      <c r="HR725" s="1605"/>
      <c r="HS725" s="1605"/>
      <c r="HT725" s="1605"/>
      <c r="HU725" s="1605"/>
      <c r="HV725" s="1605"/>
      <c r="HW725" s="1605"/>
      <c r="HX725" s="1605"/>
      <c r="HY725" s="1605"/>
      <c r="HZ725" s="1605"/>
      <c r="IA725" s="1605"/>
      <c r="IB725" s="1605"/>
      <c r="IC725" s="1605"/>
      <c r="ID725" s="1605"/>
      <c r="IE725" s="1605"/>
      <c r="IF725" s="1605"/>
      <c r="IG725" s="1605"/>
      <c r="IH725" s="1605"/>
      <c r="II725" s="1605"/>
      <c r="IJ725" s="1605"/>
      <c r="IK725" s="1605"/>
      <c r="IL725" s="1605"/>
      <c r="IM725" s="1605"/>
      <c r="IN725" s="1605"/>
      <c r="IO725" s="1605"/>
      <c r="IP725" s="1605"/>
      <c r="IQ725" s="1605"/>
      <c r="IR725" s="1605"/>
      <c r="IS725" s="1605"/>
      <c r="IT725" s="1605"/>
      <c r="IU725" s="1605"/>
      <c r="IV725" s="1605"/>
      <c r="IW725" s="1605"/>
      <c r="IX725" s="1605"/>
      <c r="IY725" s="1605"/>
      <c r="IZ725" s="1605"/>
      <c r="JA725" s="1605"/>
      <c r="JB725" s="1605"/>
      <c r="JC725" s="1605"/>
      <c r="JD725" s="1605"/>
      <c r="JE725" s="1605"/>
      <c r="JF725" s="1605"/>
      <c r="JG725" s="1605"/>
      <c r="JH725" s="1605"/>
      <c r="JI725" s="1605"/>
      <c r="JJ725" s="1605"/>
      <c r="JK725" s="1605"/>
      <c r="JL725" s="1605"/>
      <c r="JM725" s="1605"/>
      <c r="JN725" s="1605"/>
      <c r="JO725" s="1605"/>
      <c r="JP725" s="1605"/>
      <c r="JQ725" s="1605"/>
      <c r="JR725" s="1605"/>
      <c r="JS725" s="1605"/>
      <c r="JT725" s="1605"/>
      <c r="JU725" s="1605"/>
      <c r="JV725" s="1605"/>
      <c r="JW725" s="1605"/>
      <c r="JX725" s="1605"/>
      <c r="JY725" s="1605"/>
      <c r="JZ725" s="1605"/>
      <c r="KA725" s="1605"/>
      <c r="KB725" s="1606"/>
    </row>
    <row r="726" spans="1:289" ht="15" customHeight="1" x14ac:dyDescent="0.25">
      <c r="B726" s="216" t="str">
        <f t="shared" si="56"/>
        <v>Desk 96</v>
      </c>
      <c r="C726" s="218" t="str">
        <v/>
      </c>
      <c r="D726" s="218" t="str">
        <v/>
      </c>
      <c r="E726" s="218" t="str">
        <v/>
      </c>
      <c r="F726" s="218" t="str">
        <v/>
      </c>
      <c r="G726" s="402" t="str">
        <v/>
      </c>
      <c r="H726" s="1605"/>
      <c r="I726" s="1605"/>
      <c r="J726" s="1605"/>
      <c r="K726" s="1605"/>
      <c r="L726" s="1605"/>
      <c r="M726" s="1605"/>
      <c r="N726" s="1605"/>
      <c r="O726" s="1605"/>
      <c r="P726" s="1605"/>
      <c r="Q726" s="1605"/>
      <c r="R726" s="1605"/>
      <c r="S726" s="1605"/>
      <c r="T726" s="1605"/>
      <c r="U726" s="1605"/>
      <c r="V726" s="1605"/>
      <c r="W726" s="1605"/>
      <c r="X726" s="1605"/>
      <c r="Y726" s="1605"/>
      <c r="Z726" s="1605"/>
      <c r="AA726" s="1605"/>
      <c r="AB726" s="1605"/>
      <c r="AC726" s="1605"/>
      <c r="AD726" s="1605"/>
      <c r="AE726" s="1605"/>
      <c r="AF726" s="1605"/>
      <c r="AG726" s="1605"/>
      <c r="AH726" s="1605"/>
      <c r="AI726" s="1605"/>
      <c r="AJ726" s="1605"/>
      <c r="AK726" s="1605"/>
      <c r="AL726" s="1605"/>
      <c r="AM726" s="1605"/>
      <c r="AN726" s="1605"/>
      <c r="AO726" s="1605"/>
      <c r="AP726" s="1605"/>
      <c r="AQ726" s="1605"/>
      <c r="AR726" s="1605"/>
      <c r="AS726" s="1605"/>
      <c r="AT726" s="1605"/>
      <c r="AU726" s="1605"/>
      <c r="AV726" s="1605"/>
      <c r="AW726" s="1605"/>
      <c r="AX726" s="1605"/>
      <c r="AY726" s="1605"/>
      <c r="AZ726" s="1605"/>
      <c r="BA726" s="1605"/>
      <c r="BB726" s="1605"/>
      <c r="BC726" s="1605"/>
      <c r="BD726" s="1605"/>
      <c r="BE726" s="1605"/>
      <c r="BF726" s="1605"/>
      <c r="BG726" s="1605"/>
      <c r="BH726" s="1605"/>
      <c r="BI726" s="1605"/>
      <c r="BJ726" s="1605"/>
      <c r="BK726" s="1605"/>
      <c r="BL726" s="1605"/>
      <c r="BM726" s="1605"/>
      <c r="BN726" s="1605"/>
      <c r="BO726" s="1605"/>
      <c r="BP726" s="1605"/>
      <c r="BQ726" s="1605"/>
      <c r="BR726" s="1605"/>
      <c r="BS726" s="1605"/>
      <c r="BT726" s="1605"/>
      <c r="BU726" s="1605"/>
      <c r="BV726" s="1605"/>
      <c r="BW726" s="1605"/>
      <c r="BX726" s="1605"/>
      <c r="BY726" s="1605"/>
      <c r="BZ726" s="1605"/>
      <c r="CA726" s="1605"/>
      <c r="CB726" s="1605"/>
      <c r="CC726" s="1605"/>
      <c r="CD726" s="1605"/>
      <c r="CE726" s="1605"/>
      <c r="CF726" s="1605"/>
      <c r="CG726" s="1605"/>
      <c r="CH726" s="1605"/>
      <c r="CI726" s="1605"/>
      <c r="CJ726" s="1605"/>
      <c r="CK726" s="1605"/>
      <c r="CL726" s="1605"/>
      <c r="CM726" s="1605"/>
      <c r="CN726" s="1605"/>
      <c r="CO726" s="1605"/>
      <c r="CP726" s="1605"/>
      <c r="CQ726" s="1605"/>
      <c r="CR726" s="1605"/>
      <c r="CS726" s="1605"/>
      <c r="CT726" s="1605"/>
      <c r="CU726" s="1605"/>
      <c r="CV726" s="1605"/>
      <c r="CW726" s="1605"/>
      <c r="CX726" s="1605"/>
      <c r="CY726" s="1605"/>
      <c r="CZ726" s="1605"/>
      <c r="DA726" s="1605"/>
      <c r="DB726" s="1605"/>
      <c r="DC726" s="1605"/>
      <c r="DD726" s="1605"/>
      <c r="DE726" s="1605"/>
      <c r="DF726" s="1605"/>
      <c r="DG726" s="1605"/>
      <c r="DH726" s="1605"/>
      <c r="DI726" s="1605"/>
      <c r="DJ726" s="1605"/>
      <c r="DK726" s="1605"/>
      <c r="DL726" s="1605"/>
      <c r="DM726" s="1605"/>
      <c r="DN726" s="1605"/>
      <c r="DO726" s="1605"/>
      <c r="DP726" s="1605"/>
      <c r="DQ726" s="1605"/>
      <c r="DR726" s="1605"/>
      <c r="DS726" s="1605"/>
      <c r="DT726" s="1605"/>
      <c r="DU726" s="1605"/>
      <c r="DV726" s="1605"/>
      <c r="DW726" s="1605"/>
      <c r="DX726" s="1605"/>
      <c r="DY726" s="1605"/>
      <c r="DZ726" s="1605"/>
      <c r="EA726" s="1605"/>
      <c r="EB726" s="1605"/>
      <c r="EC726" s="1605"/>
      <c r="ED726" s="1605"/>
      <c r="EE726" s="1605"/>
      <c r="EF726" s="1605"/>
      <c r="EG726" s="1605"/>
      <c r="EH726" s="1605"/>
      <c r="EI726" s="1605"/>
      <c r="EJ726" s="1605"/>
      <c r="EK726" s="1605"/>
      <c r="EL726" s="1605"/>
      <c r="EM726" s="1605"/>
      <c r="EN726" s="1605"/>
      <c r="EO726" s="1605"/>
      <c r="EP726" s="1605"/>
      <c r="EQ726" s="1605"/>
      <c r="ER726" s="1605"/>
      <c r="ES726" s="1605"/>
      <c r="ET726" s="1605"/>
      <c r="EU726" s="1605"/>
      <c r="EV726" s="1605"/>
      <c r="EW726" s="1605"/>
      <c r="EX726" s="1605"/>
      <c r="EY726" s="1605"/>
      <c r="EZ726" s="1605"/>
      <c r="FA726" s="1605"/>
      <c r="FB726" s="1605"/>
      <c r="FC726" s="1605"/>
      <c r="FD726" s="1605"/>
      <c r="FE726" s="1605"/>
      <c r="FF726" s="1605"/>
      <c r="FG726" s="1605"/>
      <c r="FH726" s="1605"/>
      <c r="FI726" s="1605"/>
      <c r="FJ726" s="1605"/>
      <c r="FK726" s="1605"/>
      <c r="FL726" s="1605"/>
      <c r="FM726" s="1605"/>
      <c r="FN726" s="1605"/>
      <c r="FO726" s="1605"/>
      <c r="FP726" s="1605"/>
      <c r="FQ726" s="1605"/>
      <c r="FR726" s="1605"/>
      <c r="FS726" s="1605"/>
      <c r="FT726" s="1605"/>
      <c r="FU726" s="1605"/>
      <c r="FV726" s="1605"/>
      <c r="FW726" s="1605"/>
      <c r="FX726" s="1605"/>
      <c r="FY726" s="1605"/>
      <c r="FZ726" s="1605"/>
      <c r="GA726" s="1605"/>
      <c r="GB726" s="1605"/>
      <c r="GC726" s="1605"/>
      <c r="GD726" s="1605"/>
      <c r="GE726" s="1605"/>
      <c r="GF726" s="1605"/>
      <c r="GG726" s="1605"/>
      <c r="GH726" s="1605"/>
      <c r="GI726" s="1605"/>
      <c r="GJ726" s="1605"/>
      <c r="GK726" s="1605"/>
      <c r="GL726" s="1605"/>
      <c r="GM726" s="1605"/>
      <c r="GN726" s="1605"/>
      <c r="GO726" s="1605"/>
      <c r="GP726" s="1605"/>
      <c r="GQ726" s="1605"/>
      <c r="GR726" s="1605"/>
      <c r="GS726" s="1605"/>
      <c r="GT726" s="1605"/>
      <c r="GU726" s="1605"/>
      <c r="GV726" s="1605"/>
      <c r="GW726" s="1605"/>
      <c r="GX726" s="1605"/>
      <c r="GY726" s="1605"/>
      <c r="GZ726" s="1605"/>
      <c r="HA726" s="1605"/>
      <c r="HB726" s="1605"/>
      <c r="HC726" s="1605"/>
      <c r="HD726" s="1605"/>
      <c r="HE726" s="1605"/>
      <c r="HF726" s="1605"/>
      <c r="HG726" s="1605"/>
      <c r="HH726" s="1605"/>
      <c r="HI726" s="1605"/>
      <c r="HJ726" s="1605"/>
      <c r="HK726" s="1605"/>
      <c r="HL726" s="1605"/>
      <c r="HM726" s="1605"/>
      <c r="HN726" s="1605"/>
      <c r="HO726" s="1605"/>
      <c r="HP726" s="1605"/>
      <c r="HQ726" s="1605"/>
      <c r="HR726" s="1605"/>
      <c r="HS726" s="1605"/>
      <c r="HT726" s="1605"/>
      <c r="HU726" s="1605"/>
      <c r="HV726" s="1605"/>
      <c r="HW726" s="1605"/>
      <c r="HX726" s="1605"/>
      <c r="HY726" s="1605"/>
      <c r="HZ726" s="1605"/>
      <c r="IA726" s="1605"/>
      <c r="IB726" s="1605"/>
      <c r="IC726" s="1605"/>
      <c r="ID726" s="1605"/>
      <c r="IE726" s="1605"/>
      <c r="IF726" s="1605"/>
      <c r="IG726" s="1605"/>
      <c r="IH726" s="1605"/>
      <c r="II726" s="1605"/>
      <c r="IJ726" s="1605"/>
      <c r="IK726" s="1605"/>
      <c r="IL726" s="1605"/>
      <c r="IM726" s="1605"/>
      <c r="IN726" s="1605"/>
      <c r="IO726" s="1605"/>
      <c r="IP726" s="1605"/>
      <c r="IQ726" s="1605"/>
      <c r="IR726" s="1605"/>
      <c r="IS726" s="1605"/>
      <c r="IT726" s="1605"/>
      <c r="IU726" s="1605"/>
      <c r="IV726" s="1605"/>
      <c r="IW726" s="1605"/>
      <c r="IX726" s="1605"/>
      <c r="IY726" s="1605"/>
      <c r="IZ726" s="1605"/>
      <c r="JA726" s="1605"/>
      <c r="JB726" s="1605"/>
      <c r="JC726" s="1605"/>
      <c r="JD726" s="1605"/>
      <c r="JE726" s="1605"/>
      <c r="JF726" s="1605"/>
      <c r="JG726" s="1605"/>
      <c r="JH726" s="1605"/>
      <c r="JI726" s="1605"/>
      <c r="JJ726" s="1605"/>
      <c r="JK726" s="1605"/>
      <c r="JL726" s="1605"/>
      <c r="JM726" s="1605"/>
      <c r="JN726" s="1605"/>
      <c r="JO726" s="1605"/>
      <c r="JP726" s="1605"/>
      <c r="JQ726" s="1605"/>
      <c r="JR726" s="1605"/>
      <c r="JS726" s="1605"/>
      <c r="JT726" s="1605"/>
      <c r="JU726" s="1605"/>
      <c r="JV726" s="1605"/>
      <c r="JW726" s="1605"/>
      <c r="JX726" s="1605"/>
      <c r="JY726" s="1605"/>
      <c r="JZ726" s="1605"/>
      <c r="KA726" s="1605"/>
      <c r="KB726" s="1606"/>
    </row>
    <row r="727" spans="1:289" ht="15" customHeight="1" x14ac:dyDescent="0.25">
      <c r="B727" s="216" t="str">
        <f t="shared" ref="B727:B730" si="57">B107</f>
        <v>Desk 97</v>
      </c>
      <c r="C727" s="218" t="str">
        <v/>
      </c>
      <c r="D727" s="218" t="str">
        <v/>
      </c>
      <c r="E727" s="218" t="str">
        <v/>
      </c>
      <c r="F727" s="218" t="str">
        <v/>
      </c>
      <c r="G727" s="402" t="str">
        <v/>
      </c>
      <c r="H727" s="1605"/>
      <c r="I727" s="1605"/>
      <c r="J727" s="1605"/>
      <c r="K727" s="1605"/>
      <c r="L727" s="1605"/>
      <c r="M727" s="1605"/>
      <c r="N727" s="1605"/>
      <c r="O727" s="1605"/>
      <c r="P727" s="1605"/>
      <c r="Q727" s="1605"/>
      <c r="R727" s="1605"/>
      <c r="S727" s="1605"/>
      <c r="T727" s="1605"/>
      <c r="U727" s="1605"/>
      <c r="V727" s="1605"/>
      <c r="W727" s="1605"/>
      <c r="X727" s="1605"/>
      <c r="Y727" s="1605"/>
      <c r="Z727" s="1605"/>
      <c r="AA727" s="1605"/>
      <c r="AB727" s="1605"/>
      <c r="AC727" s="1605"/>
      <c r="AD727" s="1605"/>
      <c r="AE727" s="1605"/>
      <c r="AF727" s="1605"/>
      <c r="AG727" s="1605"/>
      <c r="AH727" s="1605"/>
      <c r="AI727" s="1605"/>
      <c r="AJ727" s="1605"/>
      <c r="AK727" s="1605"/>
      <c r="AL727" s="1605"/>
      <c r="AM727" s="1605"/>
      <c r="AN727" s="1605"/>
      <c r="AO727" s="1605"/>
      <c r="AP727" s="1605"/>
      <c r="AQ727" s="1605"/>
      <c r="AR727" s="1605"/>
      <c r="AS727" s="1605"/>
      <c r="AT727" s="1605"/>
      <c r="AU727" s="1605"/>
      <c r="AV727" s="1605"/>
      <c r="AW727" s="1605"/>
      <c r="AX727" s="1605"/>
      <c r="AY727" s="1605"/>
      <c r="AZ727" s="1605"/>
      <c r="BA727" s="1605"/>
      <c r="BB727" s="1605"/>
      <c r="BC727" s="1605"/>
      <c r="BD727" s="1605"/>
      <c r="BE727" s="1605"/>
      <c r="BF727" s="1605"/>
      <c r="BG727" s="1605"/>
      <c r="BH727" s="1605"/>
      <c r="BI727" s="1605"/>
      <c r="BJ727" s="1605"/>
      <c r="BK727" s="1605"/>
      <c r="BL727" s="1605"/>
      <c r="BM727" s="1605"/>
      <c r="BN727" s="1605"/>
      <c r="BO727" s="1605"/>
      <c r="BP727" s="1605"/>
      <c r="BQ727" s="1605"/>
      <c r="BR727" s="1605"/>
      <c r="BS727" s="1605"/>
      <c r="BT727" s="1605"/>
      <c r="BU727" s="1605"/>
      <c r="BV727" s="1605"/>
      <c r="BW727" s="1605"/>
      <c r="BX727" s="1605"/>
      <c r="BY727" s="1605"/>
      <c r="BZ727" s="1605"/>
      <c r="CA727" s="1605"/>
      <c r="CB727" s="1605"/>
      <c r="CC727" s="1605"/>
      <c r="CD727" s="1605"/>
      <c r="CE727" s="1605"/>
      <c r="CF727" s="1605"/>
      <c r="CG727" s="1605"/>
      <c r="CH727" s="1605"/>
      <c r="CI727" s="1605"/>
      <c r="CJ727" s="1605"/>
      <c r="CK727" s="1605"/>
      <c r="CL727" s="1605"/>
      <c r="CM727" s="1605"/>
      <c r="CN727" s="1605"/>
      <c r="CO727" s="1605"/>
      <c r="CP727" s="1605"/>
      <c r="CQ727" s="1605"/>
      <c r="CR727" s="1605"/>
      <c r="CS727" s="1605"/>
      <c r="CT727" s="1605"/>
      <c r="CU727" s="1605"/>
      <c r="CV727" s="1605"/>
      <c r="CW727" s="1605"/>
      <c r="CX727" s="1605"/>
      <c r="CY727" s="1605"/>
      <c r="CZ727" s="1605"/>
      <c r="DA727" s="1605"/>
      <c r="DB727" s="1605"/>
      <c r="DC727" s="1605"/>
      <c r="DD727" s="1605"/>
      <c r="DE727" s="1605"/>
      <c r="DF727" s="1605"/>
      <c r="DG727" s="1605"/>
      <c r="DH727" s="1605"/>
      <c r="DI727" s="1605"/>
      <c r="DJ727" s="1605"/>
      <c r="DK727" s="1605"/>
      <c r="DL727" s="1605"/>
      <c r="DM727" s="1605"/>
      <c r="DN727" s="1605"/>
      <c r="DO727" s="1605"/>
      <c r="DP727" s="1605"/>
      <c r="DQ727" s="1605"/>
      <c r="DR727" s="1605"/>
      <c r="DS727" s="1605"/>
      <c r="DT727" s="1605"/>
      <c r="DU727" s="1605"/>
      <c r="DV727" s="1605"/>
      <c r="DW727" s="1605"/>
      <c r="DX727" s="1605"/>
      <c r="DY727" s="1605"/>
      <c r="DZ727" s="1605"/>
      <c r="EA727" s="1605"/>
      <c r="EB727" s="1605"/>
      <c r="EC727" s="1605"/>
      <c r="ED727" s="1605"/>
      <c r="EE727" s="1605"/>
      <c r="EF727" s="1605"/>
      <c r="EG727" s="1605"/>
      <c r="EH727" s="1605"/>
      <c r="EI727" s="1605"/>
      <c r="EJ727" s="1605"/>
      <c r="EK727" s="1605"/>
      <c r="EL727" s="1605"/>
      <c r="EM727" s="1605"/>
      <c r="EN727" s="1605"/>
      <c r="EO727" s="1605"/>
      <c r="EP727" s="1605"/>
      <c r="EQ727" s="1605"/>
      <c r="ER727" s="1605"/>
      <c r="ES727" s="1605"/>
      <c r="ET727" s="1605"/>
      <c r="EU727" s="1605"/>
      <c r="EV727" s="1605"/>
      <c r="EW727" s="1605"/>
      <c r="EX727" s="1605"/>
      <c r="EY727" s="1605"/>
      <c r="EZ727" s="1605"/>
      <c r="FA727" s="1605"/>
      <c r="FB727" s="1605"/>
      <c r="FC727" s="1605"/>
      <c r="FD727" s="1605"/>
      <c r="FE727" s="1605"/>
      <c r="FF727" s="1605"/>
      <c r="FG727" s="1605"/>
      <c r="FH727" s="1605"/>
      <c r="FI727" s="1605"/>
      <c r="FJ727" s="1605"/>
      <c r="FK727" s="1605"/>
      <c r="FL727" s="1605"/>
      <c r="FM727" s="1605"/>
      <c r="FN727" s="1605"/>
      <c r="FO727" s="1605"/>
      <c r="FP727" s="1605"/>
      <c r="FQ727" s="1605"/>
      <c r="FR727" s="1605"/>
      <c r="FS727" s="1605"/>
      <c r="FT727" s="1605"/>
      <c r="FU727" s="1605"/>
      <c r="FV727" s="1605"/>
      <c r="FW727" s="1605"/>
      <c r="FX727" s="1605"/>
      <c r="FY727" s="1605"/>
      <c r="FZ727" s="1605"/>
      <c r="GA727" s="1605"/>
      <c r="GB727" s="1605"/>
      <c r="GC727" s="1605"/>
      <c r="GD727" s="1605"/>
      <c r="GE727" s="1605"/>
      <c r="GF727" s="1605"/>
      <c r="GG727" s="1605"/>
      <c r="GH727" s="1605"/>
      <c r="GI727" s="1605"/>
      <c r="GJ727" s="1605"/>
      <c r="GK727" s="1605"/>
      <c r="GL727" s="1605"/>
      <c r="GM727" s="1605"/>
      <c r="GN727" s="1605"/>
      <c r="GO727" s="1605"/>
      <c r="GP727" s="1605"/>
      <c r="GQ727" s="1605"/>
      <c r="GR727" s="1605"/>
      <c r="GS727" s="1605"/>
      <c r="GT727" s="1605"/>
      <c r="GU727" s="1605"/>
      <c r="GV727" s="1605"/>
      <c r="GW727" s="1605"/>
      <c r="GX727" s="1605"/>
      <c r="GY727" s="1605"/>
      <c r="GZ727" s="1605"/>
      <c r="HA727" s="1605"/>
      <c r="HB727" s="1605"/>
      <c r="HC727" s="1605"/>
      <c r="HD727" s="1605"/>
      <c r="HE727" s="1605"/>
      <c r="HF727" s="1605"/>
      <c r="HG727" s="1605"/>
      <c r="HH727" s="1605"/>
      <c r="HI727" s="1605"/>
      <c r="HJ727" s="1605"/>
      <c r="HK727" s="1605"/>
      <c r="HL727" s="1605"/>
      <c r="HM727" s="1605"/>
      <c r="HN727" s="1605"/>
      <c r="HO727" s="1605"/>
      <c r="HP727" s="1605"/>
      <c r="HQ727" s="1605"/>
      <c r="HR727" s="1605"/>
      <c r="HS727" s="1605"/>
      <c r="HT727" s="1605"/>
      <c r="HU727" s="1605"/>
      <c r="HV727" s="1605"/>
      <c r="HW727" s="1605"/>
      <c r="HX727" s="1605"/>
      <c r="HY727" s="1605"/>
      <c r="HZ727" s="1605"/>
      <c r="IA727" s="1605"/>
      <c r="IB727" s="1605"/>
      <c r="IC727" s="1605"/>
      <c r="ID727" s="1605"/>
      <c r="IE727" s="1605"/>
      <c r="IF727" s="1605"/>
      <c r="IG727" s="1605"/>
      <c r="IH727" s="1605"/>
      <c r="II727" s="1605"/>
      <c r="IJ727" s="1605"/>
      <c r="IK727" s="1605"/>
      <c r="IL727" s="1605"/>
      <c r="IM727" s="1605"/>
      <c r="IN727" s="1605"/>
      <c r="IO727" s="1605"/>
      <c r="IP727" s="1605"/>
      <c r="IQ727" s="1605"/>
      <c r="IR727" s="1605"/>
      <c r="IS727" s="1605"/>
      <c r="IT727" s="1605"/>
      <c r="IU727" s="1605"/>
      <c r="IV727" s="1605"/>
      <c r="IW727" s="1605"/>
      <c r="IX727" s="1605"/>
      <c r="IY727" s="1605"/>
      <c r="IZ727" s="1605"/>
      <c r="JA727" s="1605"/>
      <c r="JB727" s="1605"/>
      <c r="JC727" s="1605"/>
      <c r="JD727" s="1605"/>
      <c r="JE727" s="1605"/>
      <c r="JF727" s="1605"/>
      <c r="JG727" s="1605"/>
      <c r="JH727" s="1605"/>
      <c r="JI727" s="1605"/>
      <c r="JJ727" s="1605"/>
      <c r="JK727" s="1605"/>
      <c r="JL727" s="1605"/>
      <c r="JM727" s="1605"/>
      <c r="JN727" s="1605"/>
      <c r="JO727" s="1605"/>
      <c r="JP727" s="1605"/>
      <c r="JQ727" s="1605"/>
      <c r="JR727" s="1605"/>
      <c r="JS727" s="1605"/>
      <c r="JT727" s="1605"/>
      <c r="JU727" s="1605"/>
      <c r="JV727" s="1605"/>
      <c r="JW727" s="1605"/>
      <c r="JX727" s="1605"/>
      <c r="JY727" s="1605"/>
      <c r="JZ727" s="1605"/>
      <c r="KA727" s="1605"/>
      <c r="KB727" s="1606"/>
    </row>
    <row r="728" spans="1:289" ht="15" customHeight="1" x14ac:dyDescent="0.25">
      <c r="B728" s="216" t="str">
        <f t="shared" si="57"/>
        <v>Desk 98</v>
      </c>
      <c r="C728" s="218" t="str">
        <v/>
      </c>
      <c r="D728" s="218" t="str">
        <v/>
      </c>
      <c r="E728" s="218" t="str">
        <v/>
      </c>
      <c r="F728" s="218" t="str">
        <v/>
      </c>
      <c r="G728" s="402" t="str">
        <v/>
      </c>
      <c r="H728" s="1605"/>
      <c r="I728" s="1605"/>
      <c r="J728" s="1605"/>
      <c r="K728" s="1605"/>
      <c r="L728" s="1605"/>
      <c r="M728" s="1605"/>
      <c r="N728" s="1605"/>
      <c r="O728" s="1605"/>
      <c r="P728" s="1605"/>
      <c r="Q728" s="1605"/>
      <c r="R728" s="1605"/>
      <c r="S728" s="1605"/>
      <c r="T728" s="1605"/>
      <c r="U728" s="1605"/>
      <c r="V728" s="1605"/>
      <c r="W728" s="1605"/>
      <c r="X728" s="1605"/>
      <c r="Y728" s="1605"/>
      <c r="Z728" s="1605"/>
      <c r="AA728" s="1605"/>
      <c r="AB728" s="1605"/>
      <c r="AC728" s="1605"/>
      <c r="AD728" s="1605"/>
      <c r="AE728" s="1605"/>
      <c r="AF728" s="1605"/>
      <c r="AG728" s="1605"/>
      <c r="AH728" s="1605"/>
      <c r="AI728" s="1605"/>
      <c r="AJ728" s="1605"/>
      <c r="AK728" s="1605"/>
      <c r="AL728" s="1605"/>
      <c r="AM728" s="1605"/>
      <c r="AN728" s="1605"/>
      <c r="AO728" s="1605"/>
      <c r="AP728" s="1605"/>
      <c r="AQ728" s="1605"/>
      <c r="AR728" s="1605"/>
      <c r="AS728" s="1605"/>
      <c r="AT728" s="1605"/>
      <c r="AU728" s="1605"/>
      <c r="AV728" s="1605"/>
      <c r="AW728" s="1605"/>
      <c r="AX728" s="1605"/>
      <c r="AY728" s="1605"/>
      <c r="AZ728" s="1605"/>
      <c r="BA728" s="1605"/>
      <c r="BB728" s="1605"/>
      <c r="BC728" s="1605"/>
      <c r="BD728" s="1605"/>
      <c r="BE728" s="1605"/>
      <c r="BF728" s="1605"/>
      <c r="BG728" s="1605"/>
      <c r="BH728" s="1605"/>
      <c r="BI728" s="1605"/>
      <c r="BJ728" s="1605"/>
      <c r="BK728" s="1605"/>
      <c r="BL728" s="1605"/>
      <c r="BM728" s="1605"/>
      <c r="BN728" s="1605"/>
      <c r="BO728" s="1605"/>
      <c r="BP728" s="1605"/>
      <c r="BQ728" s="1605"/>
      <c r="BR728" s="1605"/>
      <c r="BS728" s="1605"/>
      <c r="BT728" s="1605"/>
      <c r="BU728" s="1605"/>
      <c r="BV728" s="1605"/>
      <c r="BW728" s="1605"/>
      <c r="BX728" s="1605"/>
      <c r="BY728" s="1605"/>
      <c r="BZ728" s="1605"/>
      <c r="CA728" s="1605"/>
      <c r="CB728" s="1605"/>
      <c r="CC728" s="1605"/>
      <c r="CD728" s="1605"/>
      <c r="CE728" s="1605"/>
      <c r="CF728" s="1605"/>
      <c r="CG728" s="1605"/>
      <c r="CH728" s="1605"/>
      <c r="CI728" s="1605"/>
      <c r="CJ728" s="1605"/>
      <c r="CK728" s="1605"/>
      <c r="CL728" s="1605"/>
      <c r="CM728" s="1605"/>
      <c r="CN728" s="1605"/>
      <c r="CO728" s="1605"/>
      <c r="CP728" s="1605"/>
      <c r="CQ728" s="1605"/>
      <c r="CR728" s="1605"/>
      <c r="CS728" s="1605"/>
      <c r="CT728" s="1605"/>
      <c r="CU728" s="1605"/>
      <c r="CV728" s="1605"/>
      <c r="CW728" s="1605"/>
      <c r="CX728" s="1605"/>
      <c r="CY728" s="1605"/>
      <c r="CZ728" s="1605"/>
      <c r="DA728" s="1605"/>
      <c r="DB728" s="1605"/>
      <c r="DC728" s="1605"/>
      <c r="DD728" s="1605"/>
      <c r="DE728" s="1605"/>
      <c r="DF728" s="1605"/>
      <c r="DG728" s="1605"/>
      <c r="DH728" s="1605"/>
      <c r="DI728" s="1605"/>
      <c r="DJ728" s="1605"/>
      <c r="DK728" s="1605"/>
      <c r="DL728" s="1605"/>
      <c r="DM728" s="1605"/>
      <c r="DN728" s="1605"/>
      <c r="DO728" s="1605"/>
      <c r="DP728" s="1605"/>
      <c r="DQ728" s="1605"/>
      <c r="DR728" s="1605"/>
      <c r="DS728" s="1605"/>
      <c r="DT728" s="1605"/>
      <c r="DU728" s="1605"/>
      <c r="DV728" s="1605"/>
      <c r="DW728" s="1605"/>
      <c r="DX728" s="1605"/>
      <c r="DY728" s="1605"/>
      <c r="DZ728" s="1605"/>
      <c r="EA728" s="1605"/>
      <c r="EB728" s="1605"/>
      <c r="EC728" s="1605"/>
      <c r="ED728" s="1605"/>
      <c r="EE728" s="1605"/>
      <c r="EF728" s="1605"/>
      <c r="EG728" s="1605"/>
      <c r="EH728" s="1605"/>
      <c r="EI728" s="1605"/>
      <c r="EJ728" s="1605"/>
      <c r="EK728" s="1605"/>
      <c r="EL728" s="1605"/>
      <c r="EM728" s="1605"/>
      <c r="EN728" s="1605"/>
      <c r="EO728" s="1605"/>
      <c r="EP728" s="1605"/>
      <c r="EQ728" s="1605"/>
      <c r="ER728" s="1605"/>
      <c r="ES728" s="1605"/>
      <c r="ET728" s="1605"/>
      <c r="EU728" s="1605"/>
      <c r="EV728" s="1605"/>
      <c r="EW728" s="1605"/>
      <c r="EX728" s="1605"/>
      <c r="EY728" s="1605"/>
      <c r="EZ728" s="1605"/>
      <c r="FA728" s="1605"/>
      <c r="FB728" s="1605"/>
      <c r="FC728" s="1605"/>
      <c r="FD728" s="1605"/>
      <c r="FE728" s="1605"/>
      <c r="FF728" s="1605"/>
      <c r="FG728" s="1605"/>
      <c r="FH728" s="1605"/>
      <c r="FI728" s="1605"/>
      <c r="FJ728" s="1605"/>
      <c r="FK728" s="1605"/>
      <c r="FL728" s="1605"/>
      <c r="FM728" s="1605"/>
      <c r="FN728" s="1605"/>
      <c r="FO728" s="1605"/>
      <c r="FP728" s="1605"/>
      <c r="FQ728" s="1605"/>
      <c r="FR728" s="1605"/>
      <c r="FS728" s="1605"/>
      <c r="FT728" s="1605"/>
      <c r="FU728" s="1605"/>
      <c r="FV728" s="1605"/>
      <c r="FW728" s="1605"/>
      <c r="FX728" s="1605"/>
      <c r="FY728" s="1605"/>
      <c r="FZ728" s="1605"/>
      <c r="GA728" s="1605"/>
      <c r="GB728" s="1605"/>
      <c r="GC728" s="1605"/>
      <c r="GD728" s="1605"/>
      <c r="GE728" s="1605"/>
      <c r="GF728" s="1605"/>
      <c r="GG728" s="1605"/>
      <c r="GH728" s="1605"/>
      <c r="GI728" s="1605"/>
      <c r="GJ728" s="1605"/>
      <c r="GK728" s="1605"/>
      <c r="GL728" s="1605"/>
      <c r="GM728" s="1605"/>
      <c r="GN728" s="1605"/>
      <c r="GO728" s="1605"/>
      <c r="GP728" s="1605"/>
      <c r="GQ728" s="1605"/>
      <c r="GR728" s="1605"/>
      <c r="GS728" s="1605"/>
      <c r="GT728" s="1605"/>
      <c r="GU728" s="1605"/>
      <c r="GV728" s="1605"/>
      <c r="GW728" s="1605"/>
      <c r="GX728" s="1605"/>
      <c r="GY728" s="1605"/>
      <c r="GZ728" s="1605"/>
      <c r="HA728" s="1605"/>
      <c r="HB728" s="1605"/>
      <c r="HC728" s="1605"/>
      <c r="HD728" s="1605"/>
      <c r="HE728" s="1605"/>
      <c r="HF728" s="1605"/>
      <c r="HG728" s="1605"/>
      <c r="HH728" s="1605"/>
      <c r="HI728" s="1605"/>
      <c r="HJ728" s="1605"/>
      <c r="HK728" s="1605"/>
      <c r="HL728" s="1605"/>
      <c r="HM728" s="1605"/>
      <c r="HN728" s="1605"/>
      <c r="HO728" s="1605"/>
      <c r="HP728" s="1605"/>
      <c r="HQ728" s="1605"/>
      <c r="HR728" s="1605"/>
      <c r="HS728" s="1605"/>
      <c r="HT728" s="1605"/>
      <c r="HU728" s="1605"/>
      <c r="HV728" s="1605"/>
      <c r="HW728" s="1605"/>
      <c r="HX728" s="1605"/>
      <c r="HY728" s="1605"/>
      <c r="HZ728" s="1605"/>
      <c r="IA728" s="1605"/>
      <c r="IB728" s="1605"/>
      <c r="IC728" s="1605"/>
      <c r="ID728" s="1605"/>
      <c r="IE728" s="1605"/>
      <c r="IF728" s="1605"/>
      <c r="IG728" s="1605"/>
      <c r="IH728" s="1605"/>
      <c r="II728" s="1605"/>
      <c r="IJ728" s="1605"/>
      <c r="IK728" s="1605"/>
      <c r="IL728" s="1605"/>
      <c r="IM728" s="1605"/>
      <c r="IN728" s="1605"/>
      <c r="IO728" s="1605"/>
      <c r="IP728" s="1605"/>
      <c r="IQ728" s="1605"/>
      <c r="IR728" s="1605"/>
      <c r="IS728" s="1605"/>
      <c r="IT728" s="1605"/>
      <c r="IU728" s="1605"/>
      <c r="IV728" s="1605"/>
      <c r="IW728" s="1605"/>
      <c r="IX728" s="1605"/>
      <c r="IY728" s="1605"/>
      <c r="IZ728" s="1605"/>
      <c r="JA728" s="1605"/>
      <c r="JB728" s="1605"/>
      <c r="JC728" s="1605"/>
      <c r="JD728" s="1605"/>
      <c r="JE728" s="1605"/>
      <c r="JF728" s="1605"/>
      <c r="JG728" s="1605"/>
      <c r="JH728" s="1605"/>
      <c r="JI728" s="1605"/>
      <c r="JJ728" s="1605"/>
      <c r="JK728" s="1605"/>
      <c r="JL728" s="1605"/>
      <c r="JM728" s="1605"/>
      <c r="JN728" s="1605"/>
      <c r="JO728" s="1605"/>
      <c r="JP728" s="1605"/>
      <c r="JQ728" s="1605"/>
      <c r="JR728" s="1605"/>
      <c r="JS728" s="1605"/>
      <c r="JT728" s="1605"/>
      <c r="JU728" s="1605"/>
      <c r="JV728" s="1605"/>
      <c r="JW728" s="1605"/>
      <c r="JX728" s="1605"/>
      <c r="JY728" s="1605"/>
      <c r="JZ728" s="1605"/>
      <c r="KA728" s="1605"/>
      <c r="KB728" s="1606"/>
    </row>
    <row r="729" spans="1:289" ht="15" customHeight="1" x14ac:dyDescent="0.25">
      <c r="B729" s="216" t="str">
        <f t="shared" si="57"/>
        <v>Desk 99</v>
      </c>
      <c r="C729" s="218" t="str">
        <v/>
      </c>
      <c r="D729" s="218" t="str">
        <v/>
      </c>
      <c r="E729" s="218" t="str">
        <v/>
      </c>
      <c r="F729" s="218" t="str">
        <v/>
      </c>
      <c r="G729" s="402" t="str">
        <v/>
      </c>
      <c r="H729" s="1605"/>
      <c r="I729" s="1605"/>
      <c r="J729" s="1605"/>
      <c r="K729" s="1605"/>
      <c r="L729" s="1605"/>
      <c r="M729" s="1605"/>
      <c r="N729" s="1605"/>
      <c r="O729" s="1605"/>
      <c r="P729" s="1605"/>
      <c r="Q729" s="1605"/>
      <c r="R729" s="1605"/>
      <c r="S729" s="1605"/>
      <c r="T729" s="1605"/>
      <c r="U729" s="1605"/>
      <c r="V729" s="1605"/>
      <c r="W729" s="1605"/>
      <c r="X729" s="1605"/>
      <c r="Y729" s="1605"/>
      <c r="Z729" s="1605"/>
      <c r="AA729" s="1605"/>
      <c r="AB729" s="1605"/>
      <c r="AC729" s="1605"/>
      <c r="AD729" s="1605"/>
      <c r="AE729" s="1605"/>
      <c r="AF729" s="1605"/>
      <c r="AG729" s="1605"/>
      <c r="AH729" s="1605"/>
      <c r="AI729" s="1605"/>
      <c r="AJ729" s="1605"/>
      <c r="AK729" s="1605"/>
      <c r="AL729" s="1605"/>
      <c r="AM729" s="1605"/>
      <c r="AN729" s="1605"/>
      <c r="AO729" s="1605"/>
      <c r="AP729" s="1605"/>
      <c r="AQ729" s="1605"/>
      <c r="AR729" s="1605"/>
      <c r="AS729" s="1605"/>
      <c r="AT729" s="1605"/>
      <c r="AU729" s="1605"/>
      <c r="AV729" s="1605"/>
      <c r="AW729" s="1605"/>
      <c r="AX729" s="1605"/>
      <c r="AY729" s="1605"/>
      <c r="AZ729" s="1605"/>
      <c r="BA729" s="1605"/>
      <c r="BB729" s="1605"/>
      <c r="BC729" s="1605"/>
      <c r="BD729" s="1605"/>
      <c r="BE729" s="1605"/>
      <c r="BF729" s="1605"/>
      <c r="BG729" s="1605"/>
      <c r="BH729" s="1605"/>
      <c r="BI729" s="1605"/>
      <c r="BJ729" s="1605"/>
      <c r="BK729" s="1605"/>
      <c r="BL729" s="1605"/>
      <c r="BM729" s="1605"/>
      <c r="BN729" s="1605"/>
      <c r="BO729" s="1605"/>
      <c r="BP729" s="1605"/>
      <c r="BQ729" s="1605"/>
      <c r="BR729" s="1605"/>
      <c r="BS729" s="1605"/>
      <c r="BT729" s="1605"/>
      <c r="BU729" s="1605"/>
      <c r="BV729" s="1605"/>
      <c r="BW729" s="1605"/>
      <c r="BX729" s="1605"/>
      <c r="BY729" s="1605"/>
      <c r="BZ729" s="1605"/>
      <c r="CA729" s="1605"/>
      <c r="CB729" s="1605"/>
      <c r="CC729" s="1605"/>
      <c r="CD729" s="1605"/>
      <c r="CE729" s="1605"/>
      <c r="CF729" s="1605"/>
      <c r="CG729" s="1605"/>
      <c r="CH729" s="1605"/>
      <c r="CI729" s="1605"/>
      <c r="CJ729" s="1605"/>
      <c r="CK729" s="1605"/>
      <c r="CL729" s="1605"/>
      <c r="CM729" s="1605"/>
      <c r="CN729" s="1605"/>
      <c r="CO729" s="1605"/>
      <c r="CP729" s="1605"/>
      <c r="CQ729" s="1605"/>
      <c r="CR729" s="1605"/>
      <c r="CS729" s="1605"/>
      <c r="CT729" s="1605"/>
      <c r="CU729" s="1605"/>
      <c r="CV729" s="1605"/>
      <c r="CW729" s="1605"/>
      <c r="CX729" s="1605"/>
      <c r="CY729" s="1605"/>
      <c r="CZ729" s="1605"/>
      <c r="DA729" s="1605"/>
      <c r="DB729" s="1605"/>
      <c r="DC729" s="1605"/>
      <c r="DD729" s="1605"/>
      <c r="DE729" s="1605"/>
      <c r="DF729" s="1605"/>
      <c r="DG729" s="1605"/>
      <c r="DH729" s="1605"/>
      <c r="DI729" s="1605"/>
      <c r="DJ729" s="1605"/>
      <c r="DK729" s="1605"/>
      <c r="DL729" s="1605"/>
      <c r="DM729" s="1605"/>
      <c r="DN729" s="1605"/>
      <c r="DO729" s="1605"/>
      <c r="DP729" s="1605"/>
      <c r="DQ729" s="1605"/>
      <c r="DR729" s="1605"/>
      <c r="DS729" s="1605"/>
      <c r="DT729" s="1605"/>
      <c r="DU729" s="1605"/>
      <c r="DV729" s="1605"/>
      <c r="DW729" s="1605"/>
      <c r="DX729" s="1605"/>
      <c r="DY729" s="1605"/>
      <c r="DZ729" s="1605"/>
      <c r="EA729" s="1605"/>
      <c r="EB729" s="1605"/>
      <c r="EC729" s="1605"/>
      <c r="ED729" s="1605"/>
      <c r="EE729" s="1605"/>
      <c r="EF729" s="1605"/>
      <c r="EG729" s="1605"/>
      <c r="EH729" s="1605"/>
      <c r="EI729" s="1605"/>
      <c r="EJ729" s="1605"/>
      <c r="EK729" s="1605"/>
      <c r="EL729" s="1605"/>
      <c r="EM729" s="1605"/>
      <c r="EN729" s="1605"/>
      <c r="EO729" s="1605"/>
      <c r="EP729" s="1605"/>
      <c r="EQ729" s="1605"/>
      <c r="ER729" s="1605"/>
      <c r="ES729" s="1605"/>
      <c r="ET729" s="1605"/>
      <c r="EU729" s="1605"/>
      <c r="EV729" s="1605"/>
      <c r="EW729" s="1605"/>
      <c r="EX729" s="1605"/>
      <c r="EY729" s="1605"/>
      <c r="EZ729" s="1605"/>
      <c r="FA729" s="1605"/>
      <c r="FB729" s="1605"/>
      <c r="FC729" s="1605"/>
      <c r="FD729" s="1605"/>
      <c r="FE729" s="1605"/>
      <c r="FF729" s="1605"/>
      <c r="FG729" s="1605"/>
      <c r="FH729" s="1605"/>
      <c r="FI729" s="1605"/>
      <c r="FJ729" s="1605"/>
      <c r="FK729" s="1605"/>
      <c r="FL729" s="1605"/>
      <c r="FM729" s="1605"/>
      <c r="FN729" s="1605"/>
      <c r="FO729" s="1605"/>
      <c r="FP729" s="1605"/>
      <c r="FQ729" s="1605"/>
      <c r="FR729" s="1605"/>
      <c r="FS729" s="1605"/>
      <c r="FT729" s="1605"/>
      <c r="FU729" s="1605"/>
      <c r="FV729" s="1605"/>
      <c r="FW729" s="1605"/>
      <c r="FX729" s="1605"/>
      <c r="FY729" s="1605"/>
      <c r="FZ729" s="1605"/>
      <c r="GA729" s="1605"/>
      <c r="GB729" s="1605"/>
      <c r="GC729" s="1605"/>
      <c r="GD729" s="1605"/>
      <c r="GE729" s="1605"/>
      <c r="GF729" s="1605"/>
      <c r="GG729" s="1605"/>
      <c r="GH729" s="1605"/>
      <c r="GI729" s="1605"/>
      <c r="GJ729" s="1605"/>
      <c r="GK729" s="1605"/>
      <c r="GL729" s="1605"/>
      <c r="GM729" s="1605"/>
      <c r="GN729" s="1605"/>
      <c r="GO729" s="1605"/>
      <c r="GP729" s="1605"/>
      <c r="GQ729" s="1605"/>
      <c r="GR729" s="1605"/>
      <c r="GS729" s="1605"/>
      <c r="GT729" s="1605"/>
      <c r="GU729" s="1605"/>
      <c r="GV729" s="1605"/>
      <c r="GW729" s="1605"/>
      <c r="GX729" s="1605"/>
      <c r="GY729" s="1605"/>
      <c r="GZ729" s="1605"/>
      <c r="HA729" s="1605"/>
      <c r="HB729" s="1605"/>
      <c r="HC729" s="1605"/>
      <c r="HD729" s="1605"/>
      <c r="HE729" s="1605"/>
      <c r="HF729" s="1605"/>
      <c r="HG729" s="1605"/>
      <c r="HH729" s="1605"/>
      <c r="HI729" s="1605"/>
      <c r="HJ729" s="1605"/>
      <c r="HK729" s="1605"/>
      <c r="HL729" s="1605"/>
      <c r="HM729" s="1605"/>
      <c r="HN729" s="1605"/>
      <c r="HO729" s="1605"/>
      <c r="HP729" s="1605"/>
      <c r="HQ729" s="1605"/>
      <c r="HR729" s="1605"/>
      <c r="HS729" s="1605"/>
      <c r="HT729" s="1605"/>
      <c r="HU729" s="1605"/>
      <c r="HV729" s="1605"/>
      <c r="HW729" s="1605"/>
      <c r="HX729" s="1605"/>
      <c r="HY729" s="1605"/>
      <c r="HZ729" s="1605"/>
      <c r="IA729" s="1605"/>
      <c r="IB729" s="1605"/>
      <c r="IC729" s="1605"/>
      <c r="ID729" s="1605"/>
      <c r="IE729" s="1605"/>
      <c r="IF729" s="1605"/>
      <c r="IG729" s="1605"/>
      <c r="IH729" s="1605"/>
      <c r="II729" s="1605"/>
      <c r="IJ729" s="1605"/>
      <c r="IK729" s="1605"/>
      <c r="IL729" s="1605"/>
      <c r="IM729" s="1605"/>
      <c r="IN729" s="1605"/>
      <c r="IO729" s="1605"/>
      <c r="IP729" s="1605"/>
      <c r="IQ729" s="1605"/>
      <c r="IR729" s="1605"/>
      <c r="IS729" s="1605"/>
      <c r="IT729" s="1605"/>
      <c r="IU729" s="1605"/>
      <c r="IV729" s="1605"/>
      <c r="IW729" s="1605"/>
      <c r="IX729" s="1605"/>
      <c r="IY729" s="1605"/>
      <c r="IZ729" s="1605"/>
      <c r="JA729" s="1605"/>
      <c r="JB729" s="1605"/>
      <c r="JC729" s="1605"/>
      <c r="JD729" s="1605"/>
      <c r="JE729" s="1605"/>
      <c r="JF729" s="1605"/>
      <c r="JG729" s="1605"/>
      <c r="JH729" s="1605"/>
      <c r="JI729" s="1605"/>
      <c r="JJ729" s="1605"/>
      <c r="JK729" s="1605"/>
      <c r="JL729" s="1605"/>
      <c r="JM729" s="1605"/>
      <c r="JN729" s="1605"/>
      <c r="JO729" s="1605"/>
      <c r="JP729" s="1605"/>
      <c r="JQ729" s="1605"/>
      <c r="JR729" s="1605"/>
      <c r="JS729" s="1605"/>
      <c r="JT729" s="1605"/>
      <c r="JU729" s="1605"/>
      <c r="JV729" s="1605"/>
      <c r="JW729" s="1605"/>
      <c r="JX729" s="1605"/>
      <c r="JY729" s="1605"/>
      <c r="JZ729" s="1605"/>
      <c r="KA729" s="1605"/>
      <c r="KB729" s="1606"/>
    </row>
    <row r="730" spans="1:289" ht="15" customHeight="1" x14ac:dyDescent="0.25">
      <c r="B730" s="219" t="str">
        <f t="shared" si="57"/>
        <v>Desk 100</v>
      </c>
      <c r="C730" s="220" t="str">
        <v/>
      </c>
      <c r="D730" s="220" t="str">
        <v/>
      </c>
      <c r="E730" s="220" t="str">
        <v/>
      </c>
      <c r="F730" s="220" t="str">
        <v/>
      </c>
      <c r="G730" s="402" t="str">
        <v/>
      </c>
      <c r="H730" s="1607"/>
      <c r="I730" s="1607"/>
      <c r="J730" s="1607"/>
      <c r="K730" s="1607"/>
      <c r="L730" s="1607"/>
      <c r="M730" s="1607"/>
      <c r="N730" s="1607"/>
      <c r="O730" s="1607"/>
      <c r="P730" s="1607"/>
      <c r="Q730" s="1607"/>
      <c r="R730" s="1607"/>
      <c r="S730" s="1607"/>
      <c r="T730" s="1607"/>
      <c r="U730" s="1607"/>
      <c r="V730" s="1607"/>
      <c r="W730" s="1607"/>
      <c r="X730" s="1607"/>
      <c r="Y730" s="1607"/>
      <c r="Z730" s="1607"/>
      <c r="AA730" s="1607"/>
      <c r="AB730" s="1607"/>
      <c r="AC730" s="1607"/>
      <c r="AD730" s="1607"/>
      <c r="AE730" s="1607"/>
      <c r="AF730" s="1607"/>
      <c r="AG730" s="1607"/>
      <c r="AH730" s="1607"/>
      <c r="AI730" s="1607"/>
      <c r="AJ730" s="1607"/>
      <c r="AK730" s="1607"/>
      <c r="AL730" s="1607"/>
      <c r="AM730" s="1607"/>
      <c r="AN730" s="1607"/>
      <c r="AO730" s="1607"/>
      <c r="AP730" s="1607"/>
      <c r="AQ730" s="1607"/>
      <c r="AR730" s="1607"/>
      <c r="AS730" s="1607"/>
      <c r="AT730" s="1607"/>
      <c r="AU730" s="1607"/>
      <c r="AV730" s="1607"/>
      <c r="AW730" s="1607"/>
      <c r="AX730" s="1607"/>
      <c r="AY730" s="1607"/>
      <c r="AZ730" s="1607"/>
      <c r="BA730" s="1607"/>
      <c r="BB730" s="1607"/>
      <c r="BC730" s="1607"/>
      <c r="BD730" s="1607"/>
      <c r="BE730" s="1607"/>
      <c r="BF730" s="1607"/>
      <c r="BG730" s="1607"/>
      <c r="BH730" s="1607"/>
      <c r="BI730" s="1607"/>
      <c r="BJ730" s="1607"/>
      <c r="BK730" s="1607"/>
      <c r="BL730" s="1607"/>
      <c r="BM730" s="1607"/>
      <c r="BN730" s="1607"/>
      <c r="BO730" s="1607"/>
      <c r="BP730" s="1607"/>
      <c r="BQ730" s="1607"/>
      <c r="BR730" s="1607"/>
      <c r="BS730" s="1607"/>
      <c r="BT730" s="1607"/>
      <c r="BU730" s="1607"/>
      <c r="BV730" s="1607"/>
      <c r="BW730" s="1607"/>
      <c r="BX730" s="1607"/>
      <c r="BY730" s="1607"/>
      <c r="BZ730" s="1607"/>
      <c r="CA730" s="1607"/>
      <c r="CB730" s="1607"/>
      <c r="CC730" s="1607"/>
      <c r="CD730" s="1607"/>
      <c r="CE730" s="1607"/>
      <c r="CF730" s="1607"/>
      <c r="CG730" s="1607"/>
      <c r="CH730" s="1607"/>
      <c r="CI730" s="1607"/>
      <c r="CJ730" s="1607"/>
      <c r="CK730" s="1607"/>
      <c r="CL730" s="1607"/>
      <c r="CM730" s="1607"/>
      <c r="CN730" s="1607"/>
      <c r="CO730" s="1607"/>
      <c r="CP730" s="1607"/>
      <c r="CQ730" s="1607"/>
      <c r="CR730" s="1607"/>
      <c r="CS730" s="1607"/>
      <c r="CT730" s="1607"/>
      <c r="CU730" s="1607"/>
      <c r="CV730" s="1607"/>
      <c r="CW730" s="1607"/>
      <c r="CX730" s="1607"/>
      <c r="CY730" s="1607"/>
      <c r="CZ730" s="1607"/>
      <c r="DA730" s="1607"/>
      <c r="DB730" s="1607"/>
      <c r="DC730" s="1607"/>
      <c r="DD730" s="1607"/>
      <c r="DE730" s="1607"/>
      <c r="DF730" s="1607"/>
      <c r="DG730" s="1607"/>
      <c r="DH730" s="1607"/>
      <c r="DI730" s="1607"/>
      <c r="DJ730" s="1607"/>
      <c r="DK730" s="1607"/>
      <c r="DL730" s="1607"/>
      <c r="DM730" s="1607"/>
      <c r="DN730" s="1607"/>
      <c r="DO730" s="1607"/>
      <c r="DP730" s="1607"/>
      <c r="DQ730" s="1607"/>
      <c r="DR730" s="1607"/>
      <c r="DS730" s="1607"/>
      <c r="DT730" s="1607"/>
      <c r="DU730" s="1607"/>
      <c r="DV730" s="1607"/>
      <c r="DW730" s="1607"/>
      <c r="DX730" s="1607"/>
      <c r="DY730" s="1607"/>
      <c r="DZ730" s="1607"/>
      <c r="EA730" s="1607"/>
      <c r="EB730" s="1607"/>
      <c r="EC730" s="1607"/>
      <c r="ED730" s="1607"/>
      <c r="EE730" s="1607"/>
      <c r="EF730" s="1607"/>
      <c r="EG730" s="1607"/>
      <c r="EH730" s="1607"/>
      <c r="EI730" s="1607"/>
      <c r="EJ730" s="1607"/>
      <c r="EK730" s="1607"/>
      <c r="EL730" s="1607"/>
      <c r="EM730" s="1607"/>
      <c r="EN730" s="1607"/>
      <c r="EO730" s="1607"/>
      <c r="EP730" s="1607"/>
      <c r="EQ730" s="1607"/>
      <c r="ER730" s="1607"/>
      <c r="ES730" s="1607"/>
      <c r="ET730" s="1607"/>
      <c r="EU730" s="1607"/>
      <c r="EV730" s="1607"/>
      <c r="EW730" s="1607"/>
      <c r="EX730" s="1607"/>
      <c r="EY730" s="1607"/>
      <c r="EZ730" s="1607"/>
      <c r="FA730" s="1607"/>
      <c r="FB730" s="1607"/>
      <c r="FC730" s="1607"/>
      <c r="FD730" s="1607"/>
      <c r="FE730" s="1607"/>
      <c r="FF730" s="1607"/>
      <c r="FG730" s="1607"/>
      <c r="FH730" s="1607"/>
      <c r="FI730" s="1607"/>
      <c r="FJ730" s="1607"/>
      <c r="FK730" s="1607"/>
      <c r="FL730" s="1607"/>
      <c r="FM730" s="1607"/>
      <c r="FN730" s="1607"/>
      <c r="FO730" s="1607"/>
      <c r="FP730" s="1607"/>
      <c r="FQ730" s="1607"/>
      <c r="FR730" s="1607"/>
      <c r="FS730" s="1607"/>
      <c r="FT730" s="1607"/>
      <c r="FU730" s="1607"/>
      <c r="FV730" s="1607"/>
      <c r="FW730" s="1607"/>
      <c r="FX730" s="1607"/>
      <c r="FY730" s="1607"/>
      <c r="FZ730" s="1607"/>
      <c r="GA730" s="1607"/>
      <c r="GB730" s="1607"/>
      <c r="GC730" s="1607"/>
      <c r="GD730" s="1607"/>
      <c r="GE730" s="1607"/>
      <c r="GF730" s="1607"/>
      <c r="GG730" s="1607"/>
      <c r="GH730" s="1607"/>
      <c r="GI730" s="1607"/>
      <c r="GJ730" s="1607"/>
      <c r="GK730" s="1607"/>
      <c r="GL730" s="1607"/>
      <c r="GM730" s="1607"/>
      <c r="GN730" s="1607"/>
      <c r="GO730" s="1607"/>
      <c r="GP730" s="1607"/>
      <c r="GQ730" s="1607"/>
      <c r="GR730" s="1607"/>
      <c r="GS730" s="1607"/>
      <c r="GT730" s="1607"/>
      <c r="GU730" s="1607"/>
      <c r="GV730" s="1607"/>
      <c r="GW730" s="1607"/>
      <c r="GX730" s="1607"/>
      <c r="GY730" s="1607"/>
      <c r="GZ730" s="1607"/>
      <c r="HA730" s="1607"/>
      <c r="HB730" s="1607"/>
      <c r="HC730" s="1607"/>
      <c r="HD730" s="1607"/>
      <c r="HE730" s="1607"/>
      <c r="HF730" s="1607"/>
      <c r="HG730" s="1607"/>
      <c r="HH730" s="1607"/>
      <c r="HI730" s="1607"/>
      <c r="HJ730" s="1607"/>
      <c r="HK730" s="1607"/>
      <c r="HL730" s="1607"/>
      <c r="HM730" s="1607"/>
      <c r="HN730" s="1607"/>
      <c r="HO730" s="1607"/>
      <c r="HP730" s="1607"/>
      <c r="HQ730" s="1607"/>
      <c r="HR730" s="1607"/>
      <c r="HS730" s="1607"/>
      <c r="HT730" s="1607"/>
      <c r="HU730" s="1607"/>
      <c r="HV730" s="1607"/>
      <c r="HW730" s="1607"/>
      <c r="HX730" s="1607"/>
      <c r="HY730" s="1607"/>
      <c r="HZ730" s="1607"/>
      <c r="IA730" s="1607"/>
      <c r="IB730" s="1607"/>
      <c r="IC730" s="1607"/>
      <c r="ID730" s="1607"/>
      <c r="IE730" s="1607"/>
      <c r="IF730" s="1607"/>
      <c r="IG730" s="1607"/>
      <c r="IH730" s="1607"/>
      <c r="II730" s="1607"/>
      <c r="IJ730" s="1607"/>
      <c r="IK730" s="1607"/>
      <c r="IL730" s="1607"/>
      <c r="IM730" s="1607"/>
      <c r="IN730" s="1607"/>
      <c r="IO730" s="1607"/>
      <c r="IP730" s="1607"/>
      <c r="IQ730" s="1607"/>
      <c r="IR730" s="1607"/>
      <c r="IS730" s="1607"/>
      <c r="IT730" s="1607"/>
      <c r="IU730" s="1607"/>
      <c r="IV730" s="1607"/>
      <c r="IW730" s="1607"/>
      <c r="IX730" s="1607"/>
      <c r="IY730" s="1607"/>
      <c r="IZ730" s="1607"/>
      <c r="JA730" s="1607"/>
      <c r="JB730" s="1607"/>
      <c r="JC730" s="1607"/>
      <c r="JD730" s="1607"/>
      <c r="JE730" s="1607"/>
      <c r="JF730" s="1607"/>
      <c r="JG730" s="1607"/>
      <c r="JH730" s="1607"/>
      <c r="JI730" s="1607"/>
      <c r="JJ730" s="1607"/>
      <c r="JK730" s="1607"/>
      <c r="JL730" s="1607"/>
      <c r="JM730" s="1607"/>
      <c r="JN730" s="1607"/>
      <c r="JO730" s="1607"/>
      <c r="JP730" s="1607"/>
      <c r="JQ730" s="1607"/>
      <c r="JR730" s="1607"/>
      <c r="JS730" s="1607"/>
      <c r="JT730" s="1607"/>
      <c r="JU730" s="1607"/>
      <c r="JV730" s="1607"/>
      <c r="JW730" s="1607"/>
      <c r="JX730" s="1607"/>
      <c r="JY730" s="1607"/>
      <c r="JZ730" s="1607"/>
      <c r="KA730" s="1607"/>
      <c r="KB730" s="1608"/>
    </row>
    <row r="731" spans="1:289" ht="15" customHeight="1" x14ac:dyDescent="0.25">
      <c r="B731" s="451" t="s">
        <v>406</v>
      </c>
      <c r="C731" s="403"/>
      <c r="D731" s="403"/>
      <c r="E731" s="403"/>
      <c r="F731" s="403"/>
      <c r="G731" s="403"/>
      <c r="H731" s="1610"/>
      <c r="I731" s="1610"/>
      <c r="J731" s="1610"/>
      <c r="K731" s="1610"/>
      <c r="L731" s="1610"/>
      <c r="M731" s="1610"/>
      <c r="N731" s="1610"/>
      <c r="O731" s="1610"/>
      <c r="P731" s="1610"/>
      <c r="Q731" s="1610"/>
      <c r="R731" s="1610"/>
      <c r="S731" s="1610"/>
      <c r="T731" s="1610"/>
      <c r="U731" s="1610"/>
      <c r="V731" s="1610"/>
      <c r="W731" s="1610"/>
      <c r="X731" s="1610"/>
      <c r="Y731" s="1610"/>
      <c r="Z731" s="1610"/>
      <c r="AA731" s="1610"/>
      <c r="AB731" s="1610"/>
      <c r="AC731" s="1610"/>
      <c r="AD731" s="1610"/>
      <c r="AE731" s="1610"/>
      <c r="AF731" s="1610"/>
      <c r="AG731" s="1610"/>
      <c r="AH731" s="1610"/>
      <c r="AI731" s="1610"/>
      <c r="AJ731" s="1610"/>
      <c r="AK731" s="1610"/>
      <c r="AL731" s="1610"/>
      <c r="AM731" s="1610"/>
      <c r="AN731" s="1610"/>
      <c r="AO731" s="1610"/>
      <c r="AP731" s="1610"/>
      <c r="AQ731" s="1610"/>
      <c r="AR731" s="1610"/>
      <c r="AS731" s="1610"/>
      <c r="AT731" s="1610"/>
      <c r="AU731" s="1610"/>
      <c r="AV731" s="1610"/>
      <c r="AW731" s="1610"/>
      <c r="AX731" s="1610"/>
      <c r="AY731" s="1610"/>
      <c r="AZ731" s="1610"/>
      <c r="BA731" s="1610"/>
      <c r="BB731" s="1610"/>
      <c r="BC731" s="1610"/>
      <c r="BD731" s="1610"/>
      <c r="BE731" s="1610"/>
      <c r="BF731" s="1610"/>
      <c r="BG731" s="1610"/>
      <c r="BH731" s="1610"/>
      <c r="BI731" s="1610"/>
      <c r="BJ731" s="1610"/>
      <c r="BK731" s="1610"/>
      <c r="BL731" s="1610"/>
      <c r="BM731" s="1610"/>
      <c r="BN731" s="1610"/>
      <c r="BO731" s="1610"/>
      <c r="BP731" s="1610"/>
      <c r="BQ731" s="1610"/>
      <c r="BR731" s="1610"/>
      <c r="BS731" s="1610"/>
      <c r="BT731" s="1610"/>
      <c r="BU731" s="1610"/>
      <c r="BV731" s="1610"/>
      <c r="BW731" s="1610"/>
      <c r="BX731" s="1610"/>
      <c r="BY731" s="1610"/>
      <c r="BZ731" s="1610"/>
      <c r="CA731" s="1610"/>
      <c r="CB731" s="1610"/>
      <c r="CC731" s="1610"/>
      <c r="CD731" s="1610"/>
      <c r="CE731" s="1610"/>
      <c r="CF731" s="1610"/>
      <c r="CG731" s="1610"/>
      <c r="CH731" s="1610"/>
      <c r="CI731" s="1610"/>
      <c r="CJ731" s="1610"/>
      <c r="CK731" s="1610"/>
      <c r="CL731" s="1610"/>
      <c r="CM731" s="1610"/>
      <c r="CN731" s="1610"/>
      <c r="CO731" s="1610"/>
      <c r="CP731" s="1610"/>
      <c r="CQ731" s="1610"/>
      <c r="CR731" s="1610"/>
      <c r="CS731" s="1610"/>
      <c r="CT731" s="1610"/>
      <c r="CU731" s="1610"/>
      <c r="CV731" s="1610"/>
      <c r="CW731" s="1610"/>
      <c r="CX731" s="1610"/>
      <c r="CY731" s="1610"/>
      <c r="CZ731" s="1610"/>
      <c r="DA731" s="1610"/>
      <c r="DB731" s="1610"/>
      <c r="DC731" s="1610"/>
      <c r="DD731" s="1610"/>
      <c r="DE731" s="1610"/>
      <c r="DF731" s="1610"/>
      <c r="DG731" s="1610"/>
      <c r="DH731" s="1610"/>
      <c r="DI731" s="1610"/>
      <c r="DJ731" s="1610"/>
      <c r="DK731" s="1610"/>
      <c r="DL731" s="1610"/>
      <c r="DM731" s="1610"/>
      <c r="DN731" s="1610"/>
      <c r="DO731" s="1610"/>
      <c r="DP731" s="1610"/>
      <c r="DQ731" s="1610"/>
      <c r="DR731" s="1610"/>
      <c r="DS731" s="1610"/>
      <c r="DT731" s="1610"/>
      <c r="DU731" s="1610"/>
      <c r="DV731" s="1610"/>
      <c r="DW731" s="1610"/>
      <c r="DX731" s="1610"/>
      <c r="DY731" s="1610"/>
      <c r="DZ731" s="1610"/>
      <c r="EA731" s="1610"/>
      <c r="EB731" s="1610"/>
      <c r="EC731" s="1610"/>
      <c r="ED731" s="1610"/>
      <c r="EE731" s="1610"/>
      <c r="EF731" s="1610"/>
      <c r="EG731" s="1610"/>
      <c r="EH731" s="1610"/>
      <c r="EI731" s="1610"/>
      <c r="EJ731" s="1610"/>
      <c r="EK731" s="1610"/>
      <c r="EL731" s="1610"/>
      <c r="EM731" s="1610"/>
      <c r="EN731" s="1610"/>
      <c r="EO731" s="1610"/>
      <c r="EP731" s="1610"/>
      <c r="EQ731" s="1610"/>
      <c r="ER731" s="1610"/>
      <c r="ES731" s="1610"/>
      <c r="ET731" s="1610"/>
      <c r="EU731" s="1610"/>
      <c r="EV731" s="1610"/>
      <c r="EW731" s="1610"/>
      <c r="EX731" s="1610"/>
      <c r="EY731" s="1610"/>
      <c r="EZ731" s="1610"/>
      <c r="FA731" s="1610"/>
      <c r="FB731" s="1610"/>
      <c r="FC731" s="1610"/>
      <c r="FD731" s="1610"/>
      <c r="FE731" s="1610"/>
      <c r="FF731" s="1610"/>
      <c r="FG731" s="1610"/>
      <c r="FH731" s="1610"/>
      <c r="FI731" s="1610"/>
      <c r="FJ731" s="1610"/>
      <c r="FK731" s="1610"/>
      <c r="FL731" s="1610"/>
      <c r="FM731" s="1610"/>
      <c r="FN731" s="1610"/>
      <c r="FO731" s="1610"/>
      <c r="FP731" s="1610"/>
      <c r="FQ731" s="1610"/>
      <c r="FR731" s="1610"/>
      <c r="FS731" s="1610"/>
      <c r="FT731" s="1610"/>
      <c r="FU731" s="1610"/>
      <c r="FV731" s="1610"/>
      <c r="FW731" s="1610"/>
      <c r="FX731" s="1610"/>
      <c r="FY731" s="1610"/>
      <c r="FZ731" s="1610"/>
      <c r="GA731" s="1610"/>
      <c r="GB731" s="1610"/>
      <c r="GC731" s="1610"/>
      <c r="GD731" s="1610"/>
      <c r="GE731" s="1610"/>
      <c r="GF731" s="1610"/>
      <c r="GG731" s="1610"/>
      <c r="GH731" s="1610"/>
      <c r="GI731" s="1610"/>
      <c r="GJ731" s="1610"/>
      <c r="GK731" s="1610"/>
      <c r="GL731" s="1610"/>
      <c r="GM731" s="1610"/>
      <c r="GN731" s="1610"/>
      <c r="GO731" s="1610"/>
      <c r="GP731" s="1610"/>
      <c r="GQ731" s="1610"/>
      <c r="GR731" s="1610"/>
      <c r="GS731" s="1610"/>
      <c r="GT731" s="1610"/>
      <c r="GU731" s="1610"/>
      <c r="GV731" s="1610"/>
      <c r="GW731" s="1610"/>
      <c r="GX731" s="1610"/>
      <c r="GY731" s="1610"/>
      <c r="GZ731" s="1610"/>
      <c r="HA731" s="1610"/>
      <c r="HB731" s="1610"/>
      <c r="HC731" s="1610"/>
      <c r="HD731" s="1610"/>
      <c r="HE731" s="1610"/>
      <c r="HF731" s="1610"/>
      <c r="HG731" s="1610"/>
      <c r="HH731" s="1610"/>
      <c r="HI731" s="1610"/>
      <c r="HJ731" s="1610"/>
      <c r="HK731" s="1610"/>
      <c r="HL731" s="1610"/>
      <c r="HM731" s="1610"/>
      <c r="HN731" s="1610"/>
      <c r="HO731" s="1610"/>
      <c r="HP731" s="1610"/>
      <c r="HQ731" s="1610"/>
      <c r="HR731" s="1610"/>
      <c r="HS731" s="1610"/>
      <c r="HT731" s="1610"/>
      <c r="HU731" s="1610"/>
      <c r="HV731" s="1610"/>
      <c r="HW731" s="1610"/>
      <c r="HX731" s="1610"/>
      <c r="HY731" s="1610"/>
      <c r="HZ731" s="1610"/>
      <c r="IA731" s="1610"/>
      <c r="IB731" s="1610"/>
      <c r="IC731" s="1610"/>
      <c r="ID731" s="1610"/>
      <c r="IE731" s="1610"/>
      <c r="IF731" s="1610"/>
      <c r="IG731" s="1610"/>
      <c r="IH731" s="1610"/>
      <c r="II731" s="1610"/>
      <c r="IJ731" s="1610"/>
      <c r="IK731" s="1610"/>
      <c r="IL731" s="1610"/>
      <c r="IM731" s="1610"/>
      <c r="IN731" s="1610"/>
      <c r="IO731" s="1610"/>
      <c r="IP731" s="1610"/>
      <c r="IQ731" s="1610"/>
      <c r="IR731" s="1610"/>
      <c r="IS731" s="1610"/>
      <c r="IT731" s="1610"/>
      <c r="IU731" s="1610"/>
      <c r="IV731" s="1610"/>
      <c r="IW731" s="1610"/>
      <c r="IX731" s="1610"/>
      <c r="IY731" s="1610"/>
      <c r="IZ731" s="1610"/>
      <c r="JA731" s="1610"/>
      <c r="JB731" s="1610"/>
      <c r="JC731" s="1610"/>
      <c r="JD731" s="1610"/>
      <c r="JE731" s="1610"/>
      <c r="JF731" s="1610"/>
      <c r="JG731" s="1610"/>
      <c r="JH731" s="1610"/>
      <c r="JI731" s="1610"/>
      <c r="JJ731" s="1610"/>
      <c r="JK731" s="1610"/>
      <c r="JL731" s="1610"/>
      <c r="JM731" s="1610"/>
      <c r="JN731" s="1610"/>
      <c r="JO731" s="1610"/>
      <c r="JP731" s="1610"/>
      <c r="JQ731" s="1610"/>
      <c r="JR731" s="1610"/>
      <c r="JS731" s="1610"/>
      <c r="JT731" s="1610"/>
      <c r="JU731" s="1610"/>
      <c r="JV731" s="1610"/>
      <c r="JW731" s="1610"/>
      <c r="JX731" s="1610"/>
      <c r="JY731" s="1610"/>
      <c r="JZ731" s="1610"/>
      <c r="KA731" s="1610"/>
      <c r="KB731" s="1611"/>
    </row>
    <row r="732" spans="1:289" ht="15" customHeight="1" x14ac:dyDescent="0.25">
      <c r="A732" s="333"/>
      <c r="B732" s="434"/>
      <c r="C732" s="434"/>
      <c r="D732" s="446"/>
      <c r="E732" s="446"/>
      <c r="F732" s="446"/>
      <c r="G732" s="434"/>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434"/>
      <c r="AD732" s="434"/>
      <c r="AE732" s="434"/>
      <c r="AF732" s="434"/>
      <c r="AG732" s="434"/>
      <c r="AH732" s="434"/>
      <c r="AI732" s="434"/>
      <c r="AJ732" s="434"/>
      <c r="AK732" s="434"/>
      <c r="AL732" s="434"/>
      <c r="AM732" s="434"/>
      <c r="AN732" s="434"/>
      <c r="AO732" s="434"/>
      <c r="AP732" s="434"/>
      <c r="AQ732" s="434"/>
      <c r="AR732" s="434"/>
      <c r="AS732" s="434"/>
      <c r="AT732" s="434"/>
      <c r="AU732" s="434"/>
      <c r="AV732" s="434"/>
      <c r="AW732" s="434"/>
      <c r="AX732" s="434"/>
      <c r="AY732" s="434"/>
      <c r="AZ732" s="434"/>
      <c r="BA732" s="434"/>
      <c r="BB732" s="434"/>
      <c r="BC732" s="434"/>
      <c r="BD732" s="434"/>
      <c r="BE732" s="434"/>
      <c r="BF732" s="434"/>
      <c r="BG732" s="434"/>
      <c r="BH732" s="434"/>
      <c r="BI732" s="434"/>
      <c r="BJ732" s="434"/>
      <c r="BK732" s="434"/>
      <c r="BL732" s="434"/>
      <c r="BM732" s="434"/>
      <c r="BN732" s="434"/>
      <c r="BO732" s="434"/>
      <c r="BP732" s="434"/>
      <c r="BQ732" s="434"/>
      <c r="BR732" s="434"/>
      <c r="BS732" s="434"/>
      <c r="BT732" s="434"/>
      <c r="BU732" s="434"/>
      <c r="BV732" s="434"/>
      <c r="BW732" s="434"/>
      <c r="BX732" s="434"/>
      <c r="BY732" s="434"/>
      <c r="BZ732" s="434"/>
      <c r="CA732" s="434"/>
      <c r="CB732" s="434"/>
      <c r="CC732" s="434"/>
      <c r="CD732" s="434"/>
      <c r="CE732" s="434"/>
      <c r="CF732" s="434"/>
      <c r="CG732" s="434"/>
      <c r="CH732" s="434"/>
      <c r="CI732" s="434"/>
      <c r="CJ732" s="434"/>
      <c r="CK732" s="434"/>
      <c r="CL732" s="434"/>
      <c r="CM732" s="434"/>
      <c r="CN732" s="434"/>
      <c r="CO732" s="434"/>
      <c r="CP732" s="434"/>
      <c r="CQ732" s="434"/>
      <c r="CR732" s="434"/>
      <c r="CS732" s="434"/>
      <c r="CT732" s="434"/>
      <c r="CU732" s="434"/>
      <c r="CV732" s="434"/>
      <c r="CW732" s="434"/>
      <c r="CX732" s="434"/>
      <c r="CY732" s="434"/>
      <c r="CZ732" s="434"/>
      <c r="DA732" s="434"/>
      <c r="DB732" s="434"/>
      <c r="DC732" s="434"/>
      <c r="DD732" s="434"/>
      <c r="DE732" s="434"/>
      <c r="DF732" s="434"/>
      <c r="DG732" s="434"/>
      <c r="DH732" s="434"/>
      <c r="DI732" s="434"/>
      <c r="DJ732" s="434"/>
      <c r="DK732" s="434"/>
      <c r="DL732" s="434"/>
      <c r="DM732" s="434"/>
      <c r="DN732" s="434"/>
      <c r="DO732" s="434"/>
      <c r="DP732" s="434"/>
      <c r="DQ732" s="434"/>
      <c r="DR732" s="434"/>
      <c r="DS732" s="434"/>
      <c r="DT732" s="434"/>
      <c r="DU732" s="434"/>
      <c r="DV732" s="434"/>
      <c r="DW732" s="434"/>
      <c r="DX732" s="434"/>
      <c r="DY732" s="434"/>
      <c r="DZ732" s="434"/>
      <c r="EA732" s="434"/>
      <c r="EB732" s="434"/>
      <c r="EC732" s="434"/>
      <c r="ED732" s="434"/>
      <c r="EE732" s="434"/>
      <c r="EF732" s="434"/>
      <c r="EG732" s="434"/>
      <c r="EH732" s="434"/>
      <c r="EI732" s="434"/>
      <c r="EJ732" s="434"/>
      <c r="EK732" s="434"/>
      <c r="EL732" s="434"/>
      <c r="EM732" s="434"/>
      <c r="EN732" s="434"/>
      <c r="EO732" s="434"/>
      <c r="EP732" s="434"/>
      <c r="EQ732" s="434"/>
      <c r="ER732" s="434"/>
      <c r="ES732" s="434"/>
      <c r="ET732" s="434"/>
      <c r="EU732" s="434"/>
      <c r="EV732" s="434"/>
      <c r="EW732" s="434"/>
      <c r="EX732" s="434"/>
      <c r="EY732" s="434"/>
      <c r="EZ732" s="434"/>
      <c r="FA732" s="434"/>
      <c r="FB732" s="434"/>
      <c r="FC732" s="434"/>
      <c r="FD732" s="434"/>
      <c r="FE732" s="434"/>
      <c r="FF732" s="434"/>
      <c r="FG732" s="434"/>
      <c r="FH732" s="434"/>
      <c r="FI732" s="434"/>
      <c r="FJ732" s="434"/>
      <c r="FK732" s="434"/>
      <c r="FL732" s="434"/>
      <c r="FM732" s="434"/>
      <c r="FN732" s="434"/>
      <c r="FO732" s="434"/>
      <c r="FP732" s="434"/>
      <c r="FQ732" s="434"/>
      <c r="FR732" s="434"/>
      <c r="FS732" s="434"/>
      <c r="FT732" s="434"/>
      <c r="FU732" s="434"/>
      <c r="FV732" s="434"/>
      <c r="FW732" s="434"/>
      <c r="FX732" s="434"/>
      <c r="FY732" s="434"/>
      <c r="FZ732" s="434"/>
      <c r="GA732" s="434"/>
      <c r="GB732" s="434"/>
      <c r="GC732" s="434"/>
      <c r="GD732" s="434"/>
      <c r="GE732" s="434"/>
      <c r="GF732" s="434"/>
      <c r="GG732" s="434"/>
      <c r="GH732" s="434"/>
      <c r="GI732" s="434"/>
      <c r="GJ732" s="434"/>
      <c r="GK732" s="434"/>
      <c r="GL732" s="434"/>
      <c r="GM732" s="434"/>
      <c r="GN732" s="434"/>
      <c r="GO732" s="434"/>
      <c r="GP732" s="434"/>
      <c r="GQ732" s="434"/>
      <c r="GR732" s="434"/>
      <c r="GS732" s="434"/>
      <c r="GT732" s="434"/>
      <c r="GU732" s="434"/>
      <c r="GV732" s="434"/>
      <c r="GW732" s="434"/>
      <c r="GX732" s="434"/>
      <c r="GY732" s="434"/>
      <c r="GZ732" s="434"/>
      <c r="HA732" s="434"/>
      <c r="HB732" s="434"/>
      <c r="HC732" s="434"/>
      <c r="HD732" s="434"/>
      <c r="HE732" s="434"/>
      <c r="HF732" s="434"/>
      <c r="HG732" s="434"/>
      <c r="HH732" s="434"/>
      <c r="HI732" s="434"/>
      <c r="HJ732" s="434"/>
      <c r="HK732" s="434"/>
      <c r="HL732" s="434"/>
      <c r="HM732" s="434"/>
      <c r="HN732" s="434"/>
      <c r="HO732" s="434"/>
      <c r="HP732" s="434"/>
      <c r="HQ732" s="434"/>
      <c r="HR732" s="434"/>
      <c r="HS732" s="434"/>
      <c r="HT732" s="434"/>
      <c r="HU732" s="434"/>
      <c r="HV732" s="434"/>
      <c r="HW732" s="434"/>
      <c r="HX732" s="434"/>
      <c r="HY732" s="434"/>
      <c r="HZ732" s="434"/>
      <c r="IA732" s="434"/>
      <c r="IB732" s="434"/>
      <c r="IC732" s="434"/>
      <c r="ID732" s="434"/>
      <c r="IE732" s="434"/>
      <c r="IF732" s="434"/>
      <c r="IG732" s="434"/>
      <c r="IH732" s="434"/>
      <c r="II732" s="434"/>
      <c r="IJ732" s="434"/>
      <c r="IK732" s="434"/>
      <c r="IL732" s="434"/>
      <c r="IM732" s="434"/>
      <c r="IN732" s="434"/>
      <c r="IO732" s="434"/>
      <c r="IP732" s="434"/>
      <c r="IQ732" s="434"/>
      <c r="IR732" s="434"/>
      <c r="IS732" s="434"/>
      <c r="IT732" s="434"/>
      <c r="IU732" s="434"/>
      <c r="IV732" s="434"/>
      <c r="IW732" s="434"/>
      <c r="IX732" s="434"/>
      <c r="IY732" s="434"/>
      <c r="IZ732" s="434"/>
      <c r="JA732" s="434"/>
      <c r="JB732" s="434"/>
      <c r="JC732" s="434"/>
      <c r="JD732" s="434"/>
      <c r="JE732" s="434"/>
      <c r="JF732" s="434"/>
      <c r="JG732" s="434"/>
      <c r="JH732" s="434"/>
      <c r="JI732" s="434"/>
      <c r="JJ732" s="434"/>
      <c r="JK732" s="434"/>
      <c r="JL732" s="434"/>
      <c r="JM732" s="434"/>
      <c r="JN732" s="434"/>
      <c r="JO732" s="434"/>
      <c r="JP732" s="434"/>
      <c r="JQ732" s="434"/>
      <c r="JR732" s="434"/>
      <c r="JS732" s="434"/>
      <c r="JT732" s="434"/>
      <c r="JU732" s="434"/>
      <c r="JV732" s="434"/>
      <c r="JW732" s="434"/>
      <c r="JX732" s="434"/>
      <c r="JY732" s="434"/>
      <c r="JZ732" s="434"/>
      <c r="KA732" s="434"/>
      <c r="KB732" s="434"/>
      <c r="KC732" s="422"/>
    </row>
  </sheetData>
  <mergeCells count="1">
    <mergeCell ref="B3:L3"/>
  </mergeCells>
  <conditionalFormatting sqref="H114:KB214">
    <cfRule type="cellIs" dxfId="30" priority="2" stopIfTrue="1" operator="lessThan">
      <formula>0</formula>
    </cfRule>
  </conditionalFormatting>
  <conditionalFormatting sqref="H11:KB111">
    <cfRule type="cellIs" dxfId="29"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S119"/>
  <sheetViews>
    <sheetView zoomScale="70" zoomScaleNormal="70" zoomScaleSheetLayoutView="85" workbookViewId="0">
      <pane xSplit="3" ySplit="10" topLeftCell="D11" activePane="bottomRight" state="frozen"/>
      <selection pane="topRight"/>
      <selection pane="bottomLeft"/>
      <selection pane="bottomRight" activeCell="AP11" sqref="AP11"/>
    </sheetView>
  </sheetViews>
  <sheetFormatPr defaultColWidth="0" defaultRowHeight="14.25" zeroHeight="1" x14ac:dyDescent="0.25"/>
  <cols>
    <col min="1" max="1" width="1.7109375" style="109" customWidth="1"/>
    <col min="2" max="2" width="26.7109375" style="182" customWidth="1"/>
    <col min="3" max="7" width="20.7109375" style="183" customWidth="1"/>
    <col min="8" max="8" width="130.7109375" style="182" customWidth="1"/>
    <col min="9" max="9" width="30.7109375" style="183" customWidth="1"/>
    <col min="10" max="10" width="24.7109375" style="183" customWidth="1"/>
    <col min="11" max="12" width="8.7109375" style="182" customWidth="1"/>
    <col min="13" max="13" width="10.140625" style="182" customWidth="1"/>
    <col min="14" max="14" width="20.7109375" style="182" customWidth="1"/>
    <col min="15" max="17" width="8.7109375" style="182" customWidth="1"/>
    <col min="18" max="18" width="18.7109375" style="182" customWidth="1"/>
    <col min="19" max="19" width="12.7109375" style="182" customWidth="1"/>
    <col min="20" max="20" width="32.7109375" style="182" customWidth="1"/>
    <col min="21" max="32" width="16.7109375" style="183" customWidth="1"/>
    <col min="33" max="33" width="64.7109375" style="183" customWidth="1"/>
    <col min="34" max="57" width="16.7109375" style="183" customWidth="1"/>
    <col min="58" max="58" width="30.7109375" style="183" customWidth="1"/>
    <col min="59" max="59" width="16.7109375" style="183" customWidth="1"/>
    <col min="60" max="60" width="16.7109375" style="182" customWidth="1"/>
    <col min="61" max="61" width="1.7109375" style="185" customWidth="1"/>
    <col min="62" max="71" width="0" hidden="1" customWidth="1"/>
    <col min="72" max="16384" width="16.7109375" hidden="1"/>
  </cols>
  <sheetData>
    <row r="1" spans="1:61" ht="30" customHeight="1" x14ac:dyDescent="0.55000000000000004">
      <c r="A1" s="1098" t="s">
        <v>1728</v>
      </c>
      <c r="B1" s="1256"/>
      <c r="C1" s="1256"/>
      <c r="D1" s="1256"/>
      <c r="E1" s="1256"/>
      <c r="F1" s="1256"/>
      <c r="G1" s="1256"/>
      <c r="H1" s="1062"/>
      <c r="I1" s="1256"/>
      <c r="J1" s="1256"/>
      <c r="K1" s="1062"/>
      <c r="L1" s="1062"/>
      <c r="M1" s="1062"/>
      <c r="N1" s="1062"/>
      <c r="O1" s="1062"/>
      <c r="P1" s="1062"/>
      <c r="Q1" s="1062"/>
      <c r="R1" s="1062"/>
      <c r="S1" s="1062"/>
      <c r="T1" s="1062"/>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6"/>
      <c r="AW1" s="1256"/>
      <c r="AX1" s="1256"/>
      <c r="AY1" s="1256"/>
      <c r="AZ1" s="1256"/>
      <c r="BA1" s="1256"/>
      <c r="BB1" s="1256"/>
      <c r="BC1" s="1256"/>
      <c r="BD1" s="1256"/>
      <c r="BE1" s="1256"/>
      <c r="BF1" s="1256"/>
      <c r="BG1" s="1256"/>
      <c r="BH1" s="1256"/>
      <c r="BI1" s="1239"/>
    </row>
    <row r="2" spans="1:61" ht="15" customHeight="1" x14ac:dyDescent="0.25">
      <c r="A2" s="1533"/>
      <c r="B2" s="1449"/>
      <c r="C2" s="1449"/>
      <c r="D2" s="1449"/>
      <c r="E2" s="1449"/>
      <c r="F2" s="1449"/>
      <c r="G2" s="1449"/>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438"/>
    </row>
    <row r="3" spans="1:61" ht="15" customHeight="1" x14ac:dyDescent="0.25">
      <c r="A3" s="1533"/>
      <c r="B3" s="3116" t="s">
        <v>1967</v>
      </c>
      <c r="C3" s="3116"/>
      <c r="D3" s="3116"/>
      <c r="E3" s="3116"/>
      <c r="F3" s="3116"/>
      <c r="G3" s="3116"/>
      <c r="H3" s="3117"/>
      <c r="I3" s="2216"/>
      <c r="J3" s="182"/>
      <c r="K3" s="1487"/>
      <c r="L3" s="1487"/>
      <c r="M3" s="1487"/>
      <c r="N3" s="1487"/>
      <c r="O3" s="1487"/>
      <c r="P3" s="185"/>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462"/>
      <c r="BI3" s="438"/>
    </row>
    <row r="4" spans="1:61" ht="15" customHeight="1" x14ac:dyDescent="0.25">
      <c r="A4" s="1533"/>
      <c r="B4" s="2828" t="s">
        <v>1120</v>
      </c>
      <c r="C4" s="2828"/>
      <c r="D4" s="2828"/>
      <c r="E4" s="2828"/>
      <c r="F4" s="2828"/>
      <c r="G4" s="2828"/>
      <c r="H4" s="2829"/>
      <c r="I4" s="2229" t="str">
        <f>IF(ISBLANK(I3), "", IF(AND(I3="Yes", 'Supervisory information'!C55="Yes"), "Yes", "No"))</f>
        <v/>
      </c>
      <c r="J4" s="182"/>
      <c r="K4" s="1487"/>
      <c r="L4" s="1487"/>
      <c r="M4" s="1487"/>
      <c r="N4" s="1487"/>
      <c r="O4" s="1487"/>
      <c r="P4" s="185"/>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462"/>
      <c r="BI4" s="438"/>
    </row>
    <row r="5" spans="1:61" ht="15" customHeight="1" x14ac:dyDescent="0.25">
      <c r="A5" s="1242"/>
      <c r="B5" s="2189"/>
      <c r="C5" s="2189"/>
      <c r="D5" s="2189"/>
      <c r="E5" s="2189"/>
      <c r="F5" s="2189"/>
      <c r="G5" s="2189"/>
      <c r="H5" s="1446"/>
      <c r="I5" s="1446"/>
      <c r="J5" s="1758"/>
      <c r="K5" s="1446"/>
      <c r="L5" s="1758"/>
      <c r="M5" s="1758"/>
      <c r="N5" s="1446"/>
      <c r="O5" s="1446"/>
      <c r="P5" s="1446"/>
      <c r="Q5" s="1446"/>
      <c r="R5" s="1758"/>
      <c r="S5" s="1446"/>
      <c r="T5" s="1446"/>
      <c r="U5" s="1758"/>
      <c r="V5" s="1758"/>
      <c r="W5" s="1758"/>
      <c r="X5" s="1758"/>
      <c r="Y5" s="1758"/>
      <c r="Z5" s="1758"/>
      <c r="AA5" s="1758"/>
      <c r="AB5" s="1758"/>
      <c r="AC5" s="1758"/>
      <c r="AD5" s="1758"/>
      <c r="AE5" s="1758"/>
      <c r="AF5" s="1758"/>
      <c r="AG5" s="1758"/>
      <c r="AH5" s="1758"/>
      <c r="AI5" s="1758"/>
      <c r="AJ5" s="1758"/>
      <c r="AK5" s="1758"/>
      <c r="AL5" s="1758"/>
      <c r="AM5" s="1758"/>
      <c r="AN5" s="1758"/>
      <c r="AO5" s="1758"/>
      <c r="AP5" s="1758"/>
      <c r="AQ5" s="1758"/>
      <c r="AR5" s="1758"/>
      <c r="AS5" s="1758"/>
      <c r="AT5" s="1758"/>
      <c r="AU5" s="1758"/>
      <c r="AV5" s="1758"/>
      <c r="AW5" s="1758"/>
      <c r="AX5" s="1758"/>
      <c r="AY5" s="1758"/>
      <c r="AZ5" s="1758"/>
      <c r="BA5" s="1758"/>
      <c r="BB5" s="1758"/>
      <c r="BC5" s="1758"/>
      <c r="BD5" s="1758"/>
      <c r="BE5" s="1758"/>
      <c r="BF5" s="1758"/>
      <c r="BG5" s="1758"/>
      <c r="BH5" s="1758"/>
      <c r="BI5" s="1243"/>
    </row>
    <row r="6" spans="1:61" ht="45" customHeight="1" x14ac:dyDescent="0.35">
      <c r="A6" s="2555" t="s">
        <v>2226</v>
      </c>
      <c r="B6" s="223"/>
      <c r="C6" s="223"/>
      <c r="D6" s="223"/>
      <c r="E6" s="223"/>
      <c r="F6" s="223"/>
      <c r="G6" s="223"/>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1444"/>
    </row>
    <row r="7" spans="1:61" ht="47.45" customHeight="1" x14ac:dyDescent="0.25">
      <c r="A7" s="388"/>
      <c r="B7" s="2603" t="s">
        <v>2289</v>
      </c>
      <c r="C7" s="3145"/>
      <c r="D7" s="3145"/>
      <c r="E7" s="2985" t="s">
        <v>2282</v>
      </c>
      <c r="F7" s="2985" t="s">
        <v>2275</v>
      </c>
      <c r="G7" s="3141"/>
      <c r="H7" s="3119" t="s">
        <v>1707</v>
      </c>
      <c r="I7" s="3120"/>
      <c r="J7" s="3121"/>
      <c r="K7" s="3122" t="s">
        <v>1968</v>
      </c>
      <c r="L7" s="3123"/>
      <c r="M7" s="3123"/>
      <c r="N7" s="3123"/>
      <c r="O7" s="3123"/>
      <c r="P7" s="3123"/>
      <c r="Q7" s="3123"/>
      <c r="R7" s="3123"/>
      <c r="S7" s="3123"/>
      <c r="T7" s="3124"/>
      <c r="U7" s="3092" t="s">
        <v>2069</v>
      </c>
      <c r="V7" s="2834"/>
      <c r="W7" s="2834"/>
      <c r="X7" s="2834"/>
      <c r="Y7" s="2834"/>
      <c r="Z7" s="2834"/>
      <c r="AA7" s="2834"/>
      <c r="AB7" s="2834"/>
      <c r="AC7" s="2834"/>
      <c r="AD7" s="2834"/>
      <c r="AE7" s="2834"/>
      <c r="AF7" s="2834"/>
      <c r="AG7" s="3093"/>
      <c r="AH7" s="3110" t="s">
        <v>2073</v>
      </c>
      <c r="AI7" s="3111"/>
      <c r="AJ7" s="3111"/>
      <c r="AK7" s="3118"/>
      <c r="AL7" s="3118"/>
      <c r="AM7" s="2384"/>
      <c r="AN7" s="3110" t="s">
        <v>2077</v>
      </c>
      <c r="AO7" s="3111"/>
      <c r="AP7" s="3112"/>
      <c r="AQ7" s="3113" t="s">
        <v>2291</v>
      </c>
      <c r="AR7" s="3114"/>
      <c r="AS7" s="3102" t="s">
        <v>2080</v>
      </c>
      <c r="AT7" s="2832"/>
      <c r="AU7" s="3092" t="s">
        <v>1714</v>
      </c>
      <c r="AV7" s="3093"/>
      <c r="AW7" s="3119" t="s">
        <v>1715</v>
      </c>
      <c r="AX7" s="3120"/>
      <c r="AY7" s="3120"/>
      <c r="AZ7" s="3120"/>
      <c r="BA7" s="3121"/>
      <c r="BB7" s="3132" t="s">
        <v>1721</v>
      </c>
      <c r="BC7" s="3133"/>
      <c r="BD7" s="3133"/>
      <c r="BE7" s="3134"/>
      <c r="BF7" s="2393" t="s">
        <v>1722</v>
      </c>
      <c r="BG7" s="3125" t="s">
        <v>2079</v>
      </c>
      <c r="BH7" s="2817"/>
      <c r="BI7" s="498"/>
    </row>
    <row r="8" spans="1:61" ht="15" customHeight="1" x14ac:dyDescent="0.25">
      <c r="A8" s="388"/>
      <c r="B8" s="2603" t="s">
        <v>2287</v>
      </c>
      <c r="C8" s="2985" t="s">
        <v>2274</v>
      </c>
      <c r="D8" s="2985" t="s">
        <v>2295</v>
      </c>
      <c r="E8" s="2985"/>
      <c r="F8" s="2985" t="s">
        <v>2275</v>
      </c>
      <c r="G8" s="3141" t="s">
        <v>2288</v>
      </c>
      <c r="H8" s="3099" t="s">
        <v>1707</v>
      </c>
      <c r="I8" s="3135" t="s">
        <v>1708</v>
      </c>
      <c r="J8" s="3081" t="s">
        <v>1709</v>
      </c>
      <c r="K8" s="3144" t="s">
        <v>1702</v>
      </c>
      <c r="L8" s="3069" t="s">
        <v>2081</v>
      </c>
      <c r="M8" s="3069"/>
      <c r="N8" s="3069"/>
      <c r="O8" s="3068" t="s">
        <v>1703</v>
      </c>
      <c r="P8" s="3068" t="s">
        <v>1704</v>
      </c>
      <c r="Q8" s="3068" t="s">
        <v>1705</v>
      </c>
      <c r="R8" s="3069" t="s">
        <v>2085</v>
      </c>
      <c r="S8" s="3084" t="s">
        <v>1701</v>
      </c>
      <c r="T8" s="3085" t="s">
        <v>1706</v>
      </c>
      <c r="U8" s="3086" t="s">
        <v>652</v>
      </c>
      <c r="V8" s="3087"/>
      <c r="W8" s="3087"/>
      <c r="X8" s="3087"/>
      <c r="Y8" s="3088"/>
      <c r="Z8" s="3089" t="s">
        <v>2070</v>
      </c>
      <c r="AA8" s="3127" t="s">
        <v>41</v>
      </c>
      <c r="AB8" s="3087"/>
      <c r="AC8" s="3087"/>
      <c r="AD8" s="3087"/>
      <c r="AE8" s="3087"/>
      <c r="AF8" s="3087"/>
      <c r="AG8" s="3081" t="s">
        <v>1713</v>
      </c>
      <c r="AH8" s="3070" t="s">
        <v>1711</v>
      </c>
      <c r="AI8" s="3071"/>
      <c r="AJ8" s="3097" t="s">
        <v>1712</v>
      </c>
      <c r="AK8" s="3071"/>
      <c r="AL8" s="3097" t="s">
        <v>2072</v>
      </c>
      <c r="AM8" s="3094" t="s">
        <v>2074</v>
      </c>
      <c r="AN8" s="3074" t="s">
        <v>1712</v>
      </c>
      <c r="AO8" s="3075"/>
      <c r="AP8" s="3078" t="s">
        <v>2302</v>
      </c>
      <c r="AQ8" s="3074" t="s">
        <v>2293</v>
      </c>
      <c r="AR8" s="3078" t="s">
        <v>2292</v>
      </c>
      <c r="AS8" s="3103" t="s">
        <v>2084</v>
      </c>
      <c r="AT8" s="3106" t="s">
        <v>2080</v>
      </c>
      <c r="AU8" s="3099" t="s">
        <v>1710</v>
      </c>
      <c r="AV8" s="3081" t="s">
        <v>1711</v>
      </c>
      <c r="AW8" s="3099" t="s">
        <v>1716</v>
      </c>
      <c r="AX8" s="3097" t="s">
        <v>1728</v>
      </c>
      <c r="AY8" s="3071"/>
      <c r="AZ8" s="3097" t="s">
        <v>1727</v>
      </c>
      <c r="BA8" s="3138"/>
      <c r="BB8" s="3099" t="s">
        <v>1723</v>
      </c>
      <c r="BC8" s="3135" t="s">
        <v>1724</v>
      </c>
      <c r="BD8" s="3135" t="s">
        <v>1725</v>
      </c>
      <c r="BE8" s="3081" t="s">
        <v>1969</v>
      </c>
      <c r="BF8" s="3070" t="s">
        <v>1726</v>
      </c>
      <c r="BG8" s="3126" t="s">
        <v>1711</v>
      </c>
      <c r="BH8" s="3127"/>
      <c r="BI8" s="1527"/>
    </row>
    <row r="9" spans="1:61" ht="52.5" customHeight="1" x14ac:dyDescent="0.35">
      <c r="A9" s="2192"/>
      <c r="B9" s="2603"/>
      <c r="C9" s="2985"/>
      <c r="D9" s="2985"/>
      <c r="E9" s="2985"/>
      <c r="F9" s="2985"/>
      <c r="G9" s="3141"/>
      <c r="H9" s="3100"/>
      <c r="I9" s="3136"/>
      <c r="J9" s="3082"/>
      <c r="K9" s="3144"/>
      <c r="L9" s="3068" t="s">
        <v>2082</v>
      </c>
      <c r="M9" s="3068" t="s">
        <v>2083</v>
      </c>
      <c r="N9" s="3069" t="s">
        <v>2290</v>
      </c>
      <c r="O9" s="3068"/>
      <c r="P9" s="3068"/>
      <c r="Q9" s="3068"/>
      <c r="R9" s="3069"/>
      <c r="S9" s="3084"/>
      <c r="T9" s="3085"/>
      <c r="U9" s="3086" t="s">
        <v>1689</v>
      </c>
      <c r="V9" s="3087"/>
      <c r="W9" s="3088"/>
      <c r="X9" s="3089" t="s">
        <v>657</v>
      </c>
      <c r="Y9" s="2997" t="s">
        <v>1690</v>
      </c>
      <c r="Z9" s="3090"/>
      <c r="AA9" s="3142" t="s">
        <v>1712</v>
      </c>
      <c r="AB9" s="3143"/>
      <c r="AC9" s="3127" t="s">
        <v>2072</v>
      </c>
      <c r="AD9" s="3087"/>
      <c r="AE9" s="3087"/>
      <c r="AF9" s="3088"/>
      <c r="AG9" s="3082"/>
      <c r="AH9" s="3072"/>
      <c r="AI9" s="3073"/>
      <c r="AJ9" s="3098"/>
      <c r="AK9" s="3073"/>
      <c r="AL9" s="3109"/>
      <c r="AM9" s="3095"/>
      <c r="AN9" s="3076"/>
      <c r="AO9" s="3077"/>
      <c r="AP9" s="3079"/>
      <c r="AQ9" s="3115"/>
      <c r="AR9" s="3079"/>
      <c r="AS9" s="3104"/>
      <c r="AT9" s="3107"/>
      <c r="AU9" s="3100"/>
      <c r="AV9" s="3082"/>
      <c r="AW9" s="3100"/>
      <c r="AX9" s="3098"/>
      <c r="AY9" s="3073"/>
      <c r="AZ9" s="3098"/>
      <c r="BA9" s="3139"/>
      <c r="BB9" s="3100"/>
      <c r="BC9" s="3136"/>
      <c r="BD9" s="3136"/>
      <c r="BE9" s="3082"/>
      <c r="BF9" s="3140"/>
      <c r="BG9" s="3128" t="s">
        <v>2078</v>
      </c>
      <c r="BH9" s="3130" t="s">
        <v>2294</v>
      </c>
      <c r="BI9" s="2193"/>
    </row>
    <row r="10" spans="1:61" ht="57" customHeight="1" x14ac:dyDescent="0.25">
      <c r="A10" s="2194"/>
      <c r="B10" s="2603"/>
      <c r="C10" s="2985"/>
      <c r="D10" s="2985"/>
      <c r="E10" s="2985"/>
      <c r="F10" s="2985"/>
      <c r="G10" s="3141"/>
      <c r="H10" s="3101"/>
      <c r="I10" s="3137"/>
      <c r="J10" s="3083"/>
      <c r="K10" s="3144"/>
      <c r="L10" s="3068"/>
      <c r="M10" s="3068"/>
      <c r="N10" s="3069"/>
      <c r="O10" s="3068"/>
      <c r="P10" s="3068"/>
      <c r="Q10" s="3068"/>
      <c r="R10" s="3069"/>
      <c r="S10" s="3084"/>
      <c r="T10" s="3085"/>
      <c r="U10" s="2560" t="s">
        <v>1699</v>
      </c>
      <c r="V10" s="2559" t="s">
        <v>1700</v>
      </c>
      <c r="W10" s="2559" t="s">
        <v>2071</v>
      </c>
      <c r="X10" s="3091"/>
      <c r="Y10" s="2998"/>
      <c r="Z10" s="3091"/>
      <c r="AA10" s="2559" t="s">
        <v>41</v>
      </c>
      <c r="AB10" s="2559" t="s">
        <v>1974</v>
      </c>
      <c r="AC10" s="2561" t="s">
        <v>658</v>
      </c>
      <c r="AD10" s="2562" t="s">
        <v>657</v>
      </c>
      <c r="AE10" s="2557" t="s">
        <v>693</v>
      </c>
      <c r="AF10" s="2556" t="s">
        <v>116</v>
      </c>
      <c r="AG10" s="3083"/>
      <c r="AH10" s="2389" t="s">
        <v>1699</v>
      </c>
      <c r="AI10" s="2390" t="s">
        <v>1700</v>
      </c>
      <c r="AJ10" s="2390" t="s">
        <v>41</v>
      </c>
      <c r="AK10" s="2390" t="s">
        <v>1974</v>
      </c>
      <c r="AL10" s="3098"/>
      <c r="AM10" s="3096"/>
      <c r="AN10" s="2559" t="s">
        <v>41</v>
      </c>
      <c r="AO10" s="2559" t="s">
        <v>1974</v>
      </c>
      <c r="AP10" s="3080"/>
      <c r="AQ10" s="3076"/>
      <c r="AR10" s="3080"/>
      <c r="AS10" s="3105"/>
      <c r="AT10" s="3108"/>
      <c r="AU10" s="3101"/>
      <c r="AV10" s="3083"/>
      <c r="AW10" s="3101"/>
      <c r="AX10" s="2390" t="s">
        <v>1717</v>
      </c>
      <c r="AY10" s="2390" t="s">
        <v>1718</v>
      </c>
      <c r="AZ10" s="2390" t="s">
        <v>1719</v>
      </c>
      <c r="BA10" s="2392" t="s">
        <v>1720</v>
      </c>
      <c r="BB10" s="3101"/>
      <c r="BC10" s="3137"/>
      <c r="BD10" s="3137"/>
      <c r="BE10" s="3083"/>
      <c r="BF10" s="3072"/>
      <c r="BG10" s="3129"/>
      <c r="BH10" s="3131"/>
      <c r="BI10" s="2195"/>
    </row>
    <row r="11" spans="1:61" ht="15" customHeight="1" x14ac:dyDescent="0.25">
      <c r="A11" s="1533"/>
      <c r="B11" s="2412" t="s">
        <v>116</v>
      </c>
      <c r="C11" s="2199"/>
      <c r="D11" s="2196"/>
      <c r="E11" s="2196"/>
      <c r="F11" s="2196"/>
      <c r="G11" s="2196"/>
      <c r="H11" s="2206"/>
      <c r="I11" s="2207"/>
      <c r="J11" s="2199"/>
      <c r="K11" s="2206"/>
      <c r="L11" s="2387"/>
      <c r="M11" s="2387"/>
      <c r="N11" s="2207"/>
      <c r="O11" s="2207"/>
      <c r="P11" s="2207"/>
      <c r="Q11" s="2207"/>
      <c r="R11" s="2207"/>
      <c r="S11" s="2207"/>
      <c r="T11" s="2198"/>
      <c r="U11" s="2201">
        <f t="shared" ref="U11:AF11" si="0">SUM(U12:U112)</f>
        <v>0</v>
      </c>
      <c r="V11" s="2200">
        <f t="shared" si="0"/>
        <v>0</v>
      </c>
      <c r="W11" s="2200">
        <f t="shared" si="0"/>
        <v>0</v>
      </c>
      <c r="X11" s="2200">
        <f t="shared" si="0"/>
        <v>0</v>
      </c>
      <c r="Y11" s="2200">
        <f t="shared" si="0"/>
        <v>0</v>
      </c>
      <c r="Z11" s="2200">
        <f t="shared" si="0"/>
        <v>0</v>
      </c>
      <c r="AA11" s="2200">
        <f t="shared" si="0"/>
        <v>0</v>
      </c>
      <c r="AB11" s="2200">
        <f t="shared" si="0"/>
        <v>0</v>
      </c>
      <c r="AC11" s="2200">
        <f t="shared" si="0"/>
        <v>0</v>
      </c>
      <c r="AD11" s="2200">
        <f t="shared" si="0"/>
        <v>0</v>
      </c>
      <c r="AE11" s="2200">
        <f t="shared" si="0"/>
        <v>0</v>
      </c>
      <c r="AF11" s="2200">
        <f t="shared" si="0"/>
        <v>0</v>
      </c>
      <c r="AG11" s="2199"/>
      <c r="AH11" s="2201">
        <f>SUM(AH12:AH112)</f>
        <v>0</v>
      </c>
      <c r="AI11" s="2200">
        <f>SUM(AI12:AI112)</f>
        <v>0</v>
      </c>
      <c r="AJ11" s="2200">
        <f>SUM(AJ12:AJ112)</f>
        <v>0</v>
      </c>
      <c r="AK11" s="2200">
        <f>SUM(AK12:AK112)</f>
        <v>0</v>
      </c>
      <c r="AL11" s="2391">
        <f>SUM(AL12:AL112)</f>
        <v>0</v>
      </c>
      <c r="AM11" s="2199"/>
      <c r="AN11" s="2201">
        <f>SUM(AN12:AN112)</f>
        <v>0</v>
      </c>
      <c r="AO11" s="2200">
        <f>SUM(AO12:AO112)</f>
        <v>0</v>
      </c>
      <c r="AP11" s="2202">
        <f>SUM(AP12:AP112)</f>
        <v>0</v>
      </c>
      <c r="AQ11" s="2201"/>
      <c r="AR11" s="2566"/>
      <c r="AS11" s="2388">
        <f>SUM(AS12:AS112)</f>
        <v>0</v>
      </c>
      <c r="AT11" s="2558" t="str">
        <f>IF(AND(ISNUMBER('General Info'!C66), 'General Info'!C66&gt;0), AS11/'General Info'!$C$66, "")</f>
        <v/>
      </c>
      <c r="AU11" s="2201">
        <f>SUM(AU12:AU112)</f>
        <v>0</v>
      </c>
      <c r="AV11" s="2202">
        <f>SUM(AV12:AV112)</f>
        <v>0</v>
      </c>
      <c r="AW11" s="2197"/>
      <c r="AX11" s="2198"/>
      <c r="AY11" s="2198"/>
      <c r="AZ11" s="2198"/>
      <c r="BA11" s="2199"/>
      <c r="BB11" s="2201">
        <f>SUM(BB12:BB112)</f>
        <v>0</v>
      </c>
      <c r="BC11" s="2200">
        <f>SUM(BC12:BC112)</f>
        <v>0</v>
      </c>
      <c r="BD11" s="2200">
        <f>SUM(BD12:BD112)</f>
        <v>0</v>
      </c>
      <c r="BE11" s="2202">
        <f>SUM(BE12:BE112)</f>
        <v>0</v>
      </c>
      <c r="BF11" s="2196"/>
      <c r="BG11" s="2201">
        <f>SUM(BG12:BG112)</f>
        <v>0</v>
      </c>
      <c r="BH11" s="2391">
        <f>SUM(BH12:BH112)</f>
        <v>0</v>
      </c>
      <c r="BI11" s="438"/>
    </row>
    <row r="12" spans="1:61" ht="15" customHeight="1" x14ac:dyDescent="0.25">
      <c r="A12" s="387"/>
      <c r="B12" s="2218"/>
      <c r="C12" s="2208"/>
      <c r="D12" s="2208"/>
      <c r="E12" s="2385"/>
      <c r="F12" s="2385"/>
      <c r="G12" s="2208"/>
      <c r="H12" s="2217"/>
      <c r="I12" s="2219"/>
      <c r="J12" s="2203"/>
      <c r="K12" s="2219"/>
      <c r="L12" s="2219"/>
      <c r="M12" s="2219"/>
      <c r="N12" s="2219"/>
      <c r="O12" s="2219"/>
      <c r="P12" s="2219"/>
      <c r="Q12" s="2219"/>
      <c r="R12" s="2219"/>
      <c r="S12" s="2219"/>
      <c r="T12" s="2220"/>
      <c r="U12" s="2221"/>
      <c r="V12" s="1891"/>
      <c r="W12" s="1891"/>
      <c r="X12" s="1891"/>
      <c r="Y12" s="1891"/>
      <c r="Z12" s="846" t="str">
        <f>IF(AND(ISNUMBER(W12),ISNUMBER(X12),ISNUMBER(Y12)),SUM(W12,X12,Y12),"")</f>
        <v/>
      </c>
      <c r="AA12" s="1891"/>
      <c r="AB12" s="1891"/>
      <c r="AC12" s="1891"/>
      <c r="AD12" s="1891"/>
      <c r="AE12" s="1891"/>
      <c r="AF12" s="1891"/>
      <c r="AG12" s="2219"/>
      <c r="AH12" s="1445"/>
      <c r="AI12" s="1339"/>
      <c r="AJ12" s="1339"/>
      <c r="AK12" s="1891"/>
      <c r="AL12" s="1891"/>
      <c r="AM12" s="2203"/>
      <c r="AN12" s="1445"/>
      <c r="AO12" s="1339"/>
      <c r="AP12" s="2203"/>
      <c r="AQ12" s="1445"/>
      <c r="AR12" s="2396"/>
      <c r="AS12" s="738"/>
      <c r="AT12" s="2394"/>
      <c r="AU12" s="1445"/>
      <c r="AV12" s="2203"/>
      <c r="AW12" s="2213"/>
      <c r="AX12" s="2222"/>
      <c r="AY12" s="2222"/>
      <c r="AZ12" s="2222"/>
      <c r="BA12" s="2223"/>
      <c r="BB12" s="2221"/>
      <c r="BC12" s="1891"/>
      <c r="BD12" s="1891"/>
      <c r="BE12" s="2203"/>
      <c r="BF12" s="2396"/>
      <c r="BG12" s="1445"/>
      <c r="BH12" s="1891"/>
      <c r="BI12" s="438"/>
    </row>
    <row r="13" spans="1:61" ht="15" customHeight="1" x14ac:dyDescent="0.25">
      <c r="A13" s="387"/>
      <c r="B13" s="2224"/>
      <c r="C13" s="2191"/>
      <c r="D13" s="2191"/>
      <c r="E13" s="2386"/>
      <c r="F13" s="2386"/>
      <c r="G13" s="2191"/>
      <c r="H13" s="2226"/>
      <c r="I13" s="2225"/>
      <c r="J13" s="2205"/>
      <c r="K13" s="2225"/>
      <c r="L13" s="2225"/>
      <c r="M13" s="2225"/>
      <c r="N13" s="2225"/>
      <c r="O13" s="2225"/>
      <c r="P13" s="2225"/>
      <c r="Q13" s="2225"/>
      <c r="R13" s="2225"/>
      <c r="S13" s="2225"/>
      <c r="T13" s="2212"/>
      <c r="U13" s="2227"/>
      <c r="V13" s="208"/>
      <c r="W13" s="208"/>
      <c r="X13" s="208"/>
      <c r="Y13" s="208"/>
      <c r="Z13" s="580" t="str">
        <f t="shared" ref="Z13:Z76" si="1">IF(AND(ISNUMBER(W13),ISNUMBER(X13),ISNUMBER(Y13)),SUM(W13,X13,Y13),"")</f>
        <v/>
      </c>
      <c r="AA13" s="208"/>
      <c r="AB13" s="208"/>
      <c r="AC13" s="208"/>
      <c r="AD13" s="208"/>
      <c r="AE13" s="208"/>
      <c r="AF13" s="208"/>
      <c r="AG13" s="2225"/>
      <c r="AH13" s="2204"/>
      <c r="AI13" s="318"/>
      <c r="AJ13" s="318"/>
      <c r="AK13" s="208"/>
      <c r="AL13" s="208"/>
      <c r="AM13" s="2205"/>
      <c r="AN13" s="2204"/>
      <c r="AO13" s="318"/>
      <c r="AP13" s="2205"/>
      <c r="AQ13" s="2204"/>
      <c r="AR13" s="2397"/>
      <c r="AS13" s="692"/>
      <c r="AT13" s="2395"/>
      <c r="AU13" s="2204"/>
      <c r="AV13" s="2205"/>
      <c r="AW13" s="2209"/>
      <c r="AX13" s="2210"/>
      <c r="AY13" s="2210"/>
      <c r="AZ13" s="2210"/>
      <c r="BA13" s="2211"/>
      <c r="BB13" s="2227"/>
      <c r="BC13" s="208"/>
      <c r="BD13" s="208"/>
      <c r="BE13" s="2205"/>
      <c r="BF13" s="2397"/>
      <c r="BG13" s="2204"/>
      <c r="BH13" s="208"/>
      <c r="BI13" s="438"/>
    </row>
    <row r="14" spans="1:61" ht="15" customHeight="1" x14ac:dyDescent="0.25">
      <c r="A14" s="1533"/>
      <c r="B14" s="2224"/>
      <c r="C14" s="2191"/>
      <c r="D14" s="2191"/>
      <c r="E14" s="2386"/>
      <c r="F14" s="2386"/>
      <c r="G14" s="2191"/>
      <c r="H14" s="2226"/>
      <c r="I14" s="2225"/>
      <c r="J14" s="2205"/>
      <c r="K14" s="2225"/>
      <c r="L14" s="2225"/>
      <c r="M14" s="2225"/>
      <c r="N14" s="2225"/>
      <c r="O14" s="2225"/>
      <c r="P14" s="2225"/>
      <c r="Q14" s="2225"/>
      <c r="R14" s="2225"/>
      <c r="S14" s="2225"/>
      <c r="T14" s="2212"/>
      <c r="U14" s="2227"/>
      <c r="V14" s="208"/>
      <c r="W14" s="208"/>
      <c r="X14" s="208"/>
      <c r="Y14" s="208"/>
      <c r="Z14" s="580" t="str">
        <f t="shared" si="1"/>
        <v/>
      </c>
      <c r="AA14" s="208"/>
      <c r="AB14" s="208"/>
      <c r="AC14" s="208"/>
      <c r="AD14" s="208"/>
      <c r="AE14" s="208"/>
      <c r="AF14" s="208"/>
      <c r="AG14" s="2225"/>
      <c r="AH14" s="2204"/>
      <c r="AI14" s="318"/>
      <c r="AJ14" s="318"/>
      <c r="AK14" s="208"/>
      <c r="AL14" s="208"/>
      <c r="AM14" s="2205"/>
      <c r="AN14" s="2204"/>
      <c r="AO14" s="318"/>
      <c r="AP14" s="2205"/>
      <c r="AQ14" s="2204"/>
      <c r="AR14" s="2397"/>
      <c r="AS14" s="692"/>
      <c r="AT14" s="2395"/>
      <c r="AU14" s="2204"/>
      <c r="AV14" s="2205"/>
      <c r="AW14" s="2209"/>
      <c r="AX14" s="2210"/>
      <c r="AY14" s="2210"/>
      <c r="AZ14" s="2210"/>
      <c r="BA14" s="2211"/>
      <c r="BB14" s="2227"/>
      <c r="BC14" s="208"/>
      <c r="BD14" s="208"/>
      <c r="BE14" s="2205"/>
      <c r="BF14" s="2397"/>
      <c r="BG14" s="2204"/>
      <c r="BH14" s="208"/>
      <c r="BI14" s="438"/>
    </row>
    <row r="15" spans="1:61" ht="15" customHeight="1" x14ac:dyDescent="0.25">
      <c r="A15" s="1533"/>
      <c r="B15" s="2224"/>
      <c r="C15" s="2191"/>
      <c r="D15" s="2191"/>
      <c r="E15" s="2386"/>
      <c r="F15" s="2386"/>
      <c r="G15" s="2191"/>
      <c r="H15" s="2226"/>
      <c r="I15" s="2225"/>
      <c r="J15" s="2205"/>
      <c r="K15" s="2225"/>
      <c r="L15" s="2225"/>
      <c r="M15" s="2225"/>
      <c r="N15" s="2225"/>
      <c r="O15" s="2225"/>
      <c r="P15" s="2225"/>
      <c r="Q15" s="2225"/>
      <c r="R15" s="2225"/>
      <c r="S15" s="2225"/>
      <c r="T15" s="2212"/>
      <c r="U15" s="2227"/>
      <c r="V15" s="208"/>
      <c r="W15" s="208"/>
      <c r="X15" s="208"/>
      <c r="Y15" s="208"/>
      <c r="Z15" s="580" t="str">
        <f t="shared" si="1"/>
        <v/>
      </c>
      <c r="AA15" s="208"/>
      <c r="AB15" s="208"/>
      <c r="AC15" s="208"/>
      <c r="AD15" s="208"/>
      <c r="AE15" s="208"/>
      <c r="AF15" s="208"/>
      <c r="AG15" s="2225"/>
      <c r="AH15" s="2204"/>
      <c r="AI15" s="318"/>
      <c r="AJ15" s="318"/>
      <c r="AK15" s="208"/>
      <c r="AL15" s="208"/>
      <c r="AM15" s="2205"/>
      <c r="AN15" s="2204"/>
      <c r="AO15" s="318"/>
      <c r="AP15" s="2205"/>
      <c r="AQ15" s="2204"/>
      <c r="AR15" s="2397"/>
      <c r="AS15" s="692"/>
      <c r="AT15" s="2395"/>
      <c r="AU15" s="2204"/>
      <c r="AV15" s="2205"/>
      <c r="AW15" s="2209"/>
      <c r="AX15" s="2210"/>
      <c r="AY15" s="2210"/>
      <c r="AZ15" s="2210"/>
      <c r="BA15" s="2211"/>
      <c r="BB15" s="2227"/>
      <c r="BC15" s="208"/>
      <c r="BD15" s="208"/>
      <c r="BE15" s="2205"/>
      <c r="BF15" s="2397"/>
      <c r="BG15" s="2204"/>
      <c r="BH15" s="208"/>
      <c r="BI15" s="438"/>
    </row>
    <row r="16" spans="1:61" ht="15" customHeight="1" x14ac:dyDescent="0.25">
      <c r="A16" s="1533"/>
      <c r="B16" s="2224"/>
      <c r="C16" s="2191"/>
      <c r="D16" s="2191"/>
      <c r="E16" s="2386"/>
      <c r="F16" s="2386"/>
      <c r="G16" s="2191"/>
      <c r="H16" s="2226"/>
      <c r="I16" s="2225"/>
      <c r="J16" s="2205"/>
      <c r="K16" s="2225"/>
      <c r="L16" s="2225"/>
      <c r="M16" s="2225"/>
      <c r="N16" s="2225"/>
      <c r="O16" s="2225"/>
      <c r="P16" s="2225"/>
      <c r="Q16" s="2225"/>
      <c r="R16" s="2225"/>
      <c r="S16" s="2225"/>
      <c r="T16" s="2212"/>
      <c r="U16" s="2227"/>
      <c r="V16" s="208"/>
      <c r="W16" s="208"/>
      <c r="X16" s="208"/>
      <c r="Y16" s="208"/>
      <c r="Z16" s="580" t="str">
        <f t="shared" si="1"/>
        <v/>
      </c>
      <c r="AA16" s="208"/>
      <c r="AB16" s="208"/>
      <c r="AC16" s="208"/>
      <c r="AD16" s="208"/>
      <c r="AE16" s="208"/>
      <c r="AF16" s="208"/>
      <c r="AG16" s="2225"/>
      <c r="AH16" s="2204"/>
      <c r="AI16" s="318"/>
      <c r="AJ16" s="318"/>
      <c r="AK16" s="208"/>
      <c r="AL16" s="208"/>
      <c r="AM16" s="2205"/>
      <c r="AN16" s="2204"/>
      <c r="AO16" s="318"/>
      <c r="AP16" s="2205"/>
      <c r="AQ16" s="2204"/>
      <c r="AR16" s="2397"/>
      <c r="AS16" s="692"/>
      <c r="AT16" s="2395"/>
      <c r="AU16" s="2204"/>
      <c r="AV16" s="2205"/>
      <c r="AW16" s="2209"/>
      <c r="AX16" s="2210"/>
      <c r="AY16" s="2210"/>
      <c r="AZ16" s="2210"/>
      <c r="BA16" s="2211"/>
      <c r="BB16" s="2227"/>
      <c r="BC16" s="208"/>
      <c r="BD16" s="208"/>
      <c r="BE16" s="2205"/>
      <c r="BF16" s="2397"/>
      <c r="BG16" s="2204"/>
      <c r="BH16" s="208"/>
      <c r="BI16" s="438"/>
    </row>
    <row r="17" spans="1:61" ht="15" customHeight="1" x14ac:dyDescent="0.25">
      <c r="A17" s="1533"/>
      <c r="B17" s="2224"/>
      <c r="C17" s="2191"/>
      <c r="D17" s="2191"/>
      <c r="E17" s="2386"/>
      <c r="F17" s="2386"/>
      <c r="G17" s="2191"/>
      <c r="H17" s="2226"/>
      <c r="I17" s="2225"/>
      <c r="J17" s="2205"/>
      <c r="K17" s="2225"/>
      <c r="L17" s="2225"/>
      <c r="M17" s="2225"/>
      <c r="N17" s="2225"/>
      <c r="O17" s="2225"/>
      <c r="P17" s="2225"/>
      <c r="Q17" s="2225"/>
      <c r="R17" s="2225"/>
      <c r="S17" s="2225"/>
      <c r="T17" s="2212"/>
      <c r="U17" s="2227"/>
      <c r="V17" s="208"/>
      <c r="W17" s="208"/>
      <c r="X17" s="208"/>
      <c r="Y17" s="208"/>
      <c r="Z17" s="580" t="str">
        <f t="shared" si="1"/>
        <v/>
      </c>
      <c r="AA17" s="208"/>
      <c r="AB17" s="208"/>
      <c r="AC17" s="208"/>
      <c r="AD17" s="208"/>
      <c r="AE17" s="208"/>
      <c r="AF17" s="208"/>
      <c r="AG17" s="2225"/>
      <c r="AH17" s="2204"/>
      <c r="AI17" s="318"/>
      <c r="AJ17" s="318"/>
      <c r="AK17" s="208"/>
      <c r="AL17" s="208"/>
      <c r="AM17" s="2205"/>
      <c r="AN17" s="2204"/>
      <c r="AO17" s="318"/>
      <c r="AP17" s="2205"/>
      <c r="AQ17" s="2204"/>
      <c r="AR17" s="2397"/>
      <c r="AS17" s="692"/>
      <c r="AT17" s="2395"/>
      <c r="AU17" s="2204"/>
      <c r="AV17" s="2205"/>
      <c r="AW17" s="2209"/>
      <c r="AX17" s="2210"/>
      <c r="AY17" s="2210"/>
      <c r="AZ17" s="2210"/>
      <c r="BA17" s="2211"/>
      <c r="BB17" s="2227"/>
      <c r="BC17" s="208"/>
      <c r="BD17" s="208"/>
      <c r="BE17" s="2205"/>
      <c r="BF17" s="2397"/>
      <c r="BG17" s="2204"/>
      <c r="BH17" s="208"/>
      <c r="BI17" s="438"/>
    </row>
    <row r="18" spans="1:61" ht="15" customHeight="1" x14ac:dyDescent="0.25">
      <c r="A18" s="1533"/>
      <c r="B18" s="2224"/>
      <c r="C18" s="2191"/>
      <c r="D18" s="2191"/>
      <c r="E18" s="2386"/>
      <c r="F18" s="2386"/>
      <c r="G18" s="2191"/>
      <c r="H18" s="2226"/>
      <c r="I18" s="2225"/>
      <c r="J18" s="2205"/>
      <c r="K18" s="2225"/>
      <c r="L18" s="2225"/>
      <c r="M18" s="2225"/>
      <c r="N18" s="2225"/>
      <c r="O18" s="2225"/>
      <c r="P18" s="2225"/>
      <c r="Q18" s="2225"/>
      <c r="R18" s="2225"/>
      <c r="S18" s="2225"/>
      <c r="T18" s="2212"/>
      <c r="U18" s="2227"/>
      <c r="V18" s="208"/>
      <c r="W18" s="208"/>
      <c r="X18" s="208"/>
      <c r="Y18" s="208"/>
      <c r="Z18" s="580" t="str">
        <f t="shared" si="1"/>
        <v/>
      </c>
      <c r="AA18" s="208"/>
      <c r="AB18" s="208"/>
      <c r="AC18" s="208"/>
      <c r="AD18" s="208"/>
      <c r="AE18" s="208"/>
      <c r="AF18" s="208"/>
      <c r="AG18" s="2225"/>
      <c r="AH18" s="2204"/>
      <c r="AI18" s="318"/>
      <c r="AJ18" s="318"/>
      <c r="AK18" s="208"/>
      <c r="AL18" s="208"/>
      <c r="AM18" s="2205"/>
      <c r="AN18" s="2204"/>
      <c r="AO18" s="318"/>
      <c r="AP18" s="2205"/>
      <c r="AQ18" s="2204"/>
      <c r="AR18" s="2397"/>
      <c r="AS18" s="692"/>
      <c r="AT18" s="2395"/>
      <c r="AU18" s="2204"/>
      <c r="AV18" s="2205"/>
      <c r="AW18" s="2209"/>
      <c r="AX18" s="2210"/>
      <c r="AY18" s="2210"/>
      <c r="AZ18" s="2210"/>
      <c r="BA18" s="2211"/>
      <c r="BB18" s="2227"/>
      <c r="BC18" s="208"/>
      <c r="BD18" s="208"/>
      <c r="BE18" s="2205"/>
      <c r="BF18" s="2397"/>
      <c r="BG18" s="2204"/>
      <c r="BH18" s="208"/>
      <c r="BI18" s="438"/>
    </row>
    <row r="19" spans="1:61" ht="15" customHeight="1" x14ac:dyDescent="0.25">
      <c r="A19" s="1533"/>
      <c r="B19" s="2224"/>
      <c r="C19" s="2191"/>
      <c r="D19" s="2191"/>
      <c r="E19" s="2386"/>
      <c r="F19" s="2386"/>
      <c r="G19" s="2191"/>
      <c r="H19" s="2226"/>
      <c r="I19" s="2225"/>
      <c r="J19" s="2205"/>
      <c r="K19" s="2225"/>
      <c r="L19" s="2225"/>
      <c r="M19" s="2225"/>
      <c r="N19" s="2225"/>
      <c r="O19" s="2225"/>
      <c r="P19" s="2225"/>
      <c r="Q19" s="2225"/>
      <c r="R19" s="2225"/>
      <c r="S19" s="2225"/>
      <c r="T19" s="2212"/>
      <c r="U19" s="2227"/>
      <c r="V19" s="208"/>
      <c r="W19" s="208"/>
      <c r="X19" s="208"/>
      <c r="Y19" s="208"/>
      <c r="Z19" s="580" t="str">
        <f t="shared" si="1"/>
        <v/>
      </c>
      <c r="AA19" s="208"/>
      <c r="AB19" s="208"/>
      <c r="AC19" s="208"/>
      <c r="AD19" s="208"/>
      <c r="AE19" s="208"/>
      <c r="AF19" s="208"/>
      <c r="AG19" s="2225"/>
      <c r="AH19" s="2204"/>
      <c r="AI19" s="318"/>
      <c r="AJ19" s="318"/>
      <c r="AK19" s="208"/>
      <c r="AL19" s="208"/>
      <c r="AM19" s="2205"/>
      <c r="AN19" s="2204"/>
      <c r="AO19" s="318"/>
      <c r="AP19" s="2205"/>
      <c r="AQ19" s="2204"/>
      <c r="AR19" s="2397"/>
      <c r="AS19" s="692"/>
      <c r="AT19" s="2395"/>
      <c r="AU19" s="2204"/>
      <c r="AV19" s="2205"/>
      <c r="AW19" s="2209"/>
      <c r="AX19" s="2210"/>
      <c r="AY19" s="2210"/>
      <c r="AZ19" s="2210"/>
      <c r="BA19" s="2211"/>
      <c r="BB19" s="2227"/>
      <c r="BC19" s="208"/>
      <c r="BD19" s="208"/>
      <c r="BE19" s="2205"/>
      <c r="BF19" s="2397"/>
      <c r="BG19" s="2204"/>
      <c r="BH19" s="208"/>
      <c r="BI19" s="438"/>
    </row>
    <row r="20" spans="1:61" ht="15" customHeight="1" x14ac:dyDescent="0.25">
      <c r="A20" s="1533"/>
      <c r="B20" s="2224"/>
      <c r="C20" s="2191"/>
      <c r="D20" s="2191"/>
      <c r="E20" s="2386"/>
      <c r="F20" s="2386"/>
      <c r="G20" s="2191"/>
      <c r="H20" s="2226"/>
      <c r="I20" s="2225"/>
      <c r="J20" s="2205"/>
      <c r="K20" s="2225"/>
      <c r="L20" s="2225"/>
      <c r="M20" s="2225"/>
      <c r="N20" s="2225"/>
      <c r="O20" s="2225"/>
      <c r="P20" s="2225"/>
      <c r="Q20" s="2225"/>
      <c r="R20" s="2225"/>
      <c r="S20" s="2225"/>
      <c r="T20" s="2212"/>
      <c r="U20" s="2227"/>
      <c r="V20" s="208"/>
      <c r="W20" s="208"/>
      <c r="X20" s="208"/>
      <c r="Y20" s="208"/>
      <c r="Z20" s="580" t="str">
        <f t="shared" si="1"/>
        <v/>
      </c>
      <c r="AA20" s="208"/>
      <c r="AB20" s="208"/>
      <c r="AC20" s="208"/>
      <c r="AD20" s="208"/>
      <c r="AE20" s="208"/>
      <c r="AF20" s="208"/>
      <c r="AG20" s="2225"/>
      <c r="AH20" s="2204"/>
      <c r="AI20" s="318"/>
      <c r="AJ20" s="318"/>
      <c r="AK20" s="208"/>
      <c r="AL20" s="208"/>
      <c r="AM20" s="2205"/>
      <c r="AN20" s="2204"/>
      <c r="AO20" s="318"/>
      <c r="AP20" s="2205"/>
      <c r="AQ20" s="2204"/>
      <c r="AR20" s="2397"/>
      <c r="AS20" s="692"/>
      <c r="AT20" s="2395"/>
      <c r="AU20" s="2204"/>
      <c r="AV20" s="2205"/>
      <c r="AW20" s="2209"/>
      <c r="AX20" s="2210"/>
      <c r="AY20" s="2210"/>
      <c r="AZ20" s="2210"/>
      <c r="BA20" s="2211"/>
      <c r="BB20" s="2227"/>
      <c r="BC20" s="208"/>
      <c r="BD20" s="208"/>
      <c r="BE20" s="2205"/>
      <c r="BF20" s="2397"/>
      <c r="BG20" s="2204"/>
      <c r="BH20" s="208"/>
      <c r="BI20" s="438"/>
    </row>
    <row r="21" spans="1:61" ht="15" customHeight="1" x14ac:dyDescent="0.25">
      <c r="A21" s="1533"/>
      <c r="B21" s="2224"/>
      <c r="C21" s="2191"/>
      <c r="D21" s="2191"/>
      <c r="E21" s="2386"/>
      <c r="F21" s="2386"/>
      <c r="G21" s="2191"/>
      <c r="H21" s="2226"/>
      <c r="I21" s="2225"/>
      <c r="J21" s="2205"/>
      <c r="K21" s="2225"/>
      <c r="L21" s="2225"/>
      <c r="M21" s="2225"/>
      <c r="N21" s="2225"/>
      <c r="O21" s="2225"/>
      <c r="P21" s="2225"/>
      <c r="Q21" s="2225"/>
      <c r="R21" s="2225"/>
      <c r="S21" s="2225"/>
      <c r="T21" s="2212"/>
      <c r="U21" s="2227"/>
      <c r="V21" s="208"/>
      <c r="W21" s="208"/>
      <c r="X21" s="208"/>
      <c r="Y21" s="208"/>
      <c r="Z21" s="580" t="str">
        <f t="shared" si="1"/>
        <v/>
      </c>
      <c r="AA21" s="208"/>
      <c r="AB21" s="208"/>
      <c r="AC21" s="208"/>
      <c r="AD21" s="208"/>
      <c r="AE21" s="208"/>
      <c r="AF21" s="208"/>
      <c r="AG21" s="2225"/>
      <c r="AH21" s="2204"/>
      <c r="AI21" s="318"/>
      <c r="AJ21" s="318"/>
      <c r="AK21" s="208"/>
      <c r="AL21" s="208"/>
      <c r="AM21" s="2205"/>
      <c r="AN21" s="2204"/>
      <c r="AO21" s="318"/>
      <c r="AP21" s="2205"/>
      <c r="AQ21" s="2204"/>
      <c r="AR21" s="2397"/>
      <c r="AS21" s="692"/>
      <c r="AT21" s="2395"/>
      <c r="AU21" s="2204"/>
      <c r="AV21" s="2205"/>
      <c r="AW21" s="2209"/>
      <c r="AX21" s="2210"/>
      <c r="AY21" s="2210"/>
      <c r="AZ21" s="2210"/>
      <c r="BA21" s="2211"/>
      <c r="BB21" s="2227"/>
      <c r="BC21" s="208"/>
      <c r="BD21" s="208"/>
      <c r="BE21" s="2205"/>
      <c r="BF21" s="2397"/>
      <c r="BG21" s="2204"/>
      <c r="BH21" s="208"/>
      <c r="BI21" s="438"/>
    </row>
    <row r="22" spans="1:61" ht="15" customHeight="1" x14ac:dyDescent="0.25">
      <c r="A22" s="1533"/>
      <c r="B22" s="2224"/>
      <c r="C22" s="2191"/>
      <c r="D22" s="2191"/>
      <c r="E22" s="2386"/>
      <c r="F22" s="2386"/>
      <c r="G22" s="2191"/>
      <c r="H22" s="2226"/>
      <c r="I22" s="2225"/>
      <c r="J22" s="2205"/>
      <c r="K22" s="2225"/>
      <c r="L22" s="2225"/>
      <c r="M22" s="2225"/>
      <c r="N22" s="2225"/>
      <c r="O22" s="2225"/>
      <c r="P22" s="2225"/>
      <c r="Q22" s="2225"/>
      <c r="R22" s="2225"/>
      <c r="S22" s="2225"/>
      <c r="T22" s="2212"/>
      <c r="U22" s="2227"/>
      <c r="V22" s="208"/>
      <c r="W22" s="208"/>
      <c r="X22" s="208"/>
      <c r="Y22" s="208"/>
      <c r="Z22" s="580" t="str">
        <f t="shared" si="1"/>
        <v/>
      </c>
      <c r="AA22" s="208"/>
      <c r="AB22" s="208"/>
      <c r="AC22" s="208"/>
      <c r="AD22" s="208"/>
      <c r="AE22" s="208"/>
      <c r="AF22" s="208"/>
      <c r="AG22" s="2225"/>
      <c r="AH22" s="2204"/>
      <c r="AI22" s="318"/>
      <c r="AJ22" s="318"/>
      <c r="AK22" s="208"/>
      <c r="AL22" s="208"/>
      <c r="AM22" s="2205"/>
      <c r="AN22" s="2204"/>
      <c r="AO22" s="318"/>
      <c r="AP22" s="2205"/>
      <c r="AQ22" s="2204"/>
      <c r="AR22" s="2397"/>
      <c r="AS22" s="692"/>
      <c r="AT22" s="2395"/>
      <c r="AU22" s="2204"/>
      <c r="AV22" s="2205"/>
      <c r="AW22" s="2209"/>
      <c r="AX22" s="2210"/>
      <c r="AY22" s="2210"/>
      <c r="AZ22" s="2210"/>
      <c r="BA22" s="2211"/>
      <c r="BB22" s="2227"/>
      <c r="BC22" s="208"/>
      <c r="BD22" s="208"/>
      <c r="BE22" s="2205"/>
      <c r="BF22" s="2397"/>
      <c r="BG22" s="2204"/>
      <c r="BH22" s="208"/>
      <c r="BI22" s="438"/>
    </row>
    <row r="23" spans="1:61" ht="15" customHeight="1" x14ac:dyDescent="0.25">
      <c r="A23" s="1533"/>
      <c r="B23" s="2224"/>
      <c r="C23" s="2191"/>
      <c r="D23" s="2191"/>
      <c r="E23" s="2386"/>
      <c r="F23" s="2386"/>
      <c r="G23" s="2191"/>
      <c r="H23" s="2226"/>
      <c r="I23" s="2225"/>
      <c r="J23" s="2205"/>
      <c r="K23" s="2225"/>
      <c r="L23" s="2225"/>
      <c r="M23" s="2225"/>
      <c r="N23" s="2225"/>
      <c r="O23" s="2225"/>
      <c r="P23" s="2225"/>
      <c r="Q23" s="2225"/>
      <c r="R23" s="2225"/>
      <c r="S23" s="2225"/>
      <c r="T23" s="2212"/>
      <c r="U23" s="2227"/>
      <c r="V23" s="208"/>
      <c r="W23" s="208"/>
      <c r="X23" s="208"/>
      <c r="Y23" s="208"/>
      <c r="Z23" s="580" t="str">
        <f t="shared" si="1"/>
        <v/>
      </c>
      <c r="AA23" s="208"/>
      <c r="AB23" s="208"/>
      <c r="AC23" s="208"/>
      <c r="AD23" s="208"/>
      <c r="AE23" s="208"/>
      <c r="AF23" s="208"/>
      <c r="AG23" s="2225"/>
      <c r="AH23" s="2204"/>
      <c r="AI23" s="318"/>
      <c r="AJ23" s="318"/>
      <c r="AK23" s="208"/>
      <c r="AL23" s="208"/>
      <c r="AM23" s="2205"/>
      <c r="AN23" s="2204"/>
      <c r="AO23" s="318"/>
      <c r="AP23" s="2205"/>
      <c r="AQ23" s="2204"/>
      <c r="AR23" s="2397"/>
      <c r="AS23" s="692"/>
      <c r="AT23" s="2395"/>
      <c r="AU23" s="2204"/>
      <c r="AV23" s="2205"/>
      <c r="AW23" s="2209"/>
      <c r="AX23" s="2210"/>
      <c r="AY23" s="2210"/>
      <c r="AZ23" s="2210"/>
      <c r="BA23" s="2211"/>
      <c r="BB23" s="2227"/>
      <c r="BC23" s="208"/>
      <c r="BD23" s="208"/>
      <c r="BE23" s="2205"/>
      <c r="BF23" s="2397"/>
      <c r="BG23" s="2204"/>
      <c r="BH23" s="208"/>
      <c r="BI23" s="438"/>
    </row>
    <row r="24" spans="1:61" ht="15" customHeight="1" x14ac:dyDescent="0.25">
      <c r="A24" s="1533"/>
      <c r="B24" s="2224"/>
      <c r="C24" s="2191"/>
      <c r="D24" s="2191"/>
      <c r="E24" s="2386"/>
      <c r="F24" s="2386"/>
      <c r="G24" s="2191"/>
      <c r="H24" s="2226"/>
      <c r="I24" s="2225"/>
      <c r="J24" s="2205"/>
      <c r="K24" s="2225"/>
      <c r="L24" s="2225"/>
      <c r="M24" s="2225"/>
      <c r="N24" s="2225"/>
      <c r="O24" s="2225"/>
      <c r="P24" s="2225"/>
      <c r="Q24" s="2225"/>
      <c r="R24" s="2225"/>
      <c r="S24" s="2225"/>
      <c r="T24" s="2212"/>
      <c r="U24" s="2227"/>
      <c r="V24" s="208"/>
      <c r="W24" s="208"/>
      <c r="X24" s="208"/>
      <c r="Y24" s="208"/>
      <c r="Z24" s="580" t="str">
        <f t="shared" si="1"/>
        <v/>
      </c>
      <c r="AA24" s="208"/>
      <c r="AB24" s="208"/>
      <c r="AC24" s="208"/>
      <c r="AD24" s="208"/>
      <c r="AE24" s="208"/>
      <c r="AF24" s="208"/>
      <c r="AG24" s="2225"/>
      <c r="AH24" s="2204"/>
      <c r="AI24" s="318"/>
      <c r="AJ24" s="318"/>
      <c r="AK24" s="208"/>
      <c r="AL24" s="208"/>
      <c r="AM24" s="2205"/>
      <c r="AN24" s="2204"/>
      <c r="AO24" s="318"/>
      <c r="AP24" s="2205"/>
      <c r="AQ24" s="2204"/>
      <c r="AR24" s="2397"/>
      <c r="AS24" s="692"/>
      <c r="AT24" s="2395"/>
      <c r="AU24" s="2204"/>
      <c r="AV24" s="2205"/>
      <c r="AW24" s="2209"/>
      <c r="AX24" s="2210"/>
      <c r="AY24" s="2210"/>
      <c r="AZ24" s="2210"/>
      <c r="BA24" s="2211"/>
      <c r="BB24" s="2227"/>
      <c r="BC24" s="208"/>
      <c r="BD24" s="208"/>
      <c r="BE24" s="2205"/>
      <c r="BF24" s="2397"/>
      <c r="BG24" s="2204"/>
      <c r="BH24" s="208"/>
      <c r="BI24" s="438"/>
    </row>
    <row r="25" spans="1:61" ht="15" customHeight="1" x14ac:dyDescent="0.25">
      <c r="A25" s="1533"/>
      <c r="B25" s="2224"/>
      <c r="C25" s="2191"/>
      <c r="D25" s="2191"/>
      <c r="E25" s="2386"/>
      <c r="F25" s="2386"/>
      <c r="G25" s="2191"/>
      <c r="H25" s="2226"/>
      <c r="I25" s="2225"/>
      <c r="J25" s="2205"/>
      <c r="K25" s="2225"/>
      <c r="L25" s="2225"/>
      <c r="M25" s="2225"/>
      <c r="N25" s="2225"/>
      <c r="O25" s="2225"/>
      <c r="P25" s="2225"/>
      <c r="Q25" s="2225"/>
      <c r="R25" s="2225"/>
      <c r="S25" s="2225"/>
      <c r="T25" s="2212"/>
      <c r="U25" s="2227"/>
      <c r="V25" s="208"/>
      <c r="W25" s="208"/>
      <c r="X25" s="208"/>
      <c r="Y25" s="208"/>
      <c r="Z25" s="580" t="str">
        <f t="shared" si="1"/>
        <v/>
      </c>
      <c r="AA25" s="208"/>
      <c r="AB25" s="208"/>
      <c r="AC25" s="208"/>
      <c r="AD25" s="208"/>
      <c r="AE25" s="208"/>
      <c r="AF25" s="208"/>
      <c r="AG25" s="2225"/>
      <c r="AH25" s="2204"/>
      <c r="AI25" s="318"/>
      <c r="AJ25" s="318"/>
      <c r="AK25" s="208"/>
      <c r="AL25" s="208"/>
      <c r="AM25" s="2205"/>
      <c r="AN25" s="2204"/>
      <c r="AO25" s="318"/>
      <c r="AP25" s="2205"/>
      <c r="AQ25" s="2204"/>
      <c r="AR25" s="2397"/>
      <c r="AS25" s="692"/>
      <c r="AT25" s="2395"/>
      <c r="AU25" s="2204"/>
      <c r="AV25" s="2205"/>
      <c r="AW25" s="2209"/>
      <c r="AX25" s="2210"/>
      <c r="AY25" s="2210"/>
      <c r="AZ25" s="2210"/>
      <c r="BA25" s="2211"/>
      <c r="BB25" s="2227"/>
      <c r="BC25" s="208"/>
      <c r="BD25" s="208"/>
      <c r="BE25" s="2205"/>
      <c r="BF25" s="2397"/>
      <c r="BG25" s="2204"/>
      <c r="BH25" s="208"/>
      <c r="BI25" s="438"/>
    </row>
    <row r="26" spans="1:61" ht="15" customHeight="1" x14ac:dyDescent="0.25">
      <c r="A26" s="1533"/>
      <c r="B26" s="2224"/>
      <c r="C26" s="2191"/>
      <c r="D26" s="2191"/>
      <c r="E26" s="2386"/>
      <c r="F26" s="2386"/>
      <c r="G26" s="2191"/>
      <c r="H26" s="2226"/>
      <c r="I26" s="2225"/>
      <c r="J26" s="2205"/>
      <c r="K26" s="2225"/>
      <c r="L26" s="2225"/>
      <c r="M26" s="2225"/>
      <c r="N26" s="2225"/>
      <c r="O26" s="2225"/>
      <c r="P26" s="2225"/>
      <c r="Q26" s="2225"/>
      <c r="R26" s="2225"/>
      <c r="S26" s="2225"/>
      <c r="T26" s="2212"/>
      <c r="U26" s="2227"/>
      <c r="V26" s="208"/>
      <c r="W26" s="208"/>
      <c r="X26" s="208"/>
      <c r="Y26" s="208"/>
      <c r="Z26" s="580" t="str">
        <f t="shared" si="1"/>
        <v/>
      </c>
      <c r="AA26" s="208"/>
      <c r="AB26" s="208"/>
      <c r="AC26" s="208"/>
      <c r="AD26" s="208"/>
      <c r="AE26" s="208"/>
      <c r="AF26" s="208"/>
      <c r="AG26" s="2225"/>
      <c r="AH26" s="2204"/>
      <c r="AI26" s="318"/>
      <c r="AJ26" s="318"/>
      <c r="AK26" s="208"/>
      <c r="AL26" s="208"/>
      <c r="AM26" s="2205"/>
      <c r="AN26" s="2204"/>
      <c r="AO26" s="318"/>
      <c r="AP26" s="2205"/>
      <c r="AQ26" s="2204"/>
      <c r="AR26" s="2397"/>
      <c r="AS26" s="692"/>
      <c r="AT26" s="2395"/>
      <c r="AU26" s="2204"/>
      <c r="AV26" s="2205"/>
      <c r="AW26" s="2209"/>
      <c r="AX26" s="2210"/>
      <c r="AY26" s="2210"/>
      <c r="AZ26" s="2210"/>
      <c r="BA26" s="2211"/>
      <c r="BB26" s="2227"/>
      <c r="BC26" s="208"/>
      <c r="BD26" s="208"/>
      <c r="BE26" s="2205"/>
      <c r="BF26" s="2397"/>
      <c r="BG26" s="2204"/>
      <c r="BH26" s="208"/>
      <c r="BI26" s="438"/>
    </row>
    <row r="27" spans="1:61" ht="15" customHeight="1" x14ac:dyDescent="0.25">
      <c r="A27" s="1533"/>
      <c r="B27" s="2224"/>
      <c r="C27" s="2191"/>
      <c r="D27" s="2191"/>
      <c r="E27" s="2386"/>
      <c r="F27" s="2386"/>
      <c r="G27" s="2191"/>
      <c r="H27" s="2226"/>
      <c r="I27" s="2225"/>
      <c r="J27" s="2205"/>
      <c r="K27" s="2225"/>
      <c r="L27" s="2225"/>
      <c r="M27" s="2225"/>
      <c r="N27" s="2225"/>
      <c r="O27" s="2225"/>
      <c r="P27" s="2225"/>
      <c r="Q27" s="2225"/>
      <c r="R27" s="2225"/>
      <c r="S27" s="2225"/>
      <c r="T27" s="2212"/>
      <c r="U27" s="2227"/>
      <c r="V27" s="208"/>
      <c r="W27" s="208"/>
      <c r="X27" s="208"/>
      <c r="Y27" s="208"/>
      <c r="Z27" s="580" t="str">
        <f t="shared" si="1"/>
        <v/>
      </c>
      <c r="AA27" s="208"/>
      <c r="AB27" s="208"/>
      <c r="AC27" s="208"/>
      <c r="AD27" s="208"/>
      <c r="AE27" s="208"/>
      <c r="AF27" s="208"/>
      <c r="AG27" s="2225"/>
      <c r="AH27" s="2204"/>
      <c r="AI27" s="318"/>
      <c r="AJ27" s="318"/>
      <c r="AK27" s="208"/>
      <c r="AL27" s="208"/>
      <c r="AM27" s="2205"/>
      <c r="AN27" s="2204"/>
      <c r="AO27" s="318"/>
      <c r="AP27" s="2205"/>
      <c r="AQ27" s="2204"/>
      <c r="AR27" s="2397"/>
      <c r="AS27" s="692"/>
      <c r="AT27" s="2395"/>
      <c r="AU27" s="2204"/>
      <c r="AV27" s="2205"/>
      <c r="AW27" s="2209"/>
      <c r="AX27" s="2210"/>
      <c r="AY27" s="2210"/>
      <c r="AZ27" s="2210"/>
      <c r="BA27" s="2211"/>
      <c r="BB27" s="2227"/>
      <c r="BC27" s="208"/>
      <c r="BD27" s="208"/>
      <c r="BE27" s="2205"/>
      <c r="BF27" s="2397"/>
      <c r="BG27" s="2204"/>
      <c r="BH27" s="208"/>
      <c r="BI27" s="438"/>
    </row>
    <row r="28" spans="1:61" ht="15" customHeight="1" x14ac:dyDescent="0.25">
      <c r="A28" s="1533"/>
      <c r="B28" s="2224"/>
      <c r="C28" s="2191"/>
      <c r="D28" s="2191"/>
      <c r="E28" s="2386"/>
      <c r="F28" s="2386"/>
      <c r="G28" s="2191"/>
      <c r="H28" s="2226"/>
      <c r="I28" s="2225"/>
      <c r="J28" s="2205"/>
      <c r="K28" s="2225"/>
      <c r="L28" s="2225"/>
      <c r="M28" s="2225"/>
      <c r="N28" s="2225"/>
      <c r="O28" s="2225"/>
      <c r="P28" s="2225"/>
      <c r="Q28" s="2225"/>
      <c r="R28" s="2225"/>
      <c r="S28" s="2225"/>
      <c r="T28" s="2212"/>
      <c r="U28" s="2227"/>
      <c r="V28" s="208"/>
      <c r="W28" s="208"/>
      <c r="X28" s="208"/>
      <c r="Y28" s="208"/>
      <c r="Z28" s="580" t="str">
        <f t="shared" si="1"/>
        <v/>
      </c>
      <c r="AA28" s="208"/>
      <c r="AB28" s="208"/>
      <c r="AC28" s="208"/>
      <c r="AD28" s="208"/>
      <c r="AE28" s="208"/>
      <c r="AF28" s="208"/>
      <c r="AG28" s="2225"/>
      <c r="AH28" s="2204"/>
      <c r="AI28" s="318"/>
      <c r="AJ28" s="318"/>
      <c r="AK28" s="208"/>
      <c r="AL28" s="208"/>
      <c r="AM28" s="2205"/>
      <c r="AN28" s="2204"/>
      <c r="AO28" s="318"/>
      <c r="AP28" s="2205"/>
      <c r="AQ28" s="2204"/>
      <c r="AR28" s="2397"/>
      <c r="AS28" s="692"/>
      <c r="AT28" s="2395"/>
      <c r="AU28" s="2204"/>
      <c r="AV28" s="2205"/>
      <c r="AW28" s="2209"/>
      <c r="AX28" s="2210"/>
      <c r="AY28" s="2210"/>
      <c r="AZ28" s="2210"/>
      <c r="BA28" s="2211"/>
      <c r="BB28" s="2227"/>
      <c r="BC28" s="208"/>
      <c r="BD28" s="208"/>
      <c r="BE28" s="2205"/>
      <c r="BF28" s="2397"/>
      <c r="BG28" s="2204"/>
      <c r="BH28" s="208"/>
      <c r="BI28" s="438"/>
    </row>
    <row r="29" spans="1:61" ht="15" customHeight="1" x14ac:dyDescent="0.25">
      <c r="A29" s="1533"/>
      <c r="B29" s="2224"/>
      <c r="C29" s="2191"/>
      <c r="D29" s="2191"/>
      <c r="E29" s="2386"/>
      <c r="F29" s="2386"/>
      <c r="G29" s="2191"/>
      <c r="H29" s="2226"/>
      <c r="I29" s="2225"/>
      <c r="J29" s="2205"/>
      <c r="K29" s="2225"/>
      <c r="L29" s="2225"/>
      <c r="M29" s="2225"/>
      <c r="N29" s="2225"/>
      <c r="O29" s="2225"/>
      <c r="P29" s="2225"/>
      <c r="Q29" s="2225"/>
      <c r="R29" s="2225"/>
      <c r="S29" s="2225"/>
      <c r="T29" s="2212"/>
      <c r="U29" s="2227"/>
      <c r="V29" s="208"/>
      <c r="W29" s="208"/>
      <c r="X29" s="208"/>
      <c r="Y29" s="208"/>
      <c r="Z29" s="580" t="str">
        <f t="shared" si="1"/>
        <v/>
      </c>
      <c r="AA29" s="208"/>
      <c r="AB29" s="208"/>
      <c r="AC29" s="208"/>
      <c r="AD29" s="208"/>
      <c r="AE29" s="208"/>
      <c r="AF29" s="208"/>
      <c r="AG29" s="2225"/>
      <c r="AH29" s="2204"/>
      <c r="AI29" s="318"/>
      <c r="AJ29" s="318"/>
      <c r="AK29" s="208"/>
      <c r="AL29" s="208"/>
      <c r="AM29" s="2205"/>
      <c r="AN29" s="2204"/>
      <c r="AO29" s="318"/>
      <c r="AP29" s="2205"/>
      <c r="AQ29" s="2204"/>
      <c r="AR29" s="2397"/>
      <c r="AS29" s="692"/>
      <c r="AT29" s="2395"/>
      <c r="AU29" s="2204"/>
      <c r="AV29" s="2205"/>
      <c r="AW29" s="2209"/>
      <c r="AX29" s="2210"/>
      <c r="AY29" s="2210"/>
      <c r="AZ29" s="2210"/>
      <c r="BA29" s="2211"/>
      <c r="BB29" s="2227"/>
      <c r="BC29" s="208"/>
      <c r="BD29" s="208"/>
      <c r="BE29" s="2205"/>
      <c r="BF29" s="2397"/>
      <c r="BG29" s="2204"/>
      <c r="BH29" s="208"/>
      <c r="BI29" s="438"/>
    </row>
    <row r="30" spans="1:61" ht="15" customHeight="1" x14ac:dyDescent="0.25">
      <c r="A30" s="1533"/>
      <c r="B30" s="2224"/>
      <c r="C30" s="2191"/>
      <c r="D30" s="2191"/>
      <c r="E30" s="2386"/>
      <c r="F30" s="2386"/>
      <c r="G30" s="2191"/>
      <c r="H30" s="2226"/>
      <c r="I30" s="2225"/>
      <c r="J30" s="2205"/>
      <c r="K30" s="2225"/>
      <c r="L30" s="2225"/>
      <c r="M30" s="2225"/>
      <c r="N30" s="2225"/>
      <c r="O30" s="2225"/>
      <c r="P30" s="2225"/>
      <c r="Q30" s="2225"/>
      <c r="R30" s="2225"/>
      <c r="S30" s="2225"/>
      <c r="T30" s="2212"/>
      <c r="U30" s="2227"/>
      <c r="V30" s="208"/>
      <c r="W30" s="208"/>
      <c r="X30" s="208"/>
      <c r="Y30" s="208"/>
      <c r="Z30" s="580" t="str">
        <f t="shared" si="1"/>
        <v/>
      </c>
      <c r="AA30" s="208"/>
      <c r="AB30" s="208"/>
      <c r="AC30" s="208"/>
      <c r="AD30" s="208"/>
      <c r="AE30" s="208"/>
      <c r="AF30" s="208"/>
      <c r="AG30" s="2225"/>
      <c r="AH30" s="2204"/>
      <c r="AI30" s="318"/>
      <c r="AJ30" s="318"/>
      <c r="AK30" s="208"/>
      <c r="AL30" s="208"/>
      <c r="AM30" s="2205"/>
      <c r="AN30" s="2204"/>
      <c r="AO30" s="318"/>
      <c r="AP30" s="2205"/>
      <c r="AQ30" s="2204"/>
      <c r="AR30" s="2397"/>
      <c r="AS30" s="692"/>
      <c r="AT30" s="2395"/>
      <c r="AU30" s="2204"/>
      <c r="AV30" s="2205"/>
      <c r="AW30" s="2209"/>
      <c r="AX30" s="2210"/>
      <c r="AY30" s="2210"/>
      <c r="AZ30" s="2210"/>
      <c r="BA30" s="2211"/>
      <c r="BB30" s="2227"/>
      <c r="BC30" s="208"/>
      <c r="BD30" s="208"/>
      <c r="BE30" s="2205"/>
      <c r="BF30" s="2397"/>
      <c r="BG30" s="2204"/>
      <c r="BH30" s="208"/>
      <c r="BI30" s="438"/>
    </row>
    <row r="31" spans="1:61" ht="15" customHeight="1" x14ac:dyDescent="0.25">
      <c r="A31" s="1533"/>
      <c r="B31" s="2224"/>
      <c r="C31" s="2191"/>
      <c r="D31" s="2191"/>
      <c r="E31" s="2386"/>
      <c r="F31" s="2386"/>
      <c r="G31" s="2191"/>
      <c r="H31" s="2226"/>
      <c r="I31" s="2225"/>
      <c r="J31" s="2205"/>
      <c r="K31" s="2225"/>
      <c r="L31" s="2225"/>
      <c r="M31" s="2225"/>
      <c r="N31" s="2225"/>
      <c r="O31" s="2225"/>
      <c r="P31" s="2225"/>
      <c r="Q31" s="2225"/>
      <c r="R31" s="2225"/>
      <c r="S31" s="2225"/>
      <c r="T31" s="2212"/>
      <c r="U31" s="2227"/>
      <c r="V31" s="208"/>
      <c r="W31" s="208"/>
      <c r="X31" s="208"/>
      <c r="Y31" s="208"/>
      <c r="Z31" s="580" t="str">
        <f t="shared" si="1"/>
        <v/>
      </c>
      <c r="AA31" s="208"/>
      <c r="AB31" s="208"/>
      <c r="AC31" s="208"/>
      <c r="AD31" s="208"/>
      <c r="AE31" s="208"/>
      <c r="AF31" s="208"/>
      <c r="AG31" s="2225"/>
      <c r="AH31" s="2204"/>
      <c r="AI31" s="318"/>
      <c r="AJ31" s="318"/>
      <c r="AK31" s="208"/>
      <c r="AL31" s="208"/>
      <c r="AM31" s="2205"/>
      <c r="AN31" s="2204"/>
      <c r="AO31" s="318"/>
      <c r="AP31" s="2205"/>
      <c r="AQ31" s="2204"/>
      <c r="AR31" s="2397"/>
      <c r="AS31" s="692"/>
      <c r="AT31" s="2395"/>
      <c r="AU31" s="2204"/>
      <c r="AV31" s="2205"/>
      <c r="AW31" s="2209"/>
      <c r="AX31" s="2210"/>
      <c r="AY31" s="2210"/>
      <c r="AZ31" s="2210"/>
      <c r="BA31" s="2211"/>
      <c r="BB31" s="2227"/>
      <c r="BC31" s="208"/>
      <c r="BD31" s="208"/>
      <c r="BE31" s="2205"/>
      <c r="BF31" s="2397"/>
      <c r="BG31" s="2204"/>
      <c r="BH31" s="208"/>
      <c r="BI31" s="438"/>
    </row>
    <row r="32" spans="1:61" ht="15" customHeight="1" x14ac:dyDescent="0.25">
      <c r="A32" s="1533"/>
      <c r="B32" s="2224"/>
      <c r="C32" s="2191"/>
      <c r="D32" s="2191"/>
      <c r="E32" s="2386"/>
      <c r="F32" s="2386"/>
      <c r="G32" s="2191"/>
      <c r="H32" s="2226"/>
      <c r="I32" s="2225"/>
      <c r="J32" s="2205"/>
      <c r="K32" s="2225"/>
      <c r="L32" s="2225"/>
      <c r="M32" s="2225"/>
      <c r="N32" s="2225"/>
      <c r="O32" s="2225"/>
      <c r="P32" s="2225"/>
      <c r="Q32" s="2225"/>
      <c r="R32" s="2225"/>
      <c r="S32" s="2225"/>
      <c r="T32" s="2212"/>
      <c r="U32" s="2227"/>
      <c r="V32" s="208"/>
      <c r="W32" s="208"/>
      <c r="X32" s="208"/>
      <c r="Y32" s="208"/>
      <c r="Z32" s="580" t="str">
        <f t="shared" si="1"/>
        <v/>
      </c>
      <c r="AA32" s="208"/>
      <c r="AB32" s="208"/>
      <c r="AC32" s="208"/>
      <c r="AD32" s="208"/>
      <c r="AE32" s="208"/>
      <c r="AF32" s="208"/>
      <c r="AG32" s="2225"/>
      <c r="AH32" s="2204"/>
      <c r="AI32" s="318"/>
      <c r="AJ32" s="318"/>
      <c r="AK32" s="208"/>
      <c r="AL32" s="208"/>
      <c r="AM32" s="2205"/>
      <c r="AN32" s="2204"/>
      <c r="AO32" s="318"/>
      <c r="AP32" s="2205"/>
      <c r="AQ32" s="2204"/>
      <c r="AR32" s="2397"/>
      <c r="AS32" s="692"/>
      <c r="AT32" s="2395"/>
      <c r="AU32" s="2204"/>
      <c r="AV32" s="2205"/>
      <c r="AW32" s="2209"/>
      <c r="AX32" s="2210"/>
      <c r="AY32" s="2210"/>
      <c r="AZ32" s="2210"/>
      <c r="BA32" s="2211"/>
      <c r="BB32" s="2227"/>
      <c r="BC32" s="208"/>
      <c r="BD32" s="208"/>
      <c r="BE32" s="2205"/>
      <c r="BF32" s="2397"/>
      <c r="BG32" s="2204"/>
      <c r="BH32" s="208"/>
      <c r="BI32" s="438"/>
    </row>
    <row r="33" spans="1:61" ht="15" customHeight="1" x14ac:dyDescent="0.25">
      <c r="A33" s="1533"/>
      <c r="B33" s="2224"/>
      <c r="C33" s="2191"/>
      <c r="D33" s="2191"/>
      <c r="E33" s="2386"/>
      <c r="F33" s="2386"/>
      <c r="G33" s="2191"/>
      <c r="H33" s="2226"/>
      <c r="I33" s="2225"/>
      <c r="J33" s="2205"/>
      <c r="K33" s="2225"/>
      <c r="L33" s="2225"/>
      <c r="M33" s="2225"/>
      <c r="N33" s="2225"/>
      <c r="O33" s="2225"/>
      <c r="P33" s="2225"/>
      <c r="Q33" s="2225"/>
      <c r="R33" s="2225"/>
      <c r="S33" s="2225"/>
      <c r="T33" s="2212"/>
      <c r="U33" s="2227"/>
      <c r="V33" s="208"/>
      <c r="W33" s="208"/>
      <c r="X33" s="208"/>
      <c r="Y33" s="208"/>
      <c r="Z33" s="580" t="str">
        <f t="shared" si="1"/>
        <v/>
      </c>
      <c r="AA33" s="208"/>
      <c r="AB33" s="208"/>
      <c r="AC33" s="208"/>
      <c r="AD33" s="208"/>
      <c r="AE33" s="208"/>
      <c r="AF33" s="208"/>
      <c r="AG33" s="2225"/>
      <c r="AH33" s="2204"/>
      <c r="AI33" s="318"/>
      <c r="AJ33" s="318"/>
      <c r="AK33" s="208"/>
      <c r="AL33" s="208"/>
      <c r="AM33" s="2205"/>
      <c r="AN33" s="2204"/>
      <c r="AO33" s="318"/>
      <c r="AP33" s="2205"/>
      <c r="AQ33" s="2204"/>
      <c r="AR33" s="2397"/>
      <c r="AS33" s="692"/>
      <c r="AT33" s="2395"/>
      <c r="AU33" s="2204"/>
      <c r="AV33" s="2205"/>
      <c r="AW33" s="2209"/>
      <c r="AX33" s="2210"/>
      <c r="AY33" s="2210"/>
      <c r="AZ33" s="2210"/>
      <c r="BA33" s="2211"/>
      <c r="BB33" s="2227"/>
      <c r="BC33" s="208"/>
      <c r="BD33" s="208"/>
      <c r="BE33" s="2205"/>
      <c r="BF33" s="2397"/>
      <c r="BG33" s="2204"/>
      <c r="BH33" s="208"/>
      <c r="BI33" s="438"/>
    </row>
    <row r="34" spans="1:61" ht="15" customHeight="1" x14ac:dyDescent="0.25">
      <c r="A34" s="1533"/>
      <c r="B34" s="2224"/>
      <c r="C34" s="2191"/>
      <c r="D34" s="2191"/>
      <c r="E34" s="2386"/>
      <c r="F34" s="2386"/>
      <c r="G34" s="2191"/>
      <c r="H34" s="2226"/>
      <c r="I34" s="2225"/>
      <c r="J34" s="2205"/>
      <c r="K34" s="2225"/>
      <c r="L34" s="2225"/>
      <c r="M34" s="2225"/>
      <c r="N34" s="2225"/>
      <c r="O34" s="2225"/>
      <c r="P34" s="2225"/>
      <c r="Q34" s="2225"/>
      <c r="R34" s="2225"/>
      <c r="S34" s="2225"/>
      <c r="T34" s="2212"/>
      <c r="U34" s="2227"/>
      <c r="V34" s="208"/>
      <c r="W34" s="208"/>
      <c r="X34" s="208"/>
      <c r="Y34" s="208"/>
      <c r="Z34" s="580" t="str">
        <f t="shared" si="1"/>
        <v/>
      </c>
      <c r="AA34" s="208"/>
      <c r="AB34" s="208"/>
      <c r="AC34" s="208"/>
      <c r="AD34" s="208"/>
      <c r="AE34" s="208"/>
      <c r="AF34" s="208"/>
      <c r="AG34" s="2225"/>
      <c r="AH34" s="2204"/>
      <c r="AI34" s="318"/>
      <c r="AJ34" s="318"/>
      <c r="AK34" s="208"/>
      <c r="AL34" s="208"/>
      <c r="AM34" s="2205"/>
      <c r="AN34" s="2204"/>
      <c r="AO34" s="318"/>
      <c r="AP34" s="2205"/>
      <c r="AQ34" s="2204"/>
      <c r="AR34" s="2397"/>
      <c r="AS34" s="692"/>
      <c r="AT34" s="2395"/>
      <c r="AU34" s="2204"/>
      <c r="AV34" s="2205"/>
      <c r="AW34" s="2209"/>
      <c r="AX34" s="2210"/>
      <c r="AY34" s="2210"/>
      <c r="AZ34" s="2210"/>
      <c r="BA34" s="2211"/>
      <c r="BB34" s="2227"/>
      <c r="BC34" s="208"/>
      <c r="BD34" s="208"/>
      <c r="BE34" s="2205"/>
      <c r="BF34" s="2397"/>
      <c r="BG34" s="2204"/>
      <c r="BH34" s="208"/>
      <c r="BI34" s="438"/>
    </row>
    <row r="35" spans="1:61" ht="15" customHeight="1" x14ac:dyDescent="0.25">
      <c r="A35" s="1533"/>
      <c r="B35" s="2224"/>
      <c r="C35" s="2191"/>
      <c r="D35" s="2191"/>
      <c r="E35" s="2386"/>
      <c r="F35" s="2386"/>
      <c r="G35" s="2191"/>
      <c r="H35" s="2226"/>
      <c r="I35" s="2225"/>
      <c r="J35" s="2205"/>
      <c r="K35" s="2225"/>
      <c r="L35" s="2225"/>
      <c r="M35" s="2225"/>
      <c r="N35" s="2225"/>
      <c r="O35" s="2225"/>
      <c r="P35" s="2225"/>
      <c r="Q35" s="2225"/>
      <c r="R35" s="2225"/>
      <c r="S35" s="2225"/>
      <c r="T35" s="2212"/>
      <c r="U35" s="2227"/>
      <c r="V35" s="208"/>
      <c r="W35" s="208"/>
      <c r="X35" s="208"/>
      <c r="Y35" s="208"/>
      <c r="Z35" s="580" t="str">
        <f t="shared" si="1"/>
        <v/>
      </c>
      <c r="AA35" s="208"/>
      <c r="AB35" s="208"/>
      <c r="AC35" s="208"/>
      <c r="AD35" s="208"/>
      <c r="AE35" s="208"/>
      <c r="AF35" s="208"/>
      <c r="AG35" s="2225"/>
      <c r="AH35" s="2204"/>
      <c r="AI35" s="318"/>
      <c r="AJ35" s="318"/>
      <c r="AK35" s="208"/>
      <c r="AL35" s="208"/>
      <c r="AM35" s="2205"/>
      <c r="AN35" s="2204"/>
      <c r="AO35" s="318"/>
      <c r="AP35" s="2205"/>
      <c r="AQ35" s="2204"/>
      <c r="AR35" s="2397"/>
      <c r="AS35" s="692"/>
      <c r="AT35" s="2395"/>
      <c r="AU35" s="2204"/>
      <c r="AV35" s="2205"/>
      <c r="AW35" s="2209"/>
      <c r="AX35" s="2210"/>
      <c r="AY35" s="2210"/>
      <c r="AZ35" s="2210"/>
      <c r="BA35" s="2211"/>
      <c r="BB35" s="2227"/>
      <c r="BC35" s="208"/>
      <c r="BD35" s="208"/>
      <c r="BE35" s="2205"/>
      <c r="BF35" s="2397"/>
      <c r="BG35" s="2204"/>
      <c r="BH35" s="208"/>
      <c r="BI35" s="438"/>
    </row>
    <row r="36" spans="1:61" ht="15" customHeight="1" x14ac:dyDescent="0.25">
      <c r="A36" s="1533"/>
      <c r="B36" s="2224"/>
      <c r="C36" s="2191"/>
      <c r="D36" s="2191"/>
      <c r="E36" s="2386"/>
      <c r="F36" s="2386"/>
      <c r="G36" s="2191"/>
      <c r="H36" s="2226"/>
      <c r="I36" s="2225"/>
      <c r="J36" s="2205"/>
      <c r="K36" s="2225"/>
      <c r="L36" s="2225"/>
      <c r="M36" s="2225"/>
      <c r="N36" s="2225"/>
      <c r="O36" s="2225"/>
      <c r="P36" s="2225"/>
      <c r="Q36" s="2225"/>
      <c r="R36" s="2225"/>
      <c r="S36" s="2225"/>
      <c r="T36" s="2212"/>
      <c r="U36" s="2227"/>
      <c r="V36" s="208"/>
      <c r="W36" s="208"/>
      <c r="X36" s="208"/>
      <c r="Y36" s="208"/>
      <c r="Z36" s="580" t="str">
        <f t="shared" si="1"/>
        <v/>
      </c>
      <c r="AA36" s="208"/>
      <c r="AB36" s="208"/>
      <c r="AC36" s="208"/>
      <c r="AD36" s="208"/>
      <c r="AE36" s="208"/>
      <c r="AF36" s="208"/>
      <c r="AG36" s="2225"/>
      <c r="AH36" s="2204"/>
      <c r="AI36" s="318"/>
      <c r="AJ36" s="318"/>
      <c r="AK36" s="208"/>
      <c r="AL36" s="208"/>
      <c r="AM36" s="2205"/>
      <c r="AN36" s="2204"/>
      <c r="AO36" s="318"/>
      <c r="AP36" s="2205"/>
      <c r="AQ36" s="2204"/>
      <c r="AR36" s="2397"/>
      <c r="AS36" s="692"/>
      <c r="AT36" s="2395"/>
      <c r="AU36" s="2204"/>
      <c r="AV36" s="2205"/>
      <c r="AW36" s="2209"/>
      <c r="AX36" s="2210"/>
      <c r="AY36" s="2210"/>
      <c r="AZ36" s="2210"/>
      <c r="BA36" s="2211"/>
      <c r="BB36" s="2227"/>
      <c r="BC36" s="208"/>
      <c r="BD36" s="208"/>
      <c r="BE36" s="2205"/>
      <c r="BF36" s="2397"/>
      <c r="BG36" s="2204"/>
      <c r="BH36" s="208"/>
      <c r="BI36" s="438"/>
    </row>
    <row r="37" spans="1:61" ht="15" customHeight="1" x14ac:dyDescent="0.25">
      <c r="A37" s="1533"/>
      <c r="B37" s="2224"/>
      <c r="C37" s="2191"/>
      <c r="D37" s="2191"/>
      <c r="E37" s="2386"/>
      <c r="F37" s="2386"/>
      <c r="G37" s="2191"/>
      <c r="H37" s="2226"/>
      <c r="I37" s="2225"/>
      <c r="J37" s="2205"/>
      <c r="K37" s="2225"/>
      <c r="L37" s="2225"/>
      <c r="M37" s="2225"/>
      <c r="N37" s="2225"/>
      <c r="O37" s="2225"/>
      <c r="P37" s="2225"/>
      <c r="Q37" s="2225"/>
      <c r="R37" s="2225"/>
      <c r="S37" s="2225"/>
      <c r="T37" s="2212"/>
      <c r="U37" s="2227"/>
      <c r="V37" s="208"/>
      <c r="W37" s="208"/>
      <c r="X37" s="208"/>
      <c r="Y37" s="208"/>
      <c r="Z37" s="580" t="str">
        <f t="shared" si="1"/>
        <v/>
      </c>
      <c r="AA37" s="208"/>
      <c r="AB37" s="208"/>
      <c r="AC37" s="208"/>
      <c r="AD37" s="208"/>
      <c r="AE37" s="208"/>
      <c r="AF37" s="208"/>
      <c r="AG37" s="2225"/>
      <c r="AH37" s="2204"/>
      <c r="AI37" s="318"/>
      <c r="AJ37" s="318"/>
      <c r="AK37" s="208"/>
      <c r="AL37" s="208"/>
      <c r="AM37" s="2205"/>
      <c r="AN37" s="2204"/>
      <c r="AO37" s="318"/>
      <c r="AP37" s="2205"/>
      <c r="AQ37" s="2204"/>
      <c r="AR37" s="2397"/>
      <c r="AS37" s="692"/>
      <c r="AT37" s="2395"/>
      <c r="AU37" s="2204"/>
      <c r="AV37" s="2205"/>
      <c r="AW37" s="2209"/>
      <c r="AX37" s="2210"/>
      <c r="AY37" s="2210"/>
      <c r="AZ37" s="2210"/>
      <c r="BA37" s="2211"/>
      <c r="BB37" s="2227"/>
      <c r="BC37" s="208"/>
      <c r="BD37" s="208"/>
      <c r="BE37" s="2205"/>
      <c r="BF37" s="2397"/>
      <c r="BG37" s="2204"/>
      <c r="BH37" s="208"/>
      <c r="BI37" s="438"/>
    </row>
    <row r="38" spans="1:61" ht="15" customHeight="1" x14ac:dyDescent="0.25">
      <c r="A38" s="1533"/>
      <c r="B38" s="2224"/>
      <c r="C38" s="2191"/>
      <c r="D38" s="2191"/>
      <c r="E38" s="2386"/>
      <c r="F38" s="2386"/>
      <c r="G38" s="2191"/>
      <c r="H38" s="2226"/>
      <c r="I38" s="2225"/>
      <c r="J38" s="2205"/>
      <c r="K38" s="2225"/>
      <c r="L38" s="2225"/>
      <c r="M38" s="2225"/>
      <c r="N38" s="2225"/>
      <c r="O38" s="2225"/>
      <c r="P38" s="2225"/>
      <c r="Q38" s="2225"/>
      <c r="R38" s="2225"/>
      <c r="S38" s="2225"/>
      <c r="T38" s="2212"/>
      <c r="U38" s="2227"/>
      <c r="V38" s="208"/>
      <c r="W38" s="208"/>
      <c r="X38" s="208"/>
      <c r="Y38" s="208"/>
      <c r="Z38" s="580" t="str">
        <f t="shared" si="1"/>
        <v/>
      </c>
      <c r="AA38" s="208"/>
      <c r="AB38" s="208"/>
      <c r="AC38" s="208"/>
      <c r="AD38" s="208"/>
      <c r="AE38" s="208"/>
      <c r="AF38" s="208"/>
      <c r="AG38" s="2225"/>
      <c r="AH38" s="2204"/>
      <c r="AI38" s="318"/>
      <c r="AJ38" s="318"/>
      <c r="AK38" s="208"/>
      <c r="AL38" s="208"/>
      <c r="AM38" s="2205"/>
      <c r="AN38" s="2204"/>
      <c r="AO38" s="318"/>
      <c r="AP38" s="2205"/>
      <c r="AQ38" s="2204"/>
      <c r="AR38" s="2397"/>
      <c r="AS38" s="692"/>
      <c r="AT38" s="2395"/>
      <c r="AU38" s="2204"/>
      <c r="AV38" s="2205"/>
      <c r="AW38" s="2209"/>
      <c r="AX38" s="2210"/>
      <c r="AY38" s="2210"/>
      <c r="AZ38" s="2210"/>
      <c r="BA38" s="2211"/>
      <c r="BB38" s="2227"/>
      <c r="BC38" s="208"/>
      <c r="BD38" s="208"/>
      <c r="BE38" s="2205"/>
      <c r="BF38" s="2397"/>
      <c r="BG38" s="2204"/>
      <c r="BH38" s="208"/>
      <c r="BI38" s="438"/>
    </row>
    <row r="39" spans="1:61" ht="15" customHeight="1" x14ac:dyDescent="0.25">
      <c r="A39" s="1533"/>
      <c r="B39" s="2224"/>
      <c r="C39" s="2191"/>
      <c r="D39" s="2191"/>
      <c r="E39" s="2386"/>
      <c r="F39" s="2386"/>
      <c r="G39" s="2191"/>
      <c r="H39" s="2226"/>
      <c r="I39" s="2225"/>
      <c r="J39" s="2205"/>
      <c r="K39" s="2225"/>
      <c r="L39" s="2225"/>
      <c r="M39" s="2225"/>
      <c r="N39" s="2225"/>
      <c r="O39" s="2225"/>
      <c r="P39" s="2225"/>
      <c r="Q39" s="2225"/>
      <c r="R39" s="2225"/>
      <c r="S39" s="2225"/>
      <c r="T39" s="2212"/>
      <c r="U39" s="2227"/>
      <c r="V39" s="208"/>
      <c r="W39" s="208"/>
      <c r="X39" s="208"/>
      <c r="Y39" s="208"/>
      <c r="Z39" s="580" t="str">
        <f t="shared" si="1"/>
        <v/>
      </c>
      <c r="AA39" s="208"/>
      <c r="AB39" s="208"/>
      <c r="AC39" s="208"/>
      <c r="AD39" s="208"/>
      <c r="AE39" s="208"/>
      <c r="AF39" s="208"/>
      <c r="AG39" s="2225"/>
      <c r="AH39" s="2204"/>
      <c r="AI39" s="318"/>
      <c r="AJ39" s="318"/>
      <c r="AK39" s="208"/>
      <c r="AL39" s="208"/>
      <c r="AM39" s="2205"/>
      <c r="AN39" s="2204"/>
      <c r="AO39" s="318"/>
      <c r="AP39" s="2205"/>
      <c r="AQ39" s="2204"/>
      <c r="AR39" s="2397"/>
      <c r="AS39" s="692"/>
      <c r="AT39" s="2395"/>
      <c r="AU39" s="2204"/>
      <c r="AV39" s="2205"/>
      <c r="AW39" s="2209"/>
      <c r="AX39" s="2210"/>
      <c r="AY39" s="2210"/>
      <c r="AZ39" s="2210"/>
      <c r="BA39" s="2211"/>
      <c r="BB39" s="2227"/>
      <c r="BC39" s="208"/>
      <c r="BD39" s="208"/>
      <c r="BE39" s="2205"/>
      <c r="BF39" s="2397"/>
      <c r="BG39" s="2204"/>
      <c r="BH39" s="208"/>
      <c r="BI39" s="438"/>
    </row>
    <row r="40" spans="1:61" ht="15" customHeight="1" x14ac:dyDescent="0.25">
      <c r="A40" s="1533"/>
      <c r="B40" s="2224"/>
      <c r="C40" s="2191"/>
      <c r="D40" s="2191"/>
      <c r="E40" s="2386"/>
      <c r="F40" s="2386"/>
      <c r="G40" s="2191"/>
      <c r="H40" s="2226"/>
      <c r="I40" s="2225"/>
      <c r="J40" s="2205"/>
      <c r="K40" s="2225"/>
      <c r="L40" s="2225"/>
      <c r="M40" s="2225"/>
      <c r="N40" s="2225"/>
      <c r="O40" s="2225"/>
      <c r="P40" s="2225"/>
      <c r="Q40" s="2225"/>
      <c r="R40" s="2225"/>
      <c r="S40" s="2225"/>
      <c r="T40" s="2212"/>
      <c r="U40" s="2227"/>
      <c r="V40" s="208"/>
      <c r="W40" s="208"/>
      <c r="X40" s="208"/>
      <c r="Y40" s="208"/>
      <c r="Z40" s="580" t="str">
        <f t="shared" si="1"/>
        <v/>
      </c>
      <c r="AA40" s="208"/>
      <c r="AB40" s="208"/>
      <c r="AC40" s="208"/>
      <c r="AD40" s="208"/>
      <c r="AE40" s="208"/>
      <c r="AF40" s="208"/>
      <c r="AG40" s="2225"/>
      <c r="AH40" s="2204"/>
      <c r="AI40" s="318"/>
      <c r="AJ40" s="318"/>
      <c r="AK40" s="208"/>
      <c r="AL40" s="208"/>
      <c r="AM40" s="2205"/>
      <c r="AN40" s="2204"/>
      <c r="AO40" s="318"/>
      <c r="AP40" s="2205"/>
      <c r="AQ40" s="2204"/>
      <c r="AR40" s="2397"/>
      <c r="AS40" s="692"/>
      <c r="AT40" s="2395"/>
      <c r="AU40" s="2204"/>
      <c r="AV40" s="2205"/>
      <c r="AW40" s="2209"/>
      <c r="AX40" s="2210"/>
      <c r="AY40" s="2210"/>
      <c r="AZ40" s="2210"/>
      <c r="BA40" s="2211"/>
      <c r="BB40" s="2227"/>
      <c r="BC40" s="208"/>
      <c r="BD40" s="208"/>
      <c r="BE40" s="2205"/>
      <c r="BF40" s="2397"/>
      <c r="BG40" s="2204"/>
      <c r="BH40" s="208"/>
      <c r="BI40" s="438"/>
    </row>
    <row r="41" spans="1:61" ht="15" customHeight="1" x14ac:dyDescent="0.25">
      <c r="A41" s="1533"/>
      <c r="B41" s="2224"/>
      <c r="C41" s="2191"/>
      <c r="D41" s="2191"/>
      <c r="E41" s="2386"/>
      <c r="F41" s="2386"/>
      <c r="G41" s="2191"/>
      <c r="H41" s="2226"/>
      <c r="I41" s="2225"/>
      <c r="J41" s="2205"/>
      <c r="K41" s="2225"/>
      <c r="L41" s="2225"/>
      <c r="M41" s="2225"/>
      <c r="N41" s="2225"/>
      <c r="O41" s="2225"/>
      <c r="P41" s="2225"/>
      <c r="Q41" s="2225"/>
      <c r="R41" s="2225"/>
      <c r="S41" s="2225"/>
      <c r="T41" s="2212"/>
      <c r="U41" s="2227"/>
      <c r="V41" s="208"/>
      <c r="W41" s="208"/>
      <c r="X41" s="208"/>
      <c r="Y41" s="208"/>
      <c r="Z41" s="580" t="str">
        <f t="shared" si="1"/>
        <v/>
      </c>
      <c r="AA41" s="208"/>
      <c r="AB41" s="208"/>
      <c r="AC41" s="208"/>
      <c r="AD41" s="208"/>
      <c r="AE41" s="208"/>
      <c r="AF41" s="208"/>
      <c r="AG41" s="2225"/>
      <c r="AH41" s="2204"/>
      <c r="AI41" s="318"/>
      <c r="AJ41" s="318"/>
      <c r="AK41" s="208"/>
      <c r="AL41" s="208"/>
      <c r="AM41" s="2205"/>
      <c r="AN41" s="2204"/>
      <c r="AO41" s="318"/>
      <c r="AP41" s="2205"/>
      <c r="AQ41" s="2204"/>
      <c r="AR41" s="2397"/>
      <c r="AS41" s="692"/>
      <c r="AT41" s="2395"/>
      <c r="AU41" s="2204"/>
      <c r="AV41" s="2205"/>
      <c r="AW41" s="2209"/>
      <c r="AX41" s="2210"/>
      <c r="AY41" s="2210"/>
      <c r="AZ41" s="2210"/>
      <c r="BA41" s="2211"/>
      <c r="BB41" s="2227"/>
      <c r="BC41" s="208"/>
      <c r="BD41" s="208"/>
      <c r="BE41" s="2205"/>
      <c r="BF41" s="2397"/>
      <c r="BG41" s="2204"/>
      <c r="BH41" s="208"/>
      <c r="BI41" s="438"/>
    </row>
    <row r="42" spans="1:61" ht="15" customHeight="1" x14ac:dyDescent="0.25">
      <c r="A42" s="1533"/>
      <c r="B42" s="2224"/>
      <c r="C42" s="2191"/>
      <c r="D42" s="2191"/>
      <c r="E42" s="2386"/>
      <c r="F42" s="2386"/>
      <c r="G42" s="2191"/>
      <c r="H42" s="2226"/>
      <c r="I42" s="2225"/>
      <c r="J42" s="2205"/>
      <c r="K42" s="2225"/>
      <c r="L42" s="2225"/>
      <c r="M42" s="2225"/>
      <c r="N42" s="2225"/>
      <c r="O42" s="2225"/>
      <c r="P42" s="2225"/>
      <c r="Q42" s="2225"/>
      <c r="R42" s="2225"/>
      <c r="S42" s="2225"/>
      <c r="T42" s="2212"/>
      <c r="U42" s="2227"/>
      <c r="V42" s="208"/>
      <c r="W42" s="208"/>
      <c r="X42" s="208"/>
      <c r="Y42" s="208"/>
      <c r="Z42" s="580" t="str">
        <f t="shared" si="1"/>
        <v/>
      </c>
      <c r="AA42" s="208"/>
      <c r="AB42" s="208"/>
      <c r="AC42" s="208"/>
      <c r="AD42" s="208"/>
      <c r="AE42" s="208"/>
      <c r="AF42" s="208"/>
      <c r="AG42" s="2225"/>
      <c r="AH42" s="2204"/>
      <c r="AI42" s="318"/>
      <c r="AJ42" s="318"/>
      <c r="AK42" s="208"/>
      <c r="AL42" s="208"/>
      <c r="AM42" s="2205"/>
      <c r="AN42" s="2204"/>
      <c r="AO42" s="318"/>
      <c r="AP42" s="2205"/>
      <c r="AQ42" s="2204"/>
      <c r="AR42" s="2397"/>
      <c r="AS42" s="692"/>
      <c r="AT42" s="2395"/>
      <c r="AU42" s="2204"/>
      <c r="AV42" s="2205"/>
      <c r="AW42" s="2209"/>
      <c r="AX42" s="2210"/>
      <c r="AY42" s="2210"/>
      <c r="AZ42" s="2210"/>
      <c r="BA42" s="2211"/>
      <c r="BB42" s="2227"/>
      <c r="BC42" s="208"/>
      <c r="BD42" s="208"/>
      <c r="BE42" s="2205"/>
      <c r="BF42" s="2397"/>
      <c r="BG42" s="2204"/>
      <c r="BH42" s="208"/>
      <c r="BI42" s="438"/>
    </row>
    <row r="43" spans="1:61" ht="15" customHeight="1" x14ac:dyDescent="0.25">
      <c r="A43" s="1533"/>
      <c r="B43" s="2224"/>
      <c r="C43" s="2191"/>
      <c r="D43" s="2191"/>
      <c r="E43" s="2386"/>
      <c r="F43" s="2386"/>
      <c r="G43" s="2191"/>
      <c r="H43" s="2226"/>
      <c r="I43" s="2225"/>
      <c r="J43" s="2205"/>
      <c r="K43" s="2225"/>
      <c r="L43" s="2225"/>
      <c r="M43" s="2225"/>
      <c r="N43" s="2225"/>
      <c r="O43" s="2225"/>
      <c r="P43" s="2225"/>
      <c r="Q43" s="2225"/>
      <c r="R43" s="2225"/>
      <c r="S43" s="2225"/>
      <c r="T43" s="2212"/>
      <c r="U43" s="2227"/>
      <c r="V43" s="208"/>
      <c r="W43" s="208"/>
      <c r="X43" s="208"/>
      <c r="Y43" s="208"/>
      <c r="Z43" s="580" t="str">
        <f t="shared" si="1"/>
        <v/>
      </c>
      <c r="AA43" s="208"/>
      <c r="AB43" s="208"/>
      <c r="AC43" s="208"/>
      <c r="AD43" s="208"/>
      <c r="AE43" s="208"/>
      <c r="AF43" s="208"/>
      <c r="AG43" s="2225"/>
      <c r="AH43" s="2204"/>
      <c r="AI43" s="318"/>
      <c r="AJ43" s="318"/>
      <c r="AK43" s="208"/>
      <c r="AL43" s="208"/>
      <c r="AM43" s="2205"/>
      <c r="AN43" s="2204"/>
      <c r="AO43" s="318"/>
      <c r="AP43" s="2205"/>
      <c r="AQ43" s="2204"/>
      <c r="AR43" s="2397"/>
      <c r="AS43" s="692"/>
      <c r="AT43" s="2395"/>
      <c r="AU43" s="2204"/>
      <c r="AV43" s="2205"/>
      <c r="AW43" s="2209"/>
      <c r="AX43" s="2210"/>
      <c r="AY43" s="2210"/>
      <c r="AZ43" s="2210"/>
      <c r="BA43" s="2211"/>
      <c r="BB43" s="2227"/>
      <c r="BC43" s="208"/>
      <c r="BD43" s="208"/>
      <c r="BE43" s="2205"/>
      <c r="BF43" s="2397"/>
      <c r="BG43" s="2204"/>
      <c r="BH43" s="208"/>
      <c r="BI43" s="438"/>
    </row>
    <row r="44" spans="1:61" ht="15" customHeight="1" x14ac:dyDescent="0.25">
      <c r="A44" s="1533"/>
      <c r="B44" s="2224"/>
      <c r="C44" s="2191"/>
      <c r="D44" s="2191"/>
      <c r="E44" s="2386"/>
      <c r="F44" s="2386"/>
      <c r="G44" s="2191"/>
      <c r="H44" s="2226"/>
      <c r="I44" s="2225"/>
      <c r="J44" s="2205"/>
      <c r="K44" s="2225"/>
      <c r="L44" s="2225"/>
      <c r="M44" s="2225"/>
      <c r="N44" s="2225"/>
      <c r="O44" s="2225"/>
      <c r="P44" s="2225"/>
      <c r="Q44" s="2225"/>
      <c r="R44" s="2225"/>
      <c r="S44" s="2225"/>
      <c r="T44" s="2212"/>
      <c r="U44" s="2227"/>
      <c r="V44" s="208"/>
      <c r="W44" s="208"/>
      <c r="X44" s="208"/>
      <c r="Y44" s="208"/>
      <c r="Z44" s="580" t="str">
        <f t="shared" si="1"/>
        <v/>
      </c>
      <c r="AA44" s="208"/>
      <c r="AB44" s="208"/>
      <c r="AC44" s="208"/>
      <c r="AD44" s="208"/>
      <c r="AE44" s="208"/>
      <c r="AF44" s="208"/>
      <c r="AG44" s="2225"/>
      <c r="AH44" s="2204"/>
      <c r="AI44" s="318"/>
      <c r="AJ44" s="318"/>
      <c r="AK44" s="208"/>
      <c r="AL44" s="208"/>
      <c r="AM44" s="2205"/>
      <c r="AN44" s="2204"/>
      <c r="AO44" s="318"/>
      <c r="AP44" s="2205"/>
      <c r="AQ44" s="2204"/>
      <c r="AR44" s="2397"/>
      <c r="AS44" s="692"/>
      <c r="AT44" s="2395"/>
      <c r="AU44" s="2204"/>
      <c r="AV44" s="2205"/>
      <c r="AW44" s="2209"/>
      <c r="AX44" s="2210"/>
      <c r="AY44" s="2210"/>
      <c r="AZ44" s="2210"/>
      <c r="BA44" s="2211"/>
      <c r="BB44" s="2227"/>
      <c r="BC44" s="208"/>
      <c r="BD44" s="208"/>
      <c r="BE44" s="2205"/>
      <c r="BF44" s="2397"/>
      <c r="BG44" s="2204"/>
      <c r="BH44" s="208"/>
      <c r="BI44" s="438"/>
    </row>
    <row r="45" spans="1:61" ht="15" customHeight="1" x14ac:dyDescent="0.25">
      <c r="A45" s="1533"/>
      <c r="B45" s="2224"/>
      <c r="C45" s="2191"/>
      <c r="D45" s="2191"/>
      <c r="E45" s="2386"/>
      <c r="F45" s="2386"/>
      <c r="G45" s="2191"/>
      <c r="H45" s="2226"/>
      <c r="I45" s="2225"/>
      <c r="J45" s="2205"/>
      <c r="K45" s="2225"/>
      <c r="L45" s="2225"/>
      <c r="M45" s="2225"/>
      <c r="N45" s="2225"/>
      <c r="O45" s="2225"/>
      <c r="P45" s="2225"/>
      <c r="Q45" s="2225"/>
      <c r="R45" s="2225"/>
      <c r="S45" s="2225"/>
      <c r="T45" s="2212"/>
      <c r="U45" s="2227"/>
      <c r="V45" s="208"/>
      <c r="W45" s="208"/>
      <c r="X45" s="208"/>
      <c r="Y45" s="208"/>
      <c r="Z45" s="580" t="str">
        <f t="shared" si="1"/>
        <v/>
      </c>
      <c r="AA45" s="208"/>
      <c r="AB45" s="208"/>
      <c r="AC45" s="208"/>
      <c r="AD45" s="208"/>
      <c r="AE45" s="208"/>
      <c r="AF45" s="208"/>
      <c r="AG45" s="2225"/>
      <c r="AH45" s="2204"/>
      <c r="AI45" s="318"/>
      <c r="AJ45" s="318"/>
      <c r="AK45" s="208"/>
      <c r="AL45" s="208"/>
      <c r="AM45" s="2205"/>
      <c r="AN45" s="2204"/>
      <c r="AO45" s="318"/>
      <c r="AP45" s="2205"/>
      <c r="AQ45" s="2204"/>
      <c r="AR45" s="2397"/>
      <c r="AS45" s="692"/>
      <c r="AT45" s="2395"/>
      <c r="AU45" s="2204"/>
      <c r="AV45" s="2205"/>
      <c r="AW45" s="2209"/>
      <c r="AX45" s="2210"/>
      <c r="AY45" s="2210"/>
      <c r="AZ45" s="2210"/>
      <c r="BA45" s="2211"/>
      <c r="BB45" s="2227"/>
      <c r="BC45" s="208"/>
      <c r="BD45" s="208"/>
      <c r="BE45" s="2205"/>
      <c r="BF45" s="2397"/>
      <c r="BG45" s="2204"/>
      <c r="BH45" s="208"/>
      <c r="BI45" s="438"/>
    </row>
    <row r="46" spans="1:61" ht="15" customHeight="1" x14ac:dyDescent="0.25">
      <c r="A46" s="1533"/>
      <c r="B46" s="2224"/>
      <c r="C46" s="2191"/>
      <c r="D46" s="2191"/>
      <c r="E46" s="2386"/>
      <c r="F46" s="2386"/>
      <c r="G46" s="2191"/>
      <c r="H46" s="2226"/>
      <c r="I46" s="2225"/>
      <c r="J46" s="2205"/>
      <c r="K46" s="2225"/>
      <c r="L46" s="2225"/>
      <c r="M46" s="2225"/>
      <c r="N46" s="2225"/>
      <c r="O46" s="2225"/>
      <c r="P46" s="2225"/>
      <c r="Q46" s="2225"/>
      <c r="R46" s="2225"/>
      <c r="S46" s="2225"/>
      <c r="T46" s="2212"/>
      <c r="U46" s="2227"/>
      <c r="V46" s="208"/>
      <c r="W46" s="208"/>
      <c r="X46" s="208"/>
      <c r="Y46" s="208"/>
      <c r="Z46" s="580" t="str">
        <f t="shared" si="1"/>
        <v/>
      </c>
      <c r="AA46" s="208"/>
      <c r="AB46" s="208"/>
      <c r="AC46" s="208"/>
      <c r="AD46" s="208"/>
      <c r="AE46" s="208"/>
      <c r="AF46" s="208"/>
      <c r="AG46" s="2225"/>
      <c r="AH46" s="2204"/>
      <c r="AI46" s="318"/>
      <c r="AJ46" s="318"/>
      <c r="AK46" s="208"/>
      <c r="AL46" s="208"/>
      <c r="AM46" s="2205"/>
      <c r="AN46" s="2204"/>
      <c r="AO46" s="318"/>
      <c r="AP46" s="2205"/>
      <c r="AQ46" s="2204"/>
      <c r="AR46" s="2397"/>
      <c r="AS46" s="692"/>
      <c r="AT46" s="2395"/>
      <c r="AU46" s="2204"/>
      <c r="AV46" s="2205"/>
      <c r="AW46" s="2209"/>
      <c r="AX46" s="2210"/>
      <c r="AY46" s="2210"/>
      <c r="AZ46" s="2210"/>
      <c r="BA46" s="2211"/>
      <c r="BB46" s="2227"/>
      <c r="BC46" s="208"/>
      <c r="BD46" s="208"/>
      <c r="BE46" s="2205"/>
      <c r="BF46" s="2397"/>
      <c r="BG46" s="2204"/>
      <c r="BH46" s="208"/>
      <c r="BI46" s="438"/>
    </row>
    <row r="47" spans="1:61" ht="15" customHeight="1" x14ac:dyDescent="0.25">
      <c r="A47" s="1533"/>
      <c r="B47" s="2224"/>
      <c r="C47" s="2191"/>
      <c r="D47" s="2191"/>
      <c r="E47" s="2386"/>
      <c r="F47" s="2386"/>
      <c r="G47" s="2191"/>
      <c r="H47" s="2226"/>
      <c r="I47" s="2225"/>
      <c r="J47" s="2205"/>
      <c r="K47" s="2225"/>
      <c r="L47" s="2225"/>
      <c r="M47" s="2225"/>
      <c r="N47" s="2225"/>
      <c r="O47" s="2225"/>
      <c r="P47" s="2225"/>
      <c r="Q47" s="2225"/>
      <c r="R47" s="2225"/>
      <c r="S47" s="2225"/>
      <c r="T47" s="2212"/>
      <c r="U47" s="2227"/>
      <c r="V47" s="208"/>
      <c r="W47" s="208"/>
      <c r="X47" s="208"/>
      <c r="Y47" s="208"/>
      <c r="Z47" s="580" t="str">
        <f t="shared" si="1"/>
        <v/>
      </c>
      <c r="AA47" s="208"/>
      <c r="AB47" s="208"/>
      <c r="AC47" s="208"/>
      <c r="AD47" s="208"/>
      <c r="AE47" s="208"/>
      <c r="AF47" s="208"/>
      <c r="AG47" s="2225"/>
      <c r="AH47" s="2204"/>
      <c r="AI47" s="318"/>
      <c r="AJ47" s="318"/>
      <c r="AK47" s="208"/>
      <c r="AL47" s="208"/>
      <c r="AM47" s="2205"/>
      <c r="AN47" s="2204"/>
      <c r="AO47" s="318"/>
      <c r="AP47" s="2205"/>
      <c r="AQ47" s="2204"/>
      <c r="AR47" s="2397"/>
      <c r="AS47" s="692"/>
      <c r="AT47" s="2395"/>
      <c r="AU47" s="2204"/>
      <c r="AV47" s="2205"/>
      <c r="AW47" s="2209"/>
      <c r="AX47" s="2210"/>
      <c r="AY47" s="2210"/>
      <c r="AZ47" s="2210"/>
      <c r="BA47" s="2211"/>
      <c r="BB47" s="2227"/>
      <c r="BC47" s="208"/>
      <c r="BD47" s="208"/>
      <c r="BE47" s="2205"/>
      <c r="BF47" s="2397"/>
      <c r="BG47" s="2204"/>
      <c r="BH47" s="208"/>
      <c r="BI47" s="438"/>
    </row>
    <row r="48" spans="1:61" ht="15" customHeight="1" x14ac:dyDescent="0.25">
      <c r="A48" s="1533"/>
      <c r="B48" s="2224"/>
      <c r="C48" s="2191"/>
      <c r="D48" s="2191"/>
      <c r="E48" s="2386"/>
      <c r="F48" s="2386"/>
      <c r="G48" s="2191"/>
      <c r="H48" s="2226"/>
      <c r="I48" s="2225"/>
      <c r="J48" s="2205"/>
      <c r="K48" s="2225"/>
      <c r="L48" s="2225"/>
      <c r="M48" s="2225"/>
      <c r="N48" s="2225"/>
      <c r="O48" s="2225"/>
      <c r="P48" s="2225"/>
      <c r="Q48" s="2225"/>
      <c r="R48" s="2225"/>
      <c r="S48" s="2225"/>
      <c r="T48" s="2212"/>
      <c r="U48" s="2227"/>
      <c r="V48" s="208"/>
      <c r="W48" s="208"/>
      <c r="X48" s="208"/>
      <c r="Y48" s="208"/>
      <c r="Z48" s="580" t="str">
        <f t="shared" si="1"/>
        <v/>
      </c>
      <c r="AA48" s="208"/>
      <c r="AB48" s="208"/>
      <c r="AC48" s="208"/>
      <c r="AD48" s="208"/>
      <c r="AE48" s="208"/>
      <c r="AF48" s="208"/>
      <c r="AG48" s="2225"/>
      <c r="AH48" s="2204"/>
      <c r="AI48" s="318"/>
      <c r="AJ48" s="318"/>
      <c r="AK48" s="208"/>
      <c r="AL48" s="208"/>
      <c r="AM48" s="2205"/>
      <c r="AN48" s="2204"/>
      <c r="AO48" s="318"/>
      <c r="AP48" s="2205"/>
      <c r="AQ48" s="2204"/>
      <c r="AR48" s="2397"/>
      <c r="AS48" s="692"/>
      <c r="AT48" s="2395"/>
      <c r="AU48" s="2204"/>
      <c r="AV48" s="2205"/>
      <c r="AW48" s="2209"/>
      <c r="AX48" s="2210"/>
      <c r="AY48" s="2210"/>
      <c r="AZ48" s="2210"/>
      <c r="BA48" s="2211"/>
      <c r="BB48" s="2227"/>
      <c r="BC48" s="208"/>
      <c r="BD48" s="208"/>
      <c r="BE48" s="2205"/>
      <c r="BF48" s="2397"/>
      <c r="BG48" s="2204"/>
      <c r="BH48" s="208"/>
      <c r="BI48" s="438"/>
    </row>
    <row r="49" spans="1:61" ht="15" customHeight="1" x14ac:dyDescent="0.25">
      <c r="A49" s="1533"/>
      <c r="B49" s="2224"/>
      <c r="C49" s="2191"/>
      <c r="D49" s="2191"/>
      <c r="E49" s="2386"/>
      <c r="F49" s="2386"/>
      <c r="G49" s="2191"/>
      <c r="H49" s="2226"/>
      <c r="I49" s="2225"/>
      <c r="J49" s="2205"/>
      <c r="K49" s="2225"/>
      <c r="L49" s="2225"/>
      <c r="M49" s="2225"/>
      <c r="N49" s="2225"/>
      <c r="O49" s="2225"/>
      <c r="P49" s="2225"/>
      <c r="Q49" s="2225"/>
      <c r="R49" s="2225"/>
      <c r="S49" s="2225"/>
      <c r="T49" s="2212"/>
      <c r="U49" s="2227"/>
      <c r="V49" s="208"/>
      <c r="W49" s="208"/>
      <c r="X49" s="208"/>
      <c r="Y49" s="208"/>
      <c r="Z49" s="580" t="str">
        <f t="shared" si="1"/>
        <v/>
      </c>
      <c r="AA49" s="208"/>
      <c r="AB49" s="208"/>
      <c r="AC49" s="208"/>
      <c r="AD49" s="208"/>
      <c r="AE49" s="208"/>
      <c r="AF49" s="208"/>
      <c r="AG49" s="2225"/>
      <c r="AH49" s="2204"/>
      <c r="AI49" s="318"/>
      <c r="AJ49" s="318"/>
      <c r="AK49" s="208"/>
      <c r="AL49" s="208"/>
      <c r="AM49" s="2205"/>
      <c r="AN49" s="2204"/>
      <c r="AO49" s="318"/>
      <c r="AP49" s="2205"/>
      <c r="AQ49" s="2204"/>
      <c r="AR49" s="2397"/>
      <c r="AS49" s="692"/>
      <c r="AT49" s="2395"/>
      <c r="AU49" s="2204"/>
      <c r="AV49" s="2205"/>
      <c r="AW49" s="2209"/>
      <c r="AX49" s="2210"/>
      <c r="AY49" s="2210"/>
      <c r="AZ49" s="2210"/>
      <c r="BA49" s="2211"/>
      <c r="BB49" s="2227"/>
      <c r="BC49" s="208"/>
      <c r="BD49" s="208"/>
      <c r="BE49" s="2205"/>
      <c r="BF49" s="2397"/>
      <c r="BG49" s="2204"/>
      <c r="BH49" s="208"/>
      <c r="BI49" s="438"/>
    </row>
    <row r="50" spans="1:61" ht="15" customHeight="1" x14ac:dyDescent="0.25">
      <c r="A50" s="1533"/>
      <c r="B50" s="2224"/>
      <c r="C50" s="2191"/>
      <c r="D50" s="2191"/>
      <c r="E50" s="2386"/>
      <c r="F50" s="2386"/>
      <c r="G50" s="2191"/>
      <c r="H50" s="2226"/>
      <c r="I50" s="2225"/>
      <c r="J50" s="2205"/>
      <c r="K50" s="2225"/>
      <c r="L50" s="2225"/>
      <c r="M50" s="2225"/>
      <c r="N50" s="2225"/>
      <c r="O50" s="2225"/>
      <c r="P50" s="2225"/>
      <c r="Q50" s="2225"/>
      <c r="R50" s="2225"/>
      <c r="S50" s="2225"/>
      <c r="T50" s="2212"/>
      <c r="U50" s="2227"/>
      <c r="V50" s="208"/>
      <c r="W50" s="208"/>
      <c r="X50" s="208"/>
      <c r="Y50" s="208"/>
      <c r="Z50" s="580" t="str">
        <f t="shared" si="1"/>
        <v/>
      </c>
      <c r="AA50" s="208"/>
      <c r="AB50" s="208"/>
      <c r="AC50" s="208"/>
      <c r="AD50" s="208"/>
      <c r="AE50" s="208"/>
      <c r="AF50" s="208"/>
      <c r="AG50" s="2225"/>
      <c r="AH50" s="2204"/>
      <c r="AI50" s="318"/>
      <c r="AJ50" s="318"/>
      <c r="AK50" s="208"/>
      <c r="AL50" s="208"/>
      <c r="AM50" s="2205"/>
      <c r="AN50" s="2204"/>
      <c r="AO50" s="318"/>
      <c r="AP50" s="2205"/>
      <c r="AQ50" s="2204"/>
      <c r="AR50" s="2397"/>
      <c r="AS50" s="692"/>
      <c r="AT50" s="2395"/>
      <c r="AU50" s="2204"/>
      <c r="AV50" s="2205"/>
      <c r="AW50" s="2209"/>
      <c r="AX50" s="2210"/>
      <c r="AY50" s="2210"/>
      <c r="AZ50" s="2210"/>
      <c r="BA50" s="2211"/>
      <c r="BB50" s="2227"/>
      <c r="BC50" s="208"/>
      <c r="BD50" s="208"/>
      <c r="BE50" s="2205"/>
      <c r="BF50" s="2397"/>
      <c r="BG50" s="2204"/>
      <c r="BH50" s="208"/>
      <c r="BI50" s="438"/>
    </row>
    <row r="51" spans="1:61" ht="15" customHeight="1" x14ac:dyDescent="0.25">
      <c r="A51" s="1533"/>
      <c r="B51" s="2224"/>
      <c r="C51" s="2191"/>
      <c r="D51" s="2191"/>
      <c r="E51" s="2386"/>
      <c r="F51" s="2386"/>
      <c r="G51" s="2191"/>
      <c r="H51" s="2226"/>
      <c r="I51" s="2225"/>
      <c r="J51" s="2205"/>
      <c r="K51" s="2225"/>
      <c r="L51" s="2225"/>
      <c r="M51" s="2225"/>
      <c r="N51" s="2225"/>
      <c r="O51" s="2225"/>
      <c r="P51" s="2225"/>
      <c r="Q51" s="2225"/>
      <c r="R51" s="2225"/>
      <c r="S51" s="2225"/>
      <c r="T51" s="2212"/>
      <c r="U51" s="2227"/>
      <c r="V51" s="208"/>
      <c r="W51" s="208"/>
      <c r="X51" s="208"/>
      <c r="Y51" s="208"/>
      <c r="Z51" s="580" t="str">
        <f t="shared" si="1"/>
        <v/>
      </c>
      <c r="AA51" s="208"/>
      <c r="AB51" s="208"/>
      <c r="AC51" s="208"/>
      <c r="AD51" s="208"/>
      <c r="AE51" s="208"/>
      <c r="AF51" s="208"/>
      <c r="AG51" s="2225"/>
      <c r="AH51" s="2204"/>
      <c r="AI51" s="318"/>
      <c r="AJ51" s="318"/>
      <c r="AK51" s="208"/>
      <c r="AL51" s="208"/>
      <c r="AM51" s="2205"/>
      <c r="AN51" s="2204"/>
      <c r="AO51" s="318"/>
      <c r="AP51" s="2205"/>
      <c r="AQ51" s="2204"/>
      <c r="AR51" s="2397"/>
      <c r="AS51" s="692"/>
      <c r="AT51" s="2395"/>
      <c r="AU51" s="2204"/>
      <c r="AV51" s="2205"/>
      <c r="AW51" s="2209"/>
      <c r="AX51" s="2210"/>
      <c r="AY51" s="2210"/>
      <c r="AZ51" s="2210"/>
      <c r="BA51" s="2211"/>
      <c r="BB51" s="2227"/>
      <c r="BC51" s="208"/>
      <c r="BD51" s="208"/>
      <c r="BE51" s="2205"/>
      <c r="BF51" s="2397"/>
      <c r="BG51" s="2204"/>
      <c r="BH51" s="208"/>
      <c r="BI51" s="438"/>
    </row>
    <row r="52" spans="1:61" ht="15" customHeight="1" x14ac:dyDescent="0.25">
      <c r="A52" s="1533"/>
      <c r="B52" s="2224"/>
      <c r="C52" s="2191"/>
      <c r="D52" s="2191"/>
      <c r="E52" s="2386"/>
      <c r="F52" s="2386"/>
      <c r="G52" s="2191"/>
      <c r="H52" s="2226"/>
      <c r="I52" s="2225"/>
      <c r="J52" s="2205"/>
      <c r="K52" s="2225"/>
      <c r="L52" s="2225"/>
      <c r="M52" s="2225"/>
      <c r="N52" s="2225"/>
      <c r="O52" s="2225"/>
      <c r="P52" s="2225"/>
      <c r="Q52" s="2225"/>
      <c r="R52" s="2225"/>
      <c r="S52" s="2225"/>
      <c r="T52" s="2212"/>
      <c r="U52" s="2227"/>
      <c r="V52" s="208"/>
      <c r="W52" s="208"/>
      <c r="X52" s="208"/>
      <c r="Y52" s="208"/>
      <c r="Z52" s="580" t="str">
        <f t="shared" si="1"/>
        <v/>
      </c>
      <c r="AA52" s="208"/>
      <c r="AB52" s="208"/>
      <c r="AC52" s="208"/>
      <c r="AD52" s="208"/>
      <c r="AE52" s="208"/>
      <c r="AF52" s="208"/>
      <c r="AG52" s="2225"/>
      <c r="AH52" s="2204"/>
      <c r="AI52" s="318"/>
      <c r="AJ52" s="318"/>
      <c r="AK52" s="208"/>
      <c r="AL52" s="208"/>
      <c r="AM52" s="2205"/>
      <c r="AN52" s="2204"/>
      <c r="AO52" s="318"/>
      <c r="AP52" s="2205"/>
      <c r="AQ52" s="2204"/>
      <c r="AR52" s="2397"/>
      <c r="AS52" s="692"/>
      <c r="AT52" s="2395"/>
      <c r="AU52" s="2204"/>
      <c r="AV52" s="2205"/>
      <c r="AW52" s="2209"/>
      <c r="AX52" s="2210"/>
      <c r="AY52" s="2210"/>
      <c r="AZ52" s="2210"/>
      <c r="BA52" s="2211"/>
      <c r="BB52" s="2227"/>
      <c r="BC52" s="208"/>
      <c r="BD52" s="208"/>
      <c r="BE52" s="2205"/>
      <c r="BF52" s="2397"/>
      <c r="BG52" s="2204"/>
      <c r="BH52" s="208"/>
      <c r="BI52" s="438"/>
    </row>
    <row r="53" spans="1:61" ht="15" customHeight="1" x14ac:dyDescent="0.25">
      <c r="A53" s="1533"/>
      <c r="B53" s="2224"/>
      <c r="C53" s="2191"/>
      <c r="D53" s="2191"/>
      <c r="E53" s="2386"/>
      <c r="F53" s="2386"/>
      <c r="G53" s="2191"/>
      <c r="H53" s="2226"/>
      <c r="I53" s="2225"/>
      <c r="J53" s="2205"/>
      <c r="K53" s="2225"/>
      <c r="L53" s="2225"/>
      <c r="M53" s="2225"/>
      <c r="N53" s="2225"/>
      <c r="O53" s="2225"/>
      <c r="P53" s="2225"/>
      <c r="Q53" s="2225"/>
      <c r="R53" s="2225"/>
      <c r="S53" s="2225"/>
      <c r="T53" s="2212"/>
      <c r="U53" s="2227"/>
      <c r="V53" s="208"/>
      <c r="W53" s="208"/>
      <c r="X53" s="208"/>
      <c r="Y53" s="208"/>
      <c r="Z53" s="580" t="str">
        <f t="shared" si="1"/>
        <v/>
      </c>
      <c r="AA53" s="208"/>
      <c r="AB53" s="208"/>
      <c r="AC53" s="208"/>
      <c r="AD53" s="208"/>
      <c r="AE53" s="208"/>
      <c r="AF53" s="208"/>
      <c r="AG53" s="2225"/>
      <c r="AH53" s="2204"/>
      <c r="AI53" s="318"/>
      <c r="AJ53" s="318"/>
      <c r="AK53" s="208"/>
      <c r="AL53" s="208"/>
      <c r="AM53" s="2205"/>
      <c r="AN53" s="2204"/>
      <c r="AO53" s="318"/>
      <c r="AP53" s="2205"/>
      <c r="AQ53" s="2204"/>
      <c r="AR53" s="2397"/>
      <c r="AS53" s="692"/>
      <c r="AT53" s="2395"/>
      <c r="AU53" s="2204"/>
      <c r="AV53" s="2205"/>
      <c r="AW53" s="2209"/>
      <c r="AX53" s="2210"/>
      <c r="AY53" s="2210"/>
      <c r="AZ53" s="2210"/>
      <c r="BA53" s="2211"/>
      <c r="BB53" s="2227"/>
      <c r="BC53" s="208"/>
      <c r="BD53" s="208"/>
      <c r="BE53" s="2205"/>
      <c r="BF53" s="2397"/>
      <c r="BG53" s="2204"/>
      <c r="BH53" s="208"/>
      <c r="BI53" s="438"/>
    </row>
    <row r="54" spans="1:61" ht="15" customHeight="1" x14ac:dyDescent="0.25">
      <c r="A54" s="1533"/>
      <c r="B54" s="2224"/>
      <c r="C54" s="2191"/>
      <c r="D54" s="2191"/>
      <c r="E54" s="2386"/>
      <c r="F54" s="2386"/>
      <c r="G54" s="2191"/>
      <c r="H54" s="2226"/>
      <c r="I54" s="2225"/>
      <c r="J54" s="2205"/>
      <c r="K54" s="2225"/>
      <c r="L54" s="2225"/>
      <c r="M54" s="2225"/>
      <c r="N54" s="2225"/>
      <c r="O54" s="2225"/>
      <c r="P54" s="2225"/>
      <c r="Q54" s="2225"/>
      <c r="R54" s="2225"/>
      <c r="S54" s="2225"/>
      <c r="T54" s="2212"/>
      <c r="U54" s="2227"/>
      <c r="V54" s="208"/>
      <c r="W54" s="208"/>
      <c r="X54" s="208"/>
      <c r="Y54" s="208"/>
      <c r="Z54" s="580" t="str">
        <f t="shared" si="1"/>
        <v/>
      </c>
      <c r="AA54" s="208"/>
      <c r="AB54" s="208"/>
      <c r="AC54" s="208"/>
      <c r="AD54" s="208"/>
      <c r="AE54" s="208"/>
      <c r="AF54" s="208"/>
      <c r="AG54" s="2225"/>
      <c r="AH54" s="2204"/>
      <c r="AI54" s="318"/>
      <c r="AJ54" s="318"/>
      <c r="AK54" s="208"/>
      <c r="AL54" s="208"/>
      <c r="AM54" s="2205"/>
      <c r="AN54" s="2204"/>
      <c r="AO54" s="318"/>
      <c r="AP54" s="2205"/>
      <c r="AQ54" s="2204"/>
      <c r="AR54" s="2397"/>
      <c r="AS54" s="692"/>
      <c r="AT54" s="2395"/>
      <c r="AU54" s="2204"/>
      <c r="AV54" s="2205"/>
      <c r="AW54" s="2209"/>
      <c r="AX54" s="2210"/>
      <c r="AY54" s="2210"/>
      <c r="AZ54" s="2210"/>
      <c r="BA54" s="2211"/>
      <c r="BB54" s="2227"/>
      <c r="BC54" s="208"/>
      <c r="BD54" s="208"/>
      <c r="BE54" s="2205"/>
      <c r="BF54" s="2397"/>
      <c r="BG54" s="2204"/>
      <c r="BH54" s="208"/>
      <c r="BI54" s="438"/>
    </row>
    <row r="55" spans="1:61" ht="15" customHeight="1" x14ac:dyDescent="0.25">
      <c r="A55" s="1533"/>
      <c r="B55" s="2224"/>
      <c r="C55" s="2191"/>
      <c r="D55" s="2191"/>
      <c r="E55" s="2386"/>
      <c r="F55" s="2386"/>
      <c r="G55" s="2191"/>
      <c r="H55" s="2226"/>
      <c r="I55" s="2225"/>
      <c r="J55" s="2205"/>
      <c r="K55" s="2225"/>
      <c r="L55" s="2225"/>
      <c r="M55" s="2225"/>
      <c r="N55" s="2225"/>
      <c r="O55" s="2225"/>
      <c r="P55" s="2225"/>
      <c r="Q55" s="2225"/>
      <c r="R55" s="2225"/>
      <c r="S55" s="2225"/>
      <c r="T55" s="2212"/>
      <c r="U55" s="2227"/>
      <c r="V55" s="208"/>
      <c r="W55" s="208"/>
      <c r="X55" s="208"/>
      <c r="Y55" s="208"/>
      <c r="Z55" s="580" t="str">
        <f t="shared" si="1"/>
        <v/>
      </c>
      <c r="AA55" s="208"/>
      <c r="AB55" s="208"/>
      <c r="AC55" s="208"/>
      <c r="AD55" s="208"/>
      <c r="AE55" s="208"/>
      <c r="AF55" s="208"/>
      <c r="AG55" s="2225"/>
      <c r="AH55" s="2204"/>
      <c r="AI55" s="318"/>
      <c r="AJ55" s="318"/>
      <c r="AK55" s="208"/>
      <c r="AL55" s="208"/>
      <c r="AM55" s="2205"/>
      <c r="AN55" s="2204"/>
      <c r="AO55" s="318"/>
      <c r="AP55" s="2205"/>
      <c r="AQ55" s="2204"/>
      <c r="AR55" s="2397"/>
      <c r="AS55" s="692"/>
      <c r="AT55" s="2395"/>
      <c r="AU55" s="2204"/>
      <c r="AV55" s="2205"/>
      <c r="AW55" s="2209"/>
      <c r="AX55" s="2210"/>
      <c r="AY55" s="2210"/>
      <c r="AZ55" s="2210"/>
      <c r="BA55" s="2211"/>
      <c r="BB55" s="2227"/>
      <c r="BC55" s="208"/>
      <c r="BD55" s="208"/>
      <c r="BE55" s="2205"/>
      <c r="BF55" s="2397"/>
      <c r="BG55" s="2204"/>
      <c r="BH55" s="208"/>
      <c r="BI55" s="438"/>
    </row>
    <row r="56" spans="1:61" ht="15" customHeight="1" x14ac:dyDescent="0.25">
      <c r="A56" s="1533"/>
      <c r="B56" s="2224"/>
      <c r="C56" s="2191"/>
      <c r="D56" s="2191"/>
      <c r="E56" s="2386"/>
      <c r="F56" s="2386"/>
      <c r="G56" s="2191"/>
      <c r="H56" s="2226"/>
      <c r="I56" s="2225"/>
      <c r="J56" s="2205"/>
      <c r="K56" s="2225"/>
      <c r="L56" s="2225"/>
      <c r="M56" s="2225"/>
      <c r="N56" s="2225"/>
      <c r="O56" s="2225"/>
      <c r="P56" s="2225"/>
      <c r="Q56" s="2225"/>
      <c r="R56" s="2225"/>
      <c r="S56" s="2225"/>
      <c r="T56" s="2212"/>
      <c r="U56" s="2227"/>
      <c r="V56" s="208"/>
      <c r="W56" s="208"/>
      <c r="X56" s="208"/>
      <c r="Y56" s="208"/>
      <c r="Z56" s="580" t="str">
        <f t="shared" si="1"/>
        <v/>
      </c>
      <c r="AA56" s="208"/>
      <c r="AB56" s="208"/>
      <c r="AC56" s="208"/>
      <c r="AD56" s="208"/>
      <c r="AE56" s="208"/>
      <c r="AF56" s="208"/>
      <c r="AG56" s="2225"/>
      <c r="AH56" s="2204"/>
      <c r="AI56" s="318"/>
      <c r="AJ56" s="318"/>
      <c r="AK56" s="208"/>
      <c r="AL56" s="208"/>
      <c r="AM56" s="2205"/>
      <c r="AN56" s="2204"/>
      <c r="AO56" s="318"/>
      <c r="AP56" s="2205"/>
      <c r="AQ56" s="2204"/>
      <c r="AR56" s="2397"/>
      <c r="AS56" s="692"/>
      <c r="AT56" s="2395"/>
      <c r="AU56" s="2204"/>
      <c r="AV56" s="2205"/>
      <c r="AW56" s="2209"/>
      <c r="AX56" s="2210"/>
      <c r="AY56" s="2210"/>
      <c r="AZ56" s="2210"/>
      <c r="BA56" s="2211"/>
      <c r="BB56" s="2227"/>
      <c r="BC56" s="208"/>
      <c r="BD56" s="208"/>
      <c r="BE56" s="2205"/>
      <c r="BF56" s="2397"/>
      <c r="BG56" s="2204"/>
      <c r="BH56" s="208"/>
      <c r="BI56" s="438"/>
    </row>
    <row r="57" spans="1:61" ht="15" customHeight="1" x14ac:dyDescent="0.25">
      <c r="A57" s="1533"/>
      <c r="B57" s="2224"/>
      <c r="C57" s="2191"/>
      <c r="D57" s="2191"/>
      <c r="E57" s="2386"/>
      <c r="F57" s="2386"/>
      <c r="G57" s="2191"/>
      <c r="H57" s="2226"/>
      <c r="I57" s="2225"/>
      <c r="J57" s="2205"/>
      <c r="K57" s="2225"/>
      <c r="L57" s="2225"/>
      <c r="M57" s="2225"/>
      <c r="N57" s="2225"/>
      <c r="O57" s="2225"/>
      <c r="P57" s="2225"/>
      <c r="Q57" s="2225"/>
      <c r="R57" s="2225"/>
      <c r="S57" s="2225"/>
      <c r="T57" s="2212"/>
      <c r="U57" s="2227"/>
      <c r="V57" s="208"/>
      <c r="W57" s="208"/>
      <c r="X57" s="208"/>
      <c r="Y57" s="208"/>
      <c r="Z57" s="580" t="str">
        <f t="shared" si="1"/>
        <v/>
      </c>
      <c r="AA57" s="208"/>
      <c r="AB57" s="208"/>
      <c r="AC57" s="208"/>
      <c r="AD57" s="208"/>
      <c r="AE57" s="208"/>
      <c r="AF57" s="208"/>
      <c r="AG57" s="2225"/>
      <c r="AH57" s="2204"/>
      <c r="AI57" s="318"/>
      <c r="AJ57" s="318"/>
      <c r="AK57" s="208"/>
      <c r="AL57" s="208"/>
      <c r="AM57" s="2205"/>
      <c r="AN57" s="2204"/>
      <c r="AO57" s="318"/>
      <c r="AP57" s="2205"/>
      <c r="AQ57" s="2204"/>
      <c r="AR57" s="2397"/>
      <c r="AS57" s="692"/>
      <c r="AT57" s="2395"/>
      <c r="AU57" s="2204"/>
      <c r="AV57" s="2205"/>
      <c r="AW57" s="2209"/>
      <c r="AX57" s="2210"/>
      <c r="AY57" s="2210"/>
      <c r="AZ57" s="2210"/>
      <c r="BA57" s="2211"/>
      <c r="BB57" s="2227"/>
      <c r="BC57" s="208"/>
      <c r="BD57" s="208"/>
      <c r="BE57" s="2205"/>
      <c r="BF57" s="2397"/>
      <c r="BG57" s="2204"/>
      <c r="BH57" s="208"/>
      <c r="BI57" s="438"/>
    </row>
    <row r="58" spans="1:61" ht="15" customHeight="1" x14ac:dyDescent="0.25">
      <c r="A58" s="1533"/>
      <c r="B58" s="2224"/>
      <c r="C58" s="2191"/>
      <c r="D58" s="2191"/>
      <c r="E58" s="2386"/>
      <c r="F58" s="2386"/>
      <c r="G58" s="2191"/>
      <c r="H58" s="2226"/>
      <c r="I58" s="2225"/>
      <c r="J58" s="2205"/>
      <c r="K58" s="2225"/>
      <c r="L58" s="2225"/>
      <c r="M58" s="2225"/>
      <c r="N58" s="2225"/>
      <c r="O58" s="2225"/>
      <c r="P58" s="2225"/>
      <c r="Q58" s="2225"/>
      <c r="R58" s="2225"/>
      <c r="S58" s="2225"/>
      <c r="T58" s="2212"/>
      <c r="U58" s="2227"/>
      <c r="V58" s="208"/>
      <c r="W58" s="208"/>
      <c r="X58" s="208"/>
      <c r="Y58" s="208"/>
      <c r="Z58" s="580" t="str">
        <f t="shared" si="1"/>
        <v/>
      </c>
      <c r="AA58" s="208"/>
      <c r="AB58" s="208"/>
      <c r="AC58" s="208"/>
      <c r="AD58" s="208"/>
      <c r="AE58" s="208"/>
      <c r="AF58" s="208"/>
      <c r="AG58" s="2225"/>
      <c r="AH58" s="2204"/>
      <c r="AI58" s="318"/>
      <c r="AJ58" s="318"/>
      <c r="AK58" s="208"/>
      <c r="AL58" s="208"/>
      <c r="AM58" s="2205"/>
      <c r="AN58" s="2204"/>
      <c r="AO58" s="318"/>
      <c r="AP58" s="2205"/>
      <c r="AQ58" s="2204"/>
      <c r="AR58" s="2397"/>
      <c r="AS58" s="692"/>
      <c r="AT58" s="2395"/>
      <c r="AU58" s="2204"/>
      <c r="AV58" s="2205"/>
      <c r="AW58" s="2209"/>
      <c r="AX58" s="2210"/>
      <c r="AY58" s="2210"/>
      <c r="AZ58" s="2210"/>
      <c r="BA58" s="2211"/>
      <c r="BB58" s="2227"/>
      <c r="BC58" s="208"/>
      <c r="BD58" s="208"/>
      <c r="BE58" s="2205"/>
      <c r="BF58" s="2397"/>
      <c r="BG58" s="2204"/>
      <c r="BH58" s="208"/>
      <c r="BI58" s="438"/>
    </row>
    <row r="59" spans="1:61" ht="15" customHeight="1" x14ac:dyDescent="0.25">
      <c r="A59" s="1533"/>
      <c r="B59" s="2224"/>
      <c r="C59" s="2191"/>
      <c r="D59" s="2191"/>
      <c r="E59" s="2386"/>
      <c r="F59" s="2386"/>
      <c r="G59" s="2191"/>
      <c r="H59" s="2226"/>
      <c r="I59" s="2225"/>
      <c r="J59" s="2205"/>
      <c r="K59" s="2225"/>
      <c r="L59" s="2225"/>
      <c r="M59" s="2225"/>
      <c r="N59" s="2225"/>
      <c r="O59" s="2225"/>
      <c r="P59" s="2225"/>
      <c r="Q59" s="2225"/>
      <c r="R59" s="2225"/>
      <c r="S59" s="2225"/>
      <c r="T59" s="2212"/>
      <c r="U59" s="2227"/>
      <c r="V59" s="208"/>
      <c r="W59" s="208"/>
      <c r="X59" s="208"/>
      <c r="Y59" s="208"/>
      <c r="Z59" s="580" t="str">
        <f t="shared" si="1"/>
        <v/>
      </c>
      <c r="AA59" s="208"/>
      <c r="AB59" s="208"/>
      <c r="AC59" s="208"/>
      <c r="AD59" s="208"/>
      <c r="AE59" s="208"/>
      <c r="AF59" s="208"/>
      <c r="AG59" s="2225"/>
      <c r="AH59" s="2204"/>
      <c r="AI59" s="318"/>
      <c r="AJ59" s="318"/>
      <c r="AK59" s="208"/>
      <c r="AL59" s="208"/>
      <c r="AM59" s="2205"/>
      <c r="AN59" s="2204"/>
      <c r="AO59" s="318"/>
      <c r="AP59" s="2205"/>
      <c r="AQ59" s="2204"/>
      <c r="AR59" s="2397"/>
      <c r="AS59" s="692"/>
      <c r="AT59" s="2395"/>
      <c r="AU59" s="2204"/>
      <c r="AV59" s="2205"/>
      <c r="AW59" s="2209"/>
      <c r="AX59" s="2210"/>
      <c r="AY59" s="2210"/>
      <c r="AZ59" s="2210"/>
      <c r="BA59" s="2211"/>
      <c r="BB59" s="2227"/>
      <c r="BC59" s="208"/>
      <c r="BD59" s="208"/>
      <c r="BE59" s="2205"/>
      <c r="BF59" s="2397"/>
      <c r="BG59" s="2204"/>
      <c r="BH59" s="208"/>
      <c r="BI59" s="438"/>
    </row>
    <row r="60" spans="1:61" ht="15" customHeight="1" x14ac:dyDescent="0.25">
      <c r="A60" s="1533"/>
      <c r="B60" s="2224"/>
      <c r="C60" s="2191"/>
      <c r="D60" s="2191"/>
      <c r="E60" s="2386"/>
      <c r="F60" s="2386"/>
      <c r="G60" s="2191"/>
      <c r="H60" s="2226"/>
      <c r="I60" s="2225"/>
      <c r="J60" s="2205"/>
      <c r="K60" s="2225"/>
      <c r="L60" s="2225"/>
      <c r="M60" s="2225"/>
      <c r="N60" s="2225"/>
      <c r="O60" s="2225"/>
      <c r="P60" s="2225"/>
      <c r="Q60" s="2225"/>
      <c r="R60" s="2225"/>
      <c r="S60" s="2225"/>
      <c r="T60" s="2212"/>
      <c r="U60" s="2227"/>
      <c r="V60" s="208"/>
      <c r="W60" s="208"/>
      <c r="X60" s="208"/>
      <c r="Y60" s="208"/>
      <c r="Z60" s="580" t="str">
        <f t="shared" si="1"/>
        <v/>
      </c>
      <c r="AA60" s="208"/>
      <c r="AB60" s="208"/>
      <c r="AC60" s="208"/>
      <c r="AD60" s="208"/>
      <c r="AE60" s="208"/>
      <c r="AF60" s="208"/>
      <c r="AG60" s="2225"/>
      <c r="AH60" s="2204"/>
      <c r="AI60" s="318"/>
      <c r="AJ60" s="318"/>
      <c r="AK60" s="208"/>
      <c r="AL60" s="208"/>
      <c r="AM60" s="2205"/>
      <c r="AN60" s="2204"/>
      <c r="AO60" s="318"/>
      <c r="AP60" s="2205"/>
      <c r="AQ60" s="2204"/>
      <c r="AR60" s="2397"/>
      <c r="AS60" s="692"/>
      <c r="AT60" s="2395"/>
      <c r="AU60" s="2204"/>
      <c r="AV60" s="2205"/>
      <c r="AW60" s="2209"/>
      <c r="AX60" s="2210"/>
      <c r="AY60" s="2210"/>
      <c r="AZ60" s="2210"/>
      <c r="BA60" s="2211"/>
      <c r="BB60" s="2227"/>
      <c r="BC60" s="208"/>
      <c r="BD60" s="208"/>
      <c r="BE60" s="2205"/>
      <c r="BF60" s="2397"/>
      <c r="BG60" s="2204"/>
      <c r="BH60" s="208"/>
      <c r="BI60" s="438"/>
    </row>
    <row r="61" spans="1:61" ht="15" customHeight="1" x14ac:dyDescent="0.25">
      <c r="A61" s="1533"/>
      <c r="B61" s="2224"/>
      <c r="C61" s="2191"/>
      <c r="D61" s="2191"/>
      <c r="E61" s="2386"/>
      <c r="F61" s="2386"/>
      <c r="G61" s="2191"/>
      <c r="H61" s="2226"/>
      <c r="I61" s="2225"/>
      <c r="J61" s="2205"/>
      <c r="K61" s="2225"/>
      <c r="L61" s="2225"/>
      <c r="M61" s="2225"/>
      <c r="N61" s="2225"/>
      <c r="O61" s="2225"/>
      <c r="P61" s="2225"/>
      <c r="Q61" s="2225"/>
      <c r="R61" s="2225"/>
      <c r="S61" s="2225"/>
      <c r="T61" s="2212"/>
      <c r="U61" s="2227"/>
      <c r="V61" s="208"/>
      <c r="W61" s="208"/>
      <c r="X61" s="208"/>
      <c r="Y61" s="208"/>
      <c r="Z61" s="580" t="str">
        <f t="shared" si="1"/>
        <v/>
      </c>
      <c r="AA61" s="208"/>
      <c r="AB61" s="208"/>
      <c r="AC61" s="208"/>
      <c r="AD61" s="208"/>
      <c r="AE61" s="208"/>
      <c r="AF61" s="208"/>
      <c r="AG61" s="2225"/>
      <c r="AH61" s="2204"/>
      <c r="AI61" s="318"/>
      <c r="AJ61" s="318"/>
      <c r="AK61" s="208"/>
      <c r="AL61" s="208"/>
      <c r="AM61" s="2205"/>
      <c r="AN61" s="2204"/>
      <c r="AO61" s="318"/>
      <c r="AP61" s="2205"/>
      <c r="AQ61" s="2204"/>
      <c r="AR61" s="2397"/>
      <c r="AS61" s="692"/>
      <c r="AT61" s="2395"/>
      <c r="AU61" s="2204"/>
      <c r="AV61" s="2205"/>
      <c r="AW61" s="2209"/>
      <c r="AX61" s="2210"/>
      <c r="AY61" s="2210"/>
      <c r="AZ61" s="2210"/>
      <c r="BA61" s="2211"/>
      <c r="BB61" s="2227"/>
      <c r="BC61" s="208"/>
      <c r="BD61" s="208"/>
      <c r="BE61" s="2205"/>
      <c r="BF61" s="2397"/>
      <c r="BG61" s="2204"/>
      <c r="BH61" s="208"/>
      <c r="BI61" s="438"/>
    </row>
    <row r="62" spans="1:61" ht="15" customHeight="1" x14ac:dyDescent="0.25">
      <c r="A62" s="1533"/>
      <c r="B62" s="2224"/>
      <c r="C62" s="2191"/>
      <c r="D62" s="2191"/>
      <c r="E62" s="2386"/>
      <c r="F62" s="2386"/>
      <c r="G62" s="2191"/>
      <c r="H62" s="2226"/>
      <c r="I62" s="2225"/>
      <c r="J62" s="2205"/>
      <c r="K62" s="2225"/>
      <c r="L62" s="2225"/>
      <c r="M62" s="2225"/>
      <c r="N62" s="2225"/>
      <c r="O62" s="2225"/>
      <c r="P62" s="2225"/>
      <c r="Q62" s="2225"/>
      <c r="R62" s="2225"/>
      <c r="S62" s="2225"/>
      <c r="T62" s="2212"/>
      <c r="U62" s="2227"/>
      <c r="V62" s="208"/>
      <c r="W62" s="208"/>
      <c r="X62" s="208"/>
      <c r="Y62" s="208"/>
      <c r="Z62" s="580" t="str">
        <f t="shared" si="1"/>
        <v/>
      </c>
      <c r="AA62" s="208"/>
      <c r="AB62" s="208"/>
      <c r="AC62" s="208"/>
      <c r="AD62" s="208"/>
      <c r="AE62" s="208"/>
      <c r="AF62" s="208"/>
      <c r="AG62" s="2225"/>
      <c r="AH62" s="2204"/>
      <c r="AI62" s="318"/>
      <c r="AJ62" s="318"/>
      <c r="AK62" s="208"/>
      <c r="AL62" s="208"/>
      <c r="AM62" s="2205"/>
      <c r="AN62" s="2204"/>
      <c r="AO62" s="318"/>
      <c r="AP62" s="2205"/>
      <c r="AQ62" s="2204"/>
      <c r="AR62" s="2397"/>
      <c r="AS62" s="692"/>
      <c r="AT62" s="2395"/>
      <c r="AU62" s="2204"/>
      <c r="AV62" s="2205"/>
      <c r="AW62" s="2209"/>
      <c r="AX62" s="2210"/>
      <c r="AY62" s="2210"/>
      <c r="AZ62" s="2210"/>
      <c r="BA62" s="2211"/>
      <c r="BB62" s="2227"/>
      <c r="BC62" s="208"/>
      <c r="BD62" s="208"/>
      <c r="BE62" s="2205"/>
      <c r="BF62" s="2397"/>
      <c r="BG62" s="2204"/>
      <c r="BH62" s="208"/>
      <c r="BI62" s="438"/>
    </row>
    <row r="63" spans="1:61" ht="15" customHeight="1" x14ac:dyDescent="0.25">
      <c r="A63" s="1533"/>
      <c r="B63" s="2224"/>
      <c r="C63" s="2191"/>
      <c r="D63" s="2191"/>
      <c r="E63" s="2386"/>
      <c r="F63" s="2386"/>
      <c r="G63" s="2191"/>
      <c r="H63" s="2226"/>
      <c r="I63" s="2225"/>
      <c r="J63" s="2205"/>
      <c r="K63" s="2225"/>
      <c r="L63" s="2225"/>
      <c r="M63" s="2225"/>
      <c r="N63" s="2225"/>
      <c r="O63" s="2225"/>
      <c r="P63" s="2225"/>
      <c r="Q63" s="2225"/>
      <c r="R63" s="2225"/>
      <c r="S63" s="2225"/>
      <c r="T63" s="2212"/>
      <c r="U63" s="2227"/>
      <c r="V63" s="208"/>
      <c r="W63" s="208"/>
      <c r="X63" s="208"/>
      <c r="Y63" s="208"/>
      <c r="Z63" s="580" t="str">
        <f t="shared" si="1"/>
        <v/>
      </c>
      <c r="AA63" s="208"/>
      <c r="AB63" s="208"/>
      <c r="AC63" s="208"/>
      <c r="AD63" s="208"/>
      <c r="AE63" s="208"/>
      <c r="AF63" s="208"/>
      <c r="AG63" s="2225"/>
      <c r="AH63" s="2204"/>
      <c r="AI63" s="318"/>
      <c r="AJ63" s="318"/>
      <c r="AK63" s="208"/>
      <c r="AL63" s="208"/>
      <c r="AM63" s="2205"/>
      <c r="AN63" s="2204"/>
      <c r="AO63" s="318"/>
      <c r="AP63" s="2205"/>
      <c r="AQ63" s="2204"/>
      <c r="AR63" s="2397"/>
      <c r="AS63" s="692"/>
      <c r="AT63" s="2395"/>
      <c r="AU63" s="2204"/>
      <c r="AV63" s="2205"/>
      <c r="AW63" s="2209"/>
      <c r="AX63" s="2210"/>
      <c r="AY63" s="2210"/>
      <c r="AZ63" s="2210"/>
      <c r="BA63" s="2211"/>
      <c r="BB63" s="2227"/>
      <c r="BC63" s="208"/>
      <c r="BD63" s="208"/>
      <c r="BE63" s="2205"/>
      <c r="BF63" s="2397"/>
      <c r="BG63" s="2204"/>
      <c r="BH63" s="208"/>
      <c r="BI63" s="438"/>
    </row>
    <row r="64" spans="1:61" ht="15" customHeight="1" x14ac:dyDescent="0.25">
      <c r="A64" s="1533"/>
      <c r="B64" s="2224"/>
      <c r="C64" s="2191"/>
      <c r="D64" s="2191"/>
      <c r="E64" s="2386"/>
      <c r="F64" s="2386"/>
      <c r="G64" s="2191"/>
      <c r="H64" s="2226"/>
      <c r="I64" s="2225"/>
      <c r="J64" s="2205"/>
      <c r="K64" s="2225"/>
      <c r="L64" s="2225"/>
      <c r="M64" s="2225"/>
      <c r="N64" s="2225"/>
      <c r="O64" s="2225"/>
      <c r="P64" s="2225"/>
      <c r="Q64" s="2225"/>
      <c r="R64" s="2225"/>
      <c r="S64" s="2225"/>
      <c r="T64" s="2212"/>
      <c r="U64" s="2227"/>
      <c r="V64" s="208"/>
      <c r="W64" s="208"/>
      <c r="X64" s="208"/>
      <c r="Y64" s="208"/>
      <c r="Z64" s="580" t="str">
        <f t="shared" si="1"/>
        <v/>
      </c>
      <c r="AA64" s="208"/>
      <c r="AB64" s="208"/>
      <c r="AC64" s="208"/>
      <c r="AD64" s="208"/>
      <c r="AE64" s="208"/>
      <c r="AF64" s="208"/>
      <c r="AG64" s="2225"/>
      <c r="AH64" s="2204"/>
      <c r="AI64" s="318"/>
      <c r="AJ64" s="318"/>
      <c r="AK64" s="208"/>
      <c r="AL64" s="208"/>
      <c r="AM64" s="2205"/>
      <c r="AN64" s="2204"/>
      <c r="AO64" s="318"/>
      <c r="AP64" s="2205"/>
      <c r="AQ64" s="2204"/>
      <c r="AR64" s="2397"/>
      <c r="AS64" s="692"/>
      <c r="AT64" s="2395"/>
      <c r="AU64" s="2204"/>
      <c r="AV64" s="2205"/>
      <c r="AW64" s="2209"/>
      <c r="AX64" s="2210"/>
      <c r="AY64" s="2210"/>
      <c r="AZ64" s="2210"/>
      <c r="BA64" s="2211"/>
      <c r="BB64" s="2227"/>
      <c r="BC64" s="208"/>
      <c r="BD64" s="208"/>
      <c r="BE64" s="2205"/>
      <c r="BF64" s="2397"/>
      <c r="BG64" s="2204"/>
      <c r="BH64" s="208"/>
      <c r="BI64" s="438"/>
    </row>
    <row r="65" spans="1:61" ht="15" customHeight="1" x14ac:dyDescent="0.25">
      <c r="A65" s="1533"/>
      <c r="B65" s="2224"/>
      <c r="C65" s="2191"/>
      <c r="D65" s="2191"/>
      <c r="E65" s="2386"/>
      <c r="F65" s="2386"/>
      <c r="G65" s="2191"/>
      <c r="H65" s="2226"/>
      <c r="I65" s="2225"/>
      <c r="J65" s="2205"/>
      <c r="K65" s="2225"/>
      <c r="L65" s="2225"/>
      <c r="M65" s="2225"/>
      <c r="N65" s="2225"/>
      <c r="O65" s="2225"/>
      <c r="P65" s="2225"/>
      <c r="Q65" s="2225"/>
      <c r="R65" s="2225"/>
      <c r="S65" s="2225"/>
      <c r="T65" s="2212"/>
      <c r="U65" s="2227"/>
      <c r="V65" s="208"/>
      <c r="W65" s="208"/>
      <c r="X65" s="208"/>
      <c r="Y65" s="208"/>
      <c r="Z65" s="580" t="str">
        <f t="shared" si="1"/>
        <v/>
      </c>
      <c r="AA65" s="208"/>
      <c r="AB65" s="208"/>
      <c r="AC65" s="208"/>
      <c r="AD65" s="208"/>
      <c r="AE65" s="208"/>
      <c r="AF65" s="208"/>
      <c r="AG65" s="2225"/>
      <c r="AH65" s="2204"/>
      <c r="AI65" s="318"/>
      <c r="AJ65" s="318"/>
      <c r="AK65" s="208"/>
      <c r="AL65" s="208"/>
      <c r="AM65" s="2205"/>
      <c r="AN65" s="2204"/>
      <c r="AO65" s="318"/>
      <c r="AP65" s="2205"/>
      <c r="AQ65" s="2204"/>
      <c r="AR65" s="2397"/>
      <c r="AS65" s="692"/>
      <c r="AT65" s="2395"/>
      <c r="AU65" s="2204"/>
      <c r="AV65" s="2205"/>
      <c r="AW65" s="2209"/>
      <c r="AX65" s="2210"/>
      <c r="AY65" s="2210"/>
      <c r="AZ65" s="2210"/>
      <c r="BA65" s="2211"/>
      <c r="BB65" s="2227"/>
      <c r="BC65" s="208"/>
      <c r="BD65" s="208"/>
      <c r="BE65" s="2205"/>
      <c r="BF65" s="2397"/>
      <c r="BG65" s="2204"/>
      <c r="BH65" s="208"/>
      <c r="BI65" s="438"/>
    </row>
    <row r="66" spans="1:61" ht="15" customHeight="1" x14ac:dyDescent="0.25">
      <c r="A66" s="1533"/>
      <c r="B66" s="2224"/>
      <c r="C66" s="2191"/>
      <c r="D66" s="2191"/>
      <c r="E66" s="2386"/>
      <c r="F66" s="2386"/>
      <c r="G66" s="2191"/>
      <c r="H66" s="2226"/>
      <c r="I66" s="2225"/>
      <c r="J66" s="2205"/>
      <c r="K66" s="2225"/>
      <c r="L66" s="2225"/>
      <c r="M66" s="2225"/>
      <c r="N66" s="2225"/>
      <c r="O66" s="2225"/>
      <c r="P66" s="2225"/>
      <c r="Q66" s="2225"/>
      <c r="R66" s="2225"/>
      <c r="S66" s="2225"/>
      <c r="T66" s="2212"/>
      <c r="U66" s="2227"/>
      <c r="V66" s="208"/>
      <c r="W66" s="208"/>
      <c r="X66" s="208"/>
      <c r="Y66" s="208"/>
      <c r="Z66" s="580" t="str">
        <f t="shared" si="1"/>
        <v/>
      </c>
      <c r="AA66" s="208"/>
      <c r="AB66" s="208"/>
      <c r="AC66" s="208"/>
      <c r="AD66" s="208"/>
      <c r="AE66" s="208"/>
      <c r="AF66" s="208"/>
      <c r="AG66" s="2225"/>
      <c r="AH66" s="2204"/>
      <c r="AI66" s="318"/>
      <c r="AJ66" s="318"/>
      <c r="AK66" s="208"/>
      <c r="AL66" s="208"/>
      <c r="AM66" s="2205"/>
      <c r="AN66" s="2204"/>
      <c r="AO66" s="318"/>
      <c r="AP66" s="2205"/>
      <c r="AQ66" s="2204"/>
      <c r="AR66" s="2397"/>
      <c r="AS66" s="692"/>
      <c r="AT66" s="2395"/>
      <c r="AU66" s="2204"/>
      <c r="AV66" s="2205"/>
      <c r="AW66" s="2209"/>
      <c r="AX66" s="2210"/>
      <c r="AY66" s="2210"/>
      <c r="AZ66" s="2210"/>
      <c r="BA66" s="2211"/>
      <c r="BB66" s="2227"/>
      <c r="BC66" s="208"/>
      <c r="BD66" s="208"/>
      <c r="BE66" s="2205"/>
      <c r="BF66" s="2397"/>
      <c r="BG66" s="2204"/>
      <c r="BH66" s="208"/>
      <c r="BI66" s="438"/>
    </row>
    <row r="67" spans="1:61" ht="15" customHeight="1" x14ac:dyDescent="0.25">
      <c r="A67" s="1533"/>
      <c r="B67" s="2224"/>
      <c r="C67" s="2191"/>
      <c r="D67" s="2191"/>
      <c r="E67" s="2386"/>
      <c r="F67" s="2386"/>
      <c r="G67" s="2191"/>
      <c r="H67" s="2226"/>
      <c r="I67" s="2225"/>
      <c r="J67" s="2205"/>
      <c r="K67" s="2225"/>
      <c r="L67" s="2225"/>
      <c r="M67" s="2225"/>
      <c r="N67" s="2225"/>
      <c r="O67" s="2225"/>
      <c r="P67" s="2225"/>
      <c r="Q67" s="2225"/>
      <c r="R67" s="2225"/>
      <c r="S67" s="2225"/>
      <c r="T67" s="2212"/>
      <c r="U67" s="2227"/>
      <c r="V67" s="208"/>
      <c r="W67" s="208"/>
      <c r="X67" s="208"/>
      <c r="Y67" s="208"/>
      <c r="Z67" s="580" t="str">
        <f t="shared" si="1"/>
        <v/>
      </c>
      <c r="AA67" s="208"/>
      <c r="AB67" s="208"/>
      <c r="AC67" s="208"/>
      <c r="AD67" s="208"/>
      <c r="AE67" s="208"/>
      <c r="AF67" s="208"/>
      <c r="AG67" s="2225"/>
      <c r="AH67" s="2204"/>
      <c r="AI67" s="318"/>
      <c r="AJ67" s="318"/>
      <c r="AK67" s="208"/>
      <c r="AL67" s="208"/>
      <c r="AM67" s="2205"/>
      <c r="AN67" s="2204"/>
      <c r="AO67" s="318"/>
      <c r="AP67" s="2205"/>
      <c r="AQ67" s="2204"/>
      <c r="AR67" s="2397"/>
      <c r="AS67" s="692"/>
      <c r="AT67" s="2395"/>
      <c r="AU67" s="2204"/>
      <c r="AV67" s="2205"/>
      <c r="AW67" s="2209"/>
      <c r="AX67" s="2210"/>
      <c r="AY67" s="2210"/>
      <c r="AZ67" s="2210"/>
      <c r="BA67" s="2211"/>
      <c r="BB67" s="2227"/>
      <c r="BC67" s="208"/>
      <c r="BD67" s="208"/>
      <c r="BE67" s="2205"/>
      <c r="BF67" s="2397"/>
      <c r="BG67" s="2204"/>
      <c r="BH67" s="208"/>
      <c r="BI67" s="438"/>
    </row>
    <row r="68" spans="1:61" ht="15" customHeight="1" x14ac:dyDescent="0.25">
      <c r="A68" s="1533"/>
      <c r="B68" s="2224"/>
      <c r="C68" s="2191"/>
      <c r="D68" s="2191"/>
      <c r="E68" s="2386"/>
      <c r="F68" s="2386"/>
      <c r="G68" s="2191"/>
      <c r="H68" s="2226"/>
      <c r="I68" s="2225"/>
      <c r="J68" s="2205"/>
      <c r="K68" s="2225"/>
      <c r="L68" s="2225"/>
      <c r="M68" s="2225"/>
      <c r="N68" s="2225"/>
      <c r="O68" s="2225"/>
      <c r="P68" s="2225"/>
      <c r="Q68" s="2225"/>
      <c r="R68" s="2225"/>
      <c r="S68" s="2225"/>
      <c r="T68" s="2212"/>
      <c r="U68" s="2227"/>
      <c r="V68" s="208"/>
      <c r="W68" s="208"/>
      <c r="X68" s="208"/>
      <c r="Y68" s="208"/>
      <c r="Z68" s="580" t="str">
        <f t="shared" si="1"/>
        <v/>
      </c>
      <c r="AA68" s="208"/>
      <c r="AB68" s="208"/>
      <c r="AC68" s="208"/>
      <c r="AD68" s="208"/>
      <c r="AE68" s="208"/>
      <c r="AF68" s="208"/>
      <c r="AG68" s="2225"/>
      <c r="AH68" s="2204"/>
      <c r="AI68" s="318"/>
      <c r="AJ68" s="318"/>
      <c r="AK68" s="208"/>
      <c r="AL68" s="208"/>
      <c r="AM68" s="2205"/>
      <c r="AN68" s="2204"/>
      <c r="AO68" s="318"/>
      <c r="AP68" s="2205"/>
      <c r="AQ68" s="2204"/>
      <c r="AR68" s="2397"/>
      <c r="AS68" s="692"/>
      <c r="AT68" s="2395"/>
      <c r="AU68" s="2204"/>
      <c r="AV68" s="2205"/>
      <c r="AW68" s="2209"/>
      <c r="AX68" s="2210"/>
      <c r="AY68" s="2210"/>
      <c r="AZ68" s="2210"/>
      <c r="BA68" s="2211"/>
      <c r="BB68" s="2227"/>
      <c r="BC68" s="208"/>
      <c r="BD68" s="208"/>
      <c r="BE68" s="2205"/>
      <c r="BF68" s="2397"/>
      <c r="BG68" s="2204"/>
      <c r="BH68" s="208"/>
      <c r="BI68" s="438"/>
    </row>
    <row r="69" spans="1:61" ht="15" customHeight="1" x14ac:dyDescent="0.25">
      <c r="A69" s="1533"/>
      <c r="B69" s="2224"/>
      <c r="C69" s="2191"/>
      <c r="D69" s="2191"/>
      <c r="E69" s="2386"/>
      <c r="F69" s="2386"/>
      <c r="G69" s="2191"/>
      <c r="H69" s="2226"/>
      <c r="I69" s="2225"/>
      <c r="J69" s="2205"/>
      <c r="K69" s="2225"/>
      <c r="L69" s="2225"/>
      <c r="M69" s="2225"/>
      <c r="N69" s="2225"/>
      <c r="O69" s="2225"/>
      <c r="P69" s="2225"/>
      <c r="Q69" s="2225"/>
      <c r="R69" s="2225"/>
      <c r="S69" s="2225"/>
      <c r="T69" s="2212"/>
      <c r="U69" s="2227"/>
      <c r="V69" s="208"/>
      <c r="W69" s="208"/>
      <c r="X69" s="208"/>
      <c r="Y69" s="208"/>
      <c r="Z69" s="580" t="str">
        <f t="shared" si="1"/>
        <v/>
      </c>
      <c r="AA69" s="208"/>
      <c r="AB69" s="208"/>
      <c r="AC69" s="208"/>
      <c r="AD69" s="208"/>
      <c r="AE69" s="208"/>
      <c r="AF69" s="208"/>
      <c r="AG69" s="2225"/>
      <c r="AH69" s="2204"/>
      <c r="AI69" s="318"/>
      <c r="AJ69" s="318"/>
      <c r="AK69" s="208"/>
      <c r="AL69" s="208"/>
      <c r="AM69" s="2205"/>
      <c r="AN69" s="2204"/>
      <c r="AO69" s="318"/>
      <c r="AP69" s="2205"/>
      <c r="AQ69" s="2204"/>
      <c r="AR69" s="2397"/>
      <c r="AS69" s="692"/>
      <c r="AT69" s="2395"/>
      <c r="AU69" s="2204"/>
      <c r="AV69" s="2205"/>
      <c r="AW69" s="2209"/>
      <c r="AX69" s="2210"/>
      <c r="AY69" s="2210"/>
      <c r="AZ69" s="2210"/>
      <c r="BA69" s="2211"/>
      <c r="BB69" s="2227"/>
      <c r="BC69" s="208"/>
      <c r="BD69" s="208"/>
      <c r="BE69" s="2205"/>
      <c r="BF69" s="2397"/>
      <c r="BG69" s="2204"/>
      <c r="BH69" s="208"/>
      <c r="BI69" s="438"/>
    </row>
    <row r="70" spans="1:61" ht="15" customHeight="1" x14ac:dyDescent="0.25">
      <c r="A70" s="1533"/>
      <c r="B70" s="2224"/>
      <c r="C70" s="2191"/>
      <c r="D70" s="2191"/>
      <c r="E70" s="2386"/>
      <c r="F70" s="2386"/>
      <c r="G70" s="2191"/>
      <c r="H70" s="2226"/>
      <c r="I70" s="2225"/>
      <c r="J70" s="2205"/>
      <c r="K70" s="2225"/>
      <c r="L70" s="2225"/>
      <c r="M70" s="2225"/>
      <c r="N70" s="2225"/>
      <c r="O70" s="2225"/>
      <c r="P70" s="2225"/>
      <c r="Q70" s="2225"/>
      <c r="R70" s="2225"/>
      <c r="S70" s="2225"/>
      <c r="T70" s="2212"/>
      <c r="U70" s="2227"/>
      <c r="V70" s="208"/>
      <c r="W70" s="208"/>
      <c r="X70" s="208"/>
      <c r="Y70" s="208"/>
      <c r="Z70" s="580" t="str">
        <f t="shared" si="1"/>
        <v/>
      </c>
      <c r="AA70" s="208"/>
      <c r="AB70" s="208"/>
      <c r="AC70" s="208"/>
      <c r="AD70" s="208"/>
      <c r="AE70" s="208"/>
      <c r="AF70" s="208"/>
      <c r="AG70" s="2225"/>
      <c r="AH70" s="2204"/>
      <c r="AI70" s="318"/>
      <c r="AJ70" s="318"/>
      <c r="AK70" s="208"/>
      <c r="AL70" s="208"/>
      <c r="AM70" s="2205"/>
      <c r="AN70" s="2204"/>
      <c r="AO70" s="318"/>
      <c r="AP70" s="2205"/>
      <c r="AQ70" s="2204"/>
      <c r="AR70" s="2397"/>
      <c r="AS70" s="692"/>
      <c r="AT70" s="2395"/>
      <c r="AU70" s="2204"/>
      <c r="AV70" s="2205"/>
      <c r="AW70" s="2209"/>
      <c r="AX70" s="2210"/>
      <c r="AY70" s="2210"/>
      <c r="AZ70" s="2210"/>
      <c r="BA70" s="2211"/>
      <c r="BB70" s="2227"/>
      <c r="BC70" s="208"/>
      <c r="BD70" s="208"/>
      <c r="BE70" s="2205"/>
      <c r="BF70" s="2397"/>
      <c r="BG70" s="2204"/>
      <c r="BH70" s="208"/>
      <c r="BI70" s="438"/>
    </row>
    <row r="71" spans="1:61" ht="15" customHeight="1" x14ac:dyDescent="0.25">
      <c r="A71" s="1533"/>
      <c r="B71" s="2224"/>
      <c r="C71" s="2191"/>
      <c r="D71" s="2191"/>
      <c r="E71" s="2386"/>
      <c r="F71" s="2386"/>
      <c r="G71" s="2191"/>
      <c r="H71" s="2226"/>
      <c r="I71" s="2225"/>
      <c r="J71" s="2205"/>
      <c r="K71" s="2225"/>
      <c r="L71" s="2225"/>
      <c r="M71" s="2225"/>
      <c r="N71" s="2225"/>
      <c r="O71" s="2225"/>
      <c r="P71" s="2225"/>
      <c r="Q71" s="2225"/>
      <c r="R71" s="2225"/>
      <c r="S71" s="2225"/>
      <c r="T71" s="2212"/>
      <c r="U71" s="2227"/>
      <c r="V71" s="208"/>
      <c r="W71" s="208"/>
      <c r="X71" s="208"/>
      <c r="Y71" s="208"/>
      <c r="Z71" s="580" t="str">
        <f t="shared" si="1"/>
        <v/>
      </c>
      <c r="AA71" s="208"/>
      <c r="AB71" s="208"/>
      <c r="AC71" s="208"/>
      <c r="AD71" s="208"/>
      <c r="AE71" s="208"/>
      <c r="AF71" s="208"/>
      <c r="AG71" s="2225"/>
      <c r="AH71" s="2204"/>
      <c r="AI71" s="318"/>
      <c r="AJ71" s="318"/>
      <c r="AK71" s="208"/>
      <c r="AL71" s="208"/>
      <c r="AM71" s="2205"/>
      <c r="AN71" s="2204"/>
      <c r="AO71" s="318"/>
      <c r="AP71" s="2205"/>
      <c r="AQ71" s="2204"/>
      <c r="AR71" s="2397"/>
      <c r="AS71" s="692"/>
      <c r="AT71" s="2395"/>
      <c r="AU71" s="2204"/>
      <c r="AV71" s="2205"/>
      <c r="AW71" s="2209"/>
      <c r="AX71" s="2210"/>
      <c r="AY71" s="2210"/>
      <c r="AZ71" s="2210"/>
      <c r="BA71" s="2211"/>
      <c r="BB71" s="2227"/>
      <c r="BC71" s="208"/>
      <c r="BD71" s="208"/>
      <c r="BE71" s="2205"/>
      <c r="BF71" s="2397"/>
      <c r="BG71" s="2204"/>
      <c r="BH71" s="208"/>
      <c r="BI71" s="438"/>
    </row>
    <row r="72" spans="1:61" ht="15" customHeight="1" x14ac:dyDescent="0.25">
      <c r="A72" s="1533"/>
      <c r="B72" s="2224"/>
      <c r="C72" s="2191"/>
      <c r="D72" s="2191"/>
      <c r="E72" s="2386"/>
      <c r="F72" s="2386"/>
      <c r="G72" s="2191"/>
      <c r="H72" s="2226"/>
      <c r="I72" s="2225"/>
      <c r="J72" s="2205"/>
      <c r="K72" s="2225"/>
      <c r="L72" s="2225"/>
      <c r="M72" s="2225"/>
      <c r="N72" s="2225"/>
      <c r="O72" s="2225"/>
      <c r="P72" s="2225"/>
      <c r="Q72" s="2225"/>
      <c r="R72" s="2225"/>
      <c r="S72" s="2225"/>
      <c r="T72" s="2212"/>
      <c r="U72" s="2227"/>
      <c r="V72" s="208"/>
      <c r="W72" s="208"/>
      <c r="X72" s="208"/>
      <c r="Y72" s="208"/>
      <c r="Z72" s="580" t="str">
        <f t="shared" si="1"/>
        <v/>
      </c>
      <c r="AA72" s="208"/>
      <c r="AB72" s="208"/>
      <c r="AC72" s="208"/>
      <c r="AD72" s="208"/>
      <c r="AE72" s="208"/>
      <c r="AF72" s="208"/>
      <c r="AG72" s="2225"/>
      <c r="AH72" s="2204"/>
      <c r="AI72" s="318"/>
      <c r="AJ72" s="318"/>
      <c r="AK72" s="208"/>
      <c r="AL72" s="208"/>
      <c r="AM72" s="2205"/>
      <c r="AN72" s="2204"/>
      <c r="AO72" s="318"/>
      <c r="AP72" s="2205"/>
      <c r="AQ72" s="2204"/>
      <c r="AR72" s="2397"/>
      <c r="AS72" s="692"/>
      <c r="AT72" s="2395"/>
      <c r="AU72" s="2204"/>
      <c r="AV72" s="2205"/>
      <c r="AW72" s="2209"/>
      <c r="AX72" s="2210"/>
      <c r="AY72" s="2210"/>
      <c r="AZ72" s="2210"/>
      <c r="BA72" s="2211"/>
      <c r="BB72" s="2227"/>
      <c r="BC72" s="208"/>
      <c r="BD72" s="208"/>
      <c r="BE72" s="2205"/>
      <c r="BF72" s="2397"/>
      <c r="BG72" s="2204"/>
      <c r="BH72" s="208"/>
      <c r="BI72" s="438"/>
    </row>
    <row r="73" spans="1:61" ht="15" customHeight="1" x14ac:dyDescent="0.25">
      <c r="A73" s="1533"/>
      <c r="B73" s="2224"/>
      <c r="C73" s="2191"/>
      <c r="D73" s="2191"/>
      <c r="E73" s="2386"/>
      <c r="F73" s="2386"/>
      <c r="G73" s="2191"/>
      <c r="H73" s="2226"/>
      <c r="I73" s="2225"/>
      <c r="J73" s="2205"/>
      <c r="K73" s="2225"/>
      <c r="L73" s="2225"/>
      <c r="M73" s="2225"/>
      <c r="N73" s="2225"/>
      <c r="O73" s="2225"/>
      <c r="P73" s="2225"/>
      <c r="Q73" s="2225"/>
      <c r="R73" s="2225"/>
      <c r="S73" s="2225"/>
      <c r="T73" s="2212"/>
      <c r="U73" s="2227"/>
      <c r="V73" s="208"/>
      <c r="W73" s="208"/>
      <c r="X73" s="208"/>
      <c r="Y73" s="208"/>
      <c r="Z73" s="580" t="str">
        <f t="shared" si="1"/>
        <v/>
      </c>
      <c r="AA73" s="208"/>
      <c r="AB73" s="208"/>
      <c r="AC73" s="208"/>
      <c r="AD73" s="208"/>
      <c r="AE73" s="208"/>
      <c r="AF73" s="208"/>
      <c r="AG73" s="2225"/>
      <c r="AH73" s="2204"/>
      <c r="AI73" s="318"/>
      <c r="AJ73" s="318"/>
      <c r="AK73" s="208"/>
      <c r="AL73" s="208"/>
      <c r="AM73" s="2205"/>
      <c r="AN73" s="2204"/>
      <c r="AO73" s="318"/>
      <c r="AP73" s="2205"/>
      <c r="AQ73" s="2204"/>
      <c r="AR73" s="2397"/>
      <c r="AS73" s="692"/>
      <c r="AT73" s="2395"/>
      <c r="AU73" s="2204"/>
      <c r="AV73" s="2205"/>
      <c r="AW73" s="2209"/>
      <c r="AX73" s="2210"/>
      <c r="AY73" s="2210"/>
      <c r="AZ73" s="2210"/>
      <c r="BA73" s="2211"/>
      <c r="BB73" s="2227"/>
      <c r="BC73" s="208"/>
      <c r="BD73" s="208"/>
      <c r="BE73" s="2205"/>
      <c r="BF73" s="2397"/>
      <c r="BG73" s="2204"/>
      <c r="BH73" s="208"/>
      <c r="BI73" s="438"/>
    </row>
    <row r="74" spans="1:61" ht="15" customHeight="1" x14ac:dyDescent="0.25">
      <c r="A74" s="1533"/>
      <c r="B74" s="2224"/>
      <c r="C74" s="2191"/>
      <c r="D74" s="2191"/>
      <c r="E74" s="2386"/>
      <c r="F74" s="2386"/>
      <c r="G74" s="2191"/>
      <c r="H74" s="2226"/>
      <c r="I74" s="2225"/>
      <c r="J74" s="2205"/>
      <c r="K74" s="2225"/>
      <c r="L74" s="2225"/>
      <c r="M74" s="2225"/>
      <c r="N74" s="2225"/>
      <c r="O74" s="2225"/>
      <c r="P74" s="2225"/>
      <c r="Q74" s="2225"/>
      <c r="R74" s="2225"/>
      <c r="S74" s="2225"/>
      <c r="T74" s="2212"/>
      <c r="U74" s="2227"/>
      <c r="V74" s="208"/>
      <c r="W74" s="208"/>
      <c r="X74" s="208"/>
      <c r="Y74" s="208"/>
      <c r="Z74" s="580" t="str">
        <f t="shared" si="1"/>
        <v/>
      </c>
      <c r="AA74" s="208"/>
      <c r="AB74" s="208"/>
      <c r="AC74" s="208"/>
      <c r="AD74" s="208"/>
      <c r="AE74" s="208"/>
      <c r="AF74" s="208"/>
      <c r="AG74" s="2225"/>
      <c r="AH74" s="2204"/>
      <c r="AI74" s="318"/>
      <c r="AJ74" s="318"/>
      <c r="AK74" s="208"/>
      <c r="AL74" s="208"/>
      <c r="AM74" s="2205"/>
      <c r="AN74" s="2204"/>
      <c r="AO74" s="318"/>
      <c r="AP74" s="2205"/>
      <c r="AQ74" s="2204"/>
      <c r="AR74" s="2397"/>
      <c r="AS74" s="692"/>
      <c r="AT74" s="2395"/>
      <c r="AU74" s="2204"/>
      <c r="AV74" s="2205"/>
      <c r="AW74" s="2209"/>
      <c r="AX74" s="2210"/>
      <c r="AY74" s="2210"/>
      <c r="AZ74" s="2210"/>
      <c r="BA74" s="2211"/>
      <c r="BB74" s="2227"/>
      <c r="BC74" s="208"/>
      <c r="BD74" s="208"/>
      <c r="BE74" s="2205"/>
      <c r="BF74" s="2397"/>
      <c r="BG74" s="2204"/>
      <c r="BH74" s="208"/>
      <c r="BI74" s="438"/>
    </row>
    <row r="75" spans="1:61" ht="15" customHeight="1" x14ac:dyDescent="0.25">
      <c r="A75" s="1533"/>
      <c r="B75" s="2224"/>
      <c r="C75" s="2191"/>
      <c r="D75" s="2191"/>
      <c r="E75" s="2386"/>
      <c r="F75" s="2386"/>
      <c r="G75" s="2191"/>
      <c r="H75" s="2226"/>
      <c r="I75" s="2225"/>
      <c r="J75" s="2205"/>
      <c r="K75" s="2225"/>
      <c r="L75" s="2225"/>
      <c r="M75" s="2225"/>
      <c r="N75" s="2225"/>
      <c r="O75" s="2225"/>
      <c r="P75" s="2225"/>
      <c r="Q75" s="2225"/>
      <c r="R75" s="2225"/>
      <c r="S75" s="2225"/>
      <c r="T75" s="2212"/>
      <c r="U75" s="2227"/>
      <c r="V75" s="208"/>
      <c r="W75" s="208"/>
      <c r="X75" s="208"/>
      <c r="Y75" s="208"/>
      <c r="Z75" s="580" t="str">
        <f t="shared" si="1"/>
        <v/>
      </c>
      <c r="AA75" s="208"/>
      <c r="AB75" s="208"/>
      <c r="AC75" s="208"/>
      <c r="AD75" s="208"/>
      <c r="AE75" s="208"/>
      <c r="AF75" s="208"/>
      <c r="AG75" s="2225"/>
      <c r="AH75" s="2204"/>
      <c r="AI75" s="318"/>
      <c r="AJ75" s="318"/>
      <c r="AK75" s="208"/>
      <c r="AL75" s="208"/>
      <c r="AM75" s="2205"/>
      <c r="AN75" s="2204"/>
      <c r="AO75" s="318"/>
      <c r="AP75" s="2205"/>
      <c r="AQ75" s="2204"/>
      <c r="AR75" s="2397"/>
      <c r="AS75" s="692"/>
      <c r="AT75" s="2395"/>
      <c r="AU75" s="2204"/>
      <c r="AV75" s="2205"/>
      <c r="AW75" s="2209"/>
      <c r="AX75" s="2210"/>
      <c r="AY75" s="2210"/>
      <c r="AZ75" s="2210"/>
      <c r="BA75" s="2211"/>
      <c r="BB75" s="2227"/>
      <c r="BC75" s="208"/>
      <c r="BD75" s="208"/>
      <c r="BE75" s="2205"/>
      <c r="BF75" s="2397"/>
      <c r="BG75" s="2204"/>
      <c r="BH75" s="208"/>
      <c r="BI75" s="438"/>
    </row>
    <row r="76" spans="1:61" ht="15" customHeight="1" x14ac:dyDescent="0.25">
      <c r="A76" s="1533"/>
      <c r="B76" s="2224"/>
      <c r="C76" s="2191"/>
      <c r="D76" s="2191"/>
      <c r="E76" s="2386"/>
      <c r="F76" s="2386"/>
      <c r="G76" s="2191"/>
      <c r="H76" s="2226"/>
      <c r="I76" s="2225"/>
      <c r="J76" s="2205"/>
      <c r="K76" s="2225"/>
      <c r="L76" s="2225"/>
      <c r="M76" s="2225"/>
      <c r="N76" s="2225"/>
      <c r="O76" s="2225"/>
      <c r="P76" s="2225"/>
      <c r="Q76" s="2225"/>
      <c r="R76" s="2225"/>
      <c r="S76" s="2225"/>
      <c r="T76" s="2212"/>
      <c r="U76" s="2227"/>
      <c r="V76" s="208"/>
      <c r="W76" s="208"/>
      <c r="X76" s="208"/>
      <c r="Y76" s="208"/>
      <c r="Z76" s="580" t="str">
        <f t="shared" si="1"/>
        <v/>
      </c>
      <c r="AA76" s="208"/>
      <c r="AB76" s="208"/>
      <c r="AC76" s="208"/>
      <c r="AD76" s="208"/>
      <c r="AE76" s="208"/>
      <c r="AF76" s="208"/>
      <c r="AG76" s="2225"/>
      <c r="AH76" s="2204"/>
      <c r="AI76" s="318"/>
      <c r="AJ76" s="318"/>
      <c r="AK76" s="208"/>
      <c r="AL76" s="208"/>
      <c r="AM76" s="2205"/>
      <c r="AN76" s="2204"/>
      <c r="AO76" s="318"/>
      <c r="AP76" s="2205"/>
      <c r="AQ76" s="2204"/>
      <c r="AR76" s="2397"/>
      <c r="AS76" s="692"/>
      <c r="AT76" s="2395"/>
      <c r="AU76" s="2204"/>
      <c r="AV76" s="2205"/>
      <c r="AW76" s="2209"/>
      <c r="AX76" s="2210"/>
      <c r="AY76" s="2210"/>
      <c r="AZ76" s="2210"/>
      <c r="BA76" s="2211"/>
      <c r="BB76" s="2227"/>
      <c r="BC76" s="208"/>
      <c r="BD76" s="208"/>
      <c r="BE76" s="2205"/>
      <c r="BF76" s="2397"/>
      <c r="BG76" s="2204"/>
      <c r="BH76" s="208"/>
      <c r="BI76" s="438"/>
    </row>
    <row r="77" spans="1:61" ht="15" customHeight="1" x14ac:dyDescent="0.25">
      <c r="A77" s="1533"/>
      <c r="B77" s="2224"/>
      <c r="C77" s="2191"/>
      <c r="D77" s="2191"/>
      <c r="E77" s="2386"/>
      <c r="F77" s="2386"/>
      <c r="G77" s="2191"/>
      <c r="H77" s="2226"/>
      <c r="I77" s="2225"/>
      <c r="J77" s="2205"/>
      <c r="K77" s="2225"/>
      <c r="L77" s="2225"/>
      <c r="M77" s="2225"/>
      <c r="N77" s="2225"/>
      <c r="O77" s="2225"/>
      <c r="P77" s="2225"/>
      <c r="Q77" s="2225"/>
      <c r="R77" s="2225"/>
      <c r="S77" s="2225"/>
      <c r="T77" s="2212"/>
      <c r="U77" s="2227"/>
      <c r="V77" s="208"/>
      <c r="W77" s="208"/>
      <c r="X77" s="208"/>
      <c r="Y77" s="208"/>
      <c r="Z77" s="580" t="str">
        <f t="shared" ref="Z77:Z112" si="2">IF(AND(ISNUMBER(W77),ISNUMBER(X77),ISNUMBER(Y77)),SUM(W77,X77,Y77),"")</f>
        <v/>
      </c>
      <c r="AA77" s="208"/>
      <c r="AB77" s="208"/>
      <c r="AC77" s="208"/>
      <c r="AD77" s="208"/>
      <c r="AE77" s="208"/>
      <c r="AF77" s="208"/>
      <c r="AG77" s="2225"/>
      <c r="AH77" s="2204"/>
      <c r="AI77" s="318"/>
      <c r="AJ77" s="318"/>
      <c r="AK77" s="208"/>
      <c r="AL77" s="208"/>
      <c r="AM77" s="2205"/>
      <c r="AN77" s="2204"/>
      <c r="AO77" s="318"/>
      <c r="AP77" s="2205"/>
      <c r="AQ77" s="2204"/>
      <c r="AR77" s="2397"/>
      <c r="AS77" s="692"/>
      <c r="AT77" s="2395"/>
      <c r="AU77" s="2204"/>
      <c r="AV77" s="2205"/>
      <c r="AW77" s="2209"/>
      <c r="AX77" s="2210"/>
      <c r="AY77" s="2210"/>
      <c r="AZ77" s="2210"/>
      <c r="BA77" s="2211"/>
      <c r="BB77" s="2227"/>
      <c r="BC77" s="208"/>
      <c r="BD77" s="208"/>
      <c r="BE77" s="2205"/>
      <c r="BF77" s="2397"/>
      <c r="BG77" s="2204"/>
      <c r="BH77" s="208"/>
      <c r="BI77" s="438"/>
    </row>
    <row r="78" spans="1:61" ht="15" customHeight="1" x14ac:dyDescent="0.25">
      <c r="A78" s="1533"/>
      <c r="B78" s="2224"/>
      <c r="C78" s="2191"/>
      <c r="D78" s="2191"/>
      <c r="E78" s="2386"/>
      <c r="F78" s="2386"/>
      <c r="G78" s="2191"/>
      <c r="H78" s="2226"/>
      <c r="I78" s="2225"/>
      <c r="J78" s="2205"/>
      <c r="K78" s="2225"/>
      <c r="L78" s="2225"/>
      <c r="M78" s="2225"/>
      <c r="N78" s="2225"/>
      <c r="O78" s="2225"/>
      <c r="P78" s="2225"/>
      <c r="Q78" s="2225"/>
      <c r="R78" s="2225"/>
      <c r="S78" s="2225"/>
      <c r="T78" s="2212"/>
      <c r="U78" s="2227"/>
      <c r="V78" s="208"/>
      <c r="W78" s="208"/>
      <c r="X78" s="208"/>
      <c r="Y78" s="208"/>
      <c r="Z78" s="580" t="str">
        <f t="shared" si="2"/>
        <v/>
      </c>
      <c r="AA78" s="208"/>
      <c r="AB78" s="208"/>
      <c r="AC78" s="208"/>
      <c r="AD78" s="208"/>
      <c r="AE78" s="208"/>
      <c r="AF78" s="208"/>
      <c r="AG78" s="2225"/>
      <c r="AH78" s="2204"/>
      <c r="AI78" s="318"/>
      <c r="AJ78" s="318"/>
      <c r="AK78" s="208"/>
      <c r="AL78" s="208"/>
      <c r="AM78" s="2205"/>
      <c r="AN78" s="2204"/>
      <c r="AO78" s="318"/>
      <c r="AP78" s="2205"/>
      <c r="AQ78" s="2204"/>
      <c r="AR78" s="2397"/>
      <c r="AS78" s="692"/>
      <c r="AT78" s="2395"/>
      <c r="AU78" s="2204"/>
      <c r="AV78" s="2205"/>
      <c r="AW78" s="2209"/>
      <c r="AX78" s="2210"/>
      <c r="AY78" s="2210"/>
      <c r="AZ78" s="2210"/>
      <c r="BA78" s="2211"/>
      <c r="BB78" s="2227"/>
      <c r="BC78" s="208"/>
      <c r="BD78" s="208"/>
      <c r="BE78" s="2205"/>
      <c r="BF78" s="2397"/>
      <c r="BG78" s="2204"/>
      <c r="BH78" s="208"/>
      <c r="BI78" s="438"/>
    </row>
    <row r="79" spans="1:61" ht="15" customHeight="1" x14ac:dyDescent="0.25">
      <c r="A79" s="1533"/>
      <c r="B79" s="2224"/>
      <c r="C79" s="2191"/>
      <c r="D79" s="2191"/>
      <c r="E79" s="2386"/>
      <c r="F79" s="2386"/>
      <c r="G79" s="2191"/>
      <c r="H79" s="2226"/>
      <c r="I79" s="2225"/>
      <c r="J79" s="2205"/>
      <c r="K79" s="2225"/>
      <c r="L79" s="2225"/>
      <c r="M79" s="2225"/>
      <c r="N79" s="2225"/>
      <c r="O79" s="2225"/>
      <c r="P79" s="2225"/>
      <c r="Q79" s="2225"/>
      <c r="R79" s="2225"/>
      <c r="S79" s="2225"/>
      <c r="T79" s="2212"/>
      <c r="U79" s="2227"/>
      <c r="V79" s="208"/>
      <c r="W79" s="208"/>
      <c r="X79" s="208"/>
      <c r="Y79" s="208"/>
      <c r="Z79" s="580" t="str">
        <f t="shared" si="2"/>
        <v/>
      </c>
      <c r="AA79" s="208"/>
      <c r="AB79" s="208"/>
      <c r="AC79" s="208"/>
      <c r="AD79" s="208"/>
      <c r="AE79" s="208"/>
      <c r="AF79" s="208"/>
      <c r="AG79" s="2225"/>
      <c r="AH79" s="2204"/>
      <c r="AI79" s="318"/>
      <c r="AJ79" s="318"/>
      <c r="AK79" s="208"/>
      <c r="AL79" s="208"/>
      <c r="AM79" s="2205"/>
      <c r="AN79" s="2204"/>
      <c r="AO79" s="318"/>
      <c r="AP79" s="2205"/>
      <c r="AQ79" s="2204"/>
      <c r="AR79" s="2397"/>
      <c r="AS79" s="692"/>
      <c r="AT79" s="2395"/>
      <c r="AU79" s="2204"/>
      <c r="AV79" s="2205"/>
      <c r="AW79" s="2209"/>
      <c r="AX79" s="2210"/>
      <c r="AY79" s="2210"/>
      <c r="AZ79" s="2210"/>
      <c r="BA79" s="2211"/>
      <c r="BB79" s="2227"/>
      <c r="BC79" s="208"/>
      <c r="BD79" s="208"/>
      <c r="BE79" s="2205"/>
      <c r="BF79" s="2397"/>
      <c r="BG79" s="2204"/>
      <c r="BH79" s="208"/>
      <c r="BI79" s="438"/>
    </row>
    <row r="80" spans="1:61" ht="15" customHeight="1" x14ac:dyDescent="0.25">
      <c r="A80" s="1533"/>
      <c r="B80" s="2224"/>
      <c r="C80" s="2191"/>
      <c r="D80" s="2191"/>
      <c r="E80" s="2386"/>
      <c r="F80" s="2386"/>
      <c r="G80" s="2191"/>
      <c r="H80" s="2226"/>
      <c r="I80" s="2225"/>
      <c r="J80" s="2205"/>
      <c r="K80" s="2225"/>
      <c r="L80" s="2225"/>
      <c r="M80" s="2225"/>
      <c r="N80" s="2225"/>
      <c r="O80" s="2225"/>
      <c r="P80" s="2225"/>
      <c r="Q80" s="2225"/>
      <c r="R80" s="2225"/>
      <c r="S80" s="2225"/>
      <c r="T80" s="2212"/>
      <c r="U80" s="2227"/>
      <c r="V80" s="208"/>
      <c r="W80" s="208"/>
      <c r="X80" s="208"/>
      <c r="Y80" s="208"/>
      <c r="Z80" s="580" t="str">
        <f t="shared" si="2"/>
        <v/>
      </c>
      <c r="AA80" s="208"/>
      <c r="AB80" s="208"/>
      <c r="AC80" s="208"/>
      <c r="AD80" s="208"/>
      <c r="AE80" s="208"/>
      <c r="AF80" s="208"/>
      <c r="AG80" s="2225"/>
      <c r="AH80" s="2204"/>
      <c r="AI80" s="318"/>
      <c r="AJ80" s="318"/>
      <c r="AK80" s="208"/>
      <c r="AL80" s="208"/>
      <c r="AM80" s="2205"/>
      <c r="AN80" s="2204"/>
      <c r="AO80" s="318"/>
      <c r="AP80" s="2205"/>
      <c r="AQ80" s="2204"/>
      <c r="AR80" s="2397"/>
      <c r="AS80" s="692"/>
      <c r="AT80" s="2395"/>
      <c r="AU80" s="2204"/>
      <c r="AV80" s="2205"/>
      <c r="AW80" s="2209"/>
      <c r="AX80" s="2210"/>
      <c r="AY80" s="2210"/>
      <c r="AZ80" s="2210"/>
      <c r="BA80" s="2211"/>
      <c r="BB80" s="2227"/>
      <c r="BC80" s="208"/>
      <c r="BD80" s="208"/>
      <c r="BE80" s="2205"/>
      <c r="BF80" s="2397"/>
      <c r="BG80" s="2204"/>
      <c r="BH80" s="208"/>
      <c r="BI80" s="438"/>
    </row>
    <row r="81" spans="1:61" ht="15" customHeight="1" x14ac:dyDescent="0.25">
      <c r="A81" s="1533"/>
      <c r="B81" s="2224"/>
      <c r="C81" s="2191"/>
      <c r="D81" s="2191"/>
      <c r="E81" s="2386"/>
      <c r="F81" s="2386"/>
      <c r="G81" s="2191"/>
      <c r="H81" s="2226"/>
      <c r="I81" s="2225"/>
      <c r="J81" s="2205"/>
      <c r="K81" s="2225"/>
      <c r="L81" s="2225"/>
      <c r="M81" s="2225"/>
      <c r="N81" s="2225"/>
      <c r="O81" s="2225"/>
      <c r="P81" s="2225"/>
      <c r="Q81" s="2225"/>
      <c r="R81" s="2225"/>
      <c r="S81" s="2225"/>
      <c r="T81" s="2212"/>
      <c r="U81" s="2227"/>
      <c r="V81" s="208"/>
      <c r="W81" s="208"/>
      <c r="X81" s="208"/>
      <c r="Y81" s="208"/>
      <c r="Z81" s="580" t="str">
        <f t="shared" si="2"/>
        <v/>
      </c>
      <c r="AA81" s="208"/>
      <c r="AB81" s="208"/>
      <c r="AC81" s="208"/>
      <c r="AD81" s="208"/>
      <c r="AE81" s="208"/>
      <c r="AF81" s="208"/>
      <c r="AG81" s="2225"/>
      <c r="AH81" s="2204"/>
      <c r="AI81" s="318"/>
      <c r="AJ81" s="318"/>
      <c r="AK81" s="208"/>
      <c r="AL81" s="208"/>
      <c r="AM81" s="2205"/>
      <c r="AN81" s="2204"/>
      <c r="AO81" s="318"/>
      <c r="AP81" s="2205"/>
      <c r="AQ81" s="2204"/>
      <c r="AR81" s="2397"/>
      <c r="AS81" s="692"/>
      <c r="AT81" s="2395"/>
      <c r="AU81" s="2204"/>
      <c r="AV81" s="2205"/>
      <c r="AW81" s="2209"/>
      <c r="AX81" s="2210"/>
      <c r="AY81" s="2210"/>
      <c r="AZ81" s="2210"/>
      <c r="BA81" s="2211"/>
      <c r="BB81" s="2227"/>
      <c r="BC81" s="208"/>
      <c r="BD81" s="208"/>
      <c r="BE81" s="2205"/>
      <c r="BF81" s="2397"/>
      <c r="BG81" s="2204"/>
      <c r="BH81" s="208"/>
      <c r="BI81" s="438"/>
    </row>
    <row r="82" spans="1:61" ht="15" customHeight="1" x14ac:dyDescent="0.25">
      <c r="A82" s="1533"/>
      <c r="B82" s="2224"/>
      <c r="C82" s="2191"/>
      <c r="D82" s="2191"/>
      <c r="E82" s="2386"/>
      <c r="F82" s="2386"/>
      <c r="G82" s="2191"/>
      <c r="H82" s="2226"/>
      <c r="I82" s="2225"/>
      <c r="J82" s="2205"/>
      <c r="K82" s="2225"/>
      <c r="L82" s="2225"/>
      <c r="M82" s="2225"/>
      <c r="N82" s="2225"/>
      <c r="O82" s="2225"/>
      <c r="P82" s="2225"/>
      <c r="Q82" s="2225"/>
      <c r="R82" s="2225"/>
      <c r="S82" s="2225"/>
      <c r="T82" s="2212"/>
      <c r="U82" s="2227"/>
      <c r="V82" s="208"/>
      <c r="W82" s="208"/>
      <c r="X82" s="208"/>
      <c r="Y82" s="208"/>
      <c r="Z82" s="580" t="str">
        <f t="shared" si="2"/>
        <v/>
      </c>
      <c r="AA82" s="208"/>
      <c r="AB82" s="208"/>
      <c r="AC82" s="208"/>
      <c r="AD82" s="208"/>
      <c r="AE82" s="208"/>
      <c r="AF82" s="208"/>
      <c r="AG82" s="2225"/>
      <c r="AH82" s="2204"/>
      <c r="AI82" s="318"/>
      <c r="AJ82" s="318"/>
      <c r="AK82" s="208"/>
      <c r="AL82" s="208"/>
      <c r="AM82" s="2205"/>
      <c r="AN82" s="2204"/>
      <c r="AO82" s="318"/>
      <c r="AP82" s="2205"/>
      <c r="AQ82" s="2204"/>
      <c r="AR82" s="2397"/>
      <c r="AS82" s="692"/>
      <c r="AT82" s="2395"/>
      <c r="AU82" s="2204"/>
      <c r="AV82" s="2205"/>
      <c r="AW82" s="2209"/>
      <c r="AX82" s="2210"/>
      <c r="AY82" s="2210"/>
      <c r="AZ82" s="2210"/>
      <c r="BA82" s="2211"/>
      <c r="BB82" s="2227"/>
      <c r="BC82" s="208"/>
      <c r="BD82" s="208"/>
      <c r="BE82" s="2205"/>
      <c r="BF82" s="2397"/>
      <c r="BG82" s="2204"/>
      <c r="BH82" s="208"/>
      <c r="BI82" s="438"/>
    </row>
    <row r="83" spans="1:61" ht="15" customHeight="1" x14ac:dyDescent="0.25">
      <c r="A83" s="1533"/>
      <c r="B83" s="2224"/>
      <c r="C83" s="2191"/>
      <c r="D83" s="2191"/>
      <c r="E83" s="2386"/>
      <c r="F83" s="2386"/>
      <c r="G83" s="2191"/>
      <c r="H83" s="2226"/>
      <c r="I83" s="2225"/>
      <c r="J83" s="2205"/>
      <c r="K83" s="2225"/>
      <c r="L83" s="2225"/>
      <c r="M83" s="2225"/>
      <c r="N83" s="2225"/>
      <c r="O83" s="2225"/>
      <c r="P83" s="2225"/>
      <c r="Q83" s="2225"/>
      <c r="R83" s="2225"/>
      <c r="S83" s="2225"/>
      <c r="T83" s="2212"/>
      <c r="U83" s="2227"/>
      <c r="V83" s="208"/>
      <c r="W83" s="208"/>
      <c r="X83" s="208"/>
      <c r="Y83" s="208"/>
      <c r="Z83" s="580" t="str">
        <f t="shared" si="2"/>
        <v/>
      </c>
      <c r="AA83" s="208"/>
      <c r="AB83" s="208"/>
      <c r="AC83" s="208"/>
      <c r="AD83" s="208"/>
      <c r="AE83" s="208"/>
      <c r="AF83" s="208"/>
      <c r="AG83" s="2225"/>
      <c r="AH83" s="2204"/>
      <c r="AI83" s="318"/>
      <c r="AJ83" s="318"/>
      <c r="AK83" s="208"/>
      <c r="AL83" s="208"/>
      <c r="AM83" s="2205"/>
      <c r="AN83" s="2204"/>
      <c r="AO83" s="318"/>
      <c r="AP83" s="2205"/>
      <c r="AQ83" s="2204"/>
      <c r="AR83" s="2397"/>
      <c r="AS83" s="692"/>
      <c r="AT83" s="2395"/>
      <c r="AU83" s="2204"/>
      <c r="AV83" s="2205"/>
      <c r="AW83" s="2209"/>
      <c r="AX83" s="2210"/>
      <c r="AY83" s="2210"/>
      <c r="AZ83" s="2210"/>
      <c r="BA83" s="2211"/>
      <c r="BB83" s="2227"/>
      <c r="BC83" s="208"/>
      <c r="BD83" s="208"/>
      <c r="BE83" s="2205"/>
      <c r="BF83" s="2397"/>
      <c r="BG83" s="2204"/>
      <c r="BH83" s="208"/>
      <c r="BI83" s="438"/>
    </row>
    <row r="84" spans="1:61" ht="15" customHeight="1" x14ac:dyDescent="0.25">
      <c r="A84" s="1533"/>
      <c r="B84" s="2224"/>
      <c r="C84" s="2191"/>
      <c r="D84" s="2191"/>
      <c r="E84" s="2386"/>
      <c r="F84" s="2386"/>
      <c r="G84" s="2191"/>
      <c r="H84" s="2226"/>
      <c r="I84" s="2225"/>
      <c r="J84" s="2205"/>
      <c r="K84" s="2225"/>
      <c r="L84" s="2225"/>
      <c r="M84" s="2225"/>
      <c r="N84" s="2225"/>
      <c r="O84" s="2225"/>
      <c r="P84" s="2225"/>
      <c r="Q84" s="2225"/>
      <c r="R84" s="2225"/>
      <c r="S84" s="2225"/>
      <c r="T84" s="2212"/>
      <c r="U84" s="2227"/>
      <c r="V84" s="208"/>
      <c r="W84" s="208"/>
      <c r="X84" s="208"/>
      <c r="Y84" s="208"/>
      <c r="Z84" s="580" t="str">
        <f t="shared" si="2"/>
        <v/>
      </c>
      <c r="AA84" s="208"/>
      <c r="AB84" s="208"/>
      <c r="AC84" s="208"/>
      <c r="AD84" s="208"/>
      <c r="AE84" s="208"/>
      <c r="AF84" s="208"/>
      <c r="AG84" s="2225"/>
      <c r="AH84" s="2204"/>
      <c r="AI84" s="318"/>
      <c r="AJ84" s="318"/>
      <c r="AK84" s="208"/>
      <c r="AL84" s="208"/>
      <c r="AM84" s="2205"/>
      <c r="AN84" s="2204"/>
      <c r="AO84" s="318"/>
      <c r="AP84" s="2205"/>
      <c r="AQ84" s="2204"/>
      <c r="AR84" s="2397"/>
      <c r="AS84" s="692"/>
      <c r="AT84" s="2395"/>
      <c r="AU84" s="2204"/>
      <c r="AV84" s="2205"/>
      <c r="AW84" s="2209"/>
      <c r="AX84" s="2210"/>
      <c r="AY84" s="2210"/>
      <c r="AZ84" s="2210"/>
      <c r="BA84" s="2211"/>
      <c r="BB84" s="2227"/>
      <c r="BC84" s="208"/>
      <c r="BD84" s="208"/>
      <c r="BE84" s="2205"/>
      <c r="BF84" s="2397"/>
      <c r="BG84" s="2204"/>
      <c r="BH84" s="208"/>
      <c r="BI84" s="438"/>
    </row>
    <row r="85" spans="1:61" ht="15" customHeight="1" x14ac:dyDescent="0.25">
      <c r="A85" s="1533"/>
      <c r="B85" s="2224"/>
      <c r="C85" s="2191"/>
      <c r="D85" s="2191"/>
      <c r="E85" s="2386"/>
      <c r="F85" s="2386"/>
      <c r="G85" s="2191"/>
      <c r="H85" s="2226"/>
      <c r="I85" s="2225"/>
      <c r="J85" s="2205"/>
      <c r="K85" s="2225"/>
      <c r="L85" s="2225"/>
      <c r="M85" s="2225"/>
      <c r="N85" s="2225"/>
      <c r="O85" s="2225"/>
      <c r="P85" s="2225"/>
      <c r="Q85" s="2225"/>
      <c r="R85" s="2225"/>
      <c r="S85" s="2225"/>
      <c r="T85" s="2212"/>
      <c r="U85" s="2227"/>
      <c r="V85" s="208"/>
      <c r="W85" s="208"/>
      <c r="X85" s="208"/>
      <c r="Y85" s="208"/>
      <c r="Z85" s="580" t="str">
        <f t="shared" si="2"/>
        <v/>
      </c>
      <c r="AA85" s="208"/>
      <c r="AB85" s="208"/>
      <c r="AC85" s="208"/>
      <c r="AD85" s="208"/>
      <c r="AE85" s="208"/>
      <c r="AF85" s="208"/>
      <c r="AG85" s="2225"/>
      <c r="AH85" s="2204"/>
      <c r="AI85" s="318"/>
      <c r="AJ85" s="318"/>
      <c r="AK85" s="208"/>
      <c r="AL85" s="208"/>
      <c r="AM85" s="2205"/>
      <c r="AN85" s="2204"/>
      <c r="AO85" s="318"/>
      <c r="AP85" s="2205"/>
      <c r="AQ85" s="2204"/>
      <c r="AR85" s="2397"/>
      <c r="AS85" s="692"/>
      <c r="AT85" s="2395"/>
      <c r="AU85" s="2204"/>
      <c r="AV85" s="2205"/>
      <c r="AW85" s="2209"/>
      <c r="AX85" s="2210"/>
      <c r="AY85" s="2210"/>
      <c r="AZ85" s="2210"/>
      <c r="BA85" s="2211"/>
      <c r="BB85" s="2227"/>
      <c r="BC85" s="208"/>
      <c r="BD85" s="208"/>
      <c r="BE85" s="2205"/>
      <c r="BF85" s="2397"/>
      <c r="BG85" s="2204"/>
      <c r="BH85" s="208"/>
      <c r="BI85" s="438"/>
    </row>
    <row r="86" spans="1:61" ht="15" customHeight="1" x14ac:dyDescent="0.25">
      <c r="A86" s="1533"/>
      <c r="B86" s="2224"/>
      <c r="C86" s="2191"/>
      <c r="D86" s="2191"/>
      <c r="E86" s="2386"/>
      <c r="F86" s="2386"/>
      <c r="G86" s="2191"/>
      <c r="H86" s="2226"/>
      <c r="I86" s="2225"/>
      <c r="J86" s="2205"/>
      <c r="K86" s="2225"/>
      <c r="L86" s="2225"/>
      <c r="M86" s="2225"/>
      <c r="N86" s="2225"/>
      <c r="O86" s="2225"/>
      <c r="P86" s="2225"/>
      <c r="Q86" s="2225"/>
      <c r="R86" s="2225"/>
      <c r="S86" s="2225"/>
      <c r="T86" s="2212"/>
      <c r="U86" s="2227"/>
      <c r="V86" s="208"/>
      <c r="W86" s="208"/>
      <c r="X86" s="208"/>
      <c r="Y86" s="208"/>
      <c r="Z86" s="580" t="str">
        <f t="shared" si="2"/>
        <v/>
      </c>
      <c r="AA86" s="208"/>
      <c r="AB86" s="208"/>
      <c r="AC86" s="208"/>
      <c r="AD86" s="208"/>
      <c r="AE86" s="208"/>
      <c r="AF86" s="208"/>
      <c r="AG86" s="2225"/>
      <c r="AH86" s="2204"/>
      <c r="AI86" s="318"/>
      <c r="AJ86" s="318"/>
      <c r="AK86" s="208"/>
      <c r="AL86" s="208"/>
      <c r="AM86" s="2205"/>
      <c r="AN86" s="2204"/>
      <c r="AO86" s="318"/>
      <c r="AP86" s="2205"/>
      <c r="AQ86" s="2204"/>
      <c r="AR86" s="2397"/>
      <c r="AS86" s="692"/>
      <c r="AT86" s="2395"/>
      <c r="AU86" s="2204"/>
      <c r="AV86" s="2205"/>
      <c r="AW86" s="2209"/>
      <c r="AX86" s="2210"/>
      <c r="AY86" s="2210"/>
      <c r="AZ86" s="2210"/>
      <c r="BA86" s="2211"/>
      <c r="BB86" s="2227"/>
      <c r="BC86" s="208"/>
      <c r="BD86" s="208"/>
      <c r="BE86" s="2205"/>
      <c r="BF86" s="2397"/>
      <c r="BG86" s="2204"/>
      <c r="BH86" s="208"/>
      <c r="BI86" s="438"/>
    </row>
    <row r="87" spans="1:61" ht="15" customHeight="1" x14ac:dyDescent="0.25">
      <c r="A87" s="1533"/>
      <c r="B87" s="2224"/>
      <c r="C87" s="2191"/>
      <c r="D87" s="2191"/>
      <c r="E87" s="2386"/>
      <c r="F87" s="2386"/>
      <c r="G87" s="2191"/>
      <c r="H87" s="2226"/>
      <c r="I87" s="2225"/>
      <c r="J87" s="2205"/>
      <c r="K87" s="2225"/>
      <c r="L87" s="2225"/>
      <c r="M87" s="2225"/>
      <c r="N87" s="2225"/>
      <c r="O87" s="2225"/>
      <c r="P87" s="2225"/>
      <c r="Q87" s="2225"/>
      <c r="R87" s="2225"/>
      <c r="S87" s="2225"/>
      <c r="T87" s="2212"/>
      <c r="U87" s="2227"/>
      <c r="V87" s="208"/>
      <c r="W87" s="208"/>
      <c r="X87" s="208"/>
      <c r="Y87" s="208"/>
      <c r="Z87" s="580" t="str">
        <f t="shared" si="2"/>
        <v/>
      </c>
      <c r="AA87" s="208"/>
      <c r="AB87" s="208"/>
      <c r="AC87" s="208"/>
      <c r="AD87" s="208"/>
      <c r="AE87" s="208"/>
      <c r="AF87" s="208"/>
      <c r="AG87" s="2225"/>
      <c r="AH87" s="2204"/>
      <c r="AI87" s="318"/>
      <c r="AJ87" s="318"/>
      <c r="AK87" s="208"/>
      <c r="AL87" s="208"/>
      <c r="AM87" s="2205"/>
      <c r="AN87" s="2204"/>
      <c r="AO87" s="318"/>
      <c r="AP87" s="2205"/>
      <c r="AQ87" s="2204"/>
      <c r="AR87" s="2397"/>
      <c r="AS87" s="692"/>
      <c r="AT87" s="2395"/>
      <c r="AU87" s="2204"/>
      <c r="AV87" s="2205"/>
      <c r="AW87" s="2209"/>
      <c r="AX87" s="2210"/>
      <c r="AY87" s="2210"/>
      <c r="AZ87" s="2210"/>
      <c r="BA87" s="2211"/>
      <c r="BB87" s="2227"/>
      <c r="BC87" s="208"/>
      <c r="BD87" s="208"/>
      <c r="BE87" s="2205"/>
      <c r="BF87" s="2397"/>
      <c r="BG87" s="2204"/>
      <c r="BH87" s="208"/>
      <c r="BI87" s="438"/>
    </row>
    <row r="88" spans="1:61" ht="15" customHeight="1" x14ac:dyDescent="0.25">
      <c r="A88" s="1533"/>
      <c r="B88" s="2224"/>
      <c r="C88" s="2191"/>
      <c r="D88" s="2191"/>
      <c r="E88" s="2386"/>
      <c r="F88" s="2386"/>
      <c r="G88" s="2191"/>
      <c r="H88" s="2226"/>
      <c r="I88" s="2225"/>
      <c r="J88" s="2205"/>
      <c r="K88" s="2225"/>
      <c r="L88" s="2225"/>
      <c r="M88" s="2225"/>
      <c r="N88" s="2225"/>
      <c r="O88" s="2225"/>
      <c r="P88" s="2225"/>
      <c r="Q88" s="2225"/>
      <c r="R88" s="2225"/>
      <c r="S88" s="2225"/>
      <c r="T88" s="2212"/>
      <c r="U88" s="2227"/>
      <c r="V88" s="208"/>
      <c r="W88" s="208"/>
      <c r="X88" s="208"/>
      <c r="Y88" s="208"/>
      <c r="Z88" s="580" t="str">
        <f t="shared" si="2"/>
        <v/>
      </c>
      <c r="AA88" s="208"/>
      <c r="AB88" s="208"/>
      <c r="AC88" s="208"/>
      <c r="AD88" s="208"/>
      <c r="AE88" s="208"/>
      <c r="AF88" s="208"/>
      <c r="AG88" s="2225"/>
      <c r="AH88" s="2204"/>
      <c r="AI88" s="318"/>
      <c r="AJ88" s="318"/>
      <c r="AK88" s="208"/>
      <c r="AL88" s="208"/>
      <c r="AM88" s="2205"/>
      <c r="AN88" s="2204"/>
      <c r="AO88" s="318"/>
      <c r="AP88" s="2205"/>
      <c r="AQ88" s="2204"/>
      <c r="AR88" s="2397"/>
      <c r="AS88" s="692"/>
      <c r="AT88" s="2395"/>
      <c r="AU88" s="2204"/>
      <c r="AV88" s="2205"/>
      <c r="AW88" s="2209"/>
      <c r="AX88" s="2210"/>
      <c r="AY88" s="2210"/>
      <c r="AZ88" s="2210"/>
      <c r="BA88" s="2211"/>
      <c r="BB88" s="2227"/>
      <c r="BC88" s="208"/>
      <c r="BD88" s="208"/>
      <c r="BE88" s="2205"/>
      <c r="BF88" s="2397"/>
      <c r="BG88" s="2204"/>
      <c r="BH88" s="208"/>
      <c r="BI88" s="438"/>
    </row>
    <row r="89" spans="1:61" ht="15" customHeight="1" x14ac:dyDescent="0.25">
      <c r="A89" s="1533"/>
      <c r="B89" s="2224"/>
      <c r="C89" s="2191"/>
      <c r="D89" s="2191"/>
      <c r="E89" s="2386"/>
      <c r="F89" s="2386"/>
      <c r="G89" s="2191"/>
      <c r="H89" s="2226"/>
      <c r="I89" s="2225"/>
      <c r="J89" s="2205"/>
      <c r="K89" s="2225"/>
      <c r="L89" s="2225"/>
      <c r="M89" s="2225"/>
      <c r="N89" s="2225"/>
      <c r="O89" s="2225"/>
      <c r="P89" s="2225"/>
      <c r="Q89" s="2225"/>
      <c r="R89" s="2225"/>
      <c r="S89" s="2225"/>
      <c r="T89" s="2212"/>
      <c r="U89" s="2227"/>
      <c r="V89" s="208"/>
      <c r="W89" s="208"/>
      <c r="X89" s="208"/>
      <c r="Y89" s="208"/>
      <c r="Z89" s="580" t="str">
        <f t="shared" si="2"/>
        <v/>
      </c>
      <c r="AA89" s="208"/>
      <c r="AB89" s="208"/>
      <c r="AC89" s="208"/>
      <c r="AD89" s="208"/>
      <c r="AE89" s="208"/>
      <c r="AF89" s="208"/>
      <c r="AG89" s="2225"/>
      <c r="AH89" s="2204"/>
      <c r="AI89" s="318"/>
      <c r="AJ89" s="318"/>
      <c r="AK89" s="208"/>
      <c r="AL89" s="208"/>
      <c r="AM89" s="2205"/>
      <c r="AN89" s="2204"/>
      <c r="AO89" s="318"/>
      <c r="AP89" s="2205"/>
      <c r="AQ89" s="2204"/>
      <c r="AR89" s="2397"/>
      <c r="AS89" s="692"/>
      <c r="AT89" s="2395"/>
      <c r="AU89" s="2204"/>
      <c r="AV89" s="2205"/>
      <c r="AW89" s="2209"/>
      <c r="AX89" s="2210"/>
      <c r="AY89" s="2210"/>
      <c r="AZ89" s="2210"/>
      <c r="BA89" s="2211"/>
      <c r="BB89" s="2227"/>
      <c r="BC89" s="208"/>
      <c r="BD89" s="208"/>
      <c r="BE89" s="2205"/>
      <c r="BF89" s="2397"/>
      <c r="BG89" s="2204"/>
      <c r="BH89" s="208"/>
      <c r="BI89" s="438"/>
    </row>
    <row r="90" spans="1:61" ht="15" customHeight="1" x14ac:dyDescent="0.25">
      <c r="A90" s="1533"/>
      <c r="B90" s="2224"/>
      <c r="C90" s="2191"/>
      <c r="D90" s="2191"/>
      <c r="E90" s="2386"/>
      <c r="F90" s="2386"/>
      <c r="G90" s="2191"/>
      <c r="H90" s="2226"/>
      <c r="I90" s="2225"/>
      <c r="J90" s="2205"/>
      <c r="K90" s="2225"/>
      <c r="L90" s="2225"/>
      <c r="M90" s="2225"/>
      <c r="N90" s="2225"/>
      <c r="O90" s="2225"/>
      <c r="P90" s="2225"/>
      <c r="Q90" s="2225"/>
      <c r="R90" s="2225"/>
      <c r="S90" s="2225"/>
      <c r="T90" s="2212"/>
      <c r="U90" s="2227"/>
      <c r="V90" s="208"/>
      <c r="W90" s="208"/>
      <c r="X90" s="208"/>
      <c r="Y90" s="208"/>
      <c r="Z90" s="580" t="str">
        <f t="shared" si="2"/>
        <v/>
      </c>
      <c r="AA90" s="208"/>
      <c r="AB90" s="208"/>
      <c r="AC90" s="208"/>
      <c r="AD90" s="208"/>
      <c r="AE90" s="208"/>
      <c r="AF90" s="208"/>
      <c r="AG90" s="2225"/>
      <c r="AH90" s="2204"/>
      <c r="AI90" s="318"/>
      <c r="AJ90" s="318"/>
      <c r="AK90" s="208"/>
      <c r="AL90" s="208"/>
      <c r="AM90" s="2205"/>
      <c r="AN90" s="2204"/>
      <c r="AO90" s="318"/>
      <c r="AP90" s="2205"/>
      <c r="AQ90" s="2204"/>
      <c r="AR90" s="2397"/>
      <c r="AS90" s="692"/>
      <c r="AT90" s="2395"/>
      <c r="AU90" s="2204"/>
      <c r="AV90" s="2205"/>
      <c r="AW90" s="2209"/>
      <c r="AX90" s="2210"/>
      <c r="AY90" s="2210"/>
      <c r="AZ90" s="2210"/>
      <c r="BA90" s="2211"/>
      <c r="BB90" s="2227"/>
      <c r="BC90" s="208"/>
      <c r="BD90" s="208"/>
      <c r="BE90" s="2205"/>
      <c r="BF90" s="2397"/>
      <c r="BG90" s="2204"/>
      <c r="BH90" s="208"/>
      <c r="BI90" s="438"/>
    </row>
    <row r="91" spans="1:61" ht="15" customHeight="1" x14ac:dyDescent="0.25">
      <c r="A91" s="1533"/>
      <c r="B91" s="2224"/>
      <c r="C91" s="2191"/>
      <c r="D91" s="2191"/>
      <c r="E91" s="2386"/>
      <c r="F91" s="2386"/>
      <c r="G91" s="2191"/>
      <c r="H91" s="2226"/>
      <c r="I91" s="2225"/>
      <c r="J91" s="2205"/>
      <c r="K91" s="2225"/>
      <c r="L91" s="2225"/>
      <c r="M91" s="2225"/>
      <c r="N91" s="2225"/>
      <c r="O91" s="2225"/>
      <c r="P91" s="2225"/>
      <c r="Q91" s="2225"/>
      <c r="R91" s="2225"/>
      <c r="S91" s="2225"/>
      <c r="T91" s="2212"/>
      <c r="U91" s="2227"/>
      <c r="V91" s="208"/>
      <c r="W91" s="208"/>
      <c r="X91" s="208"/>
      <c r="Y91" s="208"/>
      <c r="Z91" s="580" t="str">
        <f t="shared" si="2"/>
        <v/>
      </c>
      <c r="AA91" s="208"/>
      <c r="AB91" s="208"/>
      <c r="AC91" s="208"/>
      <c r="AD91" s="208"/>
      <c r="AE91" s="208"/>
      <c r="AF91" s="208"/>
      <c r="AG91" s="2225"/>
      <c r="AH91" s="2204"/>
      <c r="AI91" s="318"/>
      <c r="AJ91" s="318"/>
      <c r="AK91" s="208"/>
      <c r="AL91" s="208"/>
      <c r="AM91" s="2205"/>
      <c r="AN91" s="2204"/>
      <c r="AO91" s="318"/>
      <c r="AP91" s="2205"/>
      <c r="AQ91" s="2204"/>
      <c r="AR91" s="2397"/>
      <c r="AS91" s="692"/>
      <c r="AT91" s="2395"/>
      <c r="AU91" s="2204"/>
      <c r="AV91" s="2205"/>
      <c r="AW91" s="2209"/>
      <c r="AX91" s="2210"/>
      <c r="AY91" s="2210"/>
      <c r="AZ91" s="2210"/>
      <c r="BA91" s="2211"/>
      <c r="BB91" s="2227"/>
      <c r="BC91" s="208"/>
      <c r="BD91" s="208"/>
      <c r="BE91" s="2205"/>
      <c r="BF91" s="2397"/>
      <c r="BG91" s="2204"/>
      <c r="BH91" s="208"/>
      <c r="BI91" s="438"/>
    </row>
    <row r="92" spans="1:61" ht="15" customHeight="1" x14ac:dyDescent="0.25">
      <c r="A92" s="1533"/>
      <c r="B92" s="2224"/>
      <c r="C92" s="2191"/>
      <c r="D92" s="2191"/>
      <c r="E92" s="2386"/>
      <c r="F92" s="2386"/>
      <c r="G92" s="2191"/>
      <c r="H92" s="2226"/>
      <c r="I92" s="2225"/>
      <c r="J92" s="2205"/>
      <c r="K92" s="2225"/>
      <c r="L92" s="2225"/>
      <c r="M92" s="2225"/>
      <c r="N92" s="2225"/>
      <c r="O92" s="2225"/>
      <c r="P92" s="2225"/>
      <c r="Q92" s="2225"/>
      <c r="R92" s="2225"/>
      <c r="S92" s="2225"/>
      <c r="T92" s="2212"/>
      <c r="U92" s="2227"/>
      <c r="V92" s="208"/>
      <c r="W92" s="208"/>
      <c r="X92" s="208"/>
      <c r="Y92" s="208"/>
      <c r="Z92" s="580" t="str">
        <f t="shared" si="2"/>
        <v/>
      </c>
      <c r="AA92" s="208"/>
      <c r="AB92" s="208"/>
      <c r="AC92" s="208"/>
      <c r="AD92" s="208"/>
      <c r="AE92" s="208"/>
      <c r="AF92" s="208"/>
      <c r="AG92" s="2225"/>
      <c r="AH92" s="2204"/>
      <c r="AI92" s="318"/>
      <c r="AJ92" s="318"/>
      <c r="AK92" s="208"/>
      <c r="AL92" s="208"/>
      <c r="AM92" s="2205"/>
      <c r="AN92" s="2204"/>
      <c r="AO92" s="318"/>
      <c r="AP92" s="2205"/>
      <c r="AQ92" s="2204"/>
      <c r="AR92" s="2397"/>
      <c r="AS92" s="692"/>
      <c r="AT92" s="2395"/>
      <c r="AU92" s="2204"/>
      <c r="AV92" s="2205"/>
      <c r="AW92" s="2209"/>
      <c r="AX92" s="2210"/>
      <c r="AY92" s="2210"/>
      <c r="AZ92" s="2210"/>
      <c r="BA92" s="2211"/>
      <c r="BB92" s="2227"/>
      <c r="BC92" s="208"/>
      <c r="BD92" s="208"/>
      <c r="BE92" s="2205"/>
      <c r="BF92" s="2397"/>
      <c r="BG92" s="2204"/>
      <c r="BH92" s="208"/>
      <c r="BI92" s="438"/>
    </row>
    <row r="93" spans="1:61" ht="15" customHeight="1" x14ac:dyDescent="0.25">
      <c r="A93" s="1533"/>
      <c r="B93" s="2224"/>
      <c r="C93" s="2191"/>
      <c r="D93" s="2191"/>
      <c r="E93" s="2386"/>
      <c r="F93" s="2386"/>
      <c r="G93" s="2191"/>
      <c r="H93" s="2226"/>
      <c r="I93" s="2225"/>
      <c r="J93" s="2205"/>
      <c r="K93" s="2225"/>
      <c r="L93" s="2225"/>
      <c r="M93" s="2225"/>
      <c r="N93" s="2225"/>
      <c r="O93" s="2225"/>
      <c r="P93" s="2225"/>
      <c r="Q93" s="2225"/>
      <c r="R93" s="2225"/>
      <c r="S93" s="2225"/>
      <c r="T93" s="2212"/>
      <c r="U93" s="2227"/>
      <c r="V93" s="208"/>
      <c r="W93" s="208"/>
      <c r="X93" s="208"/>
      <c r="Y93" s="208"/>
      <c r="Z93" s="580" t="str">
        <f t="shared" si="2"/>
        <v/>
      </c>
      <c r="AA93" s="208"/>
      <c r="AB93" s="208"/>
      <c r="AC93" s="208"/>
      <c r="AD93" s="208"/>
      <c r="AE93" s="208"/>
      <c r="AF93" s="208"/>
      <c r="AG93" s="2225"/>
      <c r="AH93" s="2204"/>
      <c r="AI93" s="318"/>
      <c r="AJ93" s="318"/>
      <c r="AK93" s="208"/>
      <c r="AL93" s="208"/>
      <c r="AM93" s="2205"/>
      <c r="AN93" s="2204"/>
      <c r="AO93" s="318"/>
      <c r="AP93" s="2205"/>
      <c r="AQ93" s="2204"/>
      <c r="AR93" s="2397"/>
      <c r="AS93" s="692"/>
      <c r="AT93" s="2395"/>
      <c r="AU93" s="2204"/>
      <c r="AV93" s="2205"/>
      <c r="AW93" s="2209"/>
      <c r="AX93" s="2210"/>
      <c r="AY93" s="2210"/>
      <c r="AZ93" s="2210"/>
      <c r="BA93" s="2211"/>
      <c r="BB93" s="2227"/>
      <c r="BC93" s="208"/>
      <c r="BD93" s="208"/>
      <c r="BE93" s="2205"/>
      <c r="BF93" s="2397"/>
      <c r="BG93" s="2204"/>
      <c r="BH93" s="208"/>
      <c r="BI93" s="438"/>
    </row>
    <row r="94" spans="1:61" ht="15" customHeight="1" x14ac:dyDescent="0.25">
      <c r="A94" s="1533"/>
      <c r="B94" s="2224"/>
      <c r="C94" s="2191"/>
      <c r="D94" s="2191"/>
      <c r="E94" s="2386"/>
      <c r="F94" s="2386"/>
      <c r="G94" s="2191"/>
      <c r="H94" s="2226"/>
      <c r="I94" s="2225"/>
      <c r="J94" s="2205"/>
      <c r="K94" s="2225"/>
      <c r="L94" s="2225"/>
      <c r="M94" s="2225"/>
      <c r="N94" s="2225"/>
      <c r="O94" s="2225"/>
      <c r="P94" s="2225"/>
      <c r="Q94" s="2225"/>
      <c r="R94" s="2225"/>
      <c r="S94" s="2225"/>
      <c r="T94" s="2212"/>
      <c r="U94" s="2227"/>
      <c r="V94" s="208"/>
      <c r="W94" s="208"/>
      <c r="X94" s="208"/>
      <c r="Y94" s="208"/>
      <c r="Z94" s="580" t="str">
        <f t="shared" si="2"/>
        <v/>
      </c>
      <c r="AA94" s="208"/>
      <c r="AB94" s="208"/>
      <c r="AC94" s="208"/>
      <c r="AD94" s="208"/>
      <c r="AE94" s="208"/>
      <c r="AF94" s="208"/>
      <c r="AG94" s="2225"/>
      <c r="AH94" s="2204"/>
      <c r="AI94" s="318"/>
      <c r="AJ94" s="318"/>
      <c r="AK94" s="208"/>
      <c r="AL94" s="208"/>
      <c r="AM94" s="2205"/>
      <c r="AN94" s="2204"/>
      <c r="AO94" s="318"/>
      <c r="AP94" s="2205"/>
      <c r="AQ94" s="2204"/>
      <c r="AR94" s="2397"/>
      <c r="AS94" s="692"/>
      <c r="AT94" s="2395"/>
      <c r="AU94" s="2204"/>
      <c r="AV94" s="2205"/>
      <c r="AW94" s="2209"/>
      <c r="AX94" s="2210"/>
      <c r="AY94" s="2210"/>
      <c r="AZ94" s="2210"/>
      <c r="BA94" s="2211"/>
      <c r="BB94" s="2227"/>
      <c r="BC94" s="208"/>
      <c r="BD94" s="208"/>
      <c r="BE94" s="2205"/>
      <c r="BF94" s="2397"/>
      <c r="BG94" s="2204"/>
      <c r="BH94" s="208"/>
      <c r="BI94" s="438"/>
    </row>
    <row r="95" spans="1:61" ht="15" customHeight="1" x14ac:dyDescent="0.25">
      <c r="A95" s="1533"/>
      <c r="B95" s="2224"/>
      <c r="C95" s="2191"/>
      <c r="D95" s="2191"/>
      <c r="E95" s="2386"/>
      <c r="F95" s="2386"/>
      <c r="G95" s="2191"/>
      <c r="H95" s="2226"/>
      <c r="I95" s="2225"/>
      <c r="J95" s="2205"/>
      <c r="K95" s="2225"/>
      <c r="L95" s="2225"/>
      <c r="M95" s="2225"/>
      <c r="N95" s="2225"/>
      <c r="O95" s="2225"/>
      <c r="P95" s="2225"/>
      <c r="Q95" s="2225"/>
      <c r="R95" s="2225"/>
      <c r="S95" s="2225"/>
      <c r="T95" s="2212"/>
      <c r="U95" s="2227"/>
      <c r="V95" s="208"/>
      <c r="W95" s="208"/>
      <c r="X95" s="208"/>
      <c r="Y95" s="208"/>
      <c r="Z95" s="580" t="str">
        <f t="shared" si="2"/>
        <v/>
      </c>
      <c r="AA95" s="208"/>
      <c r="AB95" s="208"/>
      <c r="AC95" s="208"/>
      <c r="AD95" s="208"/>
      <c r="AE95" s="208"/>
      <c r="AF95" s="208"/>
      <c r="AG95" s="2225"/>
      <c r="AH95" s="2204"/>
      <c r="AI95" s="318"/>
      <c r="AJ95" s="318"/>
      <c r="AK95" s="208"/>
      <c r="AL95" s="208"/>
      <c r="AM95" s="2205"/>
      <c r="AN95" s="2204"/>
      <c r="AO95" s="318"/>
      <c r="AP95" s="2205"/>
      <c r="AQ95" s="2204"/>
      <c r="AR95" s="2397"/>
      <c r="AS95" s="692"/>
      <c r="AT95" s="2395"/>
      <c r="AU95" s="2204"/>
      <c r="AV95" s="2205"/>
      <c r="AW95" s="2209"/>
      <c r="AX95" s="2210"/>
      <c r="AY95" s="2210"/>
      <c r="AZ95" s="2210"/>
      <c r="BA95" s="2211"/>
      <c r="BB95" s="2227"/>
      <c r="BC95" s="208"/>
      <c r="BD95" s="208"/>
      <c r="BE95" s="2205"/>
      <c r="BF95" s="2397"/>
      <c r="BG95" s="2204"/>
      <c r="BH95" s="208"/>
      <c r="BI95" s="438"/>
    </row>
    <row r="96" spans="1:61" ht="15" customHeight="1" x14ac:dyDescent="0.25">
      <c r="A96" s="1533"/>
      <c r="B96" s="2224"/>
      <c r="C96" s="2191"/>
      <c r="D96" s="2191"/>
      <c r="E96" s="2386"/>
      <c r="F96" s="2386"/>
      <c r="G96" s="2191"/>
      <c r="H96" s="2226"/>
      <c r="I96" s="2225"/>
      <c r="J96" s="2205"/>
      <c r="K96" s="2225"/>
      <c r="L96" s="2225"/>
      <c r="M96" s="2225"/>
      <c r="N96" s="2225"/>
      <c r="O96" s="2225"/>
      <c r="P96" s="2225"/>
      <c r="Q96" s="2225"/>
      <c r="R96" s="2225"/>
      <c r="S96" s="2225"/>
      <c r="T96" s="2212"/>
      <c r="U96" s="2227"/>
      <c r="V96" s="208"/>
      <c r="W96" s="208"/>
      <c r="X96" s="208"/>
      <c r="Y96" s="208"/>
      <c r="Z96" s="580" t="str">
        <f t="shared" si="2"/>
        <v/>
      </c>
      <c r="AA96" s="208"/>
      <c r="AB96" s="208"/>
      <c r="AC96" s="208"/>
      <c r="AD96" s="208"/>
      <c r="AE96" s="208"/>
      <c r="AF96" s="208"/>
      <c r="AG96" s="2225"/>
      <c r="AH96" s="2204"/>
      <c r="AI96" s="318"/>
      <c r="AJ96" s="318"/>
      <c r="AK96" s="208"/>
      <c r="AL96" s="208"/>
      <c r="AM96" s="2205"/>
      <c r="AN96" s="2204"/>
      <c r="AO96" s="318"/>
      <c r="AP96" s="2205"/>
      <c r="AQ96" s="2204"/>
      <c r="AR96" s="2397"/>
      <c r="AS96" s="692"/>
      <c r="AT96" s="2395"/>
      <c r="AU96" s="2204"/>
      <c r="AV96" s="2205"/>
      <c r="AW96" s="2209"/>
      <c r="AX96" s="2210"/>
      <c r="AY96" s="2210"/>
      <c r="AZ96" s="2210"/>
      <c r="BA96" s="2211"/>
      <c r="BB96" s="2227"/>
      <c r="BC96" s="208"/>
      <c r="BD96" s="208"/>
      <c r="BE96" s="2205"/>
      <c r="BF96" s="2397"/>
      <c r="BG96" s="2204"/>
      <c r="BH96" s="208"/>
      <c r="BI96" s="438"/>
    </row>
    <row r="97" spans="1:61" ht="15" customHeight="1" x14ac:dyDescent="0.25">
      <c r="A97" s="1533"/>
      <c r="B97" s="2224"/>
      <c r="C97" s="2191"/>
      <c r="D97" s="2191"/>
      <c r="E97" s="2386"/>
      <c r="F97" s="2386"/>
      <c r="G97" s="2191"/>
      <c r="H97" s="2226"/>
      <c r="I97" s="2225"/>
      <c r="J97" s="2205"/>
      <c r="K97" s="2225"/>
      <c r="L97" s="2225"/>
      <c r="M97" s="2225"/>
      <c r="N97" s="2225"/>
      <c r="O97" s="2225"/>
      <c r="P97" s="2225"/>
      <c r="Q97" s="2225"/>
      <c r="R97" s="2225"/>
      <c r="S97" s="2225"/>
      <c r="T97" s="2212"/>
      <c r="U97" s="2227"/>
      <c r="V97" s="208"/>
      <c r="W97" s="208"/>
      <c r="X97" s="208"/>
      <c r="Y97" s="208"/>
      <c r="Z97" s="580" t="str">
        <f t="shared" si="2"/>
        <v/>
      </c>
      <c r="AA97" s="208"/>
      <c r="AB97" s="208"/>
      <c r="AC97" s="208"/>
      <c r="AD97" s="208"/>
      <c r="AE97" s="208"/>
      <c r="AF97" s="208"/>
      <c r="AG97" s="2225"/>
      <c r="AH97" s="2204"/>
      <c r="AI97" s="318"/>
      <c r="AJ97" s="318"/>
      <c r="AK97" s="208"/>
      <c r="AL97" s="208"/>
      <c r="AM97" s="2205"/>
      <c r="AN97" s="2204"/>
      <c r="AO97" s="318"/>
      <c r="AP97" s="2205"/>
      <c r="AQ97" s="2204"/>
      <c r="AR97" s="2397"/>
      <c r="AS97" s="692"/>
      <c r="AT97" s="2395"/>
      <c r="AU97" s="2204"/>
      <c r="AV97" s="2205"/>
      <c r="AW97" s="2209"/>
      <c r="AX97" s="2210"/>
      <c r="AY97" s="2210"/>
      <c r="AZ97" s="2210"/>
      <c r="BA97" s="2211"/>
      <c r="BB97" s="2227"/>
      <c r="BC97" s="208"/>
      <c r="BD97" s="208"/>
      <c r="BE97" s="2205"/>
      <c r="BF97" s="2397"/>
      <c r="BG97" s="2204"/>
      <c r="BH97" s="208"/>
      <c r="BI97" s="438"/>
    </row>
    <row r="98" spans="1:61" ht="15" customHeight="1" x14ac:dyDescent="0.25">
      <c r="A98" s="1533"/>
      <c r="B98" s="2224"/>
      <c r="C98" s="2191"/>
      <c r="D98" s="2191"/>
      <c r="E98" s="2386"/>
      <c r="F98" s="2386"/>
      <c r="G98" s="2191"/>
      <c r="H98" s="2226"/>
      <c r="I98" s="2225"/>
      <c r="J98" s="2205"/>
      <c r="K98" s="2225"/>
      <c r="L98" s="2225"/>
      <c r="M98" s="2225"/>
      <c r="N98" s="2225"/>
      <c r="O98" s="2225"/>
      <c r="P98" s="2225"/>
      <c r="Q98" s="2225"/>
      <c r="R98" s="2225"/>
      <c r="S98" s="2225"/>
      <c r="T98" s="2212"/>
      <c r="U98" s="2227"/>
      <c r="V98" s="208"/>
      <c r="W98" s="208"/>
      <c r="X98" s="208"/>
      <c r="Y98" s="208"/>
      <c r="Z98" s="580" t="str">
        <f t="shared" si="2"/>
        <v/>
      </c>
      <c r="AA98" s="208"/>
      <c r="AB98" s="208"/>
      <c r="AC98" s="208"/>
      <c r="AD98" s="208"/>
      <c r="AE98" s="208"/>
      <c r="AF98" s="208"/>
      <c r="AG98" s="2225"/>
      <c r="AH98" s="2204"/>
      <c r="AI98" s="318"/>
      <c r="AJ98" s="318"/>
      <c r="AK98" s="208"/>
      <c r="AL98" s="208"/>
      <c r="AM98" s="2205"/>
      <c r="AN98" s="2204"/>
      <c r="AO98" s="318"/>
      <c r="AP98" s="2205"/>
      <c r="AQ98" s="2204"/>
      <c r="AR98" s="2397"/>
      <c r="AS98" s="692"/>
      <c r="AT98" s="2395"/>
      <c r="AU98" s="2204"/>
      <c r="AV98" s="2205"/>
      <c r="AW98" s="2209"/>
      <c r="AX98" s="2210"/>
      <c r="AY98" s="2210"/>
      <c r="AZ98" s="2210"/>
      <c r="BA98" s="2211"/>
      <c r="BB98" s="2227"/>
      <c r="BC98" s="208"/>
      <c r="BD98" s="208"/>
      <c r="BE98" s="2205"/>
      <c r="BF98" s="2397"/>
      <c r="BG98" s="2204"/>
      <c r="BH98" s="208"/>
      <c r="BI98" s="438"/>
    </row>
    <row r="99" spans="1:61" ht="15" customHeight="1" x14ac:dyDescent="0.25">
      <c r="A99" s="1533"/>
      <c r="B99" s="2224"/>
      <c r="C99" s="2191"/>
      <c r="D99" s="2191"/>
      <c r="E99" s="2386"/>
      <c r="F99" s="2386"/>
      <c r="G99" s="2191"/>
      <c r="H99" s="2226"/>
      <c r="I99" s="2225"/>
      <c r="J99" s="2205"/>
      <c r="K99" s="2225"/>
      <c r="L99" s="2225"/>
      <c r="M99" s="2225"/>
      <c r="N99" s="2225"/>
      <c r="O99" s="2225"/>
      <c r="P99" s="2225"/>
      <c r="Q99" s="2225"/>
      <c r="R99" s="2225"/>
      <c r="S99" s="2225"/>
      <c r="T99" s="2212"/>
      <c r="U99" s="2227"/>
      <c r="V99" s="208"/>
      <c r="W99" s="208"/>
      <c r="X99" s="208"/>
      <c r="Y99" s="208"/>
      <c r="Z99" s="580" t="str">
        <f t="shared" si="2"/>
        <v/>
      </c>
      <c r="AA99" s="208"/>
      <c r="AB99" s="208"/>
      <c r="AC99" s="208"/>
      <c r="AD99" s="208"/>
      <c r="AE99" s="208"/>
      <c r="AF99" s="208"/>
      <c r="AG99" s="2225"/>
      <c r="AH99" s="2204"/>
      <c r="AI99" s="318"/>
      <c r="AJ99" s="318"/>
      <c r="AK99" s="208"/>
      <c r="AL99" s="208"/>
      <c r="AM99" s="2205"/>
      <c r="AN99" s="2204"/>
      <c r="AO99" s="318"/>
      <c r="AP99" s="2205"/>
      <c r="AQ99" s="2204"/>
      <c r="AR99" s="2397"/>
      <c r="AS99" s="692"/>
      <c r="AT99" s="2395"/>
      <c r="AU99" s="2204"/>
      <c r="AV99" s="2205"/>
      <c r="AW99" s="2209"/>
      <c r="AX99" s="2210"/>
      <c r="AY99" s="2210"/>
      <c r="AZ99" s="2210"/>
      <c r="BA99" s="2211"/>
      <c r="BB99" s="2227"/>
      <c r="BC99" s="208"/>
      <c r="BD99" s="208"/>
      <c r="BE99" s="2205"/>
      <c r="BF99" s="2397"/>
      <c r="BG99" s="2204"/>
      <c r="BH99" s="208"/>
      <c r="BI99" s="438"/>
    </row>
    <row r="100" spans="1:61" ht="15" customHeight="1" x14ac:dyDescent="0.25">
      <c r="A100" s="1533"/>
      <c r="B100" s="2224"/>
      <c r="C100" s="2191"/>
      <c r="D100" s="2191"/>
      <c r="E100" s="2386"/>
      <c r="F100" s="2386"/>
      <c r="G100" s="2191"/>
      <c r="H100" s="2226"/>
      <c r="I100" s="2225"/>
      <c r="J100" s="2205"/>
      <c r="K100" s="2225"/>
      <c r="L100" s="2225"/>
      <c r="M100" s="2225"/>
      <c r="N100" s="2225"/>
      <c r="O100" s="2225"/>
      <c r="P100" s="2225"/>
      <c r="Q100" s="2225"/>
      <c r="R100" s="2225"/>
      <c r="S100" s="2225"/>
      <c r="T100" s="2212"/>
      <c r="U100" s="2227"/>
      <c r="V100" s="208"/>
      <c r="W100" s="208"/>
      <c r="X100" s="208"/>
      <c r="Y100" s="208"/>
      <c r="Z100" s="580" t="str">
        <f t="shared" si="2"/>
        <v/>
      </c>
      <c r="AA100" s="208"/>
      <c r="AB100" s="208"/>
      <c r="AC100" s="208"/>
      <c r="AD100" s="208"/>
      <c r="AE100" s="208"/>
      <c r="AF100" s="208"/>
      <c r="AG100" s="2225"/>
      <c r="AH100" s="2204"/>
      <c r="AI100" s="318"/>
      <c r="AJ100" s="318"/>
      <c r="AK100" s="208"/>
      <c r="AL100" s="208"/>
      <c r="AM100" s="2205"/>
      <c r="AN100" s="2204"/>
      <c r="AO100" s="318"/>
      <c r="AP100" s="2205"/>
      <c r="AQ100" s="2204"/>
      <c r="AR100" s="2397"/>
      <c r="AS100" s="692"/>
      <c r="AT100" s="2395"/>
      <c r="AU100" s="2204"/>
      <c r="AV100" s="2205"/>
      <c r="AW100" s="2209"/>
      <c r="AX100" s="2210"/>
      <c r="AY100" s="2210"/>
      <c r="AZ100" s="2210"/>
      <c r="BA100" s="2211"/>
      <c r="BB100" s="2227"/>
      <c r="BC100" s="208"/>
      <c r="BD100" s="208"/>
      <c r="BE100" s="2205"/>
      <c r="BF100" s="2397"/>
      <c r="BG100" s="2204"/>
      <c r="BH100" s="208"/>
      <c r="BI100" s="438"/>
    </row>
    <row r="101" spans="1:61" ht="15" customHeight="1" x14ac:dyDescent="0.25">
      <c r="A101" s="1533"/>
      <c r="B101" s="2224"/>
      <c r="C101" s="2191"/>
      <c r="D101" s="2191"/>
      <c r="E101" s="2386"/>
      <c r="F101" s="2386"/>
      <c r="G101" s="2191"/>
      <c r="H101" s="2226"/>
      <c r="I101" s="2225"/>
      <c r="J101" s="2205"/>
      <c r="K101" s="2225"/>
      <c r="L101" s="2225"/>
      <c r="M101" s="2225"/>
      <c r="N101" s="2225"/>
      <c r="O101" s="2225"/>
      <c r="P101" s="2225"/>
      <c r="Q101" s="2225"/>
      <c r="R101" s="2225"/>
      <c r="S101" s="2225"/>
      <c r="T101" s="2212"/>
      <c r="U101" s="2227"/>
      <c r="V101" s="208"/>
      <c r="W101" s="208"/>
      <c r="X101" s="208"/>
      <c r="Y101" s="208"/>
      <c r="Z101" s="580" t="str">
        <f t="shared" si="2"/>
        <v/>
      </c>
      <c r="AA101" s="208"/>
      <c r="AB101" s="208"/>
      <c r="AC101" s="208"/>
      <c r="AD101" s="208"/>
      <c r="AE101" s="208"/>
      <c r="AF101" s="208"/>
      <c r="AG101" s="2225"/>
      <c r="AH101" s="2204"/>
      <c r="AI101" s="318"/>
      <c r="AJ101" s="318"/>
      <c r="AK101" s="208"/>
      <c r="AL101" s="208"/>
      <c r="AM101" s="2205"/>
      <c r="AN101" s="2204"/>
      <c r="AO101" s="318"/>
      <c r="AP101" s="2205"/>
      <c r="AQ101" s="2204"/>
      <c r="AR101" s="2397"/>
      <c r="AS101" s="692"/>
      <c r="AT101" s="2395"/>
      <c r="AU101" s="2204"/>
      <c r="AV101" s="2205"/>
      <c r="AW101" s="2209"/>
      <c r="AX101" s="2210"/>
      <c r="AY101" s="2210"/>
      <c r="AZ101" s="2210"/>
      <c r="BA101" s="2211"/>
      <c r="BB101" s="2227"/>
      <c r="BC101" s="208"/>
      <c r="BD101" s="208"/>
      <c r="BE101" s="2205"/>
      <c r="BF101" s="2397"/>
      <c r="BG101" s="2204"/>
      <c r="BH101" s="208"/>
      <c r="BI101" s="438"/>
    </row>
    <row r="102" spans="1:61" ht="15" customHeight="1" x14ac:dyDescent="0.25">
      <c r="A102" s="1533"/>
      <c r="B102" s="2224"/>
      <c r="C102" s="2191"/>
      <c r="D102" s="2191"/>
      <c r="E102" s="2386"/>
      <c r="F102" s="2386"/>
      <c r="G102" s="2191"/>
      <c r="H102" s="2226"/>
      <c r="I102" s="2225"/>
      <c r="J102" s="2205"/>
      <c r="K102" s="2225"/>
      <c r="L102" s="2225"/>
      <c r="M102" s="2225"/>
      <c r="N102" s="2225"/>
      <c r="O102" s="2225"/>
      <c r="P102" s="2225"/>
      <c r="Q102" s="2225"/>
      <c r="R102" s="2225"/>
      <c r="S102" s="2225"/>
      <c r="T102" s="2212"/>
      <c r="U102" s="2227"/>
      <c r="V102" s="208"/>
      <c r="W102" s="208"/>
      <c r="X102" s="208"/>
      <c r="Y102" s="208"/>
      <c r="Z102" s="580" t="str">
        <f t="shared" si="2"/>
        <v/>
      </c>
      <c r="AA102" s="208"/>
      <c r="AB102" s="208"/>
      <c r="AC102" s="208"/>
      <c r="AD102" s="208"/>
      <c r="AE102" s="208"/>
      <c r="AF102" s="208"/>
      <c r="AG102" s="2225"/>
      <c r="AH102" s="2204"/>
      <c r="AI102" s="318"/>
      <c r="AJ102" s="318"/>
      <c r="AK102" s="208"/>
      <c r="AL102" s="208"/>
      <c r="AM102" s="2205"/>
      <c r="AN102" s="2204"/>
      <c r="AO102" s="318"/>
      <c r="AP102" s="2205"/>
      <c r="AQ102" s="2204"/>
      <c r="AR102" s="2397"/>
      <c r="AS102" s="692"/>
      <c r="AT102" s="2395"/>
      <c r="AU102" s="2204"/>
      <c r="AV102" s="2205"/>
      <c r="AW102" s="2209"/>
      <c r="AX102" s="2210"/>
      <c r="AY102" s="2210"/>
      <c r="AZ102" s="2210"/>
      <c r="BA102" s="2211"/>
      <c r="BB102" s="2227"/>
      <c r="BC102" s="208"/>
      <c r="BD102" s="208"/>
      <c r="BE102" s="2205"/>
      <c r="BF102" s="2397"/>
      <c r="BG102" s="2204"/>
      <c r="BH102" s="208"/>
      <c r="BI102" s="438"/>
    </row>
    <row r="103" spans="1:61" ht="15" customHeight="1" x14ac:dyDescent="0.25">
      <c r="A103" s="1533"/>
      <c r="B103" s="2224"/>
      <c r="C103" s="2191"/>
      <c r="D103" s="2191"/>
      <c r="E103" s="2386"/>
      <c r="F103" s="2386"/>
      <c r="G103" s="2191"/>
      <c r="H103" s="2226"/>
      <c r="I103" s="2225"/>
      <c r="J103" s="2205"/>
      <c r="K103" s="2225"/>
      <c r="L103" s="2225"/>
      <c r="M103" s="2225"/>
      <c r="N103" s="2225"/>
      <c r="O103" s="2225"/>
      <c r="P103" s="2225"/>
      <c r="Q103" s="2225"/>
      <c r="R103" s="2225"/>
      <c r="S103" s="2225"/>
      <c r="T103" s="2212"/>
      <c r="U103" s="2227"/>
      <c r="V103" s="208"/>
      <c r="W103" s="208"/>
      <c r="X103" s="208"/>
      <c r="Y103" s="208"/>
      <c r="Z103" s="580" t="str">
        <f t="shared" si="2"/>
        <v/>
      </c>
      <c r="AA103" s="208"/>
      <c r="AB103" s="208"/>
      <c r="AC103" s="208"/>
      <c r="AD103" s="208"/>
      <c r="AE103" s="208"/>
      <c r="AF103" s="208"/>
      <c r="AG103" s="2225"/>
      <c r="AH103" s="2204"/>
      <c r="AI103" s="318"/>
      <c r="AJ103" s="318"/>
      <c r="AK103" s="208"/>
      <c r="AL103" s="208"/>
      <c r="AM103" s="2205"/>
      <c r="AN103" s="2204"/>
      <c r="AO103" s="318"/>
      <c r="AP103" s="2205"/>
      <c r="AQ103" s="2204"/>
      <c r="AR103" s="2397"/>
      <c r="AS103" s="692"/>
      <c r="AT103" s="2395"/>
      <c r="AU103" s="2204"/>
      <c r="AV103" s="2205"/>
      <c r="AW103" s="2209"/>
      <c r="AX103" s="2210"/>
      <c r="AY103" s="2210"/>
      <c r="AZ103" s="2210"/>
      <c r="BA103" s="2211"/>
      <c r="BB103" s="2227"/>
      <c r="BC103" s="208"/>
      <c r="BD103" s="208"/>
      <c r="BE103" s="2205"/>
      <c r="BF103" s="2397"/>
      <c r="BG103" s="2204"/>
      <c r="BH103" s="208"/>
      <c r="BI103" s="438"/>
    </row>
    <row r="104" spans="1:61" ht="15" customHeight="1" x14ac:dyDescent="0.25">
      <c r="A104" s="1533"/>
      <c r="B104" s="2224"/>
      <c r="C104" s="2191"/>
      <c r="D104" s="2191"/>
      <c r="E104" s="2386"/>
      <c r="F104" s="2386"/>
      <c r="G104" s="2191"/>
      <c r="H104" s="2226"/>
      <c r="I104" s="2225"/>
      <c r="J104" s="2205"/>
      <c r="K104" s="2225"/>
      <c r="L104" s="2225"/>
      <c r="M104" s="2225"/>
      <c r="N104" s="2225"/>
      <c r="O104" s="2225"/>
      <c r="P104" s="2225"/>
      <c r="Q104" s="2225"/>
      <c r="R104" s="2225"/>
      <c r="S104" s="2225"/>
      <c r="T104" s="2212"/>
      <c r="U104" s="2227"/>
      <c r="V104" s="208"/>
      <c r="W104" s="208"/>
      <c r="X104" s="208"/>
      <c r="Y104" s="208"/>
      <c r="Z104" s="580" t="str">
        <f t="shared" si="2"/>
        <v/>
      </c>
      <c r="AA104" s="208"/>
      <c r="AB104" s="208"/>
      <c r="AC104" s="208"/>
      <c r="AD104" s="208"/>
      <c r="AE104" s="208"/>
      <c r="AF104" s="208"/>
      <c r="AG104" s="2225"/>
      <c r="AH104" s="2204"/>
      <c r="AI104" s="318"/>
      <c r="AJ104" s="318"/>
      <c r="AK104" s="208"/>
      <c r="AL104" s="208"/>
      <c r="AM104" s="2205"/>
      <c r="AN104" s="2204"/>
      <c r="AO104" s="318"/>
      <c r="AP104" s="2205"/>
      <c r="AQ104" s="2204"/>
      <c r="AR104" s="2397"/>
      <c r="AS104" s="692"/>
      <c r="AT104" s="2395"/>
      <c r="AU104" s="2204"/>
      <c r="AV104" s="2205"/>
      <c r="AW104" s="2209"/>
      <c r="AX104" s="2210"/>
      <c r="AY104" s="2210"/>
      <c r="AZ104" s="2210"/>
      <c r="BA104" s="2211"/>
      <c r="BB104" s="2227"/>
      <c r="BC104" s="208"/>
      <c r="BD104" s="208"/>
      <c r="BE104" s="2205"/>
      <c r="BF104" s="2397"/>
      <c r="BG104" s="2204"/>
      <c r="BH104" s="208"/>
      <c r="BI104" s="438"/>
    </row>
    <row r="105" spans="1:61" ht="15" customHeight="1" x14ac:dyDescent="0.25">
      <c r="A105" s="1533"/>
      <c r="B105" s="2224"/>
      <c r="C105" s="2191"/>
      <c r="D105" s="2191"/>
      <c r="E105" s="2386"/>
      <c r="F105" s="2386"/>
      <c r="G105" s="2191"/>
      <c r="H105" s="2226"/>
      <c r="I105" s="2225"/>
      <c r="J105" s="2205"/>
      <c r="K105" s="2225"/>
      <c r="L105" s="2225"/>
      <c r="M105" s="2225"/>
      <c r="N105" s="2225"/>
      <c r="O105" s="2225"/>
      <c r="P105" s="2225"/>
      <c r="Q105" s="2225"/>
      <c r="R105" s="2225"/>
      <c r="S105" s="2225"/>
      <c r="T105" s="2212"/>
      <c r="U105" s="2227"/>
      <c r="V105" s="208"/>
      <c r="W105" s="208"/>
      <c r="X105" s="208"/>
      <c r="Y105" s="208"/>
      <c r="Z105" s="580" t="str">
        <f t="shared" si="2"/>
        <v/>
      </c>
      <c r="AA105" s="208"/>
      <c r="AB105" s="208"/>
      <c r="AC105" s="208"/>
      <c r="AD105" s="208"/>
      <c r="AE105" s="208"/>
      <c r="AF105" s="208"/>
      <c r="AG105" s="2225"/>
      <c r="AH105" s="2204"/>
      <c r="AI105" s="318"/>
      <c r="AJ105" s="318"/>
      <c r="AK105" s="208"/>
      <c r="AL105" s="208"/>
      <c r="AM105" s="2205"/>
      <c r="AN105" s="2204"/>
      <c r="AO105" s="318"/>
      <c r="AP105" s="2205"/>
      <c r="AQ105" s="2204"/>
      <c r="AR105" s="2397"/>
      <c r="AS105" s="692"/>
      <c r="AT105" s="2395"/>
      <c r="AU105" s="2204"/>
      <c r="AV105" s="2205"/>
      <c r="AW105" s="2209"/>
      <c r="AX105" s="2210"/>
      <c r="AY105" s="2210"/>
      <c r="AZ105" s="2210"/>
      <c r="BA105" s="2211"/>
      <c r="BB105" s="2227"/>
      <c r="BC105" s="208"/>
      <c r="BD105" s="208"/>
      <c r="BE105" s="2205"/>
      <c r="BF105" s="2397"/>
      <c r="BG105" s="2204"/>
      <c r="BH105" s="208"/>
      <c r="BI105" s="438"/>
    </row>
    <row r="106" spans="1:61" ht="15" customHeight="1" x14ac:dyDescent="0.25">
      <c r="A106" s="1533"/>
      <c r="B106" s="2224"/>
      <c r="C106" s="2191"/>
      <c r="D106" s="2191"/>
      <c r="E106" s="2386"/>
      <c r="F106" s="2386"/>
      <c r="G106" s="2191"/>
      <c r="H106" s="2226"/>
      <c r="I106" s="2225"/>
      <c r="J106" s="2205"/>
      <c r="K106" s="2225"/>
      <c r="L106" s="2225"/>
      <c r="M106" s="2225"/>
      <c r="N106" s="2225"/>
      <c r="O106" s="2225"/>
      <c r="P106" s="2225"/>
      <c r="Q106" s="2225"/>
      <c r="R106" s="2225"/>
      <c r="S106" s="2225"/>
      <c r="T106" s="2212"/>
      <c r="U106" s="2227"/>
      <c r="V106" s="208"/>
      <c r="W106" s="208"/>
      <c r="X106" s="208"/>
      <c r="Y106" s="208"/>
      <c r="Z106" s="580" t="str">
        <f t="shared" si="2"/>
        <v/>
      </c>
      <c r="AA106" s="208"/>
      <c r="AB106" s="208"/>
      <c r="AC106" s="208"/>
      <c r="AD106" s="208"/>
      <c r="AE106" s="208"/>
      <c r="AF106" s="208"/>
      <c r="AG106" s="2225"/>
      <c r="AH106" s="2204"/>
      <c r="AI106" s="318"/>
      <c r="AJ106" s="318"/>
      <c r="AK106" s="208"/>
      <c r="AL106" s="208"/>
      <c r="AM106" s="2205"/>
      <c r="AN106" s="2204"/>
      <c r="AO106" s="318"/>
      <c r="AP106" s="2205"/>
      <c r="AQ106" s="2204"/>
      <c r="AR106" s="2397"/>
      <c r="AS106" s="692"/>
      <c r="AT106" s="2395"/>
      <c r="AU106" s="2204"/>
      <c r="AV106" s="2205"/>
      <c r="AW106" s="2209"/>
      <c r="AX106" s="2210"/>
      <c r="AY106" s="2210"/>
      <c r="AZ106" s="2210"/>
      <c r="BA106" s="2211"/>
      <c r="BB106" s="2227"/>
      <c r="BC106" s="208"/>
      <c r="BD106" s="208"/>
      <c r="BE106" s="2205"/>
      <c r="BF106" s="2397"/>
      <c r="BG106" s="2204"/>
      <c r="BH106" s="208"/>
      <c r="BI106" s="438"/>
    </row>
    <row r="107" spans="1:61" ht="15" customHeight="1" x14ac:dyDescent="0.25">
      <c r="A107" s="1533"/>
      <c r="B107" s="2224"/>
      <c r="C107" s="2191"/>
      <c r="D107" s="2191"/>
      <c r="E107" s="2386"/>
      <c r="F107" s="2386"/>
      <c r="G107" s="2191"/>
      <c r="H107" s="2226"/>
      <c r="I107" s="2225"/>
      <c r="J107" s="2205"/>
      <c r="K107" s="2225"/>
      <c r="L107" s="2225"/>
      <c r="M107" s="2225"/>
      <c r="N107" s="2225"/>
      <c r="O107" s="2225"/>
      <c r="P107" s="2225"/>
      <c r="Q107" s="2225"/>
      <c r="R107" s="2225"/>
      <c r="S107" s="2225"/>
      <c r="T107" s="2212"/>
      <c r="U107" s="2227"/>
      <c r="V107" s="208"/>
      <c r="W107" s="208"/>
      <c r="X107" s="208"/>
      <c r="Y107" s="208"/>
      <c r="Z107" s="580" t="str">
        <f t="shared" si="2"/>
        <v/>
      </c>
      <c r="AA107" s="208"/>
      <c r="AB107" s="208"/>
      <c r="AC107" s="208"/>
      <c r="AD107" s="208"/>
      <c r="AE107" s="208"/>
      <c r="AF107" s="208"/>
      <c r="AG107" s="2225"/>
      <c r="AH107" s="2204"/>
      <c r="AI107" s="318"/>
      <c r="AJ107" s="318"/>
      <c r="AK107" s="208"/>
      <c r="AL107" s="208"/>
      <c r="AM107" s="2205"/>
      <c r="AN107" s="2204"/>
      <c r="AO107" s="318"/>
      <c r="AP107" s="2205"/>
      <c r="AQ107" s="2204"/>
      <c r="AR107" s="2397"/>
      <c r="AS107" s="692"/>
      <c r="AT107" s="2395"/>
      <c r="AU107" s="2204"/>
      <c r="AV107" s="2205"/>
      <c r="AW107" s="2209"/>
      <c r="AX107" s="2210"/>
      <c r="AY107" s="2210"/>
      <c r="AZ107" s="2210"/>
      <c r="BA107" s="2211"/>
      <c r="BB107" s="2227"/>
      <c r="BC107" s="208"/>
      <c r="BD107" s="208"/>
      <c r="BE107" s="2205"/>
      <c r="BF107" s="2397"/>
      <c r="BG107" s="2204"/>
      <c r="BH107" s="208"/>
      <c r="BI107" s="438"/>
    </row>
    <row r="108" spans="1:61" ht="15" customHeight="1" x14ac:dyDescent="0.25">
      <c r="A108" s="1533"/>
      <c r="B108" s="2224"/>
      <c r="C108" s="2191"/>
      <c r="D108" s="2191"/>
      <c r="E108" s="2386"/>
      <c r="F108" s="2386"/>
      <c r="G108" s="2191"/>
      <c r="H108" s="2226"/>
      <c r="I108" s="2225"/>
      <c r="J108" s="2205"/>
      <c r="K108" s="2225"/>
      <c r="L108" s="2225"/>
      <c r="M108" s="2225"/>
      <c r="N108" s="2225"/>
      <c r="O108" s="2225"/>
      <c r="P108" s="2225"/>
      <c r="Q108" s="2225"/>
      <c r="R108" s="2225"/>
      <c r="S108" s="2225"/>
      <c r="T108" s="2212"/>
      <c r="U108" s="2227"/>
      <c r="V108" s="208"/>
      <c r="W108" s="208"/>
      <c r="X108" s="208"/>
      <c r="Y108" s="208"/>
      <c r="Z108" s="580" t="str">
        <f t="shared" si="2"/>
        <v/>
      </c>
      <c r="AA108" s="208"/>
      <c r="AB108" s="208"/>
      <c r="AC108" s="208"/>
      <c r="AD108" s="208"/>
      <c r="AE108" s="208"/>
      <c r="AF108" s="208"/>
      <c r="AG108" s="2225"/>
      <c r="AH108" s="2204"/>
      <c r="AI108" s="318"/>
      <c r="AJ108" s="318"/>
      <c r="AK108" s="208"/>
      <c r="AL108" s="208"/>
      <c r="AM108" s="2205"/>
      <c r="AN108" s="2204"/>
      <c r="AO108" s="318"/>
      <c r="AP108" s="2205"/>
      <c r="AQ108" s="2204"/>
      <c r="AR108" s="2397"/>
      <c r="AS108" s="692"/>
      <c r="AT108" s="2395"/>
      <c r="AU108" s="2204"/>
      <c r="AV108" s="2205"/>
      <c r="AW108" s="2209"/>
      <c r="AX108" s="2210"/>
      <c r="AY108" s="2210"/>
      <c r="AZ108" s="2210"/>
      <c r="BA108" s="2211"/>
      <c r="BB108" s="2227"/>
      <c r="BC108" s="208"/>
      <c r="BD108" s="208"/>
      <c r="BE108" s="2205"/>
      <c r="BF108" s="2397"/>
      <c r="BG108" s="2204"/>
      <c r="BH108" s="208"/>
      <c r="BI108" s="438"/>
    </row>
    <row r="109" spans="1:61" ht="15" customHeight="1" x14ac:dyDescent="0.25">
      <c r="A109" s="1533"/>
      <c r="B109" s="2224"/>
      <c r="C109" s="2191"/>
      <c r="D109" s="2191"/>
      <c r="E109" s="2386"/>
      <c r="F109" s="2386"/>
      <c r="G109" s="2191"/>
      <c r="H109" s="2226"/>
      <c r="I109" s="2225"/>
      <c r="J109" s="2205"/>
      <c r="K109" s="2225"/>
      <c r="L109" s="2225"/>
      <c r="M109" s="2225"/>
      <c r="N109" s="2225"/>
      <c r="O109" s="2225"/>
      <c r="P109" s="2225"/>
      <c r="Q109" s="2225"/>
      <c r="R109" s="2225"/>
      <c r="S109" s="2225"/>
      <c r="T109" s="2212"/>
      <c r="U109" s="2227"/>
      <c r="V109" s="208"/>
      <c r="W109" s="208"/>
      <c r="X109" s="208"/>
      <c r="Y109" s="208"/>
      <c r="Z109" s="580" t="str">
        <f t="shared" si="2"/>
        <v/>
      </c>
      <c r="AA109" s="208"/>
      <c r="AB109" s="208"/>
      <c r="AC109" s="208"/>
      <c r="AD109" s="208"/>
      <c r="AE109" s="208"/>
      <c r="AF109" s="208"/>
      <c r="AG109" s="2225"/>
      <c r="AH109" s="2204"/>
      <c r="AI109" s="318"/>
      <c r="AJ109" s="318"/>
      <c r="AK109" s="208"/>
      <c r="AL109" s="208"/>
      <c r="AM109" s="2205"/>
      <c r="AN109" s="2204"/>
      <c r="AO109" s="318"/>
      <c r="AP109" s="2205"/>
      <c r="AQ109" s="2204"/>
      <c r="AR109" s="2397"/>
      <c r="AS109" s="692"/>
      <c r="AT109" s="2395"/>
      <c r="AU109" s="2204"/>
      <c r="AV109" s="2205"/>
      <c r="AW109" s="2209"/>
      <c r="AX109" s="2210"/>
      <c r="AY109" s="2210"/>
      <c r="AZ109" s="2210"/>
      <c r="BA109" s="2211"/>
      <c r="BB109" s="2227"/>
      <c r="BC109" s="208"/>
      <c r="BD109" s="208"/>
      <c r="BE109" s="2205"/>
      <c r="BF109" s="2397"/>
      <c r="BG109" s="2204"/>
      <c r="BH109" s="208"/>
      <c r="BI109" s="438"/>
    </row>
    <row r="110" spans="1:61" ht="15" customHeight="1" x14ac:dyDescent="0.25">
      <c r="A110" s="1533"/>
      <c r="B110" s="2224"/>
      <c r="C110" s="2191"/>
      <c r="D110" s="2191"/>
      <c r="E110" s="2386"/>
      <c r="F110" s="2386"/>
      <c r="G110" s="2191"/>
      <c r="H110" s="2226"/>
      <c r="I110" s="2225"/>
      <c r="J110" s="2205"/>
      <c r="K110" s="2225"/>
      <c r="L110" s="2225"/>
      <c r="M110" s="2225"/>
      <c r="N110" s="2225"/>
      <c r="O110" s="2225"/>
      <c r="P110" s="2225"/>
      <c r="Q110" s="2225"/>
      <c r="R110" s="2225"/>
      <c r="S110" s="2225"/>
      <c r="T110" s="2212"/>
      <c r="U110" s="2227"/>
      <c r="V110" s="208"/>
      <c r="W110" s="208"/>
      <c r="X110" s="208"/>
      <c r="Y110" s="208"/>
      <c r="Z110" s="580" t="str">
        <f t="shared" si="2"/>
        <v/>
      </c>
      <c r="AA110" s="208"/>
      <c r="AB110" s="208"/>
      <c r="AC110" s="208"/>
      <c r="AD110" s="208"/>
      <c r="AE110" s="208"/>
      <c r="AF110" s="208"/>
      <c r="AG110" s="2225"/>
      <c r="AH110" s="2204"/>
      <c r="AI110" s="318"/>
      <c r="AJ110" s="318"/>
      <c r="AK110" s="208"/>
      <c r="AL110" s="208"/>
      <c r="AM110" s="2205"/>
      <c r="AN110" s="2204"/>
      <c r="AO110" s="318"/>
      <c r="AP110" s="2205"/>
      <c r="AQ110" s="2204"/>
      <c r="AR110" s="2397"/>
      <c r="AS110" s="692"/>
      <c r="AT110" s="2395"/>
      <c r="AU110" s="2204"/>
      <c r="AV110" s="2205"/>
      <c r="AW110" s="2209"/>
      <c r="AX110" s="2210"/>
      <c r="AY110" s="2210"/>
      <c r="AZ110" s="2210"/>
      <c r="BA110" s="2211"/>
      <c r="BB110" s="2227"/>
      <c r="BC110" s="208"/>
      <c r="BD110" s="208"/>
      <c r="BE110" s="2205"/>
      <c r="BF110" s="2397"/>
      <c r="BG110" s="2204"/>
      <c r="BH110" s="208"/>
      <c r="BI110" s="438"/>
    </row>
    <row r="111" spans="1:61" ht="15" customHeight="1" x14ac:dyDescent="0.25">
      <c r="A111" s="1533"/>
      <c r="B111" s="2224"/>
      <c r="C111" s="2191"/>
      <c r="D111" s="2191"/>
      <c r="E111" s="2386"/>
      <c r="F111" s="2386"/>
      <c r="G111" s="2191"/>
      <c r="H111" s="2226"/>
      <c r="I111" s="2225"/>
      <c r="J111" s="2205"/>
      <c r="K111" s="2225"/>
      <c r="L111" s="2225"/>
      <c r="M111" s="2225"/>
      <c r="N111" s="2225"/>
      <c r="O111" s="2225"/>
      <c r="P111" s="2225"/>
      <c r="Q111" s="2225"/>
      <c r="R111" s="2225"/>
      <c r="S111" s="2225"/>
      <c r="T111" s="2212"/>
      <c r="U111" s="2227"/>
      <c r="V111" s="208"/>
      <c r="W111" s="208"/>
      <c r="X111" s="208"/>
      <c r="Y111" s="208"/>
      <c r="Z111" s="580" t="str">
        <f t="shared" si="2"/>
        <v/>
      </c>
      <c r="AA111" s="208"/>
      <c r="AB111" s="208"/>
      <c r="AC111" s="208"/>
      <c r="AD111" s="208"/>
      <c r="AE111" s="208"/>
      <c r="AF111" s="208"/>
      <c r="AG111" s="2225"/>
      <c r="AH111" s="2204"/>
      <c r="AI111" s="318"/>
      <c r="AJ111" s="318"/>
      <c r="AK111" s="208"/>
      <c r="AL111" s="208"/>
      <c r="AM111" s="2205"/>
      <c r="AN111" s="2204"/>
      <c r="AO111" s="318"/>
      <c r="AP111" s="2205"/>
      <c r="AQ111" s="2204"/>
      <c r="AR111" s="2397"/>
      <c r="AS111" s="692"/>
      <c r="AT111" s="2395"/>
      <c r="AU111" s="2204"/>
      <c r="AV111" s="2205"/>
      <c r="AW111" s="2209"/>
      <c r="AX111" s="2210"/>
      <c r="AY111" s="2210"/>
      <c r="AZ111" s="2210"/>
      <c r="BA111" s="2211"/>
      <c r="BB111" s="2227"/>
      <c r="BC111" s="208"/>
      <c r="BD111" s="208"/>
      <c r="BE111" s="2205"/>
      <c r="BF111" s="2397"/>
      <c r="BG111" s="2204"/>
      <c r="BH111" s="208"/>
      <c r="BI111" s="438"/>
    </row>
    <row r="112" spans="1:61" ht="15" customHeight="1" x14ac:dyDescent="0.25">
      <c r="A112" s="1533"/>
      <c r="B112" s="2398"/>
      <c r="C112" s="2399"/>
      <c r="D112" s="2399"/>
      <c r="E112" s="2400"/>
      <c r="F112" s="2400"/>
      <c r="G112" s="2399"/>
      <c r="H112" s="2401"/>
      <c r="I112" s="2402"/>
      <c r="J112" s="2403"/>
      <c r="K112" s="2402"/>
      <c r="L112" s="2402"/>
      <c r="M112" s="2402"/>
      <c r="N112" s="2402"/>
      <c r="O112" s="2402"/>
      <c r="P112" s="2402"/>
      <c r="Q112" s="2402"/>
      <c r="R112" s="2402"/>
      <c r="S112" s="2402"/>
      <c r="T112" s="2404"/>
      <c r="U112" s="2405"/>
      <c r="V112" s="298"/>
      <c r="W112" s="298"/>
      <c r="X112" s="298"/>
      <c r="Y112" s="298"/>
      <c r="Z112" s="2406" t="str">
        <f t="shared" si="2"/>
        <v/>
      </c>
      <c r="AA112" s="298"/>
      <c r="AB112" s="298"/>
      <c r="AC112" s="298"/>
      <c r="AD112" s="298"/>
      <c r="AE112" s="298"/>
      <c r="AF112" s="298"/>
      <c r="AG112" s="2402"/>
      <c r="AH112" s="2228"/>
      <c r="AI112" s="1274"/>
      <c r="AJ112" s="1274"/>
      <c r="AK112" s="298"/>
      <c r="AL112" s="298"/>
      <c r="AM112" s="2403"/>
      <c r="AN112" s="2228"/>
      <c r="AO112" s="1274"/>
      <c r="AP112" s="2403"/>
      <c r="AQ112" s="2228"/>
      <c r="AR112" s="2411"/>
      <c r="AS112" s="691"/>
      <c r="AT112" s="2407"/>
      <c r="AU112" s="2228"/>
      <c r="AV112" s="2403"/>
      <c r="AW112" s="2408"/>
      <c r="AX112" s="2409"/>
      <c r="AY112" s="2409"/>
      <c r="AZ112" s="2409"/>
      <c r="BA112" s="2410"/>
      <c r="BB112" s="2405"/>
      <c r="BC112" s="298"/>
      <c r="BD112" s="298"/>
      <c r="BE112" s="2403"/>
      <c r="BF112" s="2411"/>
      <c r="BG112" s="2228"/>
      <c r="BH112" s="298"/>
      <c r="BI112" s="438"/>
    </row>
    <row r="113" spans="1:61" ht="15" customHeight="1" x14ac:dyDescent="0.25">
      <c r="A113" s="1242"/>
      <c r="B113" s="2189"/>
      <c r="C113" s="2189"/>
      <c r="D113" s="2189"/>
      <c r="E113" s="2189"/>
      <c r="F113" s="2189"/>
      <c r="G113" s="2189"/>
      <c r="H113" s="1446"/>
      <c r="I113" s="1446"/>
      <c r="J113" s="1758"/>
      <c r="K113" s="1446"/>
      <c r="L113" s="1758"/>
      <c r="M113" s="1758"/>
      <c r="N113" s="1446"/>
      <c r="O113" s="1446"/>
      <c r="P113" s="1446"/>
      <c r="Q113" s="1446"/>
      <c r="R113" s="1758"/>
      <c r="S113" s="1446"/>
      <c r="T113" s="1446"/>
      <c r="U113" s="1758"/>
      <c r="V113" s="1758"/>
      <c r="W113" s="1758"/>
      <c r="X113" s="1758"/>
      <c r="Y113" s="1758"/>
      <c r="Z113" s="1758"/>
      <c r="AA113" s="1758"/>
      <c r="AB113" s="1758"/>
      <c r="AC113" s="1758"/>
      <c r="AD113" s="1758"/>
      <c r="AE113" s="1758"/>
      <c r="AF113" s="1758"/>
      <c r="AG113" s="1758"/>
      <c r="AH113" s="1758"/>
      <c r="AI113" s="1758"/>
      <c r="AJ113" s="1758"/>
      <c r="AK113" s="1758"/>
      <c r="AL113" s="1758"/>
      <c r="AM113" s="1758"/>
      <c r="AN113" s="1758"/>
      <c r="AO113" s="1758"/>
      <c r="AP113" s="1758"/>
      <c r="AQ113" s="1758"/>
      <c r="AR113" s="1758"/>
      <c r="AS113" s="1758"/>
      <c r="AT113" s="1758"/>
      <c r="AU113" s="1758"/>
      <c r="AV113" s="1758"/>
      <c r="AW113" s="1758"/>
      <c r="AX113" s="1758"/>
      <c r="AY113" s="1758"/>
      <c r="AZ113" s="1758"/>
      <c r="BA113" s="1758"/>
      <c r="BB113" s="1758"/>
      <c r="BC113" s="1758"/>
      <c r="BD113" s="1758"/>
      <c r="BE113" s="1758"/>
      <c r="BF113" s="1758"/>
      <c r="BG113" s="1758"/>
      <c r="BH113" s="1758"/>
      <c r="BI113" s="1243"/>
    </row>
    <row r="114" spans="1:61" ht="15" hidden="1" customHeight="1" x14ac:dyDescent="0.25">
      <c r="B114" s="1487"/>
      <c r="C114" s="109"/>
      <c r="D114" s="109"/>
      <c r="E114" s="109"/>
      <c r="F114" s="109"/>
      <c r="G114" s="109"/>
      <c r="H114" s="185"/>
      <c r="I114" s="109"/>
      <c r="J114" s="109"/>
      <c r="K114" s="1487"/>
      <c r="L114" s="1487"/>
      <c r="M114" s="1487"/>
      <c r="N114" s="1487"/>
      <c r="O114" s="1487"/>
      <c r="P114" s="1487"/>
      <c r="Q114" s="1487"/>
      <c r="R114" s="1487"/>
      <c r="S114" s="1487"/>
      <c r="T114" s="1487"/>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487"/>
    </row>
    <row r="115" spans="1:61" ht="15" hidden="1" customHeight="1" x14ac:dyDescent="0.25">
      <c r="B115" s="1487"/>
      <c r="C115" s="109"/>
      <c r="D115" s="109"/>
      <c r="E115" s="109"/>
      <c r="F115" s="109"/>
      <c r="G115" s="109"/>
      <c r="H115" s="185"/>
      <c r="I115" s="109"/>
      <c r="J115" s="109"/>
      <c r="K115" s="1487"/>
      <c r="L115" s="1487"/>
      <c r="M115" s="1487"/>
      <c r="N115" s="1487"/>
      <c r="O115" s="1487"/>
      <c r="P115" s="1487"/>
      <c r="Q115" s="1487"/>
      <c r="R115" s="1487"/>
      <c r="S115" s="1487"/>
      <c r="T115" s="1487"/>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487"/>
    </row>
    <row r="116" spans="1:61" ht="15" hidden="1" customHeight="1" x14ac:dyDescent="0.25">
      <c r="B116" s="1487"/>
      <c r="C116" s="109"/>
      <c r="D116" s="109"/>
      <c r="E116" s="109"/>
      <c r="F116" s="109"/>
      <c r="G116" s="109"/>
      <c r="H116" s="185"/>
      <c r="I116" s="109"/>
      <c r="J116" s="109"/>
      <c r="K116" s="1487"/>
      <c r="L116" s="1487"/>
      <c r="M116" s="1487"/>
      <c r="N116" s="1487"/>
      <c r="O116" s="1487"/>
      <c r="P116" s="1487"/>
      <c r="Q116" s="1487"/>
      <c r="R116" s="1487"/>
      <c r="S116" s="1487"/>
      <c r="T116" s="1487"/>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487"/>
    </row>
    <row r="117" spans="1:61" ht="15" hidden="1" customHeight="1" x14ac:dyDescent="0.25">
      <c r="B117" s="1487"/>
      <c r="C117" s="109"/>
      <c r="D117" s="109"/>
      <c r="E117" s="109"/>
      <c r="F117" s="109"/>
      <c r="G117" s="109"/>
      <c r="H117" s="185"/>
      <c r="I117" s="109"/>
      <c r="J117" s="109"/>
      <c r="K117" s="1487"/>
      <c r="L117" s="1487"/>
      <c r="M117" s="1487"/>
      <c r="N117" s="1487"/>
      <c r="O117" s="1487"/>
      <c r="P117" s="1487"/>
      <c r="Q117" s="1487"/>
      <c r="R117" s="1487"/>
      <c r="S117" s="1487"/>
      <c r="T117" s="1487"/>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487"/>
    </row>
    <row r="118" spans="1:61" ht="15" hidden="1" customHeight="1" x14ac:dyDescent="0.25">
      <c r="B118" s="1487"/>
      <c r="C118" s="109"/>
      <c r="D118" s="109"/>
      <c r="E118" s="109"/>
      <c r="F118" s="109"/>
      <c r="G118" s="109"/>
      <c r="H118" s="185"/>
      <c r="I118" s="109"/>
      <c r="J118" s="109"/>
      <c r="K118" s="1487"/>
      <c r="L118" s="1487"/>
      <c r="M118" s="1487"/>
      <c r="N118" s="1487"/>
      <c r="O118" s="1487"/>
      <c r="P118" s="1487"/>
      <c r="Q118" s="1487"/>
      <c r="R118" s="1487"/>
      <c r="S118" s="1487"/>
      <c r="T118" s="1487"/>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487"/>
    </row>
    <row r="119" spans="1:61" hidden="1" x14ac:dyDescent="0.25">
      <c r="B119" s="1487"/>
      <c r="C119" s="109"/>
      <c r="D119" s="109"/>
      <c r="E119" s="109"/>
      <c r="F119" s="109"/>
      <c r="G119" s="109"/>
      <c r="H119" s="185"/>
      <c r="I119" s="109"/>
      <c r="J119" s="109"/>
      <c r="K119" s="1487"/>
      <c r="L119" s="1487"/>
      <c r="M119" s="1487"/>
      <c r="N119" s="1487"/>
      <c r="O119" s="1487"/>
      <c r="P119" s="1487"/>
      <c r="Q119" s="1487"/>
      <c r="R119" s="1487"/>
      <c r="S119" s="1487"/>
      <c r="T119" s="1487"/>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487"/>
    </row>
  </sheetData>
  <mergeCells count="67">
    <mergeCell ref="B8:B10"/>
    <mergeCell ref="C8:C10"/>
    <mergeCell ref="D8:D10"/>
    <mergeCell ref="B7:D7"/>
    <mergeCell ref="E7:E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B4:H4"/>
    <mergeCell ref="B3:H3"/>
    <mergeCell ref="AH7:AL7"/>
    <mergeCell ref="H7:J7"/>
    <mergeCell ref="U7:AG7"/>
    <mergeCell ref="K7:T7"/>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M9:M10"/>
    <mergeCell ref="N9:N10"/>
    <mergeCell ref="AH8:AI9"/>
    <mergeCell ref="AN8:AO9"/>
    <mergeCell ref="AP8:AP10"/>
    <mergeCell ref="AG8:AG10"/>
    <mergeCell ref="S8:S10"/>
    <mergeCell ref="T8:T10"/>
    <mergeCell ref="U8:Y8"/>
    <mergeCell ref="Z8:Z10"/>
    <mergeCell ref="Y9:Y10"/>
    <mergeCell ref="U9:W9"/>
    <mergeCell ref="X9:X10"/>
  </mergeCells>
  <conditionalFormatting sqref="T12:Y112 H11:R112 AA12:BH112 T11:BF11">
    <cfRule type="cellIs" dxfId="28" priority="139" stopIfTrue="1" operator="lessThan">
      <formula>0</formula>
    </cfRule>
  </conditionalFormatting>
  <conditionalFormatting sqref="Y9:Y11 AF10:AF11">
    <cfRule type="cellIs" dxfId="27" priority="19" stopIfTrue="1" operator="equal">
      <formula>"Pass"</formula>
    </cfRule>
    <cfRule type="cellIs" dxfId="26" priority="20" stopIfTrue="1" operator="equal">
      <formula>"please check"</formula>
    </cfRule>
  </conditionalFormatting>
  <conditionalFormatting sqref="AE10:AE11">
    <cfRule type="cellIs" dxfId="25" priority="13" stopIfTrue="1" operator="equal">
      <formula>"Pass"</formula>
    </cfRule>
    <cfRule type="cellIs" dxfId="24" priority="14" stopIfTrue="1" operator="equal">
      <formula>"please check"</formula>
    </cfRule>
  </conditionalFormatting>
  <conditionalFormatting sqref="Z12:Z112">
    <cfRule type="cellIs" dxfId="23" priority="12" stopIfTrue="1" operator="lessThan">
      <formula>0</formula>
    </cfRule>
  </conditionalFormatting>
  <conditionalFormatting sqref="Z12:Z112">
    <cfRule type="cellIs" dxfId="22" priority="9" stopIfTrue="1" operator="equal">
      <formula>"Pass"</formula>
    </cfRule>
    <cfRule type="cellIs" dxfId="21" priority="10" stopIfTrue="1" operator="equal">
      <formula>"please check"</formula>
    </cfRule>
  </conditionalFormatting>
  <conditionalFormatting sqref="Z11">
    <cfRule type="cellIs" dxfId="20" priority="6" stopIfTrue="1" operator="equal">
      <formula>"Pass"</formula>
    </cfRule>
    <cfRule type="cellIs" dxfId="19" priority="7" stopIfTrue="1" operator="equal">
      <formula>"please check"</formula>
    </cfRule>
  </conditionalFormatting>
  <conditionalFormatting sqref="AA11">
    <cfRule type="cellIs" dxfId="18" priority="3" stopIfTrue="1" operator="equal">
      <formula>"Pass"</formula>
    </cfRule>
    <cfRule type="cellIs" dxfId="17" priority="4" stopIfTrue="1" operator="equal">
      <formula>"please check"</formula>
    </cfRule>
  </conditionalFormatting>
  <conditionalFormatting sqref="BG11">
    <cfRule type="cellIs" dxfId="16" priority="2" stopIfTrue="1" operator="lessThan">
      <formula>0</formula>
    </cfRule>
  </conditionalFormatting>
  <conditionalFormatting sqref="BH11">
    <cfRule type="cellIs" dxfId="15" priority="1" stopIfTrue="1" operator="lessThan">
      <formula>0</formula>
    </cfRule>
  </conditionalFormatting>
  <dataValidations count="7">
    <dataValidation type="list" allowBlank="1" showInputMessage="1" showErrorMessage="1" sqref="AG12:AG112" xr:uid="{00000000-0002-0000-1200-000000000000}">
      <formula1>CryptoAssetCLasses</formula1>
    </dataValidation>
    <dataValidation type="list" allowBlank="1" showInputMessage="1" showErrorMessage="1" sqref="I3 I12:I112 K12:M112 O12:Q112" xr:uid="{00000000-0002-0000-1200-000001000000}">
      <formula1>YesNo</formula1>
    </dataValidation>
    <dataValidation type="list" allowBlank="1" showInputMessage="1" showErrorMessage="1" sqref="S12:S112" xr:uid="{00000000-0002-0000-1200-000002000000}">
      <formula1>CryptoGroup</formula1>
    </dataValidation>
    <dataValidation type="list" allowBlank="1" showInputMessage="1" showErrorMessage="1" sqref="H12:H112" xr:uid="{00000000-0002-0000-1200-000003000000}">
      <formula1>CryptoActivity</formula1>
    </dataValidation>
    <dataValidation type="list" allowBlank="1" showInputMessage="1" showErrorMessage="1" sqref="AW12:AW112" xr:uid="{00000000-0002-0000-1200-000004000000}">
      <formula1>CryptoHQLA</formula1>
    </dataValidation>
    <dataValidation type="list" allowBlank="1" showInputMessage="1" showErrorMessage="1" sqref="B12:B112" xr:uid="{00000000-0002-0000-1200-000005000000}">
      <formula1>CryptoTicker</formula1>
    </dataValidation>
    <dataValidation type="list" allowBlank="1" showInputMessage="1" showErrorMessage="1" sqref="N12:N112" xr:uid="{00000000-0002-0000-1200-000006000000}">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2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1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1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Parameters!$D$692:$D$694</xm:f>
          </x14:formula1>
          <xm:sqref>R12:R112</xm:sqref>
        </x14:dataValidation>
        <x14:dataValidation type="list" allowBlank="1" showInputMessage="1" showErrorMessage="1" xr:uid="{F2D6C2C9-3595-4B86-9B30-9C6E241C0161}">
          <x14:formula1>
            <xm:f>Parameters!$D$695:$D$697</xm:f>
          </x14:formula1>
          <xm:sqref>AM12:AM112</xm:sqref>
        </x14:dataValidation>
        <x14:dataValidation type="list" allowBlank="1" showInputMessage="1" showErrorMessage="1" xr:uid="{0C6B98A9-4EA2-4491-B200-E16FDD4C12C0}">
          <x14:formula1>
            <xm:f>Parameters!$D$686:$D$691</xm:f>
          </x14:formula1>
          <xm:sqref>F12:F112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1515" customWidth="1"/>
    <col min="2" max="2" width="100.7109375" style="1515" customWidth="1"/>
    <col min="3" max="15" width="18.7109375" style="1515" customWidth="1"/>
    <col min="16" max="16" width="1.7109375" style="1515" customWidth="1"/>
    <col min="17" max="16384" width="9.140625" hidden="1"/>
  </cols>
  <sheetData>
    <row r="1" spans="1:16" ht="30.75" x14ac:dyDescent="0.55000000000000004">
      <c r="A1" s="2006" t="s">
        <v>1122</v>
      </c>
      <c r="B1" s="2007"/>
      <c r="C1" s="1062"/>
      <c r="D1" s="1062" t="str">
        <f>CONCATENATE("Reporting unit: ", 'General Info'!$C$7, " ", 'General Info'!$C$5)</f>
        <v xml:space="preserve">Reporting unit: 1 </v>
      </c>
      <c r="E1" s="2007"/>
      <c r="F1" s="2008"/>
      <c r="G1" s="2007"/>
      <c r="H1" s="2007"/>
      <c r="I1" s="2008"/>
      <c r="J1" s="1256"/>
      <c r="K1" s="1256"/>
      <c r="L1" s="1256"/>
      <c r="M1" s="1256"/>
      <c r="N1" s="1256"/>
      <c r="O1" s="2009"/>
      <c r="P1" s="2010"/>
    </row>
    <row r="2" spans="1:16" ht="45" customHeight="1" x14ac:dyDescent="0.55000000000000004">
      <c r="A2" s="1482" t="s">
        <v>2234</v>
      </c>
      <c r="B2" s="1523"/>
      <c r="C2" s="1523"/>
      <c r="D2" s="1523"/>
      <c r="E2" s="1524"/>
      <c r="F2" s="1525"/>
      <c r="G2" s="1525"/>
      <c r="H2" s="1525"/>
      <c r="I2" s="1525"/>
      <c r="J2" s="1523"/>
      <c r="K2" s="1525"/>
      <c r="L2" s="1525"/>
      <c r="M2" s="1523"/>
      <c r="N2" s="1526"/>
      <c r="O2" s="1462"/>
      <c r="P2" s="1527"/>
    </row>
    <row r="3" spans="1:16" ht="15" customHeight="1" x14ac:dyDescent="0.25">
      <c r="A3" s="1463"/>
      <c r="B3" s="3166"/>
      <c r="C3" s="3169" t="s">
        <v>1123</v>
      </c>
      <c r="D3" s="3169"/>
      <c r="E3" s="3169"/>
      <c r="F3" s="3169"/>
      <c r="G3" s="3169"/>
      <c r="H3" s="3170"/>
      <c r="I3" s="3171" t="s">
        <v>1124</v>
      </c>
      <c r="J3" s="3172"/>
      <c r="K3" s="3175" t="s">
        <v>1125</v>
      </c>
      <c r="L3" s="3176"/>
      <c r="M3" s="3171" t="s">
        <v>1126</v>
      </c>
      <c r="N3" s="3172"/>
      <c r="O3" s="3181" t="s">
        <v>1127</v>
      </c>
      <c r="P3" s="1528"/>
    </row>
    <row r="4" spans="1:16" ht="15" customHeight="1" x14ac:dyDescent="0.25">
      <c r="A4" s="1463"/>
      <c r="B4" s="3167"/>
      <c r="C4" s="3184" t="s">
        <v>1128</v>
      </c>
      <c r="D4" s="2823"/>
      <c r="E4" s="2823"/>
      <c r="F4" s="2823" t="s">
        <v>1129</v>
      </c>
      <c r="G4" s="2823"/>
      <c r="H4" s="3179"/>
      <c r="I4" s="3173"/>
      <c r="J4" s="3174"/>
      <c r="K4" s="3177"/>
      <c r="L4" s="3178"/>
      <c r="M4" s="3173"/>
      <c r="N4" s="3174"/>
      <c r="O4" s="3182"/>
      <c r="P4" s="1528"/>
    </row>
    <row r="5" spans="1:16" ht="15" customHeight="1" x14ac:dyDescent="0.25">
      <c r="A5" s="1463"/>
      <c r="B5" s="3167"/>
      <c r="C5" s="3184" t="s">
        <v>41</v>
      </c>
      <c r="D5" s="2823" t="s">
        <v>59</v>
      </c>
      <c r="E5" s="2823"/>
      <c r="F5" s="2823" t="s">
        <v>41</v>
      </c>
      <c r="G5" s="2823" t="s">
        <v>59</v>
      </c>
      <c r="H5" s="3179"/>
      <c r="I5" s="3180" t="s">
        <v>59</v>
      </c>
      <c r="J5" s="3179"/>
      <c r="K5" s="3180" t="s">
        <v>59</v>
      </c>
      <c r="L5" s="3179"/>
      <c r="M5" s="3180" t="s">
        <v>59</v>
      </c>
      <c r="N5" s="3179"/>
      <c r="O5" s="3182"/>
      <c r="P5" s="1528"/>
    </row>
    <row r="6" spans="1:16" ht="45" customHeight="1" x14ac:dyDescent="0.25">
      <c r="A6" s="1463"/>
      <c r="B6" s="3168"/>
      <c r="C6" s="3184"/>
      <c r="D6" s="2377" t="s">
        <v>1130</v>
      </c>
      <c r="E6" s="2377" t="s">
        <v>1131</v>
      </c>
      <c r="F6" s="2823"/>
      <c r="G6" s="2377" t="s">
        <v>1130</v>
      </c>
      <c r="H6" s="2380" t="s">
        <v>1131</v>
      </c>
      <c r="I6" s="2381" t="s">
        <v>1132</v>
      </c>
      <c r="J6" s="2380" t="s">
        <v>1133</v>
      </c>
      <c r="K6" s="2381" t="s">
        <v>1134</v>
      </c>
      <c r="L6" s="2380" t="s">
        <v>1135</v>
      </c>
      <c r="M6" s="2381" t="s">
        <v>1132</v>
      </c>
      <c r="N6" s="2380" t="s">
        <v>1133</v>
      </c>
      <c r="O6" s="3183"/>
      <c r="P6" s="1528"/>
    </row>
    <row r="7" spans="1:16" ht="15" customHeight="1" x14ac:dyDescent="0.25">
      <c r="A7" s="1463"/>
      <c r="B7" s="1465" t="s">
        <v>1174</v>
      </c>
      <c r="C7" s="1048">
        <f>SUM(C8:C10)</f>
        <v>0</v>
      </c>
      <c r="D7" s="963">
        <f t="shared" ref="D7:J7" si="0">SUM(D8:D10)</f>
        <v>0</v>
      </c>
      <c r="E7" s="963">
        <f t="shared" si="0"/>
        <v>0</v>
      </c>
      <c r="F7" s="963">
        <f t="shared" si="0"/>
        <v>0</v>
      </c>
      <c r="G7" s="963">
        <f t="shared" si="0"/>
        <v>0</v>
      </c>
      <c r="H7" s="1557">
        <f t="shared" si="0"/>
        <v>0</v>
      </c>
      <c r="I7" s="1418">
        <f t="shared" si="0"/>
        <v>0</v>
      </c>
      <c r="J7" s="1557">
        <f t="shared" si="0"/>
        <v>0</v>
      </c>
      <c r="K7" s="1418">
        <f>SUM(K8:K10)</f>
        <v>0</v>
      </c>
      <c r="L7" s="1557">
        <f>SUM(L8:L10)</f>
        <v>0</v>
      </c>
      <c r="M7" s="1418">
        <f t="shared" ref="M7:N7" si="1">SUM(M8:M10)</f>
        <v>0</v>
      </c>
      <c r="N7" s="1557">
        <f t="shared" si="1"/>
        <v>0</v>
      </c>
      <c r="O7" s="1558">
        <f>SUM(O8:O10)</f>
        <v>0</v>
      </c>
      <c r="P7" s="1528"/>
    </row>
    <row r="8" spans="1:16" ht="30" customHeight="1" x14ac:dyDescent="0.25">
      <c r="A8" s="1463"/>
      <c r="B8" s="2378" t="s">
        <v>1175</v>
      </c>
      <c r="C8" s="35"/>
      <c r="D8" s="25"/>
      <c r="E8" s="25"/>
      <c r="F8" s="25"/>
      <c r="G8" s="25"/>
      <c r="H8" s="1467"/>
      <c r="I8" s="1466"/>
      <c r="J8" s="1467"/>
      <c r="K8" s="1466"/>
      <c r="L8" s="1467"/>
      <c r="M8" s="1466"/>
      <c r="N8" s="1467"/>
      <c r="O8" s="1559"/>
      <c r="P8" s="1528"/>
    </row>
    <row r="9" spans="1:16" ht="30" customHeight="1" x14ac:dyDescent="0.25">
      <c r="A9" s="1463"/>
      <c r="B9" s="2378" t="s">
        <v>1176</v>
      </c>
      <c r="C9" s="35"/>
      <c r="D9" s="25"/>
      <c r="E9" s="25"/>
      <c r="F9" s="25"/>
      <c r="G9" s="25"/>
      <c r="H9" s="1467"/>
      <c r="I9" s="1466"/>
      <c r="J9" s="1467"/>
      <c r="K9" s="1466"/>
      <c r="L9" s="1467"/>
      <c r="M9" s="1466"/>
      <c r="N9" s="1467"/>
      <c r="O9" s="1559"/>
      <c r="P9" s="1528"/>
    </row>
    <row r="10" spans="1:16" ht="15" customHeight="1" x14ac:dyDescent="0.25">
      <c r="A10" s="1463"/>
      <c r="B10" s="1509" t="str">
        <f>"the exposure is not applicable to rows " &amp; ROW(B8) &amp; " or " &amp; ROW(B9)</f>
        <v>the exposure is not applicable to rows 8 or 9</v>
      </c>
      <c r="C10" s="35"/>
      <c r="D10" s="25"/>
      <c r="E10" s="25"/>
      <c r="F10" s="25"/>
      <c r="G10" s="25"/>
      <c r="H10" s="1467"/>
      <c r="I10" s="1466"/>
      <c r="J10" s="1467"/>
      <c r="K10" s="1466"/>
      <c r="L10" s="1467"/>
      <c r="M10" s="1466"/>
      <c r="N10" s="1467"/>
      <c r="O10" s="1559"/>
      <c r="P10" s="1528"/>
    </row>
    <row r="11" spans="1:16" ht="15" customHeight="1" x14ac:dyDescent="0.25">
      <c r="A11" s="1463"/>
      <c r="B11" s="1538" t="s">
        <v>1177</v>
      </c>
      <c r="C11" s="161">
        <f>SUM(C12:C14)</f>
        <v>0</v>
      </c>
      <c r="D11" s="32">
        <f t="shared" ref="D11:L11" si="2">SUM(D12:D14)</f>
        <v>0</v>
      </c>
      <c r="E11" s="32">
        <f t="shared" si="2"/>
        <v>0</v>
      </c>
      <c r="F11" s="32">
        <f t="shared" si="2"/>
        <v>0</v>
      </c>
      <c r="G11" s="32">
        <f t="shared" si="2"/>
        <v>0</v>
      </c>
      <c r="H11" s="1556">
        <f t="shared" si="2"/>
        <v>0</v>
      </c>
      <c r="I11" s="1421">
        <f t="shared" si="2"/>
        <v>0</v>
      </c>
      <c r="J11" s="1556">
        <f t="shared" si="2"/>
        <v>0</v>
      </c>
      <c r="K11" s="1421">
        <f t="shared" si="2"/>
        <v>0</v>
      </c>
      <c r="L11" s="1556">
        <f t="shared" si="2"/>
        <v>0</v>
      </c>
      <c r="M11" s="1421">
        <f>SUM(M12:M14)</f>
        <v>0</v>
      </c>
      <c r="N11" s="1556">
        <f t="shared" ref="N11" si="3">SUM(N12:N14)</f>
        <v>0</v>
      </c>
      <c r="O11" s="1560">
        <f>SUM(O12:O14)</f>
        <v>0</v>
      </c>
      <c r="P11" s="1528"/>
    </row>
    <row r="12" spans="1:16" ht="30" customHeight="1" x14ac:dyDescent="0.25">
      <c r="A12" s="1463"/>
      <c r="B12" s="2378" t="s">
        <v>1175</v>
      </c>
      <c r="C12" s="35"/>
      <c r="D12" s="25"/>
      <c r="E12" s="25"/>
      <c r="F12" s="25"/>
      <c r="G12" s="25"/>
      <c r="H12" s="1467"/>
      <c r="I12" s="1466"/>
      <c r="J12" s="1467"/>
      <c r="K12" s="1466"/>
      <c r="L12" s="1467"/>
      <c r="M12" s="1466"/>
      <c r="N12" s="1467"/>
      <c r="O12" s="1559"/>
      <c r="P12" s="1528"/>
    </row>
    <row r="13" spans="1:16" ht="30" customHeight="1" x14ac:dyDescent="0.25">
      <c r="A13" s="1463"/>
      <c r="B13" s="2378" t="s">
        <v>1176</v>
      </c>
      <c r="C13" s="35"/>
      <c r="D13" s="25"/>
      <c r="E13" s="25"/>
      <c r="F13" s="25"/>
      <c r="G13" s="25"/>
      <c r="H13" s="1467"/>
      <c r="I13" s="1466"/>
      <c r="J13" s="1467"/>
      <c r="K13" s="1466"/>
      <c r="L13" s="1467"/>
      <c r="M13" s="1466"/>
      <c r="N13" s="1467"/>
      <c r="O13" s="1559"/>
      <c r="P13" s="1528"/>
    </row>
    <row r="14" spans="1:16" ht="15" customHeight="1" x14ac:dyDescent="0.25">
      <c r="A14" s="1463"/>
      <c r="B14" s="1509" t="str">
        <f>"the exposure is not applicable to rows " &amp; ROW(B12) &amp; " or " &amp; ROW(B13)</f>
        <v>the exposure is not applicable to rows 12 or 13</v>
      </c>
      <c r="C14" s="35"/>
      <c r="D14" s="25"/>
      <c r="E14" s="25"/>
      <c r="F14" s="25"/>
      <c r="G14" s="25"/>
      <c r="H14" s="1467"/>
      <c r="I14" s="1466"/>
      <c r="J14" s="1467"/>
      <c r="K14" s="1466"/>
      <c r="L14" s="1467"/>
      <c r="M14" s="1466"/>
      <c r="N14" s="1467"/>
      <c r="O14" s="1559"/>
      <c r="P14" s="1528"/>
    </row>
    <row r="15" spans="1:16" ht="15" customHeight="1" x14ac:dyDescent="0.25">
      <c r="A15" s="1463"/>
      <c r="B15" s="1538" t="s">
        <v>1178</v>
      </c>
      <c r="C15" s="161">
        <f>SUM(C16:C18)</f>
        <v>0</v>
      </c>
      <c r="D15" s="32">
        <f t="shared" ref="D15:L15" si="4">SUM(D16:D18)</f>
        <v>0</v>
      </c>
      <c r="E15" s="32">
        <f t="shared" si="4"/>
        <v>0</v>
      </c>
      <c r="F15" s="32">
        <f t="shared" si="4"/>
        <v>0</v>
      </c>
      <c r="G15" s="32">
        <f t="shared" si="4"/>
        <v>0</v>
      </c>
      <c r="H15" s="1556">
        <f t="shared" si="4"/>
        <v>0</v>
      </c>
      <c r="I15" s="1421">
        <f t="shared" si="4"/>
        <v>0</v>
      </c>
      <c r="J15" s="1556">
        <f t="shared" si="4"/>
        <v>0</v>
      </c>
      <c r="K15" s="1421">
        <f t="shared" si="4"/>
        <v>0</v>
      </c>
      <c r="L15" s="1556">
        <f t="shared" si="4"/>
        <v>0</v>
      </c>
      <c r="M15" s="1421">
        <f>SUM(M16:M18)</f>
        <v>0</v>
      </c>
      <c r="N15" s="1556">
        <f t="shared" ref="N15" si="5">SUM(N16:N18)</f>
        <v>0</v>
      </c>
      <c r="O15" s="1560">
        <f>SUM(O16:O18)</f>
        <v>0</v>
      </c>
      <c r="P15" s="1528"/>
    </row>
    <row r="16" spans="1:16" ht="30" customHeight="1" x14ac:dyDescent="0.25">
      <c r="A16" s="1463"/>
      <c r="B16" s="2378" t="s">
        <v>1175</v>
      </c>
      <c r="C16" s="35"/>
      <c r="D16" s="25"/>
      <c r="E16" s="25"/>
      <c r="F16" s="25"/>
      <c r="G16" s="25"/>
      <c r="H16" s="1467"/>
      <c r="I16" s="1466"/>
      <c r="J16" s="1467"/>
      <c r="K16" s="1466"/>
      <c r="L16" s="1467"/>
      <c r="M16" s="1466"/>
      <c r="N16" s="1467"/>
      <c r="O16" s="1559"/>
      <c r="P16" s="1528"/>
    </row>
    <row r="17" spans="1:16" ht="30" customHeight="1" x14ac:dyDescent="0.25">
      <c r="A17" s="1463"/>
      <c r="B17" s="2378" t="s">
        <v>1176</v>
      </c>
      <c r="C17" s="35"/>
      <c r="D17" s="25"/>
      <c r="E17" s="25"/>
      <c r="F17" s="25"/>
      <c r="G17" s="25"/>
      <c r="H17" s="1467"/>
      <c r="I17" s="1466"/>
      <c r="J17" s="1467"/>
      <c r="K17" s="1466"/>
      <c r="L17" s="1467"/>
      <c r="M17" s="1466"/>
      <c r="N17" s="1467"/>
      <c r="O17" s="1559"/>
      <c r="P17" s="1528"/>
    </row>
    <row r="18" spans="1:16" ht="15" customHeight="1" x14ac:dyDescent="0.25">
      <c r="A18" s="1463"/>
      <c r="B18" s="1509" t="str">
        <f>"the exposure is not applicable to rows " &amp; ROW(B16) &amp; " or " &amp; ROW(B17)</f>
        <v>the exposure is not applicable to rows 16 or 17</v>
      </c>
      <c r="C18" s="35"/>
      <c r="D18" s="25"/>
      <c r="E18" s="25"/>
      <c r="F18" s="25"/>
      <c r="G18" s="25"/>
      <c r="H18" s="1467"/>
      <c r="I18" s="1466"/>
      <c r="J18" s="1467"/>
      <c r="K18" s="1466"/>
      <c r="L18" s="1467"/>
      <c r="M18" s="1466"/>
      <c r="N18" s="1467"/>
      <c r="O18" s="1559"/>
      <c r="P18" s="1528"/>
    </row>
    <row r="19" spans="1:16" ht="15" customHeight="1" x14ac:dyDescent="0.25">
      <c r="A19" s="1463"/>
      <c r="B19" s="1539" t="s">
        <v>1452</v>
      </c>
      <c r="C19" s="1470"/>
      <c r="D19" s="20"/>
      <c r="E19" s="20"/>
      <c r="F19" s="20"/>
      <c r="G19" s="20"/>
      <c r="H19" s="1472"/>
      <c r="I19" s="1471"/>
      <c r="J19" s="1472"/>
      <c r="K19" s="1471"/>
      <c r="L19" s="1472"/>
      <c r="M19" s="1471"/>
      <c r="N19" s="1472"/>
      <c r="O19" s="1561"/>
      <c r="P19" s="1528"/>
    </row>
    <row r="20" spans="1:16" ht="15" customHeight="1" x14ac:dyDescent="0.25">
      <c r="A20" s="1529"/>
      <c r="B20" s="1522"/>
      <c r="C20" s="1473">
        <f>SUM(C7+C11+C15+C19)</f>
        <v>0</v>
      </c>
      <c r="D20" s="1474">
        <f t="shared" ref="D20:J20" si="6">SUM(D7+D11+D15+D19)</f>
        <v>0</v>
      </c>
      <c r="E20" s="1474">
        <f t="shared" si="6"/>
        <v>0</v>
      </c>
      <c r="F20" s="1474">
        <f t="shared" si="6"/>
        <v>0</v>
      </c>
      <c r="G20" s="1474">
        <f t="shared" si="6"/>
        <v>0</v>
      </c>
      <c r="H20" s="1475">
        <f t="shared" si="6"/>
        <v>0</v>
      </c>
      <c r="I20" s="1476">
        <f t="shared" si="6"/>
        <v>0</v>
      </c>
      <c r="J20" s="1475">
        <f t="shared" si="6"/>
        <v>0</v>
      </c>
      <c r="K20" s="1476">
        <f>SUM(K7+K11+K15+K19)</f>
        <v>0</v>
      </c>
      <c r="L20" s="1475">
        <f>SUM(L7+L11+L15+L19)</f>
        <v>0</v>
      </c>
      <c r="M20" s="1476">
        <f t="shared" ref="M20:N20" si="7">SUM(M7+M11+M15+M19)</f>
        <v>0</v>
      </c>
      <c r="N20" s="1475">
        <f t="shared" si="7"/>
        <v>0</v>
      </c>
      <c r="O20" s="1477">
        <f>SUM(O7+O11+O15+O19)</f>
        <v>0</v>
      </c>
      <c r="P20" s="1530"/>
    </row>
    <row r="21" spans="1:16" ht="15" customHeight="1" x14ac:dyDescent="0.25">
      <c r="A21" s="1479"/>
      <c r="B21" s="1480"/>
      <c r="C21" s="1480"/>
      <c r="D21" s="1480"/>
      <c r="E21" s="1480"/>
      <c r="F21" s="1480"/>
      <c r="G21" s="1480"/>
      <c r="H21" s="1480"/>
      <c r="I21" s="1480"/>
      <c r="J21" s="1480"/>
      <c r="K21" s="1480"/>
      <c r="L21" s="1480"/>
      <c r="M21" s="1480"/>
      <c r="N21" s="1481"/>
      <c r="O21" s="1520"/>
      <c r="P21" s="1540"/>
    </row>
    <row r="22" spans="1:16" ht="45" customHeight="1" x14ac:dyDescent="0.25">
      <c r="A22" s="1482" t="s">
        <v>2235</v>
      </c>
      <c r="B22" s="1483"/>
      <c r="C22" s="1484"/>
      <c r="D22" s="1484"/>
      <c r="E22" s="1484"/>
      <c r="F22" s="1484"/>
      <c r="G22" s="1484"/>
      <c r="H22" s="1484"/>
      <c r="I22" s="1484"/>
      <c r="J22" s="1485"/>
      <c r="K22" s="1486"/>
      <c r="L22" s="1487"/>
      <c r="M22" s="1487"/>
      <c r="N22" s="1488"/>
      <c r="O22" s="1518"/>
      <c r="P22" s="1534"/>
    </row>
    <row r="23" spans="1:16" ht="15" customHeight="1" x14ac:dyDescent="0.25">
      <c r="A23" s="1533"/>
      <c r="B23" s="1489"/>
      <c r="C23" s="3161" t="s">
        <v>41</v>
      </c>
      <c r="D23" s="3162"/>
      <c r="E23" s="3162"/>
      <c r="F23" s="3162"/>
      <c r="G23" s="3162"/>
      <c r="H23" s="3163"/>
      <c r="I23" s="3164" t="s">
        <v>1138</v>
      </c>
      <c r="J23" s="3162"/>
      <c r="K23" s="3162"/>
      <c r="L23" s="3162"/>
      <c r="M23" s="3162"/>
      <c r="N23" s="3165"/>
      <c r="O23" s="1518"/>
      <c r="P23" s="1534"/>
    </row>
    <row r="24" spans="1:16" ht="15" customHeight="1" x14ac:dyDescent="0.25">
      <c r="A24" s="1535"/>
      <c r="B24" s="1490"/>
      <c r="C24" s="1546" t="s">
        <v>1139</v>
      </c>
      <c r="D24" s="1547" t="s">
        <v>544</v>
      </c>
      <c r="E24" s="1547" t="s">
        <v>545</v>
      </c>
      <c r="F24" s="1547" t="s">
        <v>546</v>
      </c>
      <c r="G24" s="1547" t="s">
        <v>1140</v>
      </c>
      <c r="H24" s="1549" t="s">
        <v>1141</v>
      </c>
      <c r="I24" s="1551" t="s">
        <v>1139</v>
      </c>
      <c r="J24" s="1547" t="s">
        <v>544</v>
      </c>
      <c r="K24" s="1547" t="s">
        <v>545</v>
      </c>
      <c r="L24" s="1547" t="s">
        <v>546</v>
      </c>
      <c r="M24" s="1547" t="s">
        <v>1140</v>
      </c>
      <c r="N24" s="1548" t="s">
        <v>1141</v>
      </c>
      <c r="P24" s="1532"/>
    </row>
    <row r="25" spans="1:16" ht="15" customHeight="1" x14ac:dyDescent="0.25">
      <c r="A25" s="1535"/>
      <c r="B25" s="1465" t="s">
        <v>1610</v>
      </c>
      <c r="C25" s="873"/>
      <c r="D25" s="1130"/>
      <c r="E25" s="1130"/>
      <c r="F25" s="1130"/>
      <c r="G25" s="1130"/>
      <c r="H25" s="1555"/>
      <c r="I25" s="1552"/>
      <c r="J25" s="1130"/>
      <c r="K25" s="1130"/>
      <c r="L25" s="1130"/>
      <c r="M25" s="1130"/>
      <c r="N25" s="2026"/>
      <c r="O25" s="1517"/>
      <c r="P25" s="1532"/>
    </row>
    <row r="26" spans="1:16" ht="15" customHeight="1" x14ac:dyDescent="0.25">
      <c r="A26" s="1529"/>
      <c r="B26" s="1545" t="s">
        <v>1174</v>
      </c>
      <c r="C26" s="161">
        <f t="shared" ref="C26:H26" si="8">SUM(C27:C29)</f>
        <v>0</v>
      </c>
      <c r="D26" s="32">
        <f t="shared" si="8"/>
        <v>0</v>
      </c>
      <c r="E26" s="32">
        <f t="shared" si="8"/>
        <v>0</v>
      </c>
      <c r="F26" s="32">
        <f t="shared" si="8"/>
        <v>0</v>
      </c>
      <c r="G26" s="32">
        <f t="shared" si="8"/>
        <v>0</v>
      </c>
      <c r="H26" s="1556">
        <f t="shared" si="8"/>
        <v>0</v>
      </c>
      <c r="I26" s="1421">
        <f>SUM(I27:I28)</f>
        <v>0</v>
      </c>
      <c r="J26" s="32">
        <f t="shared" ref="J26:N26" si="9">SUM(J27:J28)</f>
        <v>0</v>
      </c>
      <c r="K26" s="32">
        <f t="shared" si="9"/>
        <v>0</v>
      </c>
      <c r="L26" s="32">
        <f t="shared" si="9"/>
        <v>0</v>
      </c>
      <c r="M26" s="32">
        <f t="shared" si="9"/>
        <v>0</v>
      </c>
      <c r="N26" s="9">
        <f t="shared" si="9"/>
        <v>0</v>
      </c>
      <c r="O26" s="1517"/>
      <c r="P26" s="1532"/>
    </row>
    <row r="27" spans="1:16" ht="15" customHeight="1" x14ac:dyDescent="0.25">
      <c r="A27" s="1529"/>
      <c r="B27" s="1553" t="s">
        <v>1648</v>
      </c>
      <c r="C27" s="1494"/>
      <c r="D27" s="1492"/>
      <c r="E27" s="1492"/>
      <c r="F27" s="1492"/>
      <c r="G27" s="1492"/>
      <c r="H27" s="1493"/>
      <c r="I27" s="1491"/>
      <c r="J27" s="1492"/>
      <c r="K27" s="1492"/>
      <c r="L27" s="1492"/>
      <c r="M27" s="1492"/>
      <c r="N27" s="1495"/>
      <c r="O27" s="1478"/>
      <c r="P27" s="1532"/>
    </row>
    <row r="28" spans="1:16" ht="15" customHeight="1" x14ac:dyDescent="0.25">
      <c r="A28" s="1529"/>
      <c r="B28" s="1553" t="s">
        <v>1653</v>
      </c>
      <c r="C28" s="1494"/>
      <c r="D28" s="1492"/>
      <c r="E28" s="1492"/>
      <c r="F28" s="1492"/>
      <c r="G28" s="1492"/>
      <c r="H28" s="1493"/>
      <c r="I28" s="1491"/>
      <c r="J28" s="1492"/>
      <c r="K28" s="1492"/>
      <c r="L28" s="1492"/>
      <c r="M28" s="1492"/>
      <c r="N28" s="1495"/>
      <c r="O28" s="1478"/>
      <c r="P28" s="1532"/>
    </row>
    <row r="29" spans="1:16" ht="15" customHeight="1" x14ac:dyDescent="0.25">
      <c r="A29" s="1529"/>
      <c r="B29" s="1553" t="s">
        <v>1652</v>
      </c>
      <c r="C29" s="1494"/>
      <c r="D29" s="1492"/>
      <c r="E29" s="1492"/>
      <c r="F29" s="1492"/>
      <c r="G29" s="1492"/>
      <c r="H29" s="1493"/>
      <c r="I29" s="3150"/>
      <c r="J29" s="3151"/>
      <c r="K29" s="3151"/>
      <c r="L29" s="3151"/>
      <c r="M29" s="3151"/>
      <c r="N29" s="3152"/>
      <c r="O29" s="1478"/>
      <c r="P29" s="1532"/>
    </row>
    <row r="30" spans="1:16" ht="15" customHeight="1" x14ac:dyDescent="0.25">
      <c r="A30" s="1529"/>
      <c r="B30" s="1545" t="s">
        <v>1177</v>
      </c>
      <c r="C30" s="161">
        <f t="shared" ref="C30:H30" si="10">SUM(C31:C33)</f>
        <v>0</v>
      </c>
      <c r="D30" s="32">
        <f t="shared" si="10"/>
        <v>0</v>
      </c>
      <c r="E30" s="32">
        <f t="shared" si="10"/>
        <v>0</v>
      </c>
      <c r="F30" s="32">
        <f t="shared" si="10"/>
        <v>0</v>
      </c>
      <c r="G30" s="32">
        <f t="shared" si="10"/>
        <v>0</v>
      </c>
      <c r="H30" s="1556">
        <f t="shared" si="10"/>
        <v>0</v>
      </c>
      <c r="I30" s="1421">
        <f>SUM(I31:I32)</f>
        <v>0</v>
      </c>
      <c r="J30" s="32">
        <f t="shared" ref="J30:N30" si="11">SUM(J31:J32)</f>
        <v>0</v>
      </c>
      <c r="K30" s="32">
        <f t="shared" si="11"/>
        <v>0</v>
      </c>
      <c r="L30" s="32">
        <f t="shared" si="11"/>
        <v>0</v>
      </c>
      <c r="M30" s="32">
        <f t="shared" si="11"/>
        <v>0</v>
      </c>
      <c r="N30" s="9">
        <f t="shared" si="11"/>
        <v>0</v>
      </c>
      <c r="O30" s="1517"/>
      <c r="P30" s="1532"/>
    </row>
    <row r="31" spans="1:16" ht="15" customHeight="1" x14ac:dyDescent="0.25">
      <c r="A31" s="1529"/>
      <c r="B31" s="1553" t="s">
        <v>1648</v>
      </c>
      <c r="C31" s="1494"/>
      <c r="D31" s="1492"/>
      <c r="E31" s="1492"/>
      <c r="F31" s="1492"/>
      <c r="G31" s="1492"/>
      <c r="H31" s="1493"/>
      <c r="I31" s="1491"/>
      <c r="J31" s="1492"/>
      <c r="K31" s="1492"/>
      <c r="L31" s="1492"/>
      <c r="M31" s="1492"/>
      <c r="N31" s="1495"/>
      <c r="O31" s="1478"/>
      <c r="P31" s="1532"/>
    </row>
    <row r="32" spans="1:16" ht="15" customHeight="1" x14ac:dyDescent="0.25">
      <c r="A32" s="1529"/>
      <c r="B32" s="1553" t="s">
        <v>1653</v>
      </c>
      <c r="C32" s="1494"/>
      <c r="D32" s="1492"/>
      <c r="E32" s="1492"/>
      <c r="F32" s="1492"/>
      <c r="G32" s="1492"/>
      <c r="H32" s="1493"/>
      <c r="I32" s="1491"/>
      <c r="J32" s="1492"/>
      <c r="K32" s="1492"/>
      <c r="L32" s="1492"/>
      <c r="M32" s="1492"/>
      <c r="N32" s="1495"/>
      <c r="O32" s="1478"/>
      <c r="P32" s="1532"/>
    </row>
    <row r="33" spans="1:16" ht="15" customHeight="1" x14ac:dyDescent="0.25">
      <c r="A33" s="1529"/>
      <c r="B33" s="1553" t="s">
        <v>1652</v>
      </c>
      <c r="C33" s="1494"/>
      <c r="D33" s="1492"/>
      <c r="E33" s="1492"/>
      <c r="F33" s="1492"/>
      <c r="G33" s="1492"/>
      <c r="H33" s="1493"/>
      <c r="I33" s="3153"/>
      <c r="J33" s="3154"/>
      <c r="K33" s="3154"/>
      <c r="L33" s="3154"/>
      <c r="M33" s="3154"/>
      <c r="N33" s="3155"/>
      <c r="O33" s="1478"/>
      <c r="P33" s="1532"/>
    </row>
    <row r="34" spans="1:16" ht="15" customHeight="1" x14ac:dyDescent="0.25">
      <c r="A34" s="1529"/>
      <c r="B34" s="1545" t="s">
        <v>1136</v>
      </c>
      <c r="C34" s="161">
        <f t="shared" ref="C34:H34" si="12">SUM(C35:C38)</f>
        <v>0</v>
      </c>
      <c r="D34" s="32">
        <f t="shared" si="12"/>
        <v>0</v>
      </c>
      <c r="E34" s="32">
        <f t="shared" si="12"/>
        <v>0</v>
      </c>
      <c r="F34" s="32">
        <f t="shared" si="12"/>
        <v>0</v>
      </c>
      <c r="G34" s="32">
        <f t="shared" si="12"/>
        <v>0</v>
      </c>
      <c r="H34" s="1556">
        <f t="shared" si="12"/>
        <v>0</v>
      </c>
      <c r="I34" s="1421">
        <f>SUM(I35:I37)</f>
        <v>0</v>
      </c>
      <c r="J34" s="32">
        <f t="shared" ref="J34:N34" si="13">SUM(J35:J37)</f>
        <v>0</v>
      </c>
      <c r="K34" s="32">
        <f t="shared" si="13"/>
        <v>0</v>
      </c>
      <c r="L34" s="32">
        <f t="shared" si="13"/>
        <v>0</v>
      </c>
      <c r="M34" s="32">
        <f t="shared" si="13"/>
        <v>0</v>
      </c>
      <c r="N34" s="9">
        <f t="shared" si="13"/>
        <v>0</v>
      </c>
      <c r="O34" s="1517"/>
      <c r="P34" s="1532"/>
    </row>
    <row r="35" spans="1:16" ht="15" customHeight="1" x14ac:dyDescent="0.25">
      <c r="A35" s="1529"/>
      <c r="B35" s="1553" t="s">
        <v>1647</v>
      </c>
      <c r="C35" s="1494"/>
      <c r="D35" s="1492"/>
      <c r="E35" s="1492"/>
      <c r="F35" s="1492"/>
      <c r="G35" s="1492"/>
      <c r="H35" s="1493"/>
      <c r="I35" s="1491"/>
      <c r="J35" s="1492"/>
      <c r="K35" s="1492"/>
      <c r="L35" s="1492"/>
      <c r="M35" s="1492"/>
      <c r="N35" s="1495"/>
      <c r="O35" s="1478"/>
      <c r="P35" s="1532"/>
    </row>
    <row r="36" spans="1:16" ht="15" customHeight="1" x14ac:dyDescent="0.25">
      <c r="A36" s="1529"/>
      <c r="B36" s="1553" t="s">
        <v>1654</v>
      </c>
      <c r="C36" s="1494"/>
      <c r="D36" s="1492"/>
      <c r="E36" s="1492"/>
      <c r="F36" s="1492"/>
      <c r="G36" s="1492"/>
      <c r="H36" s="1493"/>
      <c r="I36" s="1491"/>
      <c r="J36" s="1492"/>
      <c r="K36" s="1492"/>
      <c r="L36" s="1492"/>
      <c r="M36" s="1492"/>
      <c r="N36" s="1495"/>
      <c r="O36" s="1478"/>
      <c r="P36" s="1532"/>
    </row>
    <row r="37" spans="1:16" ht="15" customHeight="1" x14ac:dyDescent="0.25">
      <c r="A37" s="1529"/>
      <c r="B37" s="1553" t="s">
        <v>1646</v>
      </c>
      <c r="C37" s="1494"/>
      <c r="D37" s="1492"/>
      <c r="E37" s="1492"/>
      <c r="F37" s="1492"/>
      <c r="G37" s="1492"/>
      <c r="H37" s="1493"/>
      <c r="I37" s="1491"/>
      <c r="J37" s="1492"/>
      <c r="K37" s="1492"/>
      <c r="L37" s="1492"/>
      <c r="M37" s="1492"/>
      <c r="N37" s="1495"/>
      <c r="O37" s="1478"/>
      <c r="P37" s="1532"/>
    </row>
    <row r="38" spans="1:16" ht="15" customHeight="1" x14ac:dyDescent="0.25">
      <c r="A38" s="1529"/>
      <c r="B38" s="1553" t="s">
        <v>1655</v>
      </c>
      <c r="C38" s="1494"/>
      <c r="D38" s="1492"/>
      <c r="E38" s="1492"/>
      <c r="F38" s="1492"/>
      <c r="G38" s="1492"/>
      <c r="H38" s="1493"/>
      <c r="I38" s="3150"/>
      <c r="J38" s="3151"/>
      <c r="K38" s="3151"/>
      <c r="L38" s="3151"/>
      <c r="M38" s="3151"/>
      <c r="N38" s="3152"/>
      <c r="O38" s="1478"/>
      <c r="P38" s="1532"/>
    </row>
    <row r="39" spans="1:16" ht="15" customHeight="1" x14ac:dyDescent="0.25">
      <c r="A39" s="1529"/>
      <c r="B39" s="1545" t="s">
        <v>1452</v>
      </c>
      <c r="C39" s="161">
        <f t="shared" ref="C39:H39" si="14">SUM(C40:C42)</f>
        <v>0</v>
      </c>
      <c r="D39" s="32">
        <f t="shared" si="14"/>
        <v>0</v>
      </c>
      <c r="E39" s="32">
        <f t="shared" si="14"/>
        <v>0</v>
      </c>
      <c r="F39" s="32">
        <f t="shared" si="14"/>
        <v>0</v>
      </c>
      <c r="G39" s="32">
        <f t="shared" si="14"/>
        <v>0</v>
      </c>
      <c r="H39" s="1556">
        <f t="shared" si="14"/>
        <v>0</v>
      </c>
      <c r="I39" s="1421">
        <f>SUM(I40:I41)</f>
        <v>0</v>
      </c>
      <c r="J39" s="32">
        <f t="shared" ref="J39:N39" si="15">SUM(J40:J41)</f>
        <v>0</v>
      </c>
      <c r="K39" s="32">
        <f t="shared" si="15"/>
        <v>0</v>
      </c>
      <c r="L39" s="32">
        <f t="shared" si="15"/>
        <v>0</v>
      </c>
      <c r="M39" s="32">
        <f t="shared" si="15"/>
        <v>0</v>
      </c>
      <c r="N39" s="9">
        <f t="shared" si="15"/>
        <v>0</v>
      </c>
      <c r="O39" s="1517"/>
      <c r="P39" s="1532"/>
    </row>
    <row r="40" spans="1:16" ht="15" customHeight="1" x14ac:dyDescent="0.25">
      <c r="A40" s="1529"/>
      <c r="B40" s="1553" t="s">
        <v>1650</v>
      </c>
      <c r="C40" s="1494"/>
      <c r="D40" s="1492"/>
      <c r="E40" s="1492"/>
      <c r="F40" s="1492"/>
      <c r="G40" s="1492"/>
      <c r="H40" s="1493"/>
      <c r="I40" s="1491"/>
      <c r="J40" s="1492"/>
      <c r="K40" s="1492"/>
      <c r="L40" s="1492"/>
      <c r="M40" s="1492"/>
      <c r="N40" s="1495"/>
      <c r="O40" s="1478"/>
      <c r="P40" s="1532"/>
    </row>
    <row r="41" spans="1:16" ht="15" customHeight="1" x14ac:dyDescent="0.25">
      <c r="A41" s="1529"/>
      <c r="B41" s="1553" t="s">
        <v>1649</v>
      </c>
      <c r="C41" s="1494"/>
      <c r="D41" s="1492"/>
      <c r="E41" s="1492"/>
      <c r="F41" s="1492"/>
      <c r="G41" s="1492"/>
      <c r="H41" s="1493"/>
      <c r="I41" s="1491"/>
      <c r="J41" s="1492"/>
      <c r="K41" s="1492"/>
      <c r="L41" s="1492"/>
      <c r="M41" s="1492"/>
      <c r="N41" s="1495"/>
      <c r="O41" s="1478"/>
      <c r="P41" s="1532"/>
    </row>
    <row r="42" spans="1:16" ht="15" customHeight="1" x14ac:dyDescent="0.25">
      <c r="A42" s="1529"/>
      <c r="B42" s="1554" t="s">
        <v>1651</v>
      </c>
      <c r="C42" s="1544"/>
      <c r="D42" s="1497"/>
      <c r="E42" s="1497"/>
      <c r="F42" s="1497"/>
      <c r="G42" s="1497"/>
      <c r="H42" s="1498"/>
      <c r="I42" s="3156"/>
      <c r="J42" s="3157"/>
      <c r="K42" s="3157"/>
      <c r="L42" s="3157"/>
      <c r="M42" s="3157"/>
      <c r="N42" s="3158"/>
      <c r="O42" s="1478"/>
      <c r="P42" s="1532"/>
    </row>
    <row r="43" spans="1:16" ht="15" customHeight="1" x14ac:dyDescent="0.25">
      <c r="A43" s="1529"/>
      <c r="B43" s="2376" t="s">
        <v>1182</v>
      </c>
      <c r="C43" s="873"/>
      <c r="D43" s="1130"/>
      <c r="E43" s="1130"/>
      <c r="F43" s="1130"/>
      <c r="G43" s="1130"/>
      <c r="H43" s="1555"/>
      <c r="I43" s="1552"/>
      <c r="J43" s="1130"/>
      <c r="K43" s="1130"/>
      <c r="L43" s="1130"/>
      <c r="M43" s="1130"/>
      <c r="N43" s="1550"/>
      <c r="O43" s="1517"/>
      <c r="P43" s="1532"/>
    </row>
    <row r="44" spans="1:16" ht="15" customHeight="1" x14ac:dyDescent="0.25">
      <c r="A44" s="1529"/>
      <c r="B44" s="1545" t="s">
        <v>1183</v>
      </c>
      <c r="C44" s="161">
        <f t="shared" ref="C44:N44" si="16">SUM(C45:C48)</f>
        <v>0</v>
      </c>
      <c r="D44" s="32">
        <f t="shared" si="16"/>
        <v>0</v>
      </c>
      <c r="E44" s="32">
        <f t="shared" si="16"/>
        <v>0</v>
      </c>
      <c r="F44" s="32">
        <f t="shared" si="16"/>
        <v>0</v>
      </c>
      <c r="G44" s="32">
        <f t="shared" si="16"/>
        <v>0</v>
      </c>
      <c r="H44" s="1556">
        <f t="shared" si="16"/>
        <v>0</v>
      </c>
      <c r="I44" s="1421">
        <f t="shared" si="16"/>
        <v>0</v>
      </c>
      <c r="J44" s="32">
        <f t="shared" si="16"/>
        <v>0</v>
      </c>
      <c r="K44" s="32">
        <f t="shared" si="16"/>
        <v>0</v>
      </c>
      <c r="L44" s="32">
        <f t="shared" si="16"/>
        <v>0</v>
      </c>
      <c r="M44" s="32">
        <f t="shared" si="16"/>
        <v>0</v>
      </c>
      <c r="N44" s="9">
        <f t="shared" si="16"/>
        <v>0</v>
      </c>
      <c r="O44" s="1517"/>
      <c r="P44" s="1532"/>
    </row>
    <row r="45" spans="1:16" ht="15" customHeight="1" x14ac:dyDescent="0.25">
      <c r="A45" s="1529"/>
      <c r="B45" s="1553" t="s">
        <v>1184</v>
      </c>
      <c r="C45" s="1494"/>
      <c r="D45" s="1492"/>
      <c r="E45" s="1492"/>
      <c r="F45" s="1492"/>
      <c r="G45" s="1492"/>
      <c r="H45" s="1493"/>
      <c r="I45" s="1491"/>
      <c r="J45" s="1492"/>
      <c r="K45" s="1492"/>
      <c r="L45" s="1492"/>
      <c r="M45" s="1492"/>
      <c r="N45" s="1495"/>
      <c r="O45" s="1478"/>
      <c r="P45" s="1532"/>
    </row>
    <row r="46" spans="1:16" ht="15" customHeight="1" x14ac:dyDescent="0.25">
      <c r="A46" s="1529"/>
      <c r="B46" s="1553" t="s">
        <v>1185</v>
      </c>
      <c r="C46" s="1494"/>
      <c r="D46" s="1492"/>
      <c r="E46" s="1492"/>
      <c r="F46" s="1492"/>
      <c r="G46" s="1492"/>
      <c r="H46" s="1493"/>
      <c r="I46" s="1491"/>
      <c r="J46" s="1492"/>
      <c r="K46" s="1492"/>
      <c r="L46" s="1492"/>
      <c r="M46" s="1492"/>
      <c r="N46" s="1495"/>
      <c r="O46" s="1478"/>
      <c r="P46" s="1532"/>
    </row>
    <row r="47" spans="1:16" ht="15" customHeight="1" x14ac:dyDescent="0.25">
      <c r="A47" s="1529"/>
      <c r="B47" s="1553" t="s">
        <v>1656</v>
      </c>
      <c r="C47" s="1494"/>
      <c r="D47" s="1492"/>
      <c r="E47" s="1492"/>
      <c r="F47" s="1492"/>
      <c r="G47" s="1492"/>
      <c r="H47" s="1493"/>
      <c r="I47" s="1491"/>
      <c r="J47" s="1492"/>
      <c r="K47" s="1492"/>
      <c r="L47" s="1492"/>
      <c r="M47" s="1492"/>
      <c r="N47" s="1495"/>
      <c r="O47" s="1478"/>
      <c r="P47" s="1532"/>
    </row>
    <row r="48" spans="1:16" ht="15" customHeight="1" x14ac:dyDescent="0.25">
      <c r="A48" s="1529"/>
      <c r="B48" s="1553" t="s">
        <v>1453</v>
      </c>
      <c r="C48" s="1494"/>
      <c r="D48" s="1492"/>
      <c r="E48" s="1492"/>
      <c r="F48" s="1492"/>
      <c r="G48" s="1492"/>
      <c r="H48" s="1493"/>
      <c r="I48" s="1491"/>
      <c r="J48" s="1492"/>
      <c r="K48" s="1492"/>
      <c r="L48" s="1492"/>
      <c r="M48" s="1492"/>
      <c r="N48" s="1495"/>
      <c r="O48" s="1478"/>
      <c r="P48" s="1532"/>
    </row>
    <row r="49" spans="1:16" ht="15" customHeight="1" x14ac:dyDescent="0.25">
      <c r="A49" s="1529"/>
      <c r="B49" s="1545" t="s">
        <v>1186</v>
      </c>
      <c r="C49" s="161">
        <f t="shared" ref="C49:N49" si="17">SUM(C50:C51)</f>
        <v>0</v>
      </c>
      <c r="D49" s="32">
        <f t="shared" si="17"/>
        <v>0</v>
      </c>
      <c r="E49" s="32">
        <f t="shared" si="17"/>
        <v>0</v>
      </c>
      <c r="F49" s="32">
        <f t="shared" si="17"/>
        <v>0</v>
      </c>
      <c r="G49" s="32">
        <f t="shared" si="17"/>
        <v>0</v>
      </c>
      <c r="H49" s="1556">
        <f t="shared" si="17"/>
        <v>0</v>
      </c>
      <c r="I49" s="1421">
        <f t="shared" si="17"/>
        <v>0</v>
      </c>
      <c r="J49" s="32">
        <f t="shared" si="17"/>
        <v>0</v>
      </c>
      <c r="K49" s="32">
        <f t="shared" si="17"/>
        <v>0</v>
      </c>
      <c r="L49" s="32">
        <f t="shared" si="17"/>
        <v>0</v>
      </c>
      <c r="M49" s="32">
        <f t="shared" si="17"/>
        <v>0</v>
      </c>
      <c r="N49" s="9">
        <f t="shared" si="17"/>
        <v>0</v>
      </c>
      <c r="O49" s="1517"/>
      <c r="P49" s="1532"/>
    </row>
    <row r="50" spans="1:16" ht="15" customHeight="1" x14ac:dyDescent="0.25">
      <c r="A50" s="1529"/>
      <c r="B50" s="1553" t="s">
        <v>1657</v>
      </c>
      <c r="C50" s="1494"/>
      <c r="D50" s="1492"/>
      <c r="E50" s="1492"/>
      <c r="F50" s="1492"/>
      <c r="G50" s="1492"/>
      <c r="H50" s="1493"/>
      <c r="I50" s="1491"/>
      <c r="J50" s="1492"/>
      <c r="K50" s="1492"/>
      <c r="L50" s="1492"/>
      <c r="M50" s="1492"/>
      <c r="N50" s="1495"/>
      <c r="O50" s="1478"/>
      <c r="P50" s="1532"/>
    </row>
    <row r="51" spans="1:16" ht="15" customHeight="1" x14ac:dyDescent="0.25">
      <c r="A51" s="1529"/>
      <c r="B51" s="1554" t="s">
        <v>1454</v>
      </c>
      <c r="C51" s="1544"/>
      <c r="D51" s="1497"/>
      <c r="E51" s="1497"/>
      <c r="F51" s="1497"/>
      <c r="G51" s="1497"/>
      <c r="H51" s="1498"/>
      <c r="I51" s="1496"/>
      <c r="J51" s="1497"/>
      <c r="K51" s="1497"/>
      <c r="L51" s="1497"/>
      <c r="M51" s="1497"/>
      <c r="N51" s="1499"/>
      <c r="O51" s="1478"/>
      <c r="P51" s="1532"/>
    </row>
    <row r="52" spans="1:16" ht="15" customHeight="1" x14ac:dyDescent="0.25">
      <c r="A52" s="1529"/>
      <c r="B52" s="1522"/>
      <c r="C52" s="1473">
        <f t="shared" ref="C52:N52" si="18">SUM(C26+C30+C34+C39+C44+C49)</f>
        <v>0</v>
      </c>
      <c r="D52" s="1473">
        <f t="shared" si="18"/>
        <v>0</v>
      </c>
      <c r="E52" s="1473">
        <f t="shared" si="18"/>
        <v>0</v>
      </c>
      <c r="F52" s="1473">
        <f t="shared" si="18"/>
        <v>0</v>
      </c>
      <c r="G52" s="1473">
        <f t="shared" si="18"/>
        <v>0</v>
      </c>
      <c r="H52" s="2025">
        <f t="shared" si="18"/>
        <v>0</v>
      </c>
      <c r="I52" s="1573">
        <f t="shared" si="18"/>
        <v>0</v>
      </c>
      <c r="J52" s="1473">
        <f t="shared" si="18"/>
        <v>0</v>
      </c>
      <c r="K52" s="1473">
        <f t="shared" si="18"/>
        <v>0</v>
      </c>
      <c r="L52" s="1473">
        <f t="shared" si="18"/>
        <v>0</v>
      </c>
      <c r="M52" s="1473">
        <f t="shared" si="18"/>
        <v>0</v>
      </c>
      <c r="N52" s="2025">
        <f t="shared" si="18"/>
        <v>0</v>
      </c>
      <c r="O52" s="1478"/>
      <c r="P52" s="1532"/>
    </row>
    <row r="53" spans="1:16" ht="15" customHeight="1" x14ac:dyDescent="0.25">
      <c r="A53" s="1536"/>
      <c r="B53" s="1500"/>
      <c r="C53" s="1501"/>
      <c r="D53" s="1501"/>
      <c r="E53" s="1501"/>
      <c r="F53" s="1501"/>
      <c r="G53" s="1500"/>
      <c r="H53" s="1502"/>
      <c r="I53" s="1500"/>
      <c r="J53" s="1500"/>
      <c r="K53" s="1502"/>
      <c r="L53" s="1503"/>
      <c r="M53" s="1504"/>
      <c r="N53" s="1501"/>
      <c r="O53" s="1519"/>
      <c r="P53" s="1537"/>
    </row>
    <row r="54" spans="1:16" ht="45" customHeight="1" x14ac:dyDescent="0.25">
      <c r="A54" s="1461" t="s">
        <v>2236</v>
      </c>
      <c r="B54" s="1505"/>
      <c r="C54" s="1484"/>
      <c r="D54" s="1484"/>
      <c r="E54" s="1484"/>
      <c r="F54" s="1484"/>
      <c r="G54" s="1484"/>
      <c r="H54" s="1484"/>
      <c r="I54" s="1484"/>
      <c r="J54" s="1485"/>
      <c r="K54" s="1486"/>
      <c r="L54" s="1487"/>
      <c r="M54" s="1487"/>
      <c r="N54" s="1487"/>
      <c r="O54" s="1518"/>
      <c r="P54" s="1534"/>
    </row>
    <row r="55" spans="1:16" ht="15" customHeight="1" x14ac:dyDescent="0.25">
      <c r="A55" s="1529"/>
      <c r="B55" s="1506"/>
      <c r="C55" s="2597" t="s">
        <v>1658</v>
      </c>
      <c r="D55" s="2597"/>
      <c r="E55" s="3019"/>
      <c r="F55" s="3159" t="s">
        <v>1659</v>
      </c>
      <c r="G55" s="2597"/>
      <c r="H55" s="3019"/>
      <c r="I55" s="3159" t="s">
        <v>1187</v>
      </c>
      <c r="J55" s="2597"/>
      <c r="K55" s="3160"/>
      <c r="P55" s="1532"/>
    </row>
    <row r="56" spans="1:16" ht="75" customHeight="1" x14ac:dyDescent="0.25">
      <c r="A56" s="1529"/>
      <c r="B56" s="2455"/>
      <c r="C56" s="2415" t="s">
        <v>116</v>
      </c>
      <c r="D56" s="1541" t="s">
        <v>1179</v>
      </c>
      <c r="E56" s="1542" t="s">
        <v>1180</v>
      </c>
      <c r="F56" s="1521" t="s">
        <v>116</v>
      </c>
      <c r="G56" s="1541" t="s">
        <v>1179</v>
      </c>
      <c r="H56" s="1542" t="s">
        <v>1180</v>
      </c>
      <c r="I56" s="1521" t="s">
        <v>116</v>
      </c>
      <c r="J56" s="1541" t="s">
        <v>1179</v>
      </c>
      <c r="K56" s="1543" t="s">
        <v>1180</v>
      </c>
      <c r="L56" s="1517"/>
      <c r="P56" s="1532"/>
    </row>
    <row r="57" spans="1:16" ht="15" customHeight="1" x14ac:dyDescent="0.25">
      <c r="A57" s="1529"/>
      <c r="B57" s="2456" t="s">
        <v>1142</v>
      </c>
      <c r="C57" s="1048">
        <f t="shared" ref="C57:C88" si="19">SUM(D57:E57)</f>
        <v>0</v>
      </c>
      <c r="D57" s="35"/>
      <c r="E57" s="1467"/>
      <c r="F57" s="1418">
        <f t="shared" ref="F57:F88" si="20">SUM(G57:H57)</f>
        <v>0</v>
      </c>
      <c r="G57" s="35"/>
      <c r="H57" s="1508"/>
      <c r="I57" s="1418">
        <f t="shared" ref="I57:I88" si="21">SUM(J57:K57)</f>
        <v>0</v>
      </c>
      <c r="J57" s="35"/>
      <c r="K57" s="1508"/>
      <c r="L57" s="1460"/>
      <c r="M57" s="1460"/>
      <c r="N57" s="1460"/>
      <c r="O57" s="1460"/>
      <c r="P57" s="1532"/>
    </row>
    <row r="58" spans="1:16" ht="15" customHeight="1" x14ac:dyDescent="0.25">
      <c r="A58" s="1529"/>
      <c r="B58" s="564" t="s">
        <v>1143</v>
      </c>
      <c r="C58" s="161">
        <f t="shared" si="19"/>
        <v>0</v>
      </c>
      <c r="D58" s="35"/>
      <c r="E58" s="1467"/>
      <c r="F58" s="1421">
        <f t="shared" si="20"/>
        <v>0</v>
      </c>
      <c r="G58" s="35"/>
      <c r="H58" s="1508"/>
      <c r="I58" s="1421">
        <f t="shared" si="21"/>
        <v>0</v>
      </c>
      <c r="J58" s="35"/>
      <c r="K58" s="1508"/>
      <c r="L58" s="1460"/>
      <c r="M58" s="1460"/>
      <c r="N58" s="1460"/>
      <c r="O58" s="1460"/>
      <c r="P58" s="1532"/>
    </row>
    <row r="59" spans="1:16" ht="15" customHeight="1" x14ac:dyDescent="0.25">
      <c r="A59" s="1529"/>
      <c r="B59" s="564" t="s">
        <v>1144</v>
      </c>
      <c r="C59" s="161">
        <f t="shared" si="19"/>
        <v>0</v>
      </c>
      <c r="D59" s="35"/>
      <c r="E59" s="1467"/>
      <c r="F59" s="1421">
        <f t="shared" si="20"/>
        <v>0</v>
      </c>
      <c r="G59" s="35"/>
      <c r="H59" s="1508"/>
      <c r="I59" s="1421">
        <f t="shared" si="21"/>
        <v>0</v>
      </c>
      <c r="J59" s="35"/>
      <c r="K59" s="1508"/>
      <c r="L59" s="1460"/>
      <c r="M59" s="1460"/>
      <c r="N59" s="1460"/>
      <c r="O59" s="1460"/>
      <c r="P59" s="1532"/>
    </row>
    <row r="60" spans="1:16" ht="15" customHeight="1" x14ac:dyDescent="0.25">
      <c r="A60" s="1529"/>
      <c r="B60" s="564" t="s">
        <v>1145</v>
      </c>
      <c r="C60" s="161">
        <f t="shared" si="19"/>
        <v>0</v>
      </c>
      <c r="D60" s="35"/>
      <c r="E60" s="1467"/>
      <c r="F60" s="1421">
        <f t="shared" si="20"/>
        <v>0</v>
      </c>
      <c r="G60" s="35"/>
      <c r="H60" s="1508"/>
      <c r="I60" s="1421">
        <f t="shared" si="21"/>
        <v>0</v>
      </c>
      <c r="J60" s="35"/>
      <c r="K60" s="1508"/>
      <c r="L60" s="1460"/>
      <c r="M60" s="1460"/>
      <c r="N60" s="1460"/>
      <c r="O60" s="1460"/>
      <c r="P60" s="1532"/>
    </row>
    <row r="61" spans="1:16" ht="15" customHeight="1" x14ac:dyDescent="0.25">
      <c r="A61" s="1529"/>
      <c r="B61" s="564" t="s">
        <v>1146</v>
      </c>
      <c r="C61" s="161">
        <f t="shared" si="19"/>
        <v>0</v>
      </c>
      <c r="D61" s="35"/>
      <c r="E61" s="1467"/>
      <c r="F61" s="1421">
        <f t="shared" si="20"/>
        <v>0</v>
      </c>
      <c r="G61" s="35"/>
      <c r="H61" s="1508"/>
      <c r="I61" s="1421">
        <f t="shared" si="21"/>
        <v>0</v>
      </c>
      <c r="J61" s="35"/>
      <c r="K61" s="1508"/>
      <c r="L61" s="1460"/>
      <c r="M61" s="1460"/>
      <c r="N61" s="1460"/>
      <c r="O61" s="1460"/>
      <c r="P61" s="1532"/>
    </row>
    <row r="62" spans="1:16" ht="15" customHeight="1" x14ac:dyDescent="0.25">
      <c r="A62" s="1529"/>
      <c r="B62" s="564" t="s">
        <v>1147</v>
      </c>
      <c r="C62" s="161">
        <f t="shared" si="19"/>
        <v>0</v>
      </c>
      <c r="D62" s="35"/>
      <c r="E62" s="1467"/>
      <c r="F62" s="1421">
        <f t="shared" si="20"/>
        <v>0</v>
      </c>
      <c r="G62" s="35"/>
      <c r="H62" s="1508"/>
      <c r="I62" s="1421">
        <f t="shared" si="21"/>
        <v>0</v>
      </c>
      <c r="J62" s="35"/>
      <c r="K62" s="1508"/>
      <c r="L62" s="1460"/>
      <c r="M62" s="1460"/>
      <c r="N62" s="1460"/>
      <c r="O62" s="1460"/>
      <c r="P62" s="1532"/>
    </row>
    <row r="63" spans="1:16" ht="15" customHeight="1" x14ac:dyDescent="0.25">
      <c r="A63" s="1529"/>
      <c r="B63" s="564" t="s">
        <v>1148</v>
      </c>
      <c r="C63" s="161">
        <f t="shared" si="19"/>
        <v>0</v>
      </c>
      <c r="D63" s="35"/>
      <c r="E63" s="1467"/>
      <c r="F63" s="1421">
        <f t="shared" si="20"/>
        <v>0</v>
      </c>
      <c r="G63" s="35"/>
      <c r="H63" s="1508"/>
      <c r="I63" s="1421">
        <f t="shared" si="21"/>
        <v>0</v>
      </c>
      <c r="J63" s="35"/>
      <c r="K63" s="1508"/>
      <c r="L63" s="1460"/>
      <c r="M63" s="1460"/>
      <c r="N63" s="1460"/>
      <c r="O63" s="1460"/>
      <c r="P63" s="1532"/>
    </row>
    <row r="64" spans="1:16" ht="15" customHeight="1" x14ac:dyDescent="0.25">
      <c r="A64" s="1529"/>
      <c r="B64" s="564" t="s">
        <v>1149</v>
      </c>
      <c r="C64" s="161">
        <f t="shared" si="19"/>
        <v>0</v>
      </c>
      <c r="D64" s="35"/>
      <c r="E64" s="1467"/>
      <c r="F64" s="1421">
        <f t="shared" si="20"/>
        <v>0</v>
      </c>
      <c r="G64" s="35"/>
      <c r="H64" s="1508"/>
      <c r="I64" s="1421">
        <f t="shared" si="21"/>
        <v>0</v>
      </c>
      <c r="J64" s="35"/>
      <c r="K64" s="1508"/>
      <c r="L64" s="1460"/>
      <c r="M64" s="1460"/>
      <c r="N64" s="1460"/>
      <c r="O64" s="1460"/>
      <c r="P64" s="1532"/>
    </row>
    <row r="65" spans="1:16" ht="15" customHeight="1" x14ac:dyDescent="0.25">
      <c r="A65" s="1529"/>
      <c r="B65" s="564" t="s">
        <v>1150</v>
      </c>
      <c r="C65" s="161">
        <f t="shared" si="19"/>
        <v>0</v>
      </c>
      <c r="D65" s="35"/>
      <c r="E65" s="1467"/>
      <c r="F65" s="1421">
        <f t="shared" si="20"/>
        <v>0</v>
      </c>
      <c r="G65" s="35"/>
      <c r="H65" s="1508"/>
      <c r="I65" s="1421">
        <f t="shared" si="21"/>
        <v>0</v>
      </c>
      <c r="J65" s="35"/>
      <c r="K65" s="1508"/>
      <c r="L65" s="1460"/>
      <c r="M65" s="1460"/>
      <c r="N65" s="1460"/>
      <c r="O65" s="1460"/>
      <c r="P65" s="1532"/>
    </row>
    <row r="66" spans="1:16" ht="15" customHeight="1" x14ac:dyDescent="0.25">
      <c r="A66" s="1529"/>
      <c r="B66" s="564" t="s">
        <v>1151</v>
      </c>
      <c r="C66" s="161">
        <f t="shared" si="19"/>
        <v>0</v>
      </c>
      <c r="D66" s="35"/>
      <c r="E66" s="1467"/>
      <c r="F66" s="1421">
        <f t="shared" si="20"/>
        <v>0</v>
      </c>
      <c r="G66" s="35"/>
      <c r="H66" s="1508"/>
      <c r="I66" s="1421">
        <f t="shared" si="21"/>
        <v>0</v>
      </c>
      <c r="J66" s="35"/>
      <c r="K66" s="1508"/>
      <c r="L66" s="1460"/>
      <c r="M66" s="1460"/>
      <c r="N66" s="1460"/>
      <c r="O66" s="1460"/>
      <c r="P66" s="1532"/>
    </row>
    <row r="67" spans="1:16" ht="15" customHeight="1" x14ac:dyDescent="0.25">
      <c r="A67" s="1529"/>
      <c r="B67" s="564" t="s">
        <v>1152</v>
      </c>
      <c r="C67" s="161">
        <f t="shared" si="19"/>
        <v>0</v>
      </c>
      <c r="D67" s="35"/>
      <c r="E67" s="1467"/>
      <c r="F67" s="1421">
        <f t="shared" si="20"/>
        <v>0</v>
      </c>
      <c r="G67" s="35"/>
      <c r="H67" s="1508"/>
      <c r="I67" s="1421">
        <f t="shared" si="21"/>
        <v>0</v>
      </c>
      <c r="J67" s="35"/>
      <c r="K67" s="1508"/>
      <c r="L67" s="1460"/>
      <c r="M67" s="1460"/>
      <c r="N67" s="1460"/>
      <c r="O67" s="1460"/>
      <c r="P67" s="1532"/>
    </row>
    <row r="68" spans="1:16" ht="15" customHeight="1" x14ac:dyDescent="0.25">
      <c r="A68" s="1529"/>
      <c r="B68" s="564" t="s">
        <v>1153</v>
      </c>
      <c r="C68" s="161">
        <f t="shared" si="19"/>
        <v>0</v>
      </c>
      <c r="D68" s="35"/>
      <c r="E68" s="1467"/>
      <c r="F68" s="1421">
        <f t="shared" si="20"/>
        <v>0</v>
      </c>
      <c r="G68" s="35"/>
      <c r="H68" s="1508"/>
      <c r="I68" s="1421">
        <f t="shared" si="21"/>
        <v>0</v>
      </c>
      <c r="J68" s="35"/>
      <c r="K68" s="1508"/>
      <c r="L68" s="1460"/>
      <c r="M68" s="1460"/>
      <c r="N68" s="1460"/>
      <c r="O68" s="1460"/>
      <c r="P68" s="1532"/>
    </row>
    <row r="69" spans="1:16" ht="15" customHeight="1" x14ac:dyDescent="0.25">
      <c r="A69" s="1529"/>
      <c r="B69" s="564" t="s">
        <v>1154</v>
      </c>
      <c r="C69" s="161">
        <f t="shared" si="19"/>
        <v>0</v>
      </c>
      <c r="D69" s="35"/>
      <c r="E69" s="1467"/>
      <c r="F69" s="1421">
        <f t="shared" si="20"/>
        <v>0</v>
      </c>
      <c r="G69" s="35"/>
      <c r="H69" s="1508"/>
      <c r="I69" s="1421">
        <f t="shared" si="21"/>
        <v>0</v>
      </c>
      <c r="J69" s="35"/>
      <c r="K69" s="1508"/>
      <c r="L69" s="1460"/>
      <c r="M69" s="1460"/>
      <c r="N69" s="1460"/>
      <c r="O69" s="1460"/>
      <c r="P69" s="1532"/>
    </row>
    <row r="70" spans="1:16" ht="15" customHeight="1" x14ac:dyDescent="0.25">
      <c r="A70" s="1529"/>
      <c r="B70" s="564" t="s">
        <v>1155</v>
      </c>
      <c r="C70" s="161">
        <f t="shared" si="19"/>
        <v>0</v>
      </c>
      <c r="D70" s="35"/>
      <c r="E70" s="1467"/>
      <c r="F70" s="1421">
        <f t="shared" si="20"/>
        <v>0</v>
      </c>
      <c r="G70" s="35"/>
      <c r="H70" s="1508"/>
      <c r="I70" s="1421">
        <f t="shared" si="21"/>
        <v>0</v>
      </c>
      <c r="J70" s="35"/>
      <c r="K70" s="1508"/>
      <c r="L70" s="1460"/>
      <c r="M70" s="1460"/>
      <c r="N70" s="1460"/>
      <c r="O70" s="1460"/>
      <c r="P70" s="1532"/>
    </row>
    <row r="71" spans="1:16" ht="15" customHeight="1" x14ac:dyDescent="0.25">
      <c r="A71" s="1529"/>
      <c r="B71" s="564" t="s">
        <v>1156</v>
      </c>
      <c r="C71" s="161">
        <f t="shared" si="19"/>
        <v>0</v>
      </c>
      <c r="D71" s="35"/>
      <c r="E71" s="1467"/>
      <c r="F71" s="1421">
        <f t="shared" si="20"/>
        <v>0</v>
      </c>
      <c r="G71" s="35"/>
      <c r="H71" s="1508"/>
      <c r="I71" s="1421">
        <f t="shared" si="21"/>
        <v>0</v>
      </c>
      <c r="J71" s="35"/>
      <c r="K71" s="1508"/>
      <c r="L71" s="1460"/>
      <c r="M71" s="1460"/>
      <c r="N71" s="1460"/>
      <c r="O71" s="1460"/>
      <c r="P71" s="1532"/>
    </row>
    <row r="72" spans="1:16" ht="15" customHeight="1" x14ac:dyDescent="0.25">
      <c r="A72" s="1529"/>
      <c r="B72" s="564" t="s">
        <v>1157</v>
      </c>
      <c r="C72" s="161">
        <f t="shared" si="19"/>
        <v>0</v>
      </c>
      <c r="D72" s="35"/>
      <c r="E72" s="1467"/>
      <c r="F72" s="1421">
        <f t="shared" si="20"/>
        <v>0</v>
      </c>
      <c r="G72" s="35"/>
      <c r="H72" s="1508"/>
      <c r="I72" s="1421">
        <f t="shared" si="21"/>
        <v>0</v>
      </c>
      <c r="J72" s="35"/>
      <c r="K72" s="1508"/>
      <c r="L72" s="1460"/>
      <c r="M72" s="1460"/>
      <c r="N72" s="1460"/>
      <c r="O72" s="1460"/>
      <c r="P72" s="1532"/>
    </row>
    <row r="73" spans="1:16" ht="15" customHeight="1" x14ac:dyDescent="0.25">
      <c r="A73" s="1529"/>
      <c r="B73" s="564" t="s">
        <v>1158</v>
      </c>
      <c r="C73" s="161">
        <f t="shared" si="19"/>
        <v>0</v>
      </c>
      <c r="D73" s="35"/>
      <c r="E73" s="1467"/>
      <c r="F73" s="1421">
        <f t="shared" si="20"/>
        <v>0</v>
      </c>
      <c r="G73" s="35"/>
      <c r="H73" s="1508"/>
      <c r="I73" s="1421">
        <f t="shared" si="21"/>
        <v>0</v>
      </c>
      <c r="J73" s="35"/>
      <c r="K73" s="1508"/>
      <c r="L73" s="1460"/>
      <c r="M73" s="1460"/>
      <c r="N73" s="1460"/>
      <c r="O73" s="1460"/>
      <c r="P73" s="1532"/>
    </row>
    <row r="74" spans="1:16" ht="15" customHeight="1" x14ac:dyDescent="0.25">
      <c r="A74" s="1529"/>
      <c r="B74" s="564" t="s">
        <v>1159</v>
      </c>
      <c r="C74" s="161">
        <f t="shared" si="19"/>
        <v>0</v>
      </c>
      <c r="D74" s="35"/>
      <c r="E74" s="1467"/>
      <c r="F74" s="1421">
        <f t="shared" si="20"/>
        <v>0</v>
      </c>
      <c r="G74" s="35"/>
      <c r="H74" s="1508"/>
      <c r="I74" s="1421">
        <f t="shared" si="21"/>
        <v>0</v>
      </c>
      <c r="J74" s="35"/>
      <c r="K74" s="1508"/>
      <c r="L74" s="1460"/>
      <c r="M74" s="1460"/>
      <c r="N74" s="1460"/>
      <c r="O74" s="1460"/>
      <c r="P74" s="1532"/>
    </row>
    <row r="75" spans="1:16" ht="15" customHeight="1" x14ac:dyDescent="0.25">
      <c r="A75" s="1529"/>
      <c r="B75" s="564" t="s">
        <v>1160</v>
      </c>
      <c r="C75" s="161">
        <f t="shared" si="19"/>
        <v>0</v>
      </c>
      <c r="D75" s="35"/>
      <c r="E75" s="1467"/>
      <c r="F75" s="1421">
        <f t="shared" si="20"/>
        <v>0</v>
      </c>
      <c r="G75" s="35"/>
      <c r="H75" s="1508"/>
      <c r="I75" s="1421">
        <f t="shared" si="21"/>
        <v>0</v>
      </c>
      <c r="J75" s="35"/>
      <c r="K75" s="1508"/>
      <c r="L75" s="1460"/>
      <c r="M75" s="1460"/>
      <c r="N75" s="1460"/>
      <c r="O75" s="1460"/>
      <c r="P75" s="1532"/>
    </row>
    <row r="76" spans="1:16" ht="15" customHeight="1" x14ac:dyDescent="0.25">
      <c r="A76" s="1529"/>
      <c r="B76" s="564" t="s">
        <v>1161</v>
      </c>
      <c r="C76" s="161">
        <f t="shared" si="19"/>
        <v>0</v>
      </c>
      <c r="D76" s="35"/>
      <c r="E76" s="1467"/>
      <c r="F76" s="1421">
        <f t="shared" si="20"/>
        <v>0</v>
      </c>
      <c r="G76" s="35"/>
      <c r="H76" s="1508"/>
      <c r="I76" s="1421">
        <f t="shared" si="21"/>
        <v>0</v>
      </c>
      <c r="J76" s="35"/>
      <c r="K76" s="1508"/>
      <c r="L76" s="1460"/>
      <c r="M76" s="1460"/>
      <c r="N76" s="1460"/>
      <c r="O76" s="1460"/>
      <c r="P76" s="1532"/>
    </row>
    <row r="77" spans="1:16" ht="15" customHeight="1" x14ac:dyDescent="0.25">
      <c r="A77" s="1529"/>
      <c r="B77" s="564" t="s">
        <v>1162</v>
      </c>
      <c r="C77" s="161">
        <f t="shared" si="19"/>
        <v>0</v>
      </c>
      <c r="D77" s="35"/>
      <c r="E77" s="1467"/>
      <c r="F77" s="1421">
        <f t="shared" si="20"/>
        <v>0</v>
      </c>
      <c r="G77" s="35"/>
      <c r="H77" s="1508"/>
      <c r="I77" s="1421">
        <f t="shared" si="21"/>
        <v>0</v>
      </c>
      <c r="J77" s="35"/>
      <c r="K77" s="1508"/>
      <c r="L77" s="1460"/>
      <c r="M77" s="1460"/>
      <c r="N77" s="1460"/>
      <c r="O77" s="1460"/>
      <c r="P77" s="1532"/>
    </row>
    <row r="78" spans="1:16" ht="15" customHeight="1" x14ac:dyDescent="0.25">
      <c r="A78" s="1529"/>
      <c r="B78" s="564" t="s">
        <v>1163</v>
      </c>
      <c r="C78" s="161">
        <f t="shared" si="19"/>
        <v>0</v>
      </c>
      <c r="D78" s="35"/>
      <c r="E78" s="1467"/>
      <c r="F78" s="1421">
        <f t="shared" si="20"/>
        <v>0</v>
      </c>
      <c r="G78" s="35"/>
      <c r="H78" s="1508"/>
      <c r="I78" s="1421">
        <f t="shared" si="21"/>
        <v>0</v>
      </c>
      <c r="J78" s="35"/>
      <c r="K78" s="1508"/>
      <c r="L78" s="1460"/>
      <c r="M78" s="1460"/>
      <c r="N78" s="1460"/>
      <c r="O78" s="1460"/>
      <c r="P78" s="1532"/>
    </row>
    <row r="79" spans="1:16" ht="15" customHeight="1" x14ac:dyDescent="0.25">
      <c r="A79" s="1529"/>
      <c r="B79" s="564" t="s">
        <v>1164</v>
      </c>
      <c r="C79" s="161">
        <f t="shared" si="19"/>
        <v>0</v>
      </c>
      <c r="D79" s="35"/>
      <c r="E79" s="1467"/>
      <c r="F79" s="1421">
        <f t="shared" si="20"/>
        <v>0</v>
      </c>
      <c r="G79" s="35"/>
      <c r="H79" s="1508"/>
      <c r="I79" s="1421">
        <f t="shared" si="21"/>
        <v>0</v>
      </c>
      <c r="J79" s="35"/>
      <c r="K79" s="1508"/>
      <c r="L79" s="1460"/>
      <c r="M79" s="1460"/>
      <c r="N79" s="1460"/>
      <c r="O79" s="1460"/>
      <c r="P79" s="1532"/>
    </row>
    <row r="80" spans="1:16" ht="15" customHeight="1" x14ac:dyDescent="0.25">
      <c r="A80" s="1529"/>
      <c r="B80" s="564" t="s">
        <v>1165</v>
      </c>
      <c r="C80" s="161">
        <f t="shared" si="19"/>
        <v>0</v>
      </c>
      <c r="D80" s="35"/>
      <c r="E80" s="1467"/>
      <c r="F80" s="1421">
        <f t="shared" si="20"/>
        <v>0</v>
      </c>
      <c r="G80" s="35"/>
      <c r="H80" s="1508"/>
      <c r="I80" s="1421">
        <f t="shared" si="21"/>
        <v>0</v>
      </c>
      <c r="J80" s="35"/>
      <c r="K80" s="1508"/>
      <c r="L80" s="1460"/>
      <c r="M80" s="1460"/>
      <c r="N80" s="1460"/>
      <c r="O80" s="1460"/>
      <c r="P80" s="1532"/>
    </row>
    <row r="81" spans="1:16" ht="15" customHeight="1" x14ac:dyDescent="0.25">
      <c r="A81" s="1529"/>
      <c r="B81" s="564" t="s">
        <v>1166</v>
      </c>
      <c r="C81" s="161">
        <f t="shared" si="19"/>
        <v>0</v>
      </c>
      <c r="D81" s="35"/>
      <c r="E81" s="1467"/>
      <c r="F81" s="1421">
        <f t="shared" si="20"/>
        <v>0</v>
      </c>
      <c r="G81" s="35"/>
      <c r="H81" s="1508"/>
      <c r="I81" s="1421">
        <f t="shared" si="21"/>
        <v>0</v>
      </c>
      <c r="J81" s="35"/>
      <c r="K81" s="1508"/>
      <c r="L81" s="1460"/>
      <c r="M81" s="1460"/>
      <c r="N81" s="1460"/>
      <c r="O81" s="1460"/>
      <c r="P81" s="1532"/>
    </row>
    <row r="82" spans="1:16" ht="15" customHeight="1" x14ac:dyDescent="0.25">
      <c r="A82" s="1529"/>
      <c r="B82" s="564" t="s">
        <v>1167</v>
      </c>
      <c r="C82" s="161">
        <f t="shared" si="19"/>
        <v>0</v>
      </c>
      <c r="D82" s="35"/>
      <c r="E82" s="1467"/>
      <c r="F82" s="1421">
        <f t="shared" si="20"/>
        <v>0</v>
      </c>
      <c r="G82" s="35"/>
      <c r="H82" s="1508"/>
      <c r="I82" s="1421">
        <f t="shared" si="21"/>
        <v>0</v>
      </c>
      <c r="J82" s="35"/>
      <c r="K82" s="1508"/>
      <c r="L82" s="1460"/>
      <c r="M82" s="1460"/>
      <c r="N82" s="1460"/>
      <c r="O82" s="1460"/>
      <c r="P82" s="1532"/>
    </row>
    <row r="83" spans="1:16" ht="15" customHeight="1" x14ac:dyDescent="0.25">
      <c r="A83" s="1529"/>
      <c r="B83" s="564" t="s">
        <v>1168</v>
      </c>
      <c r="C83" s="161">
        <f t="shared" si="19"/>
        <v>0</v>
      </c>
      <c r="D83" s="35"/>
      <c r="E83" s="1467"/>
      <c r="F83" s="1421">
        <f t="shared" si="20"/>
        <v>0</v>
      </c>
      <c r="G83" s="35"/>
      <c r="H83" s="1508"/>
      <c r="I83" s="1421">
        <f t="shared" si="21"/>
        <v>0</v>
      </c>
      <c r="J83" s="35"/>
      <c r="K83" s="1508"/>
      <c r="L83" s="1460"/>
      <c r="M83" s="1460"/>
      <c r="N83" s="1460"/>
      <c r="O83" s="1460"/>
      <c r="P83" s="1532"/>
    </row>
    <row r="84" spans="1:16" ht="15" customHeight="1" x14ac:dyDescent="0.25">
      <c r="A84" s="1529"/>
      <c r="B84" s="564" t="s">
        <v>1169</v>
      </c>
      <c r="C84" s="161">
        <f t="shared" si="19"/>
        <v>0</v>
      </c>
      <c r="D84" s="35"/>
      <c r="E84" s="1467"/>
      <c r="F84" s="1421">
        <f t="shared" si="20"/>
        <v>0</v>
      </c>
      <c r="G84" s="35"/>
      <c r="H84" s="1508"/>
      <c r="I84" s="1421">
        <f t="shared" si="21"/>
        <v>0</v>
      </c>
      <c r="J84" s="35"/>
      <c r="K84" s="1508"/>
      <c r="L84" s="1460"/>
      <c r="M84" s="1460"/>
      <c r="N84" s="1460"/>
      <c r="O84" s="1460"/>
      <c r="P84" s="1532"/>
    </row>
    <row r="85" spans="1:16" ht="15" customHeight="1" x14ac:dyDescent="0.25">
      <c r="A85" s="1529"/>
      <c r="B85" s="564" t="s">
        <v>1170</v>
      </c>
      <c r="C85" s="161">
        <f t="shared" si="19"/>
        <v>0</v>
      </c>
      <c r="D85" s="35"/>
      <c r="E85" s="1467"/>
      <c r="F85" s="1421">
        <f t="shared" si="20"/>
        <v>0</v>
      </c>
      <c r="G85" s="35"/>
      <c r="H85" s="1508"/>
      <c r="I85" s="1421">
        <f t="shared" si="21"/>
        <v>0</v>
      </c>
      <c r="J85" s="35"/>
      <c r="K85" s="1508"/>
      <c r="L85" s="1460"/>
      <c r="M85" s="1460"/>
      <c r="N85" s="1460"/>
      <c r="O85" s="1460"/>
      <c r="P85" s="1532"/>
    </row>
    <row r="86" spans="1:16" ht="15" customHeight="1" x14ac:dyDescent="0.25">
      <c r="A86" s="1529"/>
      <c r="B86" s="564" t="s">
        <v>1171</v>
      </c>
      <c r="C86" s="161">
        <f t="shared" si="19"/>
        <v>0</v>
      </c>
      <c r="D86" s="35"/>
      <c r="E86" s="1467"/>
      <c r="F86" s="1421">
        <f t="shared" si="20"/>
        <v>0</v>
      </c>
      <c r="G86" s="35"/>
      <c r="H86" s="1508"/>
      <c r="I86" s="1421">
        <f t="shared" si="21"/>
        <v>0</v>
      </c>
      <c r="J86" s="35"/>
      <c r="K86" s="1508"/>
      <c r="L86" s="1460"/>
      <c r="M86" s="1460"/>
      <c r="N86" s="1460"/>
      <c r="O86" s="1460"/>
      <c r="P86" s="1532"/>
    </row>
    <row r="87" spans="1:16" ht="15" customHeight="1" x14ac:dyDescent="0.25">
      <c r="A87" s="1529"/>
      <c r="B87" s="564" t="s">
        <v>1172</v>
      </c>
      <c r="C87" s="161">
        <f t="shared" si="19"/>
        <v>0</v>
      </c>
      <c r="D87" s="35"/>
      <c r="E87" s="1467"/>
      <c r="F87" s="1421">
        <f t="shared" si="20"/>
        <v>0</v>
      </c>
      <c r="G87" s="35"/>
      <c r="H87" s="1508"/>
      <c r="I87" s="1421">
        <f t="shared" si="21"/>
        <v>0</v>
      </c>
      <c r="J87" s="35"/>
      <c r="K87" s="1508"/>
      <c r="L87" s="1460"/>
      <c r="M87" s="1460"/>
      <c r="N87" s="1460"/>
      <c r="O87" s="1460"/>
      <c r="P87" s="1532"/>
    </row>
    <row r="88" spans="1:16" ht="15" customHeight="1" x14ac:dyDescent="0.25">
      <c r="A88" s="1529"/>
      <c r="B88" s="564" t="s">
        <v>286</v>
      </c>
      <c r="C88" s="154">
        <f t="shared" si="19"/>
        <v>0</v>
      </c>
      <c r="D88" s="35"/>
      <c r="E88" s="1467"/>
      <c r="F88" s="1562">
        <f t="shared" si="20"/>
        <v>0</v>
      </c>
      <c r="G88" s="35"/>
      <c r="H88" s="1508"/>
      <c r="I88" s="1562">
        <f t="shared" si="21"/>
        <v>0</v>
      </c>
      <c r="J88" s="35"/>
      <c r="K88" s="1508"/>
      <c r="L88" s="1460"/>
      <c r="M88" s="1460"/>
      <c r="N88" s="1460"/>
      <c r="O88" s="1460"/>
      <c r="P88" s="1532"/>
    </row>
    <row r="89" spans="1:16" ht="15" customHeight="1" x14ac:dyDescent="0.25">
      <c r="A89" s="1529"/>
      <c r="B89" s="1522"/>
      <c r="C89" s="973">
        <f>SUM(C57:C88)</f>
        <v>0</v>
      </c>
      <c r="D89" s="1511">
        <f>SUM(D57:D88)</f>
        <v>0</v>
      </c>
      <c r="E89" s="1512">
        <f>SUM(E57:E88)</f>
        <v>0</v>
      </c>
      <c r="F89" s="1510">
        <f>SUM(F57:F88)</f>
        <v>0</v>
      </c>
      <c r="G89" s="1511">
        <f>SUM(G57:G88)</f>
        <v>0</v>
      </c>
      <c r="H89" s="1513">
        <f t="shared" ref="H89" si="22">SUM(H57:H88)</f>
        <v>0</v>
      </c>
      <c r="I89" s="1510">
        <f>SUM(I57:I88)</f>
        <v>0</v>
      </c>
      <c r="J89" s="1511">
        <f>SUM(J57:J88)</f>
        <v>0</v>
      </c>
      <c r="K89" s="1513">
        <f t="shared" ref="K89" si="23">SUM(K57:K88)</f>
        <v>0</v>
      </c>
      <c r="L89" s="1460"/>
      <c r="M89" s="1460"/>
      <c r="N89" s="1460"/>
      <c r="O89" s="1460"/>
      <c r="P89" s="1532"/>
    </row>
    <row r="90" spans="1:16" ht="15" customHeight="1" x14ac:dyDescent="0.25">
      <c r="A90" s="1536"/>
      <c r="B90" s="1500"/>
      <c r="C90" s="1501"/>
      <c r="D90" s="1501"/>
      <c r="E90" s="1501"/>
      <c r="F90" s="1501"/>
      <c r="G90" s="1500"/>
      <c r="H90" s="1502"/>
      <c r="I90" s="1500"/>
      <c r="J90" s="1500"/>
      <c r="K90" s="1502"/>
      <c r="L90" s="1503"/>
      <c r="M90" s="1504"/>
      <c r="N90" s="1501"/>
      <c r="O90" s="1519"/>
      <c r="P90" s="1537"/>
    </row>
    <row r="91" spans="1:16" ht="45" customHeight="1" x14ac:dyDescent="0.25">
      <c r="A91" s="1461" t="s">
        <v>2237</v>
      </c>
      <c r="B91" s="1505"/>
      <c r="C91" s="1484"/>
      <c r="D91" s="1484"/>
      <c r="E91" s="1484"/>
      <c r="F91" s="1484"/>
      <c r="G91" s="1484"/>
      <c r="H91" s="1484"/>
      <c r="I91" s="1484"/>
      <c r="J91" s="1485"/>
      <c r="K91" s="1486"/>
      <c r="L91" s="1487"/>
      <c r="M91" s="1487"/>
      <c r="N91" s="1487"/>
      <c r="O91" s="1518"/>
      <c r="P91" s="1534"/>
    </row>
    <row r="92" spans="1:16" ht="15" customHeight="1" x14ac:dyDescent="0.25">
      <c r="A92" s="1529"/>
      <c r="B92" s="1506"/>
      <c r="C92" s="2603" t="s">
        <v>1189</v>
      </c>
      <c r="D92" s="3146"/>
      <c r="E92" s="3146"/>
      <c r="F92" s="3147"/>
      <c r="G92" s="3148" t="s">
        <v>1190</v>
      </c>
      <c r="H92" s="3146"/>
      <c r="I92" s="3146"/>
      <c r="J92" s="3147"/>
      <c r="K92" s="3148" t="s">
        <v>1191</v>
      </c>
      <c r="L92" s="3146"/>
      <c r="M92" s="3146"/>
      <c r="N92" s="3149"/>
      <c r="P92" s="1532"/>
    </row>
    <row r="93" spans="1:16" ht="15" customHeight="1" x14ac:dyDescent="0.25">
      <c r="A93" s="1529"/>
      <c r="B93" s="1514"/>
      <c r="C93" s="2603" t="s">
        <v>1181</v>
      </c>
      <c r="D93" s="3146" t="s">
        <v>1173</v>
      </c>
      <c r="E93" s="3146"/>
      <c r="F93" s="3147"/>
      <c r="G93" s="3148" t="s">
        <v>1181</v>
      </c>
      <c r="H93" s="3146" t="s">
        <v>1173</v>
      </c>
      <c r="I93" s="3146"/>
      <c r="J93" s="3147"/>
      <c r="K93" s="3148" t="s">
        <v>1181</v>
      </c>
      <c r="L93" s="3146" t="s">
        <v>1173</v>
      </c>
      <c r="M93" s="3146"/>
      <c r="N93" s="3149"/>
      <c r="P93" s="1532"/>
    </row>
    <row r="94" spans="1:16" ht="75" customHeight="1" x14ac:dyDescent="0.25">
      <c r="A94" s="1529"/>
      <c r="B94" s="1507"/>
      <c r="C94" s="2603"/>
      <c r="D94" s="2379" t="s">
        <v>116</v>
      </c>
      <c r="E94" s="1567" t="s">
        <v>1179</v>
      </c>
      <c r="F94" s="1568" t="s">
        <v>1180</v>
      </c>
      <c r="G94" s="3148"/>
      <c r="H94" s="2379" t="s">
        <v>116</v>
      </c>
      <c r="I94" s="1567" t="s">
        <v>1179</v>
      </c>
      <c r="J94" s="1568" t="s">
        <v>1180</v>
      </c>
      <c r="K94" s="3148"/>
      <c r="L94" s="2379" t="s">
        <v>116</v>
      </c>
      <c r="M94" s="1567" t="s">
        <v>1179</v>
      </c>
      <c r="N94" s="1569" t="s">
        <v>1180</v>
      </c>
      <c r="P94" s="1532"/>
    </row>
    <row r="95" spans="1:16" ht="15" customHeight="1" x14ac:dyDescent="0.25">
      <c r="A95" s="1463"/>
      <c r="B95" s="1563" t="s">
        <v>1174</v>
      </c>
      <c r="C95" s="1564">
        <f>SUM(C96:C98)</f>
        <v>0</v>
      </c>
      <c r="D95" s="1565">
        <f t="shared" ref="D95:D107" si="24">SUM(E95:F95)</f>
        <v>0</v>
      </c>
      <c r="E95" s="1565">
        <f t="shared" ref="E95:F95" si="25">SUM(E96:E98)</f>
        <v>0</v>
      </c>
      <c r="F95" s="1566">
        <f t="shared" si="25"/>
        <v>0</v>
      </c>
      <c r="G95" s="1418">
        <f>SUM(G96:G98)</f>
        <v>0</v>
      </c>
      <c r="H95" s="963">
        <f t="shared" ref="H95:H107" si="26">SUM(I95:J95)</f>
        <v>0</v>
      </c>
      <c r="I95" s="963">
        <f t="shared" ref="I95:J95" si="27">SUM(I96:I98)</f>
        <v>0</v>
      </c>
      <c r="J95" s="1557">
        <f t="shared" si="27"/>
        <v>0</v>
      </c>
      <c r="K95" s="1418">
        <f>SUM(K96:K98)</f>
        <v>0</v>
      </c>
      <c r="L95" s="963">
        <f t="shared" ref="L95:L107" si="28">SUM(M95:N95)</f>
        <v>0</v>
      </c>
      <c r="M95" s="963">
        <f t="shared" ref="M95:N95" si="29">SUM(M96:M98)</f>
        <v>0</v>
      </c>
      <c r="N95" s="426">
        <f t="shared" si="29"/>
        <v>0</v>
      </c>
      <c r="O95" s="1516"/>
      <c r="P95" s="1531"/>
    </row>
    <row r="96" spans="1:16" ht="30" customHeight="1" x14ac:dyDescent="0.25">
      <c r="A96" s="1463"/>
      <c r="B96" s="2378" t="s">
        <v>1175</v>
      </c>
      <c r="C96" s="35"/>
      <c r="D96" s="32">
        <f t="shared" si="24"/>
        <v>0</v>
      </c>
      <c r="E96" s="25"/>
      <c r="F96" s="1467"/>
      <c r="G96" s="1466"/>
      <c r="H96" s="32">
        <f t="shared" si="26"/>
        <v>0</v>
      </c>
      <c r="I96" s="25"/>
      <c r="J96" s="1467"/>
      <c r="K96" s="1466"/>
      <c r="L96" s="32">
        <f t="shared" si="28"/>
        <v>0</v>
      </c>
      <c r="M96" s="25"/>
      <c r="N96" s="36"/>
      <c r="O96" s="1464"/>
      <c r="P96" s="1531"/>
    </row>
    <row r="97" spans="1:16" ht="30" customHeight="1" x14ac:dyDescent="0.25">
      <c r="A97" s="1463"/>
      <c r="B97" s="2378" t="s">
        <v>1176</v>
      </c>
      <c r="C97" s="35"/>
      <c r="D97" s="32">
        <f t="shared" si="24"/>
        <v>0</v>
      </c>
      <c r="E97" s="25"/>
      <c r="F97" s="1467"/>
      <c r="G97" s="1466"/>
      <c r="H97" s="32">
        <f t="shared" si="26"/>
        <v>0</v>
      </c>
      <c r="I97" s="25"/>
      <c r="J97" s="1467"/>
      <c r="K97" s="1466"/>
      <c r="L97" s="32">
        <f t="shared" si="28"/>
        <v>0</v>
      </c>
      <c r="M97" s="25"/>
      <c r="N97" s="36"/>
      <c r="O97" s="1464"/>
      <c r="P97" s="1531"/>
    </row>
    <row r="98" spans="1:16" ht="15" customHeight="1" x14ac:dyDescent="0.25">
      <c r="A98" s="1463"/>
      <c r="B98" s="1509" t="str">
        <f>"the exposure is not applicable to rows " &amp; ROW(B96) &amp; " or " &amp; ROW(B97)</f>
        <v>the exposure is not applicable to rows 96 or 97</v>
      </c>
      <c r="C98" s="35"/>
      <c r="D98" s="32">
        <f t="shared" si="24"/>
        <v>0</v>
      </c>
      <c r="E98" s="25"/>
      <c r="F98" s="1467"/>
      <c r="G98" s="1466"/>
      <c r="H98" s="32">
        <f t="shared" si="26"/>
        <v>0</v>
      </c>
      <c r="I98" s="25"/>
      <c r="J98" s="1467"/>
      <c r="K98" s="1466"/>
      <c r="L98" s="32">
        <f t="shared" si="28"/>
        <v>0</v>
      </c>
      <c r="M98" s="25"/>
      <c r="N98" s="36"/>
      <c r="O98" s="1464"/>
      <c r="P98" s="1531"/>
    </row>
    <row r="99" spans="1:16" ht="15" customHeight="1" x14ac:dyDescent="0.25">
      <c r="A99" s="1463"/>
      <c r="B99" s="1538" t="s">
        <v>1177</v>
      </c>
      <c r="C99" s="161">
        <f>SUM(C100:C102)</f>
        <v>0</v>
      </c>
      <c r="D99" s="32">
        <f t="shared" si="24"/>
        <v>0</v>
      </c>
      <c r="E99" s="32">
        <f t="shared" ref="E99:F99" si="30">SUM(E100:E102)</f>
        <v>0</v>
      </c>
      <c r="F99" s="1556">
        <f t="shared" si="30"/>
        <v>0</v>
      </c>
      <c r="G99" s="1421">
        <f>SUM(G100:G102)</f>
        <v>0</v>
      </c>
      <c r="H99" s="32">
        <f t="shared" si="26"/>
        <v>0</v>
      </c>
      <c r="I99" s="32">
        <f t="shared" ref="I99:J99" si="31">SUM(I100:I102)</f>
        <v>0</v>
      </c>
      <c r="J99" s="1556">
        <f t="shared" si="31"/>
        <v>0</v>
      </c>
      <c r="K99" s="1421">
        <f>SUM(K100:K102)</f>
        <v>0</v>
      </c>
      <c r="L99" s="32">
        <f t="shared" si="28"/>
        <v>0</v>
      </c>
      <c r="M99" s="32">
        <f t="shared" ref="M99:N99" si="32">SUM(M100:M102)</f>
        <v>0</v>
      </c>
      <c r="N99" s="9">
        <f t="shared" si="32"/>
        <v>0</v>
      </c>
      <c r="O99" s="1516"/>
      <c r="P99" s="1531"/>
    </row>
    <row r="100" spans="1:16" ht="30" customHeight="1" x14ac:dyDescent="0.25">
      <c r="A100" s="1463"/>
      <c r="B100" s="2378" t="s">
        <v>1175</v>
      </c>
      <c r="C100" s="35"/>
      <c r="D100" s="32">
        <f t="shared" si="24"/>
        <v>0</v>
      </c>
      <c r="E100" s="25"/>
      <c r="F100" s="1467"/>
      <c r="G100" s="1466"/>
      <c r="H100" s="32">
        <f t="shared" si="26"/>
        <v>0</v>
      </c>
      <c r="I100" s="25"/>
      <c r="J100" s="1467"/>
      <c r="K100" s="1466"/>
      <c r="L100" s="32">
        <f t="shared" si="28"/>
        <v>0</v>
      </c>
      <c r="M100" s="25"/>
      <c r="N100" s="36"/>
      <c r="O100" s="1464"/>
      <c r="P100" s="1531"/>
    </row>
    <row r="101" spans="1:16" ht="30" customHeight="1" x14ac:dyDescent="0.25">
      <c r="A101" s="1463"/>
      <c r="B101" s="2378" t="s">
        <v>1176</v>
      </c>
      <c r="C101" s="35"/>
      <c r="D101" s="32">
        <f t="shared" si="24"/>
        <v>0</v>
      </c>
      <c r="E101" s="25"/>
      <c r="F101" s="1467"/>
      <c r="G101" s="1466"/>
      <c r="H101" s="32">
        <f t="shared" si="26"/>
        <v>0</v>
      </c>
      <c r="I101" s="25"/>
      <c r="J101" s="1467"/>
      <c r="K101" s="1466"/>
      <c r="L101" s="32">
        <f t="shared" si="28"/>
        <v>0</v>
      </c>
      <c r="M101" s="25"/>
      <c r="N101" s="36"/>
      <c r="O101" s="1464"/>
      <c r="P101" s="1531"/>
    </row>
    <row r="102" spans="1:16" ht="15" customHeight="1" x14ac:dyDescent="0.25">
      <c r="A102" s="1463"/>
      <c r="B102" s="1509" t="str">
        <f>"the exposure is not applicable to rows " &amp; ROW(B100) &amp; " or " &amp; ROW(B101)</f>
        <v>the exposure is not applicable to rows 100 or 101</v>
      </c>
      <c r="C102" s="35"/>
      <c r="D102" s="32">
        <f t="shared" si="24"/>
        <v>0</v>
      </c>
      <c r="E102" s="25"/>
      <c r="F102" s="1467"/>
      <c r="G102" s="1466"/>
      <c r="H102" s="32">
        <f t="shared" si="26"/>
        <v>0</v>
      </c>
      <c r="I102" s="25"/>
      <c r="J102" s="1467"/>
      <c r="K102" s="1466"/>
      <c r="L102" s="32">
        <f t="shared" si="28"/>
        <v>0</v>
      </c>
      <c r="M102" s="25"/>
      <c r="N102" s="36"/>
      <c r="O102" s="1464"/>
      <c r="P102" s="1531"/>
    </row>
    <row r="103" spans="1:16" ht="15" customHeight="1" x14ac:dyDescent="0.25">
      <c r="A103" s="1463"/>
      <c r="B103" s="1538" t="s">
        <v>1178</v>
      </c>
      <c r="C103" s="161">
        <f>SUM(C104:C106)</f>
        <v>0</v>
      </c>
      <c r="D103" s="32">
        <f t="shared" si="24"/>
        <v>0</v>
      </c>
      <c r="E103" s="32">
        <f t="shared" ref="E103:F103" si="33">SUM(E104:E106)</f>
        <v>0</v>
      </c>
      <c r="F103" s="1556">
        <f t="shared" si="33"/>
        <v>0</v>
      </c>
      <c r="G103" s="1421">
        <f>SUM(G104:G106)</f>
        <v>0</v>
      </c>
      <c r="H103" s="32">
        <f t="shared" si="26"/>
        <v>0</v>
      </c>
      <c r="I103" s="32">
        <f t="shared" ref="I103:J103" si="34">SUM(I104:I106)</f>
        <v>0</v>
      </c>
      <c r="J103" s="1556">
        <f t="shared" si="34"/>
        <v>0</v>
      </c>
      <c r="K103" s="1421">
        <f>SUM(K104:K106)</f>
        <v>0</v>
      </c>
      <c r="L103" s="32">
        <f t="shared" si="28"/>
        <v>0</v>
      </c>
      <c r="M103" s="32">
        <f t="shared" ref="M103:N103" si="35">SUM(M104:M106)</f>
        <v>0</v>
      </c>
      <c r="N103" s="9">
        <f t="shared" si="35"/>
        <v>0</v>
      </c>
      <c r="O103" s="1516"/>
      <c r="P103" s="1531"/>
    </row>
    <row r="104" spans="1:16" ht="30" customHeight="1" x14ac:dyDescent="0.25">
      <c r="A104" s="1463"/>
      <c r="B104" s="2378" t="s">
        <v>1175</v>
      </c>
      <c r="C104" s="35"/>
      <c r="D104" s="32">
        <f t="shared" si="24"/>
        <v>0</v>
      </c>
      <c r="E104" s="25"/>
      <c r="F104" s="1467"/>
      <c r="G104" s="1466"/>
      <c r="H104" s="32">
        <f t="shared" si="26"/>
        <v>0</v>
      </c>
      <c r="I104" s="25"/>
      <c r="J104" s="1467"/>
      <c r="K104" s="1466"/>
      <c r="L104" s="32">
        <f t="shared" si="28"/>
        <v>0</v>
      </c>
      <c r="M104" s="25"/>
      <c r="N104" s="36"/>
      <c r="O104" s="1464"/>
      <c r="P104" s="1531"/>
    </row>
    <row r="105" spans="1:16" ht="30" customHeight="1" x14ac:dyDescent="0.25">
      <c r="A105" s="1463"/>
      <c r="B105" s="2378" t="s">
        <v>1188</v>
      </c>
      <c r="C105" s="35"/>
      <c r="D105" s="32">
        <f t="shared" si="24"/>
        <v>0</v>
      </c>
      <c r="E105" s="25"/>
      <c r="F105" s="1467"/>
      <c r="G105" s="1466"/>
      <c r="H105" s="32">
        <f t="shared" si="26"/>
        <v>0</v>
      </c>
      <c r="I105" s="25"/>
      <c r="J105" s="1467"/>
      <c r="K105" s="1466"/>
      <c r="L105" s="32">
        <f t="shared" si="28"/>
        <v>0</v>
      </c>
      <c r="M105" s="25"/>
      <c r="N105" s="36"/>
      <c r="O105" s="1464"/>
      <c r="P105" s="1531"/>
    </row>
    <row r="106" spans="1:16" ht="15" customHeight="1" x14ac:dyDescent="0.25">
      <c r="A106" s="1463"/>
      <c r="B106" s="1509" t="str">
        <f>"the exposure is not applicable to rows " &amp; ROW(B104) &amp; " or " &amp; ROW(B105)</f>
        <v>the exposure is not applicable to rows 104 or 105</v>
      </c>
      <c r="C106" s="35"/>
      <c r="D106" s="32">
        <f t="shared" si="24"/>
        <v>0</v>
      </c>
      <c r="E106" s="25"/>
      <c r="F106" s="1467"/>
      <c r="G106" s="1466"/>
      <c r="H106" s="32">
        <f t="shared" si="26"/>
        <v>0</v>
      </c>
      <c r="I106" s="25"/>
      <c r="J106" s="1467"/>
      <c r="K106" s="1466"/>
      <c r="L106" s="32">
        <f t="shared" si="28"/>
        <v>0</v>
      </c>
      <c r="M106" s="25"/>
      <c r="N106" s="36"/>
      <c r="O106" s="1464"/>
      <c r="P106" s="1531"/>
    </row>
    <row r="107" spans="1:16" ht="15" customHeight="1" x14ac:dyDescent="0.25">
      <c r="A107" s="1463"/>
      <c r="B107" s="1570" t="s">
        <v>1137</v>
      </c>
      <c r="C107" s="671"/>
      <c r="D107" s="304">
        <f t="shared" si="24"/>
        <v>0</v>
      </c>
      <c r="E107" s="31"/>
      <c r="F107" s="1469"/>
      <c r="G107" s="1468"/>
      <c r="H107" s="304">
        <f t="shared" si="26"/>
        <v>0</v>
      </c>
      <c r="I107" s="31"/>
      <c r="J107" s="1469"/>
      <c r="K107" s="1468"/>
      <c r="L107" s="304">
        <f t="shared" si="28"/>
        <v>0</v>
      </c>
      <c r="M107" s="31"/>
      <c r="N107" s="62"/>
      <c r="O107" s="1464"/>
      <c r="P107" s="1531"/>
    </row>
    <row r="108" spans="1:16" ht="15" customHeight="1" x14ac:dyDescent="0.25">
      <c r="A108" s="1529"/>
      <c r="B108" s="1522"/>
      <c r="C108" s="1473">
        <f>SUM(C95+C99+C103+C107)</f>
        <v>0</v>
      </c>
      <c r="D108" s="1571">
        <f t="shared" ref="D108:F108" si="36">SUM(D95+D99+D103+D107)</f>
        <v>0</v>
      </c>
      <c r="E108" s="1571">
        <f t="shared" si="36"/>
        <v>0</v>
      </c>
      <c r="F108" s="1572">
        <f t="shared" si="36"/>
        <v>0</v>
      </c>
      <c r="G108" s="1573">
        <f>SUM(G95+G99+G103+G107)</f>
        <v>0</v>
      </c>
      <c r="H108" s="1571">
        <f t="shared" ref="H108:J108" si="37">SUM(H95+H99+H103+H107)</f>
        <v>0</v>
      </c>
      <c r="I108" s="1571">
        <f t="shared" si="37"/>
        <v>0</v>
      </c>
      <c r="J108" s="1574">
        <f t="shared" si="37"/>
        <v>0</v>
      </c>
      <c r="K108" s="1473">
        <f>SUM(K95+K99+K103+K107)</f>
        <v>0</v>
      </c>
      <c r="L108" s="1571">
        <f t="shared" ref="L108:N108" si="38">SUM(L95+L99+L103+L107)</f>
        <v>0</v>
      </c>
      <c r="M108" s="1571">
        <f t="shared" si="38"/>
        <v>0</v>
      </c>
      <c r="N108" s="1572">
        <f t="shared" si="38"/>
        <v>0</v>
      </c>
      <c r="O108" s="1478"/>
      <c r="P108" s="1532"/>
    </row>
    <row r="109" spans="1:16" ht="15" customHeight="1" x14ac:dyDescent="0.25">
      <c r="A109" s="1536"/>
      <c r="B109" s="1500"/>
      <c r="C109" s="1501"/>
      <c r="D109" s="1501"/>
      <c r="E109" s="1501"/>
      <c r="F109" s="1501"/>
      <c r="G109" s="1500"/>
      <c r="H109" s="1502"/>
      <c r="I109" s="1500"/>
      <c r="J109" s="1500"/>
      <c r="K109" s="1502"/>
      <c r="L109" s="1503"/>
      <c r="M109" s="1504"/>
      <c r="N109" s="1501"/>
      <c r="O109" s="1519"/>
      <c r="P109" s="1537"/>
    </row>
    <row r="110" spans="1:16" hidden="1" x14ac:dyDescent="0.25">
      <c r="A110" s="1518"/>
      <c r="B110" s="1518"/>
      <c r="C110" s="1518"/>
      <c r="D110" s="1518"/>
      <c r="E110" s="1518"/>
      <c r="F110" s="1518"/>
      <c r="G110" s="1518"/>
      <c r="H110" s="1518"/>
      <c r="I110" s="1518"/>
      <c r="J110" s="1518"/>
      <c r="K110" s="1518"/>
      <c r="L110" s="1518"/>
      <c r="M110" s="1518"/>
      <c r="N110" s="1518"/>
      <c r="O110" s="1518"/>
      <c r="P110" s="1518"/>
    </row>
  </sheetData>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309"/>
  <sheetViews>
    <sheetView zoomScale="75" zoomScaleNormal="75" workbookViewId="0"/>
  </sheetViews>
  <sheetFormatPr defaultColWidth="0" defaultRowHeight="0" customHeight="1" zeroHeight="1" x14ac:dyDescent="0.25"/>
  <cols>
    <col min="1" max="1" width="1.7109375" style="545" customWidth="1"/>
    <col min="2" max="2" width="8.7109375" style="477" customWidth="1"/>
    <col min="3" max="3" width="60.7109375" style="477" customWidth="1"/>
    <col min="4" max="22" width="8.7109375" style="258" customWidth="1"/>
    <col min="23" max="23" width="8.7109375" style="477" customWidth="1"/>
    <col min="24" max="41" width="8.7109375" style="251" customWidth="1"/>
    <col min="42" max="42" width="1.7109375" style="791" customWidth="1"/>
    <col min="43" max="16384" width="9.140625" hidden="1"/>
  </cols>
  <sheetData>
    <row r="1" spans="1:42" ht="30" customHeight="1" x14ac:dyDescent="0.55000000000000004">
      <c r="A1" s="1238" t="s">
        <v>632</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c r="AG1" s="1436"/>
      <c r="AH1" s="1436"/>
      <c r="AI1" s="1436"/>
      <c r="AJ1" s="1436"/>
      <c r="AK1" s="1436"/>
      <c r="AL1" s="1436"/>
      <c r="AM1" s="1436"/>
      <c r="AN1" s="1436"/>
      <c r="AO1" s="1436"/>
      <c r="AP1" s="768"/>
    </row>
    <row r="2" spans="1:42" ht="45" customHeight="1" x14ac:dyDescent="0.25">
      <c r="A2" s="464" t="s">
        <v>2100</v>
      </c>
      <c r="D2" s="477"/>
      <c r="E2" s="477"/>
      <c r="F2" s="477"/>
      <c r="G2" s="477"/>
      <c r="H2" s="477"/>
      <c r="I2" s="477"/>
      <c r="J2" s="477"/>
      <c r="K2" s="477"/>
      <c r="L2" s="477"/>
      <c r="M2" s="477"/>
      <c r="N2" s="477"/>
      <c r="O2" s="477"/>
      <c r="P2" s="477"/>
      <c r="Q2" s="477"/>
      <c r="R2" s="477"/>
      <c r="S2" s="477"/>
      <c r="T2" s="477"/>
      <c r="U2" s="477"/>
      <c r="V2" s="477"/>
      <c r="X2" s="477"/>
      <c r="Y2" s="477"/>
      <c r="Z2" s="477"/>
      <c r="AA2" s="477"/>
      <c r="AB2" s="477"/>
      <c r="AC2" s="477"/>
      <c r="AD2" s="477"/>
      <c r="AE2" s="477"/>
      <c r="AF2" s="477"/>
      <c r="AG2" s="477"/>
      <c r="AH2" s="477"/>
      <c r="AI2" s="477"/>
      <c r="AJ2" s="477"/>
      <c r="AK2" s="477"/>
      <c r="AL2" s="477"/>
      <c r="AM2" s="477"/>
      <c r="AN2" s="477"/>
      <c r="AO2" s="477"/>
      <c r="AP2" s="544"/>
    </row>
    <row r="3" spans="1:42" ht="15" customHeight="1" x14ac:dyDescent="0.25">
      <c r="B3" s="772" t="s">
        <v>633</v>
      </c>
      <c r="C3" s="1341" t="s">
        <v>13</v>
      </c>
      <c r="D3" s="1393"/>
      <c r="E3" s="1077"/>
      <c r="F3" s="1393"/>
      <c r="G3" s="1393"/>
      <c r="H3" s="1393"/>
      <c r="I3" s="1393"/>
      <c r="J3" s="2311" t="str">
        <f>CONCATENATE("Col ", LEFT(ADDRESS(ROW('General Info'!C65),COLUMN('General Info'!C65),4), 1))</f>
        <v>Col C</v>
      </c>
      <c r="K3" s="2311" t="str">
        <f>CONCATENATE("Col ", LEFT(ADDRESS(ROW('General Info'!D65),COLUMN('General Info'!D65),4), 1))</f>
        <v>Col D</v>
      </c>
      <c r="L3" s="2311" t="str">
        <f>CONCATENATE("Col ", LEFT(ADDRESS(ROW('General Info'!E65),COLUMN('General Info'!E65),4), 1))</f>
        <v>Col E</v>
      </c>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546"/>
    </row>
    <row r="4" spans="1:42" ht="15" customHeight="1" x14ac:dyDescent="0.25">
      <c r="B4" s="266" t="s">
        <v>634</v>
      </c>
      <c r="C4" s="1205" t="str">
        <f>'General Info'!B65</f>
        <v>Check: Tier 1 adjustments should be ≤ additional Tier 1 prior to adjustments</v>
      </c>
      <c r="D4" s="242"/>
      <c r="E4" s="237"/>
      <c r="F4" s="242"/>
      <c r="G4" s="242"/>
      <c r="H4" s="242"/>
      <c r="I4" s="242"/>
      <c r="J4" s="560" t="str">
        <f>'General Info'!C65</f>
        <v/>
      </c>
      <c r="K4" s="261"/>
      <c r="L4" s="259"/>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546"/>
    </row>
    <row r="5" spans="1:42" ht="15" customHeight="1" x14ac:dyDescent="0.25">
      <c r="B5" s="266" t="s">
        <v>634</v>
      </c>
      <c r="C5" s="1205" t="str">
        <f>'General Info'!B70</f>
        <v>Check: Tier 2 adjustments should be ≤ additional Tier 2 prior to adjustments</v>
      </c>
      <c r="D5" s="242"/>
      <c r="E5" s="237"/>
      <c r="F5" s="242"/>
      <c r="G5" s="242"/>
      <c r="H5" s="242"/>
      <c r="I5" s="242"/>
      <c r="J5" s="560" t="str">
        <f>'General Info'!C70</f>
        <v/>
      </c>
      <c r="K5" s="261"/>
      <c r="L5" s="259"/>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546"/>
    </row>
    <row r="6" spans="1:42" ht="15" customHeight="1" x14ac:dyDescent="0.25">
      <c r="B6" s="266" t="s">
        <v>640</v>
      </c>
      <c r="C6" s="1205" t="str">
        <f>'General Info'!E$74 &amp; ": " &amp; 'General Info'!B79</f>
        <v>Check: 12m ≥ 6m: Dividends on CET1 instruments</v>
      </c>
      <c r="D6" s="242"/>
      <c r="E6" s="237"/>
      <c r="F6" s="242"/>
      <c r="G6" s="242"/>
      <c r="H6" s="242"/>
      <c r="I6" s="242"/>
      <c r="J6" s="263"/>
      <c r="K6" s="261"/>
      <c r="L6" s="701" t="str">
        <f>'General Info'!E79</f>
        <v/>
      </c>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546"/>
    </row>
    <row r="7" spans="1:42" ht="15" customHeight="1" x14ac:dyDescent="0.25">
      <c r="B7" s="266" t="s">
        <v>640</v>
      </c>
      <c r="C7" s="1205" t="str">
        <f>'General Info'!E$74 &amp; ": " &amp; 'General Info'!B80</f>
        <v>Check: 12m ≥ 6m: Other coupon/dividend payments on Tier 1 instruments; of which:</v>
      </c>
      <c r="D7" s="242"/>
      <c r="E7" s="237"/>
      <c r="F7" s="242"/>
      <c r="G7" s="242"/>
      <c r="H7" s="242"/>
      <c r="I7" s="242"/>
      <c r="J7" s="263"/>
      <c r="K7" s="261"/>
      <c r="L7" s="701" t="str">
        <f>'General Info'!E80</f>
        <v/>
      </c>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546"/>
    </row>
    <row r="8" spans="1:42" ht="15" customHeight="1" x14ac:dyDescent="0.25">
      <c r="B8" s="266" t="s">
        <v>640</v>
      </c>
      <c r="C8" s="1205" t="str">
        <f>'General Info'!E$74 &amp; ": " &amp; 'General Info'!B81</f>
        <v>Check: 12m ≥ 6m: Considered as expenses</v>
      </c>
      <c r="D8" s="242"/>
      <c r="E8" s="237"/>
      <c r="F8" s="242"/>
      <c r="G8" s="242"/>
      <c r="H8" s="242"/>
      <c r="I8" s="242"/>
      <c r="J8" s="263"/>
      <c r="K8" s="261"/>
      <c r="L8" s="701" t="str">
        <f>'General Info'!E81</f>
        <v/>
      </c>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546"/>
    </row>
    <row r="9" spans="1:42" ht="15" customHeight="1" x14ac:dyDescent="0.25">
      <c r="B9" s="266" t="s">
        <v>640</v>
      </c>
      <c r="C9" s="1205" t="str">
        <f>'General Info'!E$74 &amp; ": " &amp; 'General Info'!B82</f>
        <v>Check: 12m ≥ 6m: Common stock share buybacks</v>
      </c>
      <c r="D9" s="242"/>
      <c r="E9" s="237"/>
      <c r="F9" s="242"/>
      <c r="G9" s="242"/>
      <c r="H9" s="242"/>
      <c r="I9" s="242"/>
      <c r="J9" s="263"/>
      <c r="K9" s="261"/>
      <c r="L9" s="701" t="str">
        <f>'General Info'!E82</f>
        <v/>
      </c>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546"/>
    </row>
    <row r="10" spans="1:42" ht="15" customHeight="1" x14ac:dyDescent="0.25">
      <c r="B10" s="266" t="s">
        <v>640</v>
      </c>
      <c r="C10" s="1205" t="str">
        <f>'General Info'!E$74 &amp; ": " &amp; 'General Info'!B83</f>
        <v>Check: 12m ≥ 6m: Other Tier 1 buyback or repayment (gross)</v>
      </c>
      <c r="D10" s="242"/>
      <c r="E10" s="237"/>
      <c r="F10" s="242"/>
      <c r="G10" s="242"/>
      <c r="H10" s="242"/>
      <c r="I10" s="242"/>
      <c r="J10" s="263"/>
      <c r="K10" s="261"/>
      <c r="L10" s="701" t="str">
        <f>'General Info'!E83</f>
        <v/>
      </c>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546"/>
    </row>
    <row r="11" spans="1:42" ht="15" customHeight="1" x14ac:dyDescent="0.25">
      <c r="B11" s="266" t="s">
        <v>640</v>
      </c>
      <c r="C11" s="1205" t="str">
        <f>'General Info'!E$74 &amp; ": " &amp; 'General Info'!B84</f>
        <v>Check: 12m ≥ 6m: Discretionary staff compensation/bonuses</v>
      </c>
      <c r="D11" s="242"/>
      <c r="E11" s="237"/>
      <c r="F11" s="242"/>
      <c r="G11" s="242"/>
      <c r="H11" s="242"/>
      <c r="I11" s="242"/>
      <c r="J11" s="263"/>
      <c r="K11" s="261"/>
      <c r="L11" s="701" t="str">
        <f>'General Info'!E84</f>
        <v/>
      </c>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546"/>
    </row>
    <row r="12" spans="1:42" ht="15" customHeight="1" x14ac:dyDescent="0.25">
      <c r="B12" s="266" t="s">
        <v>640</v>
      </c>
      <c r="C12" s="1205" t="str">
        <f>'General Info'!E$74 &amp; ": " &amp; 'General Info'!B85</f>
        <v>Check: 12m ≥ 6m: Tier 2 buyback or repayment (gross)</v>
      </c>
      <c r="D12" s="242"/>
      <c r="E12" s="237"/>
      <c r="F12" s="242"/>
      <c r="G12" s="242"/>
      <c r="H12" s="242"/>
      <c r="I12" s="242"/>
      <c r="J12" s="263"/>
      <c r="K12" s="261"/>
      <c r="L12" s="701" t="str">
        <f>'General Info'!E85</f>
        <v/>
      </c>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546"/>
    </row>
    <row r="13" spans="1:42" ht="15" customHeight="1" x14ac:dyDescent="0.25">
      <c r="B13" s="266" t="s">
        <v>640</v>
      </c>
      <c r="C13" s="1205" t="str">
        <f>'General Info'!E$74 &amp; ": " &amp; 'General Info'!B87</f>
        <v>Check: 12m ≥ 6m: CET1</v>
      </c>
      <c r="D13" s="242"/>
      <c r="E13" s="237"/>
      <c r="F13" s="242"/>
      <c r="G13" s="242"/>
      <c r="H13" s="242"/>
      <c r="I13" s="242"/>
      <c r="J13" s="263"/>
      <c r="K13" s="261"/>
      <c r="L13" s="701" t="str">
        <f>'General Info'!E87</f>
        <v/>
      </c>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546"/>
    </row>
    <row r="14" spans="1:42" ht="15" customHeight="1" x14ac:dyDescent="0.25">
      <c r="B14" s="266" t="s">
        <v>640</v>
      </c>
      <c r="C14" s="1205" t="str">
        <f>'General Info'!E$74 &amp; ": " &amp; 'General Info'!B88</f>
        <v>Check: 12m ≥ 6m: Additional Tier 1</v>
      </c>
      <c r="D14" s="242"/>
      <c r="E14" s="237"/>
      <c r="F14" s="242"/>
      <c r="G14" s="242"/>
      <c r="H14" s="242"/>
      <c r="I14" s="242"/>
      <c r="J14" s="263"/>
      <c r="K14" s="261"/>
      <c r="L14" s="701" t="str">
        <f>'General Info'!E88</f>
        <v/>
      </c>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546"/>
    </row>
    <row r="15" spans="1:42" ht="15" customHeight="1" x14ac:dyDescent="0.25">
      <c r="B15" s="254" t="s">
        <v>640</v>
      </c>
      <c r="C15" s="1968" t="str">
        <f>'General Info'!E$74 &amp; ": " &amp; 'General Info'!B89</f>
        <v>Check: 12m ≥ 6m: Tier 2</v>
      </c>
      <c r="D15" s="250"/>
      <c r="E15" s="249"/>
      <c r="F15" s="250"/>
      <c r="G15" s="250"/>
      <c r="H15" s="250"/>
      <c r="I15" s="250"/>
      <c r="J15" s="265"/>
      <c r="K15" s="355"/>
      <c r="L15" s="554" t="str">
        <f>'General Info'!E89</f>
        <v/>
      </c>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546"/>
    </row>
    <row r="16" spans="1:42" ht="15" customHeight="1" x14ac:dyDescent="0.25">
      <c r="D16" s="477"/>
      <c r="E16" s="477"/>
      <c r="F16" s="4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546"/>
    </row>
    <row r="17" spans="1:42" ht="45" customHeight="1" x14ac:dyDescent="0.25">
      <c r="A17" s="784" t="s">
        <v>2101</v>
      </c>
      <c r="B17" s="1105"/>
      <c r="C17" s="1105"/>
      <c r="D17" s="1105"/>
      <c r="E17" s="1105"/>
      <c r="F17" s="1105"/>
      <c r="G17" s="1105"/>
      <c r="H17" s="1105"/>
      <c r="I17" s="1105"/>
      <c r="J17" s="1105"/>
      <c r="K17" s="1105"/>
      <c r="L17" s="1105"/>
      <c r="M17" s="1105"/>
      <c r="N17" s="1105"/>
      <c r="O17" s="1105"/>
      <c r="P17" s="1105"/>
      <c r="Q17" s="1105"/>
      <c r="R17" s="1105"/>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785"/>
    </row>
    <row r="18" spans="1:42" ht="45" customHeight="1" x14ac:dyDescent="0.25">
      <c r="A18" s="464" t="s">
        <v>2102</v>
      </c>
      <c r="D18" s="477"/>
      <c r="E18" s="477"/>
      <c r="F18" s="477"/>
      <c r="G18" s="477"/>
      <c r="H18" s="477"/>
      <c r="I18" s="477"/>
      <c r="J18" s="477"/>
      <c r="K18" s="477"/>
      <c r="L18" s="477"/>
      <c r="M18" s="477"/>
      <c r="N18" s="477"/>
      <c r="O18" s="477"/>
      <c r="P18" s="477"/>
      <c r="Q18" s="477"/>
      <c r="R18" s="477"/>
      <c r="S18" s="477"/>
      <c r="T18" s="477"/>
      <c r="U18" s="477"/>
      <c r="V18" s="477"/>
      <c r="X18" s="477"/>
      <c r="Y18" s="477"/>
      <c r="Z18" s="477"/>
      <c r="AA18" s="477"/>
      <c r="AB18" s="477"/>
      <c r="AC18" s="477"/>
      <c r="AD18" s="477"/>
      <c r="AE18" s="477"/>
      <c r="AF18" s="477"/>
      <c r="AG18" s="477"/>
      <c r="AH18" s="477"/>
      <c r="AI18" s="477"/>
      <c r="AJ18" s="477"/>
      <c r="AK18" s="477"/>
      <c r="AL18" s="477"/>
      <c r="AM18" s="477"/>
      <c r="AN18" s="477"/>
      <c r="AO18" s="477"/>
      <c r="AP18" s="544"/>
    </row>
    <row r="19" spans="1:42" ht="15" customHeight="1" x14ac:dyDescent="0.25">
      <c r="B19" s="772" t="s">
        <v>633</v>
      </c>
      <c r="C19" s="1341" t="s">
        <v>13</v>
      </c>
      <c r="D19" s="1393"/>
      <c r="E19" s="1393"/>
      <c r="F19" s="1393"/>
      <c r="G19" s="1077"/>
      <c r="H19" s="1077"/>
      <c r="I19" s="1077"/>
      <c r="J19" s="2311" t="str">
        <f>CONCATENATE("Col ", LEFT(ADDRESS(ROW('General Info'!D85),COLUMN('General Info'!D85),4), 1))</f>
        <v>Col D</v>
      </c>
      <c r="K19" s="2310" t="str">
        <f>CONCATENATE("Col ", LEFT(ADDRESS(ROW('General Info'!E85),COLUMN('General Info'!E85),4), 1))</f>
        <v>Col E</v>
      </c>
      <c r="L19" s="477"/>
      <c r="M19" s="477"/>
      <c r="N19" s="477"/>
      <c r="O19" s="477"/>
      <c r="P19" s="477"/>
      <c r="Q19" s="477"/>
      <c r="R19" s="477"/>
      <c r="S19" s="477"/>
      <c r="T19" s="477"/>
      <c r="U19" s="477"/>
      <c r="V19" s="477"/>
      <c r="W19" s="177"/>
      <c r="X19" s="177"/>
      <c r="Y19" s="177"/>
      <c r="Z19" s="177"/>
      <c r="AA19" s="177"/>
      <c r="AB19" s="177"/>
      <c r="AC19" s="177"/>
      <c r="AD19" s="177"/>
      <c r="AE19" s="177"/>
      <c r="AF19" s="177"/>
      <c r="AG19" s="177"/>
      <c r="AH19" s="177"/>
      <c r="AI19" s="177"/>
      <c r="AJ19" s="177"/>
      <c r="AK19" s="177"/>
      <c r="AL19" s="177"/>
      <c r="AM19" s="177"/>
      <c r="AN19" s="177"/>
      <c r="AO19" s="177"/>
      <c r="AP19" s="546"/>
    </row>
    <row r="20" spans="1:42" ht="15" customHeight="1" x14ac:dyDescent="0.25">
      <c r="B20" s="769" t="s">
        <v>635</v>
      </c>
      <c r="C20" s="774" t="str">
        <f>DefCap!C116</f>
        <v>Check: row 115 ≤ row 114</v>
      </c>
      <c r="D20" s="986"/>
      <c r="E20" s="986"/>
      <c r="F20" s="986"/>
      <c r="G20" s="702"/>
      <c r="H20" s="702"/>
      <c r="I20" s="702"/>
      <c r="J20" s="730" t="str">
        <f>DefCap!D116</f>
        <v/>
      </c>
      <c r="K20" s="771" t="str">
        <f>DefCap!E116</f>
        <v/>
      </c>
      <c r="L20" s="477"/>
      <c r="M20" s="477"/>
      <c r="N20" s="477"/>
      <c r="O20" s="477"/>
      <c r="P20" s="477"/>
      <c r="Q20" s="477"/>
      <c r="R20" s="477"/>
      <c r="S20" s="477"/>
      <c r="T20" s="477"/>
      <c r="U20" s="477"/>
      <c r="V20" s="477"/>
      <c r="W20" s="177"/>
      <c r="X20" s="177"/>
      <c r="Y20" s="177"/>
      <c r="Z20" s="177"/>
      <c r="AA20" s="177"/>
      <c r="AB20" s="177"/>
      <c r="AC20" s="177"/>
      <c r="AD20" s="177"/>
      <c r="AE20" s="177"/>
      <c r="AF20" s="177"/>
      <c r="AG20" s="177"/>
      <c r="AH20" s="177"/>
      <c r="AI20" s="177"/>
      <c r="AJ20" s="177"/>
      <c r="AK20" s="177"/>
      <c r="AL20" s="177"/>
      <c r="AM20" s="177"/>
      <c r="AN20" s="177"/>
      <c r="AO20" s="177"/>
      <c r="AP20" s="546"/>
    </row>
    <row r="21" spans="1:42" ht="15" customHeight="1" x14ac:dyDescent="0.25">
      <c r="B21" s="254" t="s">
        <v>635</v>
      </c>
      <c r="C21" s="547" t="str">
        <f>DefCap!C123</f>
        <v>Check: row 122 ≤ row 121</v>
      </c>
      <c r="D21" s="250"/>
      <c r="E21" s="250"/>
      <c r="F21" s="250"/>
      <c r="G21" s="249"/>
      <c r="H21" s="249"/>
      <c r="I21" s="249"/>
      <c r="J21" s="561" t="str">
        <f>DefCap!D123</f>
        <v/>
      </c>
      <c r="K21" s="554" t="str">
        <f>DefCap!E123</f>
        <v/>
      </c>
      <c r="L21" s="477"/>
      <c r="M21" s="477"/>
      <c r="N21" s="477"/>
      <c r="O21" s="477"/>
      <c r="P21" s="477"/>
      <c r="Q21" s="477"/>
      <c r="R21" s="477"/>
      <c r="S21" s="477"/>
      <c r="T21" s="477"/>
      <c r="U21" s="477"/>
      <c r="V21" s="477"/>
      <c r="W21" s="177"/>
      <c r="X21" s="177"/>
      <c r="Y21" s="177"/>
      <c r="Z21" s="177"/>
      <c r="AA21" s="177"/>
      <c r="AB21" s="177"/>
      <c r="AC21" s="177"/>
      <c r="AD21" s="177"/>
      <c r="AE21" s="177"/>
      <c r="AF21" s="177"/>
      <c r="AG21" s="177"/>
      <c r="AH21" s="177"/>
      <c r="AI21" s="177"/>
      <c r="AJ21" s="177"/>
      <c r="AK21" s="177"/>
      <c r="AL21" s="177"/>
      <c r="AM21" s="177"/>
      <c r="AN21" s="177"/>
      <c r="AO21" s="177"/>
      <c r="AP21" s="546"/>
    </row>
    <row r="22" spans="1:42" ht="45" customHeight="1" x14ac:dyDescent="0.25">
      <c r="A22" s="464" t="s">
        <v>2103</v>
      </c>
      <c r="D22" s="477"/>
      <c r="E22" s="477"/>
      <c r="F22" s="477"/>
      <c r="G22" s="477"/>
      <c r="H22" s="477"/>
      <c r="I22" s="477"/>
      <c r="J22" s="477"/>
      <c r="K22" s="477"/>
      <c r="L22" s="477"/>
      <c r="M22" s="477"/>
      <c r="N22" s="477"/>
      <c r="O22" s="477"/>
      <c r="P22" s="477"/>
      <c r="Q22" s="477"/>
      <c r="R22" s="477"/>
      <c r="S22" s="477"/>
      <c r="T22" s="477"/>
      <c r="U22" s="477"/>
      <c r="V22" s="477"/>
      <c r="X22" s="477"/>
      <c r="Y22" s="477"/>
      <c r="Z22" s="477"/>
      <c r="AA22" s="477"/>
      <c r="AB22" s="477"/>
      <c r="AC22" s="477"/>
      <c r="AD22" s="477"/>
      <c r="AE22" s="477"/>
      <c r="AF22" s="477"/>
      <c r="AG22" s="477"/>
      <c r="AH22" s="477"/>
      <c r="AI22" s="477"/>
      <c r="AJ22" s="477"/>
      <c r="AK22" s="477"/>
      <c r="AL22" s="477"/>
      <c r="AM22" s="477"/>
      <c r="AN22" s="477"/>
      <c r="AO22" s="477"/>
      <c r="AP22" s="544"/>
    </row>
    <row r="23" spans="1:42" ht="15" customHeight="1" x14ac:dyDescent="0.25">
      <c r="B23" s="772" t="s">
        <v>633</v>
      </c>
      <c r="C23" s="1341" t="s">
        <v>13</v>
      </c>
      <c r="D23" s="1393"/>
      <c r="E23" s="1393"/>
      <c r="F23" s="1393"/>
      <c r="G23" s="1077"/>
      <c r="H23" s="1077"/>
      <c r="I23" s="1077"/>
      <c r="J23" s="2311" t="str">
        <f>CONCATENATE("Col ", LEFT(ADDRESS(ROW(TLAC!C12),COLUMN(TLAC!C16),4), 1))</f>
        <v>Col C</v>
      </c>
      <c r="K23" s="2310" t="str">
        <f>CONCATENATE("Col ", LEFT(ADDRESS(ROW(TLAC!D12),COLUMN(TLAC!D16),4), 1))</f>
        <v>Col D</v>
      </c>
      <c r="L23" s="477"/>
      <c r="M23" s="477"/>
      <c r="N23" s="477"/>
      <c r="O23" s="477"/>
      <c r="P23" s="477"/>
      <c r="Q23" s="477"/>
      <c r="R23" s="477"/>
      <c r="S23" s="477"/>
      <c r="T23" s="477"/>
      <c r="U23" s="477"/>
      <c r="V23" s="477"/>
      <c r="W23" s="177"/>
      <c r="X23" s="177"/>
      <c r="Y23" s="177"/>
      <c r="Z23" s="177"/>
      <c r="AA23" s="177"/>
      <c r="AB23" s="177"/>
      <c r="AC23" s="177"/>
      <c r="AD23" s="177"/>
      <c r="AE23" s="177"/>
      <c r="AF23" s="177"/>
      <c r="AG23" s="177"/>
      <c r="AH23" s="177"/>
      <c r="AI23" s="177"/>
      <c r="AJ23" s="177"/>
      <c r="AK23" s="177"/>
      <c r="AL23" s="177"/>
      <c r="AM23" s="177"/>
      <c r="AN23" s="177"/>
      <c r="AO23" s="177"/>
      <c r="AP23" s="546"/>
    </row>
    <row r="24" spans="1:42" ht="15" customHeight="1" x14ac:dyDescent="0.25">
      <c r="B24" s="786" t="s">
        <v>634</v>
      </c>
      <c r="C24" s="1342" t="str">
        <f>TLAC!B16</f>
        <v>Check: row 15 ≤ row 14</v>
      </c>
      <c r="D24" s="1393"/>
      <c r="E24" s="1393"/>
      <c r="F24" s="1393"/>
      <c r="G24" s="1077"/>
      <c r="H24" s="1077"/>
      <c r="I24" s="1077"/>
      <c r="J24" s="787" t="str">
        <f>TLAC!C16</f>
        <v/>
      </c>
      <c r="K24" s="1214" t="str">
        <f>TLAC!D16</f>
        <v/>
      </c>
      <c r="L24" s="477"/>
      <c r="M24" s="477"/>
      <c r="N24" s="477"/>
      <c r="O24" s="477"/>
      <c r="P24" s="477"/>
      <c r="Q24" s="477"/>
      <c r="R24" s="477"/>
      <c r="S24" s="477"/>
      <c r="T24" s="477"/>
      <c r="U24" s="477"/>
      <c r="V24" s="477"/>
      <c r="W24" s="177"/>
      <c r="X24" s="177"/>
      <c r="Y24" s="177"/>
      <c r="Z24" s="177"/>
      <c r="AA24" s="177"/>
      <c r="AB24" s="177"/>
      <c r="AC24" s="177"/>
      <c r="AD24" s="177"/>
      <c r="AE24" s="177"/>
      <c r="AF24" s="177"/>
      <c r="AG24" s="177"/>
      <c r="AH24" s="177"/>
      <c r="AI24" s="177"/>
      <c r="AJ24" s="177"/>
      <c r="AK24" s="177"/>
      <c r="AL24" s="177"/>
      <c r="AM24" s="177"/>
      <c r="AN24" s="177"/>
      <c r="AO24" s="177"/>
      <c r="AP24" s="546"/>
    </row>
    <row r="25" spans="1:42" ht="15" customHeight="1" x14ac:dyDescent="0.25">
      <c r="D25" s="477"/>
      <c r="E25" s="477"/>
      <c r="F25" s="477"/>
      <c r="G25" s="477"/>
      <c r="H25" s="477"/>
      <c r="I25" s="477"/>
      <c r="J25" s="477"/>
      <c r="K25" s="477"/>
      <c r="L25" s="477"/>
      <c r="M25" s="477"/>
      <c r="N25" s="477"/>
      <c r="O25" s="477"/>
      <c r="P25" s="477"/>
      <c r="Q25" s="477"/>
      <c r="R25" s="477"/>
      <c r="S25" s="477"/>
      <c r="T25" s="477"/>
      <c r="U25" s="477"/>
      <c r="V25" s="477"/>
      <c r="W25" s="548"/>
      <c r="X25" s="177"/>
      <c r="Y25" s="177"/>
      <c r="Z25" s="177"/>
      <c r="AA25" s="177"/>
      <c r="AB25" s="177"/>
      <c r="AC25" s="177"/>
      <c r="AD25" s="177"/>
      <c r="AE25" s="177"/>
      <c r="AF25" s="177"/>
      <c r="AG25" s="177"/>
      <c r="AH25" s="177"/>
      <c r="AI25" s="177"/>
      <c r="AJ25" s="177"/>
      <c r="AK25" s="177"/>
      <c r="AL25" s="177"/>
      <c r="AM25" s="177"/>
      <c r="AN25" s="177"/>
      <c r="AO25" s="177"/>
      <c r="AP25" s="546"/>
    </row>
    <row r="26" spans="1:42" ht="45" customHeight="1" x14ac:dyDescent="0.25">
      <c r="A26" s="784" t="s">
        <v>2104</v>
      </c>
      <c r="B26" s="1105"/>
      <c r="C26" s="1105"/>
      <c r="D26" s="1105"/>
      <c r="E26" s="1105"/>
      <c r="F26" s="1105"/>
      <c r="G26" s="1105"/>
      <c r="H26" s="1105"/>
      <c r="I26" s="1105"/>
      <c r="J26" s="1105"/>
      <c r="K26" s="1105"/>
      <c r="L26" s="1105"/>
      <c r="M26" s="1105"/>
      <c r="N26" s="1105"/>
      <c r="O26" s="1105"/>
      <c r="P26" s="1105"/>
      <c r="Q26" s="1105"/>
      <c r="R26" s="1105"/>
      <c r="S26" s="1105"/>
      <c r="T26" s="1105"/>
      <c r="U26" s="1105"/>
      <c r="V26" s="1105"/>
      <c r="W26" s="1105"/>
      <c r="X26" s="1105"/>
      <c r="Y26" s="1105"/>
      <c r="Z26" s="1105"/>
      <c r="AA26" s="1105"/>
      <c r="AB26" s="1105"/>
      <c r="AC26" s="1105"/>
      <c r="AD26" s="1105"/>
      <c r="AE26" s="1105"/>
      <c r="AF26" s="1105"/>
      <c r="AG26" s="1105"/>
      <c r="AH26" s="1105"/>
      <c r="AI26" s="1105"/>
      <c r="AJ26" s="1105"/>
      <c r="AK26" s="1105"/>
      <c r="AL26" s="1105"/>
      <c r="AM26" s="1105"/>
      <c r="AN26" s="1105"/>
      <c r="AO26" s="1105"/>
      <c r="AP26" s="785"/>
    </row>
    <row r="27" spans="1:42" ht="45" customHeight="1" x14ac:dyDescent="0.25">
      <c r="A27" s="464" t="s">
        <v>2105</v>
      </c>
      <c r="D27" s="477"/>
      <c r="E27" s="477"/>
      <c r="F27" s="477"/>
      <c r="G27" s="177"/>
      <c r="H27" s="177"/>
      <c r="I27" s="177"/>
      <c r="J27" s="477"/>
      <c r="K27" s="477"/>
      <c r="L27" s="477"/>
      <c r="M27" s="477"/>
      <c r="N27" s="477"/>
      <c r="O27" s="477"/>
      <c r="P27" s="477"/>
      <c r="Q27" s="477"/>
      <c r="R27" s="477"/>
      <c r="S27" s="477"/>
      <c r="T27" s="477"/>
      <c r="U27" s="477"/>
      <c r="V27" s="477"/>
      <c r="X27" s="477"/>
      <c r="Y27" s="477"/>
      <c r="Z27" s="477"/>
      <c r="AA27" s="477"/>
      <c r="AB27" s="477"/>
      <c r="AC27" s="477"/>
      <c r="AD27" s="477"/>
      <c r="AE27" s="477"/>
      <c r="AF27" s="477"/>
      <c r="AG27" s="477"/>
      <c r="AH27" s="477"/>
      <c r="AI27" s="477"/>
      <c r="AJ27" s="477"/>
      <c r="AK27" s="477"/>
      <c r="AL27" s="477"/>
      <c r="AM27" s="477"/>
      <c r="AN27" s="477"/>
      <c r="AO27" s="477"/>
      <c r="AP27" s="544"/>
    </row>
    <row r="28" spans="1:42" ht="15" customHeight="1" x14ac:dyDescent="0.25">
      <c r="B28" s="772" t="s">
        <v>633</v>
      </c>
      <c r="C28" s="1341" t="s">
        <v>13</v>
      </c>
      <c r="D28" s="1393"/>
      <c r="E28" s="1393"/>
      <c r="F28" s="1393"/>
      <c r="G28" s="1393"/>
      <c r="H28" s="1393"/>
      <c r="I28" s="1393"/>
      <c r="J28" s="2312" t="str">
        <f>CONCATENATE("Col ", LEFT(ADDRESS(ROW('Leverage ratio'!G1),COLUMN('Leverage ratio'!G1),4), 1))</f>
        <v>Col G</v>
      </c>
      <c r="K28" s="2016" t="str">
        <f>CONCATENATE("Col ", LEFT(ADDRESS(ROW('Leverage ratio'!H1),COLUMN('Leverage ratio'!H1),4), 1))</f>
        <v>Col H</v>
      </c>
      <c r="L28" s="2016" t="str">
        <f>CONCATENATE("Col ", LEFT(ADDRESS(ROW('Leverage ratio'!I1),COLUMN('Leverage ratio'!I1),4), 1))</f>
        <v>Col I</v>
      </c>
      <c r="M28" s="2016" t="str">
        <f>CONCATENATE("Col ", LEFT(ADDRESS(ROW('Leverage ratio'!J1),COLUMN('Leverage ratio'!J1),4), 1))</f>
        <v>Col J</v>
      </c>
      <c r="N28" s="2310" t="str">
        <f>CONCATENATE("Col ", LEFT(ADDRESS(ROW('Leverage ratio'!K1),COLUMN('Leverage ratio'!K1),4), 1))</f>
        <v>Col K</v>
      </c>
      <c r="O28" s="2310" t="str">
        <f>CONCATENATE("Col ", LEFT(ADDRESS(ROW('Leverage ratio'!L1),COLUMN('Leverage ratio'!L1),4), 1))</f>
        <v>Col L</v>
      </c>
      <c r="P28" s="477"/>
      <c r="Q28" s="4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546"/>
    </row>
    <row r="29" spans="1:42" ht="15" customHeight="1" x14ac:dyDescent="0.25">
      <c r="B29" s="769" t="s">
        <v>636</v>
      </c>
      <c r="C29" s="1947" t="str">
        <f>'Leverage ratio'!C8</f>
        <v>Check: total ≥ amounts associated with affiliated entities</v>
      </c>
      <c r="D29" s="986"/>
      <c r="E29" s="986"/>
      <c r="F29" s="986"/>
      <c r="G29" s="986"/>
      <c r="H29" s="986"/>
      <c r="I29" s="986"/>
      <c r="J29" s="710"/>
      <c r="K29" s="711"/>
      <c r="L29" s="711"/>
      <c r="M29" s="711"/>
      <c r="N29" s="1143" t="str">
        <f>'Leverage ratio'!K8</f>
        <v/>
      </c>
      <c r="O29" s="259"/>
      <c r="P29" s="477"/>
      <c r="Q29" s="4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546"/>
    </row>
    <row r="30" spans="1:42" ht="15" customHeight="1" x14ac:dyDescent="0.25">
      <c r="B30" s="266" t="s">
        <v>636</v>
      </c>
      <c r="C30" s="1205" t="str">
        <f>CONCATENATE('Leverage ratio'!$J$4, ": ", 'Leverage ratio'!C12)</f>
        <v>Check: accounting ≤ gross value: SFT agent transactions eligible for the exceptional treatment</v>
      </c>
      <c r="D30" s="242"/>
      <c r="E30" s="242"/>
      <c r="F30" s="242"/>
      <c r="G30" s="242"/>
      <c r="H30" s="242"/>
      <c r="I30" s="242"/>
      <c r="J30" s="263"/>
      <c r="K30" s="261"/>
      <c r="L30" s="261"/>
      <c r="M30" s="553" t="str">
        <f>'Leverage ratio'!J12</f>
        <v/>
      </c>
      <c r="N30" s="259"/>
      <c r="O30" s="259"/>
      <c r="P30" s="477"/>
      <c r="Q30" s="4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546"/>
    </row>
    <row r="31" spans="1:42" ht="15" customHeight="1" x14ac:dyDescent="0.25">
      <c r="B31" s="266" t="s">
        <v>636</v>
      </c>
      <c r="C31" s="1205" t="str">
        <f>CONCATENATE('Leverage ratio'!$J$4, ": ", 'Leverage ratio'!C13)</f>
        <v>Check: accounting ≤ gross value: Other SFTs</v>
      </c>
      <c r="D31" s="242"/>
      <c r="E31" s="242"/>
      <c r="F31" s="242"/>
      <c r="G31" s="242"/>
      <c r="H31" s="242"/>
      <c r="I31" s="242"/>
      <c r="J31" s="263"/>
      <c r="K31" s="261"/>
      <c r="L31" s="261"/>
      <c r="M31" s="553" t="str">
        <f>'Leverage ratio'!J13</f>
        <v/>
      </c>
      <c r="N31" s="259"/>
      <c r="O31" s="259"/>
      <c r="P31" s="477"/>
      <c r="Q31" s="4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546"/>
    </row>
    <row r="32" spans="1:42" ht="15" customHeight="1" x14ac:dyDescent="0.25">
      <c r="B32" s="266" t="s">
        <v>636</v>
      </c>
      <c r="C32" s="1205" t="str">
        <f>CONCATENATE('Leverage ratio'!$J$4, ": ", 'Leverage ratio'!C19)</f>
        <v>Check: accounting ≤ gross value: Cash pooling transactions; of which:</v>
      </c>
      <c r="D32" s="242"/>
      <c r="E32" s="242"/>
      <c r="F32" s="242"/>
      <c r="G32" s="242"/>
      <c r="H32" s="242"/>
      <c r="I32" s="242"/>
      <c r="J32" s="263"/>
      <c r="K32" s="261"/>
      <c r="L32" s="261"/>
      <c r="M32" s="553" t="str">
        <f>'Leverage ratio'!J19</f>
        <v/>
      </c>
      <c r="N32" s="259"/>
      <c r="O32" s="259"/>
      <c r="P32" s="477"/>
      <c r="Q32" s="4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546"/>
    </row>
    <row r="33" spans="1:42" ht="15" customHeight="1" x14ac:dyDescent="0.25">
      <c r="B33" s="266" t="s">
        <v>636</v>
      </c>
      <c r="C33" s="1205" t="str">
        <f>CONCATENATE('Leverage ratio'!$J$4, ": ", 'Leverage ratio'!C20)</f>
        <v>Check: accounting ≤ gross value: Cash pooling transactions that meet the criteria of LEV30.12</v>
      </c>
      <c r="D33" s="242"/>
      <c r="E33" s="242"/>
      <c r="F33" s="242"/>
      <c r="G33" s="242"/>
      <c r="H33" s="242"/>
      <c r="I33" s="242"/>
      <c r="J33" s="263"/>
      <c r="K33" s="261"/>
      <c r="L33" s="261"/>
      <c r="M33" s="553" t="str">
        <f>'Leverage ratio'!J20</f>
        <v/>
      </c>
      <c r="N33" s="259"/>
      <c r="O33" s="259"/>
      <c r="P33" s="477"/>
      <c r="Q33" s="4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546"/>
    </row>
    <row r="34" spans="1:42" ht="15" customHeight="1" x14ac:dyDescent="0.25">
      <c r="B34" s="266" t="s">
        <v>636</v>
      </c>
      <c r="C34" s="1205" t="str">
        <f>'Leverage ratio'!C21</f>
        <v>Check: total ≥ of which amount</v>
      </c>
      <c r="D34" s="242"/>
      <c r="E34" s="242"/>
      <c r="F34" s="242"/>
      <c r="G34" s="242"/>
      <c r="H34" s="242"/>
      <c r="I34" s="242"/>
      <c r="J34" s="560" t="str">
        <f>'Leverage ratio'!G21</f>
        <v/>
      </c>
      <c r="K34" s="553" t="str">
        <f>'Leverage ratio'!H21</f>
        <v/>
      </c>
      <c r="L34" s="553" t="str">
        <f>'Leverage ratio'!I21</f>
        <v/>
      </c>
      <c r="M34" s="261"/>
      <c r="N34" s="259"/>
      <c r="O34" s="259"/>
      <c r="P34" s="477"/>
      <c r="Q34" s="4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546"/>
    </row>
    <row r="35" spans="1:42" ht="15" customHeight="1" x14ac:dyDescent="0.25">
      <c r="B35" s="266" t="s">
        <v>636</v>
      </c>
      <c r="C35" s="1205" t="str">
        <f>'Leverage ratio'!C22</f>
        <v>Check: gross value ≥ exposure value ≥ net value</v>
      </c>
      <c r="D35" s="242"/>
      <c r="E35" s="242"/>
      <c r="F35" s="242"/>
      <c r="G35" s="242"/>
      <c r="H35" s="242"/>
      <c r="I35" s="242"/>
      <c r="J35" s="263"/>
      <c r="K35" s="261"/>
      <c r="L35" s="553" t="str">
        <f>'Leverage ratio'!I22</f>
        <v/>
      </c>
      <c r="M35" s="261"/>
      <c r="N35" s="259"/>
      <c r="O35" s="259"/>
      <c r="P35" s="477"/>
      <c r="Q35" s="4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546"/>
    </row>
    <row r="36" spans="1:42" ht="15" customHeight="1" x14ac:dyDescent="0.25">
      <c r="B36" s="266" t="s">
        <v>636</v>
      </c>
      <c r="C36" s="1205" t="str">
        <f>'Leverage ratio'!C23</f>
        <v>Check: consistent reporting in rows 19 and 20</v>
      </c>
      <c r="D36" s="242"/>
      <c r="E36" s="242"/>
      <c r="F36" s="242"/>
      <c r="G36" s="242"/>
      <c r="H36" s="242"/>
      <c r="I36" s="242"/>
      <c r="J36" s="263"/>
      <c r="K36" s="261"/>
      <c r="L36" s="553" t="str">
        <f>'Leverage ratio'!I23</f>
        <v/>
      </c>
      <c r="M36" s="261"/>
      <c r="N36" s="259"/>
      <c r="O36" s="259"/>
      <c r="P36" s="477"/>
      <c r="Q36" s="4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546"/>
    </row>
    <row r="37" spans="1:42" ht="15" customHeight="1" x14ac:dyDescent="0.25">
      <c r="B37" s="266" t="s">
        <v>636</v>
      </c>
      <c r="C37" s="1205" t="str">
        <f>'Leverage ratio'!C27</f>
        <v>Check: total ≥ of which amount</v>
      </c>
      <c r="D37" s="242"/>
      <c r="E37" s="242"/>
      <c r="F37" s="242"/>
      <c r="G37" s="242"/>
      <c r="H37" s="242"/>
      <c r="I37" s="242"/>
      <c r="J37" s="263"/>
      <c r="K37" s="261"/>
      <c r="L37" s="553" t="str">
        <f>'Leverage ratio'!I27</f>
        <v/>
      </c>
      <c r="M37" s="261"/>
      <c r="N37" s="259"/>
      <c r="O37" s="259"/>
      <c r="P37" s="477"/>
      <c r="Q37" s="4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546"/>
    </row>
    <row r="38" spans="1:42" ht="15" customHeight="1" x14ac:dyDescent="0.25">
      <c r="B38" s="266" t="s">
        <v>634</v>
      </c>
      <c r="C38" s="1205" t="str">
        <f>'Leverage ratio'!L30</f>
        <v>Check: SA-CCR ≤ modified CCR</v>
      </c>
      <c r="D38" s="242"/>
      <c r="E38" s="242"/>
      <c r="F38" s="242"/>
      <c r="G38" s="242"/>
      <c r="H38" s="242"/>
      <c r="I38" s="242"/>
      <c r="J38" s="263"/>
      <c r="K38" s="261"/>
      <c r="L38" s="261"/>
      <c r="M38" s="261"/>
      <c r="N38" s="259"/>
      <c r="O38" s="701" t="str">
        <f>'Leverage ratio'!L34</f>
        <v/>
      </c>
      <c r="P38" s="477"/>
      <c r="Q38" s="4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546"/>
    </row>
    <row r="39" spans="1:42" ht="15" customHeight="1" x14ac:dyDescent="0.25">
      <c r="B39" s="266" t="s">
        <v>634</v>
      </c>
      <c r="C39" s="1205" t="str">
        <f>'Leverage ratio'!C35</f>
        <v>Check: total ≥ of which amount</v>
      </c>
      <c r="D39" s="242"/>
      <c r="E39" s="242"/>
      <c r="F39" s="242"/>
      <c r="G39" s="242"/>
      <c r="H39" s="242"/>
      <c r="I39" s="242"/>
      <c r="J39" s="263"/>
      <c r="K39" s="261"/>
      <c r="L39" s="261"/>
      <c r="M39" s="701" t="str">
        <f>'Leverage ratio'!J35</f>
        <v/>
      </c>
      <c r="N39" s="701" t="str">
        <f>'Leverage ratio'!K35</f>
        <v/>
      </c>
      <c r="O39" s="259"/>
      <c r="P39" s="477"/>
      <c r="Q39" s="4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546"/>
    </row>
    <row r="40" spans="1:42" ht="15" customHeight="1" x14ac:dyDescent="0.25">
      <c r="B40" s="266" t="s">
        <v>634</v>
      </c>
      <c r="C40" s="1205" t="str">
        <f>'Leverage ratio'!C38</f>
        <v>Check: total ≥ of which amount</v>
      </c>
      <c r="D40" s="242"/>
      <c r="E40" s="242"/>
      <c r="F40" s="242"/>
      <c r="G40" s="242"/>
      <c r="H40" s="242"/>
      <c r="I40" s="242"/>
      <c r="J40" s="263"/>
      <c r="K40" s="261"/>
      <c r="L40" s="261"/>
      <c r="M40" s="701" t="str">
        <f>'Leverage ratio'!J38</f>
        <v/>
      </c>
      <c r="N40" s="259"/>
      <c r="O40" s="259"/>
      <c r="P40" s="477"/>
      <c r="Q40" s="4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546"/>
    </row>
    <row r="41" spans="1:42" ht="15" customHeight="1" x14ac:dyDescent="0.25">
      <c r="B41" s="266" t="s">
        <v>634</v>
      </c>
      <c r="C41" s="1205" t="str">
        <f>'Leverage ratio'!C54:G54</f>
        <v>Check: sum of OBS items ≥ deduction of eligible specific and general provisions in row 52</v>
      </c>
      <c r="D41" s="242"/>
      <c r="E41" s="242"/>
      <c r="F41" s="242"/>
      <c r="G41" s="242"/>
      <c r="H41" s="242"/>
      <c r="I41" s="242"/>
      <c r="J41" s="263"/>
      <c r="K41" s="261"/>
      <c r="L41" s="553" t="str">
        <f>'Leverage ratio'!I54</f>
        <v/>
      </c>
      <c r="M41" s="261"/>
      <c r="N41" s="259"/>
      <c r="O41" s="259"/>
      <c r="P41" s="477"/>
      <c r="Q41" s="4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546"/>
    </row>
    <row r="42" spans="1:42" ht="15" customHeight="1" x14ac:dyDescent="0.25">
      <c r="B42" s="266" t="s">
        <v>640</v>
      </c>
      <c r="C42" s="1205" t="str">
        <f>'Leverage ratio'!C63:H63</f>
        <v>Check: credit derivatives are consistently filled-in (see reporting instructions for more details)</v>
      </c>
      <c r="D42" s="242"/>
      <c r="E42" s="242"/>
      <c r="F42" s="242"/>
      <c r="G42" s="242"/>
      <c r="H42" s="242"/>
      <c r="I42" s="242"/>
      <c r="J42" s="263"/>
      <c r="K42" s="261"/>
      <c r="L42" s="553" t="str">
        <f>'Leverage ratio'!I63</f>
        <v/>
      </c>
      <c r="M42" s="553" t="str">
        <f>'Leverage ratio'!J63</f>
        <v/>
      </c>
      <c r="N42" s="701" t="str">
        <f>'Leverage ratio'!K63</f>
        <v/>
      </c>
      <c r="O42" s="259"/>
      <c r="P42" s="477"/>
      <c r="Q42" s="4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546"/>
    </row>
    <row r="43" spans="1:42" ht="15" customHeight="1" x14ac:dyDescent="0.25">
      <c r="B43" s="266" t="s">
        <v>951</v>
      </c>
      <c r="C43" s="1205" t="str">
        <f>'Leverage ratio'!C131</f>
        <v>Check: PSEs in rows 129 and 130 should be less than or equal to overall PSEs in row 128</v>
      </c>
      <c r="D43" s="242"/>
      <c r="E43" s="242"/>
      <c r="F43" s="242"/>
      <c r="G43" s="242"/>
      <c r="H43" s="242"/>
      <c r="I43" s="242"/>
      <c r="J43" s="263"/>
      <c r="K43" s="261"/>
      <c r="L43" s="261"/>
      <c r="M43" s="261"/>
      <c r="N43" s="701" t="str">
        <f>'Leverage ratio'!K131</f>
        <v/>
      </c>
      <c r="O43" s="259"/>
      <c r="P43" s="477"/>
      <c r="Q43" s="4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546"/>
    </row>
    <row r="44" spans="1:42" ht="15" customHeight="1" x14ac:dyDescent="0.25">
      <c r="B44" s="254" t="s">
        <v>951</v>
      </c>
      <c r="C44" s="1968" t="str">
        <f>'Leverage ratio'!C148</f>
        <v>Check: securitisation exposures should be lower than or equal total other exposures</v>
      </c>
      <c r="D44" s="250"/>
      <c r="E44" s="250"/>
      <c r="F44" s="250"/>
      <c r="G44" s="250"/>
      <c r="H44" s="250"/>
      <c r="I44" s="250"/>
      <c r="J44" s="265"/>
      <c r="K44" s="355"/>
      <c r="L44" s="355"/>
      <c r="M44" s="355"/>
      <c r="N44" s="554" t="str">
        <f>'Leverage ratio'!K148</f>
        <v/>
      </c>
      <c r="O44" s="356"/>
      <c r="P44" s="477"/>
      <c r="Q44" s="4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546"/>
    </row>
    <row r="45" spans="1:42" ht="45" customHeight="1" x14ac:dyDescent="0.25">
      <c r="A45" s="464" t="s">
        <v>2106</v>
      </c>
      <c r="D45" s="477"/>
      <c r="E45" s="477"/>
      <c r="F45" s="477"/>
      <c r="G45" s="477"/>
      <c r="H45" s="477"/>
      <c r="I45" s="477"/>
      <c r="J45" s="477"/>
      <c r="K45" s="477"/>
      <c r="L45" s="477"/>
      <c r="M45" s="477"/>
      <c r="N45" s="477"/>
      <c r="O45" s="477"/>
      <c r="P45" s="477"/>
      <c r="Q45" s="477"/>
      <c r="R45" s="477"/>
      <c r="S45" s="477"/>
      <c r="T45" s="477"/>
      <c r="U45" s="477"/>
      <c r="V45" s="477"/>
      <c r="X45" s="477"/>
      <c r="Y45" s="477"/>
      <c r="Z45" s="477"/>
      <c r="AA45" s="477"/>
      <c r="AB45" s="477"/>
      <c r="AC45" s="477"/>
      <c r="AD45" s="477"/>
      <c r="AE45" s="477"/>
      <c r="AF45" s="477"/>
      <c r="AG45" s="477"/>
      <c r="AH45" s="477"/>
      <c r="AI45" s="477"/>
      <c r="AJ45" s="477"/>
      <c r="AK45" s="477"/>
      <c r="AL45" s="477"/>
      <c r="AM45" s="477"/>
      <c r="AN45" s="477"/>
      <c r="AO45" s="477"/>
      <c r="AP45" s="544"/>
    </row>
    <row r="46" spans="1:42" ht="15" customHeight="1" x14ac:dyDescent="0.25">
      <c r="B46" s="772" t="s">
        <v>633</v>
      </c>
      <c r="C46" s="1341" t="s">
        <v>13</v>
      </c>
      <c r="D46" s="1393"/>
      <c r="E46" s="1393"/>
      <c r="F46" s="1393"/>
      <c r="G46" s="1393"/>
      <c r="H46" s="1077"/>
      <c r="I46" s="1077"/>
      <c r="J46" s="2312" t="str">
        <f>CONCATENATE("Col ", LEFT(ADDRESS(ROW('Leverage ratio additional'!M4),COLUMN('Leverage ratio'!L3),4), 1))</f>
        <v>Col L</v>
      </c>
      <c r="K46" s="2016" t="str">
        <f>CONCATENATE("Col ", LEFT(ADDRESS(ROW('Leverage ratio additional'!N4),COLUMN('Leverage ratio'!M3),4), 1))</f>
        <v>Col M</v>
      </c>
      <c r="L46" s="2016" t="str">
        <f>CONCATENATE("Col ", LEFT(ADDRESS(ROW('Leverage ratio additional'!O4),COLUMN('Leverage ratio'!N3),4), 1))</f>
        <v>Col N</v>
      </c>
      <c r="M46" s="2016" t="str">
        <f>CONCATENATE("Col ", LEFT(ADDRESS(ROW('Leverage ratio additional'!P4),COLUMN('Leverage ratio'!O3),4), 1))</f>
        <v>Col O</v>
      </c>
      <c r="N46" s="477"/>
      <c r="O46" s="477"/>
      <c r="P46" s="477"/>
      <c r="Q46" s="4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546"/>
    </row>
    <row r="47" spans="1:42" ht="15" customHeight="1" x14ac:dyDescent="0.25">
      <c r="B47" s="769" t="s">
        <v>638</v>
      </c>
      <c r="C47" s="1947" t="str">
        <f>'Leverage ratio additional'!B5</f>
        <v>SFTs - adjusted gross assets (ie receivables)</v>
      </c>
      <c r="D47" s="986"/>
      <c r="E47" s="986"/>
      <c r="F47" s="986"/>
      <c r="G47" s="986"/>
      <c r="H47" s="702"/>
      <c r="I47" s="702"/>
      <c r="J47" s="730" t="str">
        <f>'Leverage ratio additional'!L5</f>
        <v/>
      </c>
      <c r="K47" s="731" t="str">
        <f>'Leverage ratio additional'!M5</f>
        <v/>
      </c>
      <c r="L47" s="731" t="str">
        <f>'Leverage ratio additional'!N5</f>
        <v/>
      </c>
      <c r="M47" s="771" t="str">
        <f>'Leverage ratio additional'!O5</f>
        <v/>
      </c>
      <c r="N47" s="477"/>
      <c r="O47" s="477"/>
      <c r="P47" s="477"/>
      <c r="Q47" s="4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546"/>
    </row>
    <row r="48" spans="1:42" ht="15" customHeight="1" x14ac:dyDescent="0.25">
      <c r="B48" s="266" t="s">
        <v>638</v>
      </c>
      <c r="C48" s="632" t="str">
        <f>'Leverage ratio additional'!B6</f>
        <v>Derivatives replacement cost</v>
      </c>
      <c r="D48" s="242"/>
      <c r="E48" s="242"/>
      <c r="F48" s="242"/>
      <c r="G48" s="242"/>
      <c r="H48" s="237"/>
      <c r="I48" s="237"/>
      <c r="J48" s="560" t="str">
        <f>'Leverage ratio additional'!L6</f>
        <v/>
      </c>
      <c r="K48" s="553" t="str">
        <f>'Leverage ratio additional'!M6</f>
        <v/>
      </c>
      <c r="L48" s="553" t="str">
        <f>'Leverage ratio additional'!N6</f>
        <v/>
      </c>
      <c r="M48" s="701" t="str">
        <f>'Leverage ratio additional'!O6</f>
        <v/>
      </c>
      <c r="N48" s="477"/>
      <c r="O48" s="477"/>
      <c r="P48" s="477"/>
      <c r="Q48" s="4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546"/>
    </row>
    <row r="49" spans="1:42" ht="15" customHeight="1" x14ac:dyDescent="0.25">
      <c r="B49" s="266" t="s">
        <v>638</v>
      </c>
      <c r="C49" s="632" t="str">
        <f>'Leverage ratio additional'!B7</f>
        <v>Central bank reserves included on-balance sheet</v>
      </c>
      <c r="D49" s="242"/>
      <c r="E49" s="242"/>
      <c r="F49" s="242"/>
      <c r="G49" s="242"/>
      <c r="H49" s="237"/>
      <c r="I49" s="237"/>
      <c r="J49" s="560" t="str">
        <f>'Leverage ratio additional'!L7</f>
        <v/>
      </c>
      <c r="K49" s="553" t="str">
        <f>'Leverage ratio additional'!M7</f>
        <v/>
      </c>
      <c r="L49" s="553" t="str">
        <f>'Leverage ratio additional'!N7</f>
        <v/>
      </c>
      <c r="M49" s="701" t="str">
        <f>'Leverage ratio additional'!O7</f>
        <v/>
      </c>
      <c r="N49" s="477"/>
      <c r="O49" s="477"/>
      <c r="P49" s="477"/>
      <c r="Q49" s="4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546"/>
    </row>
    <row r="50" spans="1:42" ht="15" customHeight="1" x14ac:dyDescent="0.25">
      <c r="B50" s="1946" t="s">
        <v>639</v>
      </c>
      <c r="C50" s="1205" t="str">
        <f>'Leverage ratio additional'!B10</f>
        <v>SFTs - adjusted gross assets (ie receivables)</v>
      </c>
      <c r="D50" s="242"/>
      <c r="E50" s="242"/>
      <c r="F50" s="242"/>
      <c r="G50" s="242"/>
      <c r="H50" s="237"/>
      <c r="I50" s="237"/>
      <c r="J50" s="560" t="str">
        <f>'Leverage ratio additional'!L10</f>
        <v/>
      </c>
      <c r="K50" s="553" t="str">
        <f>'Leverage ratio additional'!M10</f>
        <v/>
      </c>
      <c r="L50" s="553" t="str">
        <f>'Leverage ratio additional'!N10</f>
        <v/>
      </c>
      <c r="M50" s="701" t="str">
        <f>'Leverage ratio additional'!O10</f>
        <v/>
      </c>
      <c r="N50" s="477"/>
      <c r="O50" s="477"/>
      <c r="P50" s="477"/>
      <c r="Q50" s="4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546"/>
    </row>
    <row r="51" spans="1:42" ht="15" customHeight="1" x14ac:dyDescent="0.25">
      <c r="B51" s="1946" t="s">
        <v>639</v>
      </c>
      <c r="C51" s="632" t="str">
        <f>'Leverage ratio additional'!B11</f>
        <v>Derivatives replacement cost</v>
      </c>
      <c r="D51" s="242"/>
      <c r="E51" s="242"/>
      <c r="F51" s="242"/>
      <c r="G51" s="242"/>
      <c r="H51" s="237"/>
      <c r="I51" s="237"/>
      <c r="J51" s="560" t="str">
        <f>'Leverage ratio additional'!L11</f>
        <v/>
      </c>
      <c r="K51" s="553" t="str">
        <f>'Leverage ratio additional'!M11</f>
        <v/>
      </c>
      <c r="L51" s="553" t="str">
        <f>'Leverage ratio additional'!N11</f>
        <v/>
      </c>
      <c r="M51" s="701" t="str">
        <f>'Leverage ratio additional'!O11</f>
        <v/>
      </c>
      <c r="N51" s="477"/>
      <c r="O51" s="477"/>
      <c r="P51" s="477"/>
      <c r="Q51" s="4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546"/>
    </row>
    <row r="52" spans="1:42" ht="15" customHeight="1" x14ac:dyDescent="0.25">
      <c r="B52" s="280" t="s">
        <v>639</v>
      </c>
      <c r="C52" s="547" t="str">
        <f>'Leverage ratio additional'!B12</f>
        <v>Central bank reserves included on-balance sheet</v>
      </c>
      <c r="D52" s="250"/>
      <c r="E52" s="250"/>
      <c r="F52" s="250"/>
      <c r="G52" s="250"/>
      <c r="H52" s="249"/>
      <c r="I52" s="249"/>
      <c r="J52" s="561" t="str">
        <f>'Leverage ratio additional'!L12</f>
        <v/>
      </c>
      <c r="K52" s="555" t="str">
        <f>'Leverage ratio additional'!M12</f>
        <v/>
      </c>
      <c r="L52" s="555" t="str">
        <f>'Leverage ratio additional'!N12</f>
        <v/>
      </c>
      <c r="M52" s="554" t="str">
        <f>'Leverage ratio additional'!O12</f>
        <v/>
      </c>
      <c r="N52" s="477"/>
      <c r="O52" s="477"/>
      <c r="P52" s="477"/>
      <c r="Q52" s="4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546"/>
    </row>
    <row r="53" spans="1:42" ht="15" customHeight="1" x14ac:dyDescent="0.25">
      <c r="D53" s="477"/>
      <c r="E53" s="477"/>
      <c r="F53" s="477"/>
      <c r="G53" s="477"/>
      <c r="H53" s="477"/>
      <c r="I53" s="549"/>
      <c r="J53" s="549"/>
      <c r="K53" s="549"/>
      <c r="L53" s="549"/>
      <c r="M53" s="549"/>
      <c r="N53" s="549"/>
      <c r="O53" s="549"/>
      <c r="P53" s="549"/>
      <c r="Q53" s="549"/>
      <c r="R53" s="549"/>
      <c r="S53" s="477"/>
      <c r="T53" s="477"/>
      <c r="U53" s="477"/>
      <c r="V53" s="477"/>
      <c r="W53" s="548"/>
      <c r="X53" s="177"/>
      <c r="Y53" s="177"/>
      <c r="Z53" s="177"/>
      <c r="AA53" s="177"/>
      <c r="AB53" s="177"/>
      <c r="AC53" s="177"/>
      <c r="AD53" s="177"/>
      <c r="AE53" s="177"/>
      <c r="AF53" s="177"/>
      <c r="AG53" s="177"/>
      <c r="AH53" s="177"/>
      <c r="AI53" s="177"/>
      <c r="AJ53" s="177"/>
      <c r="AK53" s="177"/>
      <c r="AL53" s="177"/>
      <c r="AM53" s="177"/>
      <c r="AN53" s="177"/>
      <c r="AO53" s="177"/>
      <c r="AP53" s="546"/>
    </row>
    <row r="54" spans="1:42" ht="45" customHeight="1" x14ac:dyDescent="0.25">
      <c r="A54" s="784" t="s">
        <v>2107</v>
      </c>
      <c r="B54" s="1105"/>
      <c r="C54" s="1105"/>
      <c r="D54" s="1105"/>
      <c r="E54" s="1105"/>
      <c r="F54" s="1105"/>
      <c r="G54" s="1105"/>
      <c r="H54" s="1105"/>
      <c r="I54" s="1105"/>
      <c r="J54" s="1105"/>
      <c r="K54" s="1105"/>
      <c r="L54" s="1105"/>
      <c r="M54" s="1105"/>
      <c r="N54" s="1105"/>
      <c r="O54" s="1105"/>
      <c r="P54" s="1105"/>
      <c r="Q54" s="1105"/>
      <c r="R54" s="1105"/>
      <c r="S54" s="1105"/>
      <c r="T54" s="1105"/>
      <c r="U54" s="1105"/>
      <c r="V54" s="1105"/>
      <c r="X54" s="1105"/>
      <c r="Y54" s="1105"/>
      <c r="Z54" s="1105"/>
      <c r="AA54" s="1105"/>
      <c r="AB54" s="1105"/>
      <c r="AC54" s="1105"/>
      <c r="AD54" s="1105"/>
      <c r="AE54" s="1105"/>
      <c r="AF54" s="1105"/>
      <c r="AG54" s="1105"/>
      <c r="AH54" s="1105"/>
      <c r="AI54" s="1105"/>
      <c r="AJ54" s="1105"/>
      <c r="AK54" s="1105"/>
      <c r="AL54" s="1105"/>
      <c r="AM54" s="1105"/>
      <c r="AN54" s="1105"/>
      <c r="AO54" s="1105"/>
      <c r="AP54" s="785"/>
    </row>
    <row r="55" spans="1:42" ht="30" customHeight="1" x14ac:dyDescent="0.25">
      <c r="B55" s="772" t="s">
        <v>633</v>
      </c>
      <c r="C55" s="1341" t="s">
        <v>13</v>
      </c>
      <c r="D55" s="1393"/>
      <c r="E55" s="1393"/>
      <c r="F55" s="1393"/>
      <c r="G55" s="1077"/>
      <c r="H55" s="1077"/>
      <c r="I55" s="1077"/>
      <c r="J55" s="2318" t="s">
        <v>869</v>
      </c>
      <c r="K55" s="2313" t="s">
        <v>871</v>
      </c>
      <c r="L55" s="2054" t="s">
        <v>870</v>
      </c>
      <c r="M55" s="2054" t="s">
        <v>116</v>
      </c>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546"/>
    </row>
    <row r="56" spans="1:42" ht="15" customHeight="1" x14ac:dyDescent="0.25">
      <c r="B56" s="465" t="s">
        <v>636</v>
      </c>
      <c r="C56" s="774" t="str">
        <f>NSFR!B8</f>
        <v>Check: row 7 ≤ E60 + E63 + E68 in the General Info worksheet</v>
      </c>
      <c r="D56" s="986"/>
      <c r="E56" s="986"/>
      <c r="F56" s="986"/>
      <c r="G56" s="702"/>
      <c r="H56" s="702"/>
      <c r="I56" s="702"/>
      <c r="J56" s="578"/>
      <c r="K56" s="369"/>
      <c r="L56" s="369"/>
      <c r="M56" s="556" t="str">
        <f>NSFR!H8</f>
        <v/>
      </c>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546"/>
    </row>
    <row r="57" spans="1:42" ht="15" customHeight="1" x14ac:dyDescent="0.25">
      <c r="B57" s="266" t="s">
        <v>636</v>
      </c>
      <c r="C57" s="1205" t="str">
        <f>NSFR!B45</f>
        <v>Check: Balances with less than one year maturity reported in row 44 should be greater than 0.</v>
      </c>
      <c r="D57" s="242"/>
      <c r="E57" s="242"/>
      <c r="F57" s="242"/>
      <c r="G57" s="237"/>
      <c r="H57" s="237"/>
      <c r="I57" s="237"/>
      <c r="J57" s="560" t="str">
        <f>NSFR!E45</f>
        <v/>
      </c>
      <c r="K57" s="261"/>
      <c r="L57" s="259"/>
      <c r="M57" s="259"/>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546"/>
    </row>
    <row r="58" spans="1:42" ht="15" customHeight="1" x14ac:dyDescent="0.25">
      <c r="B58" s="550" t="s">
        <v>637</v>
      </c>
      <c r="C58" s="1205" t="str">
        <f>NSFR!B57</f>
        <v>Of which item less than total</v>
      </c>
      <c r="D58" s="242"/>
      <c r="E58" s="242"/>
      <c r="F58" s="242"/>
      <c r="G58" s="237"/>
      <c r="H58" s="237"/>
      <c r="I58" s="237"/>
      <c r="J58" s="560" t="str">
        <f>NSFR!E57</f>
        <v/>
      </c>
      <c r="K58" s="560" t="str">
        <f>NSFR!F57</f>
        <v/>
      </c>
      <c r="L58" s="560" t="str">
        <f>NSFR!G57</f>
        <v/>
      </c>
      <c r="M58" s="259"/>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546"/>
    </row>
    <row r="59" spans="1:42" ht="15" customHeight="1" x14ac:dyDescent="0.25">
      <c r="B59" s="254" t="s">
        <v>637</v>
      </c>
      <c r="C59" s="1968" t="str">
        <f>NSFR!B284</f>
        <v>Check: interdependent assets in row 283 = interdependent liabilities above in row 43</v>
      </c>
      <c r="D59" s="250"/>
      <c r="E59" s="250"/>
      <c r="F59" s="250"/>
      <c r="G59" s="249"/>
      <c r="H59" s="249"/>
      <c r="I59" s="249"/>
      <c r="J59" s="561" t="str">
        <f>NSFR!E284</f>
        <v/>
      </c>
      <c r="K59" s="555" t="str">
        <f>NSFR!F284</f>
        <v/>
      </c>
      <c r="L59" s="554" t="str">
        <f>NSFR!G284</f>
        <v/>
      </c>
      <c r="M59" s="356"/>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546"/>
    </row>
    <row r="60" spans="1:42" ht="15" customHeight="1" x14ac:dyDescent="0.25">
      <c r="D60" s="477"/>
      <c r="E60" s="477"/>
      <c r="F60" s="477"/>
      <c r="G60" s="477"/>
      <c r="H60" s="477"/>
      <c r="I60" s="477"/>
      <c r="J60" s="477"/>
      <c r="K60" s="477"/>
      <c r="L60" s="549"/>
      <c r="M60" s="177"/>
      <c r="N60" s="177"/>
      <c r="O60" s="177"/>
      <c r="P60" s="177"/>
      <c r="Q60" s="177"/>
      <c r="R60" s="177"/>
      <c r="S60" s="177"/>
      <c r="T60" s="177"/>
      <c r="U60" s="177"/>
      <c r="V60" s="177"/>
      <c r="W60" s="548"/>
      <c r="X60" s="177"/>
      <c r="Y60" s="177"/>
      <c r="Z60" s="177"/>
      <c r="AA60" s="177"/>
      <c r="AB60" s="177"/>
      <c r="AC60" s="177"/>
      <c r="AD60" s="177"/>
      <c r="AE60" s="177"/>
      <c r="AF60" s="177"/>
      <c r="AG60" s="177"/>
      <c r="AH60" s="177"/>
      <c r="AI60" s="177"/>
      <c r="AJ60" s="177"/>
      <c r="AK60" s="177"/>
      <c r="AL60" s="177"/>
      <c r="AM60" s="177"/>
      <c r="AN60" s="177"/>
      <c r="AO60" s="177"/>
      <c r="AP60" s="546"/>
    </row>
    <row r="61" spans="1:42" ht="45" customHeight="1" x14ac:dyDescent="0.25">
      <c r="A61" s="784" t="s">
        <v>2108</v>
      </c>
      <c r="B61" s="1105"/>
      <c r="C61" s="1105"/>
      <c r="D61" s="1105"/>
      <c r="E61" s="1105"/>
      <c r="F61" s="1105"/>
      <c r="G61" s="1105"/>
      <c r="H61" s="1105"/>
      <c r="I61" s="1105"/>
      <c r="J61" s="1105"/>
      <c r="K61" s="1105"/>
      <c r="L61" s="1105"/>
      <c r="M61" s="1105"/>
      <c r="N61" s="1105"/>
      <c r="O61" s="1105"/>
      <c r="P61" s="1105"/>
      <c r="Q61" s="1105"/>
      <c r="R61" s="1105"/>
      <c r="S61" s="1105"/>
      <c r="T61" s="1105"/>
      <c r="U61" s="1105"/>
      <c r="V61" s="1105"/>
      <c r="X61" s="1105"/>
      <c r="Y61" s="1105"/>
      <c r="Z61" s="1105"/>
      <c r="AA61" s="1105"/>
      <c r="AB61" s="1105"/>
      <c r="AC61" s="1105"/>
      <c r="AD61" s="1105"/>
      <c r="AE61" s="1105"/>
      <c r="AF61" s="1105"/>
      <c r="AG61" s="1105"/>
      <c r="AH61" s="1105"/>
      <c r="AI61" s="1105"/>
      <c r="AJ61" s="1105"/>
      <c r="AK61" s="1105"/>
      <c r="AL61" s="1105"/>
      <c r="AM61" s="1105"/>
      <c r="AN61" s="1105"/>
      <c r="AO61" s="1105"/>
      <c r="AP61" s="785"/>
    </row>
    <row r="62" spans="1:42" ht="45" customHeight="1" x14ac:dyDescent="0.25">
      <c r="A62" s="464" t="s">
        <v>2109</v>
      </c>
      <c r="D62" s="477"/>
      <c r="E62" s="477"/>
      <c r="F62" s="477"/>
      <c r="G62" s="477"/>
      <c r="H62" s="477"/>
      <c r="I62" s="477"/>
      <c r="J62" s="477"/>
      <c r="K62" s="477"/>
      <c r="L62" s="477"/>
      <c r="M62" s="477"/>
      <c r="N62" s="477"/>
      <c r="O62" s="477"/>
      <c r="P62" s="477"/>
      <c r="Q62" s="477"/>
      <c r="R62" s="477"/>
      <c r="S62" s="477"/>
      <c r="T62" s="477"/>
      <c r="U62" s="477"/>
      <c r="V62" s="477"/>
      <c r="X62" s="477"/>
      <c r="Y62" s="477"/>
      <c r="Z62" s="477"/>
      <c r="AA62" s="477"/>
      <c r="AB62" s="477"/>
      <c r="AC62" s="477"/>
      <c r="AD62" s="477"/>
      <c r="AE62" s="477"/>
      <c r="AF62" s="477"/>
      <c r="AG62" s="477"/>
      <c r="AH62" s="477"/>
      <c r="AI62" s="477"/>
      <c r="AJ62" s="477"/>
      <c r="AK62" s="477"/>
      <c r="AL62" s="477"/>
      <c r="AM62" s="477"/>
      <c r="AN62" s="477"/>
      <c r="AO62" s="477"/>
      <c r="AP62" s="544"/>
    </row>
    <row r="63" spans="1:42" ht="15" customHeight="1" x14ac:dyDescent="0.25">
      <c r="B63" s="2309" t="s">
        <v>633</v>
      </c>
      <c r="C63" s="2308" t="s">
        <v>13</v>
      </c>
      <c r="D63" s="2311" t="str">
        <f>CONCATENATE("Col ", LEFT(ADDRESS(ROW('Credit risk (SA)'!AC140),COLUMN('Credit risk (SA)'!AC140),4), 1))</f>
        <v>Col A</v>
      </c>
      <c r="E63" s="477"/>
      <c r="F63" s="477"/>
      <c r="G63" s="477"/>
      <c r="H63" s="477"/>
      <c r="I63" s="477"/>
      <c r="J63" s="477"/>
      <c r="K63" s="477"/>
      <c r="L63" s="477"/>
      <c r="M63" s="477"/>
      <c r="N63" s="477"/>
      <c r="O63" s="477"/>
      <c r="P63" s="477"/>
      <c r="Q63" s="477"/>
      <c r="R63" s="477"/>
      <c r="S63" s="477"/>
      <c r="T63" s="477"/>
      <c r="U63" s="477"/>
      <c r="V63" s="477"/>
      <c r="X63" s="477"/>
      <c r="Y63" s="477"/>
      <c r="Z63" s="477"/>
      <c r="AA63" s="477"/>
      <c r="AB63" s="477"/>
      <c r="AC63" s="477"/>
      <c r="AD63" s="477"/>
      <c r="AE63" s="477"/>
      <c r="AF63" s="477"/>
      <c r="AG63" s="477"/>
      <c r="AH63" s="477"/>
      <c r="AI63" s="477"/>
      <c r="AJ63" s="477"/>
      <c r="AK63" s="477"/>
      <c r="AL63" s="477"/>
      <c r="AM63" s="477"/>
      <c r="AN63" s="477"/>
      <c r="AO63" s="477"/>
      <c r="AP63" s="546"/>
    </row>
    <row r="64" spans="1:42" ht="15" customHeight="1" x14ac:dyDescent="0.25">
      <c r="B64" s="761"/>
      <c r="C64" s="1465" t="str">
        <f>'Credit risk (SA)'!AC16</f>
        <v>Check: column AB RW in Parameters worksheet</v>
      </c>
      <c r="D64" s="870"/>
      <c r="E64" s="477"/>
      <c r="F64" s="477"/>
      <c r="G64" s="477"/>
      <c r="H64" s="477"/>
      <c r="I64" s="477"/>
      <c r="J64" s="477"/>
      <c r="K64" s="477"/>
      <c r="L64" s="477"/>
      <c r="M64" s="477"/>
      <c r="N64" s="477"/>
      <c r="O64" s="477"/>
      <c r="P64" s="477"/>
      <c r="Q64" s="477"/>
      <c r="R64" s="477"/>
      <c r="S64" s="477"/>
      <c r="T64" s="477"/>
      <c r="U64" s="477"/>
      <c r="V64" s="477"/>
      <c r="X64" s="477"/>
      <c r="Y64" s="477"/>
      <c r="Z64" s="477"/>
      <c r="AA64" s="477"/>
      <c r="AB64" s="477"/>
      <c r="AC64" s="477"/>
      <c r="AD64" s="477"/>
      <c r="AE64" s="477"/>
      <c r="AF64" s="477"/>
      <c r="AG64" s="477"/>
      <c r="AH64" s="477"/>
      <c r="AI64" s="477"/>
      <c r="AJ64" s="477"/>
      <c r="AK64" s="477"/>
      <c r="AL64" s="477"/>
      <c r="AM64" s="477"/>
      <c r="AN64" s="477"/>
      <c r="AO64" s="477"/>
      <c r="AP64" s="546"/>
    </row>
    <row r="65" spans="2:42" ht="15" customHeight="1" x14ac:dyDescent="0.25">
      <c r="B65" s="578"/>
      <c r="C65" s="197" t="str">
        <f>'Credit risk (SA)'!B24</f>
        <v>Banks (excluding covered bonds); of which:</v>
      </c>
      <c r="D65" s="871"/>
      <c r="E65" s="477"/>
      <c r="F65" s="477"/>
      <c r="G65" s="477"/>
      <c r="H65" s="477"/>
      <c r="I65" s="477"/>
      <c r="J65" s="477"/>
      <c r="K65" s="477"/>
      <c r="L65" s="477"/>
      <c r="M65" s="477"/>
      <c r="N65" s="477"/>
      <c r="O65" s="477"/>
      <c r="P65" s="477"/>
      <c r="Q65" s="477"/>
      <c r="R65" s="477"/>
      <c r="S65" s="477"/>
      <c r="T65" s="477"/>
      <c r="U65" s="477"/>
      <c r="V65" s="477"/>
      <c r="X65" s="477"/>
      <c r="Y65" s="477"/>
      <c r="Z65" s="477"/>
      <c r="AA65" s="477"/>
      <c r="AB65" s="477"/>
      <c r="AC65" s="477"/>
      <c r="AD65" s="477"/>
      <c r="AE65" s="477"/>
      <c r="AF65" s="477"/>
      <c r="AG65" s="477"/>
      <c r="AH65" s="477"/>
      <c r="AI65" s="477"/>
      <c r="AJ65" s="477"/>
      <c r="AK65" s="477"/>
      <c r="AL65" s="477"/>
      <c r="AM65" s="477"/>
      <c r="AN65" s="477"/>
      <c r="AO65" s="477"/>
      <c r="AP65" s="546"/>
    </row>
    <row r="66" spans="2:42" ht="15" customHeight="1" x14ac:dyDescent="0.25">
      <c r="B66" s="263"/>
      <c r="C66" s="240" t="str">
        <f>'Credit risk (SA)'!B26</f>
        <v>ECRA - jurisdictions where ratings are allowed; of which:</v>
      </c>
      <c r="D66" s="777"/>
      <c r="E66" s="477"/>
      <c r="F66" s="477"/>
      <c r="G66" s="477"/>
      <c r="H66" s="477"/>
      <c r="I66" s="477"/>
      <c r="J66" s="477"/>
      <c r="K66" s="477"/>
      <c r="L66" s="477"/>
      <c r="M66" s="477"/>
      <c r="N66" s="477"/>
      <c r="O66" s="477"/>
      <c r="P66" s="477"/>
      <c r="Q66" s="477"/>
      <c r="R66" s="477"/>
      <c r="S66" s="477"/>
      <c r="T66" s="477"/>
      <c r="U66" s="477"/>
      <c r="V66" s="477"/>
      <c r="X66" s="477"/>
      <c r="Y66" s="477"/>
      <c r="Z66" s="477"/>
      <c r="AA66" s="477"/>
      <c r="AB66" s="477"/>
      <c r="AC66" s="477"/>
      <c r="AD66" s="477"/>
      <c r="AE66" s="477"/>
      <c r="AF66" s="477"/>
      <c r="AG66" s="477"/>
      <c r="AH66" s="477"/>
      <c r="AI66" s="477"/>
      <c r="AJ66" s="477"/>
      <c r="AK66" s="477"/>
      <c r="AL66" s="477"/>
      <c r="AM66" s="477"/>
      <c r="AN66" s="477"/>
      <c r="AO66" s="477"/>
      <c r="AP66" s="546"/>
    </row>
    <row r="67" spans="2:42" ht="15" customHeight="1" x14ac:dyDescent="0.25">
      <c r="B67" s="263"/>
      <c r="C67" s="243" t="str">
        <f>'Credit risk (SA)'!B27</f>
        <v>ECRA (long term); of which:</v>
      </c>
      <c r="D67" s="777"/>
      <c r="E67" s="477"/>
      <c r="F67" s="477"/>
      <c r="G67" s="477"/>
      <c r="H67" s="477"/>
      <c r="I67" s="477"/>
      <c r="J67" s="477"/>
      <c r="K67" s="477"/>
      <c r="L67" s="477"/>
      <c r="M67" s="477"/>
      <c r="N67" s="477"/>
      <c r="O67" s="477"/>
      <c r="P67" s="477"/>
      <c r="Q67" s="477"/>
      <c r="R67" s="477"/>
      <c r="S67" s="477"/>
      <c r="T67" s="477"/>
      <c r="U67" s="477"/>
      <c r="V67" s="477"/>
      <c r="X67" s="477"/>
      <c r="Y67" s="477"/>
      <c r="Z67" s="477"/>
      <c r="AA67" s="477"/>
      <c r="AB67" s="477"/>
      <c r="AC67" s="477"/>
      <c r="AD67" s="477"/>
      <c r="AE67" s="477"/>
      <c r="AF67" s="477"/>
      <c r="AG67" s="477"/>
      <c r="AH67" s="477"/>
      <c r="AI67" s="477"/>
      <c r="AJ67" s="477"/>
      <c r="AK67" s="477"/>
      <c r="AL67" s="477"/>
      <c r="AM67" s="477"/>
      <c r="AN67" s="477"/>
      <c r="AO67" s="477"/>
      <c r="AP67" s="546"/>
    </row>
    <row r="68" spans="2:42" ht="15" customHeight="1" x14ac:dyDescent="0.25">
      <c r="B68" s="266" t="s">
        <v>638</v>
      </c>
      <c r="C68" s="762" t="str">
        <f>'Credit risk (SA)'!B28</f>
        <v xml:space="preserve">AAA to AA- </v>
      </c>
      <c r="D68" s="2317" t="str">
        <f>'Credit risk (SA)'!AC28</f>
        <v/>
      </c>
      <c r="E68" s="477"/>
      <c r="F68" s="477"/>
      <c r="G68" s="477"/>
      <c r="H68" s="477"/>
      <c r="I68" s="477"/>
      <c r="J68" s="477"/>
      <c r="K68" s="477"/>
      <c r="L68" s="477"/>
      <c r="M68" s="477"/>
      <c r="N68" s="477"/>
      <c r="O68" s="477"/>
      <c r="P68" s="477"/>
      <c r="Q68" s="477"/>
      <c r="R68" s="477"/>
      <c r="S68" s="477"/>
      <c r="T68" s="477"/>
      <c r="U68" s="477"/>
      <c r="V68" s="477"/>
      <c r="X68" s="477"/>
      <c r="Y68" s="477"/>
      <c r="Z68" s="477"/>
      <c r="AA68" s="477"/>
      <c r="AB68" s="477"/>
      <c r="AC68" s="477"/>
      <c r="AD68" s="477"/>
      <c r="AE68" s="477"/>
      <c r="AF68" s="477"/>
      <c r="AG68" s="477"/>
      <c r="AH68" s="477"/>
      <c r="AI68" s="477"/>
      <c r="AJ68" s="477"/>
      <c r="AK68" s="477"/>
      <c r="AL68" s="477"/>
      <c r="AM68" s="477"/>
      <c r="AN68" s="477"/>
      <c r="AO68" s="477"/>
      <c r="AP68" s="546"/>
    </row>
    <row r="69" spans="2:42" ht="15" customHeight="1" x14ac:dyDescent="0.25">
      <c r="B69" s="266" t="s">
        <v>638</v>
      </c>
      <c r="C69" s="762" t="str">
        <f>'Credit risk (SA)'!B29</f>
        <v>A+ to A-</v>
      </c>
      <c r="D69" s="2317" t="str">
        <f>'Credit risk (SA)'!AC29</f>
        <v/>
      </c>
      <c r="E69" s="477"/>
      <c r="F69" s="477"/>
      <c r="G69" s="477"/>
      <c r="H69" s="477"/>
      <c r="I69" s="477"/>
      <c r="J69" s="477"/>
      <c r="K69" s="477"/>
      <c r="L69" s="477"/>
      <c r="M69" s="477"/>
      <c r="N69" s="477"/>
      <c r="O69" s="477"/>
      <c r="P69" s="477"/>
      <c r="Q69" s="477"/>
      <c r="R69" s="477"/>
      <c r="S69" s="477"/>
      <c r="T69" s="477"/>
      <c r="U69" s="477"/>
      <c r="V69" s="477"/>
      <c r="X69" s="477"/>
      <c r="Y69" s="477"/>
      <c r="Z69" s="477"/>
      <c r="AA69" s="477"/>
      <c r="AB69" s="477"/>
      <c r="AC69" s="477"/>
      <c r="AD69" s="477"/>
      <c r="AE69" s="477"/>
      <c r="AF69" s="477"/>
      <c r="AG69" s="477"/>
      <c r="AH69" s="477"/>
      <c r="AI69" s="477"/>
      <c r="AJ69" s="477"/>
      <c r="AK69" s="477"/>
      <c r="AL69" s="477"/>
      <c r="AM69" s="477"/>
      <c r="AN69" s="477"/>
      <c r="AO69" s="477"/>
      <c r="AP69" s="546"/>
    </row>
    <row r="70" spans="2:42" ht="15" customHeight="1" x14ac:dyDescent="0.25">
      <c r="B70" s="266" t="s">
        <v>638</v>
      </c>
      <c r="C70" s="762" t="str">
        <f>'Credit risk (SA)'!B30</f>
        <v>BBB+ to BBB-</v>
      </c>
      <c r="D70" s="2317" t="str">
        <f>'Credit risk (SA)'!AC30</f>
        <v/>
      </c>
      <c r="E70" s="477"/>
      <c r="F70" s="477"/>
      <c r="G70" s="477"/>
      <c r="H70" s="477"/>
      <c r="I70" s="477"/>
      <c r="J70" s="477"/>
      <c r="K70" s="477"/>
      <c r="L70" s="477"/>
      <c r="M70" s="477"/>
      <c r="N70" s="477"/>
      <c r="O70" s="477"/>
      <c r="P70" s="477"/>
      <c r="Q70" s="477"/>
      <c r="R70" s="477"/>
      <c r="S70" s="477"/>
      <c r="T70" s="477"/>
      <c r="U70" s="477"/>
      <c r="V70" s="477"/>
      <c r="X70" s="477"/>
      <c r="Y70" s="477"/>
      <c r="Z70" s="477"/>
      <c r="AA70" s="477"/>
      <c r="AB70" s="477"/>
      <c r="AC70" s="477"/>
      <c r="AD70" s="477"/>
      <c r="AE70" s="477"/>
      <c r="AF70" s="477"/>
      <c r="AG70" s="477"/>
      <c r="AH70" s="477"/>
      <c r="AI70" s="477"/>
      <c r="AJ70" s="477"/>
      <c r="AK70" s="477"/>
      <c r="AL70" s="477"/>
      <c r="AM70" s="477"/>
      <c r="AN70" s="477"/>
      <c r="AO70" s="477"/>
      <c r="AP70" s="546"/>
    </row>
    <row r="71" spans="2:42" ht="15" customHeight="1" x14ac:dyDescent="0.25">
      <c r="B71" s="266" t="s">
        <v>638</v>
      </c>
      <c r="C71" s="762" t="str">
        <f>'Credit risk (SA)'!B31</f>
        <v>BB+ to B-</v>
      </c>
      <c r="D71" s="2317" t="str">
        <f>'Credit risk (SA)'!AC31</f>
        <v/>
      </c>
      <c r="E71" s="477"/>
      <c r="F71" s="477"/>
      <c r="G71" s="477"/>
      <c r="H71" s="477"/>
      <c r="I71" s="477"/>
      <c r="J71" s="477"/>
      <c r="K71" s="477"/>
      <c r="L71" s="477"/>
      <c r="M71" s="477"/>
      <c r="N71" s="477"/>
      <c r="O71" s="477"/>
      <c r="P71" s="477"/>
      <c r="Q71" s="477"/>
      <c r="R71" s="477"/>
      <c r="S71" s="477"/>
      <c r="T71" s="477"/>
      <c r="U71" s="477"/>
      <c r="V71" s="477"/>
      <c r="X71" s="477"/>
      <c r="Y71" s="477"/>
      <c r="Z71" s="477"/>
      <c r="AA71" s="477"/>
      <c r="AB71" s="477"/>
      <c r="AC71" s="477"/>
      <c r="AD71" s="477"/>
      <c r="AE71" s="477"/>
      <c r="AF71" s="477"/>
      <c r="AG71" s="477"/>
      <c r="AH71" s="477"/>
      <c r="AI71" s="477"/>
      <c r="AJ71" s="477"/>
      <c r="AK71" s="477"/>
      <c r="AL71" s="477"/>
      <c r="AM71" s="477"/>
      <c r="AN71" s="477"/>
      <c r="AO71" s="477"/>
      <c r="AP71" s="546"/>
    </row>
    <row r="72" spans="2:42" ht="15" customHeight="1" x14ac:dyDescent="0.25">
      <c r="B72" s="266" t="s">
        <v>638</v>
      </c>
      <c r="C72" s="762" t="str">
        <f>'Credit risk (SA)'!B32</f>
        <v>below B-</v>
      </c>
      <c r="D72" s="2317" t="str">
        <f>'Credit risk (SA)'!AC32</f>
        <v/>
      </c>
      <c r="E72" s="477"/>
      <c r="F72" s="477"/>
      <c r="G72" s="477"/>
      <c r="H72" s="477"/>
      <c r="I72" s="477"/>
      <c r="J72" s="477"/>
      <c r="K72" s="477"/>
      <c r="L72" s="477"/>
      <c r="M72" s="477"/>
      <c r="N72" s="477"/>
      <c r="O72" s="477"/>
      <c r="P72" s="477"/>
      <c r="Q72" s="477"/>
      <c r="R72" s="477"/>
      <c r="S72" s="477"/>
      <c r="T72" s="477"/>
      <c r="U72" s="477"/>
      <c r="V72" s="477"/>
      <c r="X72" s="477"/>
      <c r="Y72" s="477"/>
      <c r="Z72" s="477"/>
      <c r="AA72" s="477"/>
      <c r="AB72" s="477"/>
      <c r="AC72" s="477"/>
      <c r="AD72" s="477"/>
      <c r="AE72" s="477"/>
      <c r="AF72" s="477"/>
      <c r="AG72" s="477"/>
      <c r="AH72" s="477"/>
      <c r="AI72" s="477"/>
      <c r="AJ72" s="477"/>
      <c r="AK72" s="477"/>
      <c r="AL72" s="477"/>
      <c r="AM72" s="477"/>
      <c r="AN72" s="477"/>
      <c r="AO72" s="477"/>
      <c r="AP72" s="546"/>
    </row>
    <row r="73" spans="2:42" ht="15" customHeight="1" x14ac:dyDescent="0.25">
      <c r="B73" s="263"/>
      <c r="C73" s="243" t="str">
        <f>'Credit risk (SA)'!B33</f>
        <v>ECRA (short term); of which:</v>
      </c>
      <c r="D73" s="777"/>
      <c r="E73" s="477"/>
      <c r="F73" s="477"/>
      <c r="G73" s="477"/>
      <c r="H73" s="477"/>
      <c r="I73" s="477"/>
      <c r="J73" s="477"/>
      <c r="K73" s="477"/>
      <c r="L73" s="477"/>
      <c r="M73" s="477"/>
      <c r="N73" s="477"/>
      <c r="O73" s="477"/>
      <c r="P73" s="477"/>
      <c r="Q73" s="477"/>
      <c r="R73" s="477"/>
      <c r="S73" s="477"/>
      <c r="T73" s="477"/>
      <c r="U73" s="477"/>
      <c r="V73" s="477"/>
      <c r="X73" s="477"/>
      <c r="Y73" s="477"/>
      <c r="Z73" s="477"/>
      <c r="AA73" s="477"/>
      <c r="AB73" s="477"/>
      <c r="AC73" s="477"/>
      <c r="AD73" s="477"/>
      <c r="AE73" s="477"/>
      <c r="AF73" s="477"/>
      <c r="AG73" s="477"/>
      <c r="AH73" s="477"/>
      <c r="AI73" s="477"/>
      <c r="AJ73" s="477"/>
      <c r="AK73" s="477"/>
      <c r="AL73" s="477"/>
      <c r="AM73" s="477"/>
      <c r="AN73" s="477"/>
      <c r="AO73" s="477"/>
      <c r="AP73" s="546"/>
    </row>
    <row r="74" spans="2:42" ht="15" customHeight="1" x14ac:dyDescent="0.25">
      <c r="B74" s="266" t="s">
        <v>638</v>
      </c>
      <c r="C74" s="762" t="str">
        <f>'Credit risk (SA)'!B34</f>
        <v xml:space="preserve">AAA to AA- </v>
      </c>
      <c r="D74" s="2317" t="str">
        <f>'Credit risk (SA)'!AC34</f>
        <v/>
      </c>
      <c r="E74" s="477"/>
      <c r="F74" s="477"/>
      <c r="G74" s="477"/>
      <c r="H74" s="477"/>
      <c r="I74" s="477"/>
      <c r="J74" s="477"/>
      <c r="K74" s="477"/>
      <c r="L74" s="477"/>
      <c r="M74" s="477"/>
      <c r="N74" s="477"/>
      <c r="O74" s="477"/>
      <c r="P74" s="477"/>
      <c r="Q74" s="477"/>
      <c r="R74" s="477"/>
      <c r="S74" s="477"/>
      <c r="T74" s="477"/>
      <c r="U74" s="477"/>
      <c r="V74" s="477"/>
      <c r="X74" s="477"/>
      <c r="Y74" s="477"/>
      <c r="Z74" s="477"/>
      <c r="AA74" s="477"/>
      <c r="AB74" s="477"/>
      <c r="AC74" s="477"/>
      <c r="AD74" s="477"/>
      <c r="AE74" s="477"/>
      <c r="AF74" s="477"/>
      <c r="AG74" s="477"/>
      <c r="AH74" s="477"/>
      <c r="AI74" s="477"/>
      <c r="AJ74" s="477"/>
      <c r="AK74" s="477"/>
      <c r="AL74" s="477"/>
      <c r="AM74" s="477"/>
      <c r="AN74" s="477"/>
      <c r="AO74" s="477"/>
      <c r="AP74" s="546"/>
    </row>
    <row r="75" spans="2:42" ht="15" customHeight="1" x14ac:dyDescent="0.25">
      <c r="B75" s="266" t="s">
        <v>638</v>
      </c>
      <c r="C75" s="762" t="str">
        <f>'Credit risk (SA)'!B35</f>
        <v>A+ to A-</v>
      </c>
      <c r="D75" s="2317" t="str">
        <f>'Credit risk (SA)'!AC35</f>
        <v/>
      </c>
      <c r="E75" s="477"/>
      <c r="F75" s="477"/>
      <c r="G75" s="477"/>
      <c r="H75" s="477"/>
      <c r="I75" s="477"/>
      <c r="J75" s="477"/>
      <c r="K75" s="477"/>
      <c r="L75" s="477"/>
      <c r="M75" s="477"/>
      <c r="N75" s="477"/>
      <c r="O75" s="477"/>
      <c r="P75" s="477"/>
      <c r="Q75" s="477"/>
      <c r="R75" s="477"/>
      <c r="S75" s="477"/>
      <c r="T75" s="477"/>
      <c r="U75" s="477"/>
      <c r="V75" s="477"/>
      <c r="X75" s="477"/>
      <c r="Y75" s="477"/>
      <c r="Z75" s="477"/>
      <c r="AA75" s="477"/>
      <c r="AB75" s="477"/>
      <c r="AC75" s="477"/>
      <c r="AD75" s="477"/>
      <c r="AE75" s="477"/>
      <c r="AF75" s="477"/>
      <c r="AG75" s="477"/>
      <c r="AH75" s="477"/>
      <c r="AI75" s="477"/>
      <c r="AJ75" s="477"/>
      <c r="AK75" s="477"/>
      <c r="AL75" s="477"/>
      <c r="AM75" s="477"/>
      <c r="AN75" s="477"/>
      <c r="AO75" s="477"/>
      <c r="AP75" s="546"/>
    </row>
    <row r="76" spans="2:42" ht="15" customHeight="1" x14ac:dyDescent="0.25">
      <c r="B76" s="266" t="s">
        <v>638</v>
      </c>
      <c r="C76" s="762" t="str">
        <f>'Credit risk (SA)'!B36</f>
        <v>BBB+ to BBB-</v>
      </c>
      <c r="D76" s="2317" t="str">
        <f>'Credit risk (SA)'!AC36</f>
        <v/>
      </c>
      <c r="E76" s="477"/>
      <c r="F76" s="477"/>
      <c r="G76" s="477"/>
      <c r="H76" s="477"/>
      <c r="I76" s="477"/>
      <c r="J76" s="477"/>
      <c r="K76" s="477"/>
      <c r="L76" s="477"/>
      <c r="M76" s="477"/>
      <c r="N76" s="477"/>
      <c r="O76" s="477"/>
      <c r="P76" s="477"/>
      <c r="Q76" s="477"/>
      <c r="R76" s="477"/>
      <c r="S76" s="477"/>
      <c r="T76" s="477"/>
      <c r="U76" s="477"/>
      <c r="V76" s="477"/>
      <c r="X76" s="477"/>
      <c r="Y76" s="477"/>
      <c r="Z76" s="477"/>
      <c r="AA76" s="477"/>
      <c r="AB76" s="477"/>
      <c r="AC76" s="477"/>
      <c r="AD76" s="477"/>
      <c r="AE76" s="477"/>
      <c r="AF76" s="477"/>
      <c r="AG76" s="477"/>
      <c r="AH76" s="477"/>
      <c r="AI76" s="477"/>
      <c r="AJ76" s="477"/>
      <c r="AK76" s="477"/>
      <c r="AL76" s="477"/>
      <c r="AM76" s="477"/>
      <c r="AN76" s="477"/>
      <c r="AO76" s="477"/>
      <c r="AP76" s="546"/>
    </row>
    <row r="77" spans="2:42" ht="15" customHeight="1" x14ac:dyDescent="0.25">
      <c r="B77" s="266" t="s">
        <v>638</v>
      </c>
      <c r="C77" s="762" t="str">
        <f>'Credit risk (SA)'!B37</f>
        <v>BB+ to B-</v>
      </c>
      <c r="D77" s="2317" t="str">
        <f>'Credit risk (SA)'!AC37</f>
        <v/>
      </c>
      <c r="E77" s="477"/>
      <c r="F77" s="477"/>
      <c r="G77" s="477"/>
      <c r="H77" s="477"/>
      <c r="I77" s="477"/>
      <c r="J77" s="477"/>
      <c r="K77" s="477"/>
      <c r="L77" s="477"/>
      <c r="M77" s="477"/>
      <c r="N77" s="477"/>
      <c r="O77" s="477"/>
      <c r="P77" s="477"/>
      <c r="Q77" s="477"/>
      <c r="R77" s="477"/>
      <c r="S77" s="477"/>
      <c r="T77" s="477"/>
      <c r="U77" s="477"/>
      <c r="V77" s="477"/>
      <c r="X77" s="477"/>
      <c r="Y77" s="477"/>
      <c r="Z77" s="477"/>
      <c r="AA77" s="477"/>
      <c r="AB77" s="477"/>
      <c r="AC77" s="477"/>
      <c r="AD77" s="477"/>
      <c r="AE77" s="477"/>
      <c r="AF77" s="477"/>
      <c r="AG77" s="477"/>
      <c r="AH77" s="477"/>
      <c r="AI77" s="477"/>
      <c r="AJ77" s="477"/>
      <c r="AK77" s="477"/>
      <c r="AL77" s="477"/>
      <c r="AM77" s="477"/>
      <c r="AN77" s="477"/>
      <c r="AO77" s="477"/>
      <c r="AP77" s="546"/>
    </row>
    <row r="78" spans="2:42" ht="15" customHeight="1" x14ac:dyDescent="0.25">
      <c r="B78" s="266" t="s">
        <v>638</v>
      </c>
      <c r="C78" s="762" t="str">
        <f>'Credit risk (SA)'!B38</f>
        <v>below B-</v>
      </c>
      <c r="D78" s="2317" t="str">
        <f>'Credit risk (SA)'!AC38</f>
        <v/>
      </c>
      <c r="E78" s="477"/>
      <c r="F78" s="477"/>
      <c r="G78" s="477"/>
      <c r="H78" s="477"/>
      <c r="I78" s="477"/>
      <c r="J78" s="477"/>
      <c r="K78" s="477"/>
      <c r="L78" s="477"/>
      <c r="M78" s="477"/>
      <c r="N78" s="477"/>
      <c r="O78" s="477"/>
      <c r="P78" s="477"/>
      <c r="Q78" s="477"/>
      <c r="R78" s="477"/>
      <c r="S78" s="477"/>
      <c r="T78" s="477"/>
      <c r="U78" s="477"/>
      <c r="V78" s="477"/>
      <c r="X78" s="477"/>
      <c r="Y78" s="477"/>
      <c r="Z78" s="477"/>
      <c r="AA78" s="477"/>
      <c r="AB78" s="477"/>
      <c r="AC78" s="477"/>
      <c r="AD78" s="477"/>
      <c r="AE78" s="477"/>
      <c r="AF78" s="477"/>
      <c r="AG78" s="477"/>
      <c r="AH78" s="477"/>
      <c r="AI78" s="477"/>
      <c r="AJ78" s="477"/>
      <c r="AK78" s="477"/>
      <c r="AL78" s="477"/>
      <c r="AM78" s="477"/>
      <c r="AN78" s="477"/>
      <c r="AO78" s="477"/>
      <c r="AP78" s="546"/>
    </row>
    <row r="79" spans="2:42" ht="15" customHeight="1" x14ac:dyDescent="0.25">
      <c r="B79" s="263"/>
      <c r="C79" s="240" t="str">
        <f>'Credit risk (SA)'!B39</f>
        <v>SCRA; of which:</v>
      </c>
      <c r="D79" s="777"/>
      <c r="E79" s="477"/>
      <c r="F79" s="477"/>
      <c r="G79" s="477"/>
      <c r="H79" s="477"/>
      <c r="I79" s="477"/>
      <c r="J79" s="477"/>
      <c r="K79" s="477"/>
      <c r="L79" s="477"/>
      <c r="M79" s="477"/>
      <c r="N79" s="477"/>
      <c r="O79" s="477"/>
      <c r="P79" s="477"/>
      <c r="Q79" s="477"/>
      <c r="R79" s="477"/>
      <c r="S79" s="477"/>
      <c r="T79" s="477"/>
      <c r="U79" s="477"/>
      <c r="V79" s="477"/>
      <c r="X79" s="477"/>
      <c r="Y79" s="477"/>
      <c r="Z79" s="477"/>
      <c r="AA79" s="477"/>
      <c r="AB79" s="477"/>
      <c r="AC79" s="477"/>
      <c r="AD79" s="477"/>
      <c r="AE79" s="477"/>
      <c r="AF79" s="477"/>
      <c r="AG79" s="477"/>
      <c r="AH79" s="477"/>
      <c r="AI79" s="477"/>
      <c r="AJ79" s="477"/>
      <c r="AK79" s="477"/>
      <c r="AL79" s="477"/>
      <c r="AM79" s="477"/>
      <c r="AN79" s="477"/>
      <c r="AO79" s="477"/>
      <c r="AP79" s="546"/>
    </row>
    <row r="80" spans="2:42" ht="15" customHeight="1" x14ac:dyDescent="0.25">
      <c r="B80" s="263"/>
      <c r="C80" s="243" t="str">
        <f>'Credit risk (SA)'!B40</f>
        <v>SCRA (long term)</v>
      </c>
      <c r="D80" s="777"/>
      <c r="E80" s="477"/>
      <c r="F80" s="477"/>
      <c r="G80" s="477"/>
      <c r="H80" s="477"/>
      <c r="I80" s="477"/>
      <c r="J80" s="477"/>
      <c r="K80" s="477"/>
      <c r="L80" s="477"/>
      <c r="M80" s="477"/>
      <c r="N80" s="477"/>
      <c r="O80" s="477"/>
      <c r="P80" s="477"/>
      <c r="Q80" s="477"/>
      <c r="R80" s="477"/>
      <c r="S80" s="477"/>
      <c r="T80" s="477"/>
      <c r="U80" s="477"/>
      <c r="V80" s="477"/>
      <c r="X80" s="477"/>
      <c r="Y80" s="477"/>
      <c r="Z80" s="477"/>
      <c r="AA80" s="477"/>
      <c r="AB80" s="477"/>
      <c r="AC80" s="477"/>
      <c r="AD80" s="477"/>
      <c r="AE80" s="477"/>
      <c r="AF80" s="477"/>
      <c r="AG80" s="477"/>
      <c r="AH80" s="477"/>
      <c r="AI80" s="477"/>
      <c r="AJ80" s="477"/>
      <c r="AK80" s="477"/>
      <c r="AL80" s="477"/>
      <c r="AM80" s="477"/>
      <c r="AN80" s="477"/>
      <c r="AO80" s="477"/>
      <c r="AP80" s="546"/>
    </row>
    <row r="81" spans="2:42" ht="15" customHeight="1" x14ac:dyDescent="0.25">
      <c r="B81" s="266" t="s">
        <v>638</v>
      </c>
      <c r="C81" s="762" t="str">
        <f>'Credit risk (SA)'!B41</f>
        <v>Grade A (30% risk weight)</v>
      </c>
      <c r="D81" s="2317" t="str">
        <f>'Credit risk (SA)'!AC41</f>
        <v/>
      </c>
      <c r="E81" s="477"/>
      <c r="F81" s="477"/>
      <c r="G81" s="477"/>
      <c r="H81" s="477"/>
      <c r="I81" s="477"/>
      <c r="J81" s="477"/>
      <c r="K81" s="477"/>
      <c r="L81" s="477"/>
      <c r="M81" s="477"/>
      <c r="N81" s="477"/>
      <c r="O81" s="477"/>
      <c r="P81" s="477"/>
      <c r="Q81" s="477"/>
      <c r="R81" s="477"/>
      <c r="S81" s="477"/>
      <c r="T81" s="477"/>
      <c r="U81" s="477"/>
      <c r="V81" s="477"/>
      <c r="X81" s="477"/>
      <c r="Y81" s="477"/>
      <c r="Z81" s="477"/>
      <c r="AA81" s="477"/>
      <c r="AB81" s="477"/>
      <c r="AC81" s="477"/>
      <c r="AD81" s="477"/>
      <c r="AE81" s="477"/>
      <c r="AF81" s="477"/>
      <c r="AG81" s="477"/>
      <c r="AH81" s="477"/>
      <c r="AI81" s="477"/>
      <c r="AJ81" s="477"/>
      <c r="AK81" s="477"/>
      <c r="AL81" s="477"/>
      <c r="AM81" s="477"/>
      <c r="AN81" s="477"/>
      <c r="AO81" s="477"/>
      <c r="AP81" s="546"/>
    </row>
    <row r="82" spans="2:42" ht="15" customHeight="1" x14ac:dyDescent="0.25">
      <c r="B82" s="266" t="s">
        <v>638</v>
      </c>
      <c r="C82" s="762" t="str">
        <f>'Credit risk (SA)'!B42</f>
        <v>Grade A (40% risk weight)</v>
      </c>
      <c r="D82" s="2317" t="str">
        <f>'Credit risk (SA)'!AC42</f>
        <v/>
      </c>
      <c r="E82" s="477"/>
      <c r="F82" s="477"/>
      <c r="G82" s="477"/>
      <c r="H82" s="477"/>
      <c r="I82" s="477"/>
      <c r="J82" s="477"/>
      <c r="K82" s="477"/>
      <c r="L82" s="477"/>
      <c r="M82" s="477"/>
      <c r="N82" s="477"/>
      <c r="O82" s="477"/>
      <c r="P82" s="477"/>
      <c r="Q82" s="477"/>
      <c r="R82" s="477"/>
      <c r="S82" s="477"/>
      <c r="T82" s="477"/>
      <c r="U82" s="477"/>
      <c r="V82" s="477"/>
      <c r="X82" s="477"/>
      <c r="Y82" s="477"/>
      <c r="Z82" s="477"/>
      <c r="AA82" s="477"/>
      <c r="AB82" s="477"/>
      <c r="AC82" s="477"/>
      <c r="AD82" s="477"/>
      <c r="AE82" s="477"/>
      <c r="AF82" s="477"/>
      <c r="AG82" s="477"/>
      <c r="AH82" s="477"/>
      <c r="AI82" s="477"/>
      <c r="AJ82" s="477"/>
      <c r="AK82" s="477"/>
      <c r="AL82" s="477"/>
      <c r="AM82" s="477"/>
      <c r="AN82" s="477"/>
      <c r="AO82" s="477"/>
      <c r="AP82" s="546"/>
    </row>
    <row r="83" spans="2:42" ht="15" customHeight="1" x14ac:dyDescent="0.25">
      <c r="B83" s="266" t="s">
        <v>638</v>
      </c>
      <c r="C83" s="762" t="str">
        <f>'Credit risk (SA)'!B43</f>
        <v>Grade B</v>
      </c>
      <c r="D83" s="2317" t="str">
        <f>'Credit risk (SA)'!AC43</f>
        <v/>
      </c>
      <c r="E83" s="477"/>
      <c r="F83" s="477"/>
      <c r="G83" s="477"/>
      <c r="H83" s="477"/>
      <c r="I83" s="477"/>
      <c r="J83" s="477"/>
      <c r="K83" s="477"/>
      <c r="L83" s="477"/>
      <c r="M83" s="477"/>
      <c r="N83" s="477"/>
      <c r="O83" s="477"/>
      <c r="P83" s="477"/>
      <c r="Q83" s="477"/>
      <c r="R83" s="477"/>
      <c r="S83" s="477"/>
      <c r="T83" s="477"/>
      <c r="U83" s="477"/>
      <c r="V83" s="477"/>
      <c r="X83" s="477"/>
      <c r="Y83" s="477"/>
      <c r="Z83" s="477"/>
      <c r="AA83" s="477"/>
      <c r="AB83" s="477"/>
      <c r="AC83" s="477"/>
      <c r="AD83" s="477"/>
      <c r="AE83" s="477"/>
      <c r="AF83" s="477"/>
      <c r="AG83" s="477"/>
      <c r="AH83" s="477"/>
      <c r="AI83" s="477"/>
      <c r="AJ83" s="477"/>
      <c r="AK83" s="477"/>
      <c r="AL83" s="477"/>
      <c r="AM83" s="477"/>
      <c r="AN83" s="477"/>
      <c r="AO83" s="477"/>
      <c r="AP83" s="546"/>
    </row>
    <row r="84" spans="2:42" ht="15" customHeight="1" x14ac:dyDescent="0.25">
      <c r="B84" s="266" t="s">
        <v>638</v>
      </c>
      <c r="C84" s="762" t="str">
        <f>'Credit risk (SA)'!B44</f>
        <v>Grade C</v>
      </c>
      <c r="D84" s="2317" t="str">
        <f>'Credit risk (SA)'!AC44</f>
        <v/>
      </c>
      <c r="E84" s="477"/>
      <c r="F84" s="477"/>
      <c r="G84" s="477"/>
      <c r="H84" s="477"/>
      <c r="I84" s="477"/>
      <c r="J84" s="477"/>
      <c r="K84" s="477"/>
      <c r="L84" s="477"/>
      <c r="M84" s="477"/>
      <c r="N84" s="477"/>
      <c r="O84" s="477"/>
      <c r="P84" s="477"/>
      <c r="Q84" s="477"/>
      <c r="R84" s="477"/>
      <c r="S84" s="477"/>
      <c r="T84" s="477"/>
      <c r="U84" s="477"/>
      <c r="V84" s="477"/>
      <c r="X84" s="477"/>
      <c r="Y84" s="477"/>
      <c r="Z84" s="477"/>
      <c r="AA84" s="477"/>
      <c r="AB84" s="477"/>
      <c r="AC84" s="477"/>
      <c r="AD84" s="477"/>
      <c r="AE84" s="477"/>
      <c r="AF84" s="477"/>
      <c r="AG84" s="477"/>
      <c r="AH84" s="477"/>
      <c r="AI84" s="477"/>
      <c r="AJ84" s="477"/>
      <c r="AK84" s="477"/>
      <c r="AL84" s="477"/>
      <c r="AM84" s="477"/>
      <c r="AN84" s="477"/>
      <c r="AO84" s="477"/>
      <c r="AP84" s="546"/>
    </row>
    <row r="85" spans="2:42" ht="15" customHeight="1" x14ac:dyDescent="0.25">
      <c r="B85" s="263"/>
      <c r="C85" s="243" t="str">
        <f>'Credit risk (SA)'!B46</f>
        <v>SCRA (short term)</v>
      </c>
      <c r="D85" s="777"/>
      <c r="E85" s="477"/>
      <c r="F85" s="477"/>
      <c r="G85" s="477"/>
      <c r="H85" s="477"/>
      <c r="I85" s="477"/>
      <c r="J85" s="477"/>
      <c r="K85" s="477"/>
      <c r="L85" s="477"/>
      <c r="M85" s="477"/>
      <c r="N85" s="477"/>
      <c r="O85" s="477"/>
      <c r="P85" s="477"/>
      <c r="Q85" s="477"/>
      <c r="R85" s="477"/>
      <c r="S85" s="477"/>
      <c r="T85" s="477"/>
      <c r="U85" s="477"/>
      <c r="V85" s="477"/>
      <c r="X85" s="477"/>
      <c r="Y85" s="477"/>
      <c r="Z85" s="477"/>
      <c r="AA85" s="477"/>
      <c r="AB85" s="477"/>
      <c r="AC85" s="477"/>
      <c r="AD85" s="477"/>
      <c r="AE85" s="477"/>
      <c r="AF85" s="477"/>
      <c r="AG85" s="477"/>
      <c r="AH85" s="477"/>
      <c r="AI85" s="477"/>
      <c r="AJ85" s="477"/>
      <c r="AK85" s="477"/>
      <c r="AL85" s="477"/>
      <c r="AM85" s="477"/>
      <c r="AN85" s="477"/>
      <c r="AO85" s="477"/>
      <c r="AP85" s="546"/>
    </row>
    <row r="86" spans="2:42" ht="15" customHeight="1" x14ac:dyDescent="0.25">
      <c r="B86" s="266" t="s">
        <v>638</v>
      </c>
      <c r="C86" s="762" t="str">
        <f>'Credit risk (SA)'!B47</f>
        <v>Grade A</v>
      </c>
      <c r="D86" s="2317" t="str">
        <f>'Credit risk (SA)'!AC47</f>
        <v/>
      </c>
      <c r="E86" s="477"/>
      <c r="F86" s="477"/>
      <c r="G86" s="477"/>
      <c r="H86" s="477"/>
      <c r="I86" s="477"/>
      <c r="J86" s="477"/>
      <c r="K86" s="477"/>
      <c r="L86" s="477"/>
      <c r="M86" s="477"/>
      <c r="N86" s="477"/>
      <c r="O86" s="477"/>
      <c r="P86" s="477"/>
      <c r="Q86" s="477"/>
      <c r="R86" s="477"/>
      <c r="S86" s="477"/>
      <c r="T86" s="477"/>
      <c r="U86" s="477"/>
      <c r="V86" s="477"/>
      <c r="X86" s="477"/>
      <c r="Y86" s="477"/>
      <c r="Z86" s="477"/>
      <c r="AA86" s="477"/>
      <c r="AB86" s="477"/>
      <c r="AC86" s="477"/>
      <c r="AD86" s="477"/>
      <c r="AE86" s="477"/>
      <c r="AF86" s="477"/>
      <c r="AG86" s="477"/>
      <c r="AH86" s="477"/>
      <c r="AI86" s="477"/>
      <c r="AJ86" s="477"/>
      <c r="AK86" s="477"/>
      <c r="AL86" s="477"/>
      <c r="AM86" s="477"/>
      <c r="AN86" s="477"/>
      <c r="AO86" s="477"/>
      <c r="AP86" s="546"/>
    </row>
    <row r="87" spans="2:42" ht="15" customHeight="1" x14ac:dyDescent="0.25">
      <c r="B87" s="266" t="s">
        <v>638</v>
      </c>
      <c r="C87" s="762" t="str">
        <f>'Credit risk (SA)'!B48</f>
        <v>Grade B</v>
      </c>
      <c r="D87" s="2317" t="str">
        <f>'Credit risk (SA)'!AC48</f>
        <v/>
      </c>
      <c r="E87" s="477"/>
      <c r="F87" s="477"/>
      <c r="G87" s="477"/>
      <c r="H87" s="477"/>
      <c r="I87" s="477"/>
      <c r="J87" s="477"/>
      <c r="K87" s="477"/>
      <c r="L87" s="477"/>
      <c r="M87" s="477"/>
      <c r="N87" s="477"/>
      <c r="O87" s="477"/>
      <c r="P87" s="477"/>
      <c r="Q87" s="477"/>
      <c r="R87" s="477"/>
      <c r="S87" s="477"/>
      <c r="T87" s="477"/>
      <c r="U87" s="477"/>
      <c r="V87" s="477"/>
      <c r="X87" s="477"/>
      <c r="Y87" s="477"/>
      <c r="Z87" s="477"/>
      <c r="AA87" s="477"/>
      <c r="AB87" s="477"/>
      <c r="AC87" s="477"/>
      <c r="AD87" s="477"/>
      <c r="AE87" s="477"/>
      <c r="AF87" s="477"/>
      <c r="AG87" s="477"/>
      <c r="AH87" s="477"/>
      <c r="AI87" s="477"/>
      <c r="AJ87" s="477"/>
      <c r="AK87" s="477"/>
      <c r="AL87" s="477"/>
      <c r="AM87" s="477"/>
      <c r="AN87" s="477"/>
      <c r="AO87" s="477"/>
      <c r="AP87" s="546"/>
    </row>
    <row r="88" spans="2:42" ht="15" customHeight="1" x14ac:dyDescent="0.25">
      <c r="B88" s="266" t="s">
        <v>638</v>
      </c>
      <c r="C88" s="762" t="str">
        <f>'Credit risk (SA)'!B49</f>
        <v>Grade C</v>
      </c>
      <c r="D88" s="2317" t="str">
        <f>'Credit risk (SA)'!AC49</f>
        <v/>
      </c>
      <c r="E88" s="477"/>
      <c r="F88" s="477"/>
      <c r="G88" s="477"/>
      <c r="H88" s="477"/>
      <c r="I88" s="477"/>
      <c r="J88" s="477"/>
      <c r="K88" s="477"/>
      <c r="L88" s="477"/>
      <c r="M88" s="477"/>
      <c r="N88" s="477"/>
      <c r="O88" s="477"/>
      <c r="P88" s="477"/>
      <c r="Q88" s="477"/>
      <c r="R88" s="477"/>
      <c r="S88" s="477"/>
      <c r="T88" s="477"/>
      <c r="U88" s="477"/>
      <c r="V88" s="477"/>
      <c r="X88" s="477"/>
      <c r="Y88" s="477"/>
      <c r="Z88" s="477"/>
      <c r="AA88" s="477"/>
      <c r="AB88" s="477"/>
      <c r="AC88" s="477"/>
      <c r="AD88" s="477"/>
      <c r="AE88" s="477"/>
      <c r="AF88" s="477"/>
      <c r="AG88" s="477"/>
      <c r="AH88" s="477"/>
      <c r="AI88" s="477"/>
      <c r="AJ88" s="477"/>
      <c r="AK88" s="477"/>
      <c r="AL88" s="477"/>
      <c r="AM88" s="477"/>
      <c r="AN88" s="477"/>
      <c r="AO88" s="477"/>
      <c r="AP88" s="546"/>
    </row>
    <row r="89" spans="2:42" ht="15" customHeight="1" x14ac:dyDescent="0.25">
      <c r="B89" s="263"/>
      <c r="C89" s="222" t="str">
        <f>'Credit risk (SA)'!B51</f>
        <v>Covered bonds; of which:</v>
      </c>
      <c r="D89" s="777"/>
      <c r="E89" s="477"/>
      <c r="F89" s="477"/>
      <c r="G89" s="477"/>
      <c r="H89" s="477"/>
      <c r="I89" s="477"/>
      <c r="J89" s="477"/>
      <c r="K89" s="477"/>
      <c r="L89" s="477"/>
      <c r="M89" s="477"/>
      <c r="N89" s="477"/>
      <c r="O89" s="477"/>
      <c r="P89" s="477"/>
      <c r="Q89" s="477"/>
      <c r="R89" s="477"/>
      <c r="S89" s="477"/>
      <c r="T89" s="477"/>
      <c r="U89" s="477"/>
      <c r="V89" s="477"/>
      <c r="X89" s="477"/>
      <c r="Y89" s="477"/>
      <c r="Z89" s="477"/>
      <c r="AA89" s="477"/>
      <c r="AB89" s="477"/>
      <c r="AC89" s="477"/>
      <c r="AD89" s="477"/>
      <c r="AE89" s="477"/>
      <c r="AF89" s="477"/>
      <c r="AG89" s="477"/>
      <c r="AH89" s="477"/>
      <c r="AI89" s="477"/>
      <c r="AJ89" s="477"/>
      <c r="AK89" s="477"/>
      <c r="AL89" s="477"/>
      <c r="AM89" s="477"/>
      <c r="AN89" s="477"/>
      <c r="AO89" s="477"/>
      <c r="AP89" s="546"/>
    </row>
    <row r="90" spans="2:42" ht="15" customHeight="1" x14ac:dyDescent="0.25">
      <c r="B90" s="263"/>
      <c r="C90" s="240" t="str">
        <f>'Credit risk (SA)'!B52</f>
        <v>rated</v>
      </c>
      <c r="D90" s="777"/>
      <c r="E90" s="477"/>
      <c r="F90" s="477"/>
      <c r="G90" s="477"/>
      <c r="H90" s="477"/>
      <c r="I90" s="477"/>
      <c r="J90" s="477"/>
      <c r="K90" s="477"/>
      <c r="L90" s="477"/>
      <c r="M90" s="477"/>
      <c r="N90" s="477"/>
      <c r="O90" s="477"/>
      <c r="P90" s="477"/>
      <c r="Q90" s="477"/>
      <c r="R90" s="477"/>
      <c r="S90" s="477"/>
      <c r="T90" s="477"/>
      <c r="U90" s="477"/>
      <c r="V90" s="477"/>
      <c r="X90" s="477"/>
      <c r="Y90" s="477"/>
      <c r="Z90" s="477"/>
      <c r="AA90" s="477"/>
      <c r="AB90" s="477"/>
      <c r="AC90" s="477"/>
      <c r="AD90" s="477"/>
      <c r="AE90" s="477"/>
      <c r="AF90" s="477"/>
      <c r="AG90" s="477"/>
      <c r="AH90" s="477"/>
      <c r="AI90" s="477"/>
      <c r="AJ90" s="477"/>
      <c r="AK90" s="477"/>
      <c r="AL90" s="477"/>
      <c r="AM90" s="477"/>
      <c r="AN90" s="477"/>
      <c r="AO90" s="477"/>
      <c r="AP90" s="546"/>
    </row>
    <row r="91" spans="2:42" ht="15" customHeight="1" x14ac:dyDescent="0.25">
      <c r="B91" s="266" t="s">
        <v>638</v>
      </c>
      <c r="C91" s="617" t="str">
        <f>'Credit risk (SA)'!B53</f>
        <v xml:space="preserve">AAA to AA- </v>
      </c>
      <c r="D91" s="2317" t="str">
        <f>'Credit risk (SA)'!AC53</f>
        <v/>
      </c>
      <c r="E91" s="477"/>
      <c r="F91" s="477"/>
      <c r="G91" s="477"/>
      <c r="H91" s="477"/>
      <c r="I91" s="477"/>
      <c r="J91" s="477"/>
      <c r="K91" s="477"/>
      <c r="L91" s="477"/>
      <c r="M91" s="477"/>
      <c r="N91" s="477"/>
      <c r="O91" s="477"/>
      <c r="P91" s="477"/>
      <c r="Q91" s="477"/>
      <c r="R91" s="477"/>
      <c r="S91" s="477"/>
      <c r="T91" s="477"/>
      <c r="U91" s="477"/>
      <c r="V91" s="477"/>
      <c r="X91" s="477"/>
      <c r="Y91" s="477"/>
      <c r="Z91" s="477"/>
      <c r="AA91" s="477"/>
      <c r="AB91" s="477"/>
      <c r="AC91" s="477"/>
      <c r="AD91" s="477"/>
      <c r="AE91" s="477"/>
      <c r="AF91" s="477"/>
      <c r="AG91" s="477"/>
      <c r="AH91" s="477"/>
      <c r="AI91" s="477"/>
      <c r="AJ91" s="477"/>
      <c r="AK91" s="477"/>
      <c r="AL91" s="477"/>
      <c r="AM91" s="477"/>
      <c r="AN91" s="477"/>
      <c r="AO91" s="477"/>
      <c r="AP91" s="546"/>
    </row>
    <row r="92" spans="2:42" ht="15" customHeight="1" x14ac:dyDescent="0.25">
      <c r="B92" s="266" t="s">
        <v>638</v>
      </c>
      <c r="C92" s="617" t="str">
        <f>'Credit risk (SA)'!B54</f>
        <v>A+ to A-</v>
      </c>
      <c r="D92" s="2317" t="str">
        <f>'Credit risk (SA)'!AC54</f>
        <v/>
      </c>
      <c r="E92" s="477"/>
      <c r="F92" s="477"/>
      <c r="G92" s="477"/>
      <c r="H92" s="477"/>
      <c r="I92" s="477"/>
      <c r="J92" s="477"/>
      <c r="K92" s="477"/>
      <c r="L92" s="477"/>
      <c r="M92" s="477"/>
      <c r="N92" s="477"/>
      <c r="O92" s="477"/>
      <c r="P92" s="477"/>
      <c r="Q92" s="477"/>
      <c r="R92" s="477"/>
      <c r="S92" s="477"/>
      <c r="T92" s="477"/>
      <c r="U92" s="477"/>
      <c r="V92" s="477"/>
      <c r="X92" s="477"/>
      <c r="Y92" s="477"/>
      <c r="Z92" s="477"/>
      <c r="AA92" s="477"/>
      <c r="AB92" s="477"/>
      <c r="AC92" s="477"/>
      <c r="AD92" s="477"/>
      <c r="AE92" s="477"/>
      <c r="AF92" s="477"/>
      <c r="AG92" s="477"/>
      <c r="AH92" s="477"/>
      <c r="AI92" s="477"/>
      <c r="AJ92" s="477"/>
      <c r="AK92" s="477"/>
      <c r="AL92" s="477"/>
      <c r="AM92" s="477"/>
      <c r="AN92" s="477"/>
      <c r="AO92" s="477"/>
      <c r="AP92" s="546"/>
    </row>
    <row r="93" spans="2:42" ht="15" customHeight="1" x14ac:dyDescent="0.25">
      <c r="B93" s="266" t="s">
        <v>638</v>
      </c>
      <c r="C93" s="617" t="str">
        <f>'Credit risk (SA)'!B55</f>
        <v>BBB+ to BBB-</v>
      </c>
      <c r="D93" s="2317" t="str">
        <f>'Credit risk (SA)'!AC55</f>
        <v/>
      </c>
      <c r="E93" s="477"/>
      <c r="F93" s="477"/>
      <c r="G93" s="477"/>
      <c r="H93" s="477"/>
      <c r="I93" s="477"/>
      <c r="J93" s="477"/>
      <c r="K93" s="477"/>
      <c r="L93" s="477"/>
      <c r="M93" s="477"/>
      <c r="N93" s="477"/>
      <c r="O93" s="477"/>
      <c r="P93" s="477"/>
      <c r="Q93" s="477"/>
      <c r="R93" s="477"/>
      <c r="S93" s="477"/>
      <c r="T93" s="477"/>
      <c r="U93" s="477"/>
      <c r="V93" s="477"/>
      <c r="X93" s="477"/>
      <c r="Y93" s="477"/>
      <c r="Z93" s="477"/>
      <c r="AA93" s="477"/>
      <c r="AB93" s="477"/>
      <c r="AC93" s="477"/>
      <c r="AD93" s="477"/>
      <c r="AE93" s="477"/>
      <c r="AF93" s="477"/>
      <c r="AG93" s="477"/>
      <c r="AH93" s="477"/>
      <c r="AI93" s="477"/>
      <c r="AJ93" s="477"/>
      <c r="AK93" s="477"/>
      <c r="AL93" s="477"/>
      <c r="AM93" s="477"/>
      <c r="AN93" s="477"/>
      <c r="AO93" s="477"/>
      <c r="AP93" s="546"/>
    </row>
    <row r="94" spans="2:42" ht="15" customHeight="1" x14ac:dyDescent="0.25">
      <c r="B94" s="266" t="s">
        <v>638</v>
      </c>
      <c r="C94" s="617" t="str">
        <f>'Credit risk (SA)'!B56</f>
        <v>BB+ to B-</v>
      </c>
      <c r="D94" s="2317" t="str">
        <f>'Credit risk (SA)'!AC56</f>
        <v/>
      </c>
      <c r="E94" s="477"/>
      <c r="F94" s="477"/>
      <c r="G94" s="477"/>
      <c r="H94" s="477"/>
      <c r="I94" s="477"/>
      <c r="J94" s="477"/>
      <c r="K94" s="477"/>
      <c r="L94" s="477"/>
      <c r="M94" s="477"/>
      <c r="N94" s="477"/>
      <c r="O94" s="477"/>
      <c r="P94" s="477"/>
      <c r="Q94" s="477"/>
      <c r="R94" s="477"/>
      <c r="S94" s="477"/>
      <c r="T94" s="477"/>
      <c r="U94" s="477"/>
      <c r="V94" s="477"/>
      <c r="X94" s="477"/>
      <c r="Y94" s="477"/>
      <c r="Z94" s="477"/>
      <c r="AA94" s="477"/>
      <c r="AB94" s="477"/>
      <c r="AC94" s="477"/>
      <c r="AD94" s="477"/>
      <c r="AE94" s="477"/>
      <c r="AF94" s="477"/>
      <c r="AG94" s="477"/>
      <c r="AH94" s="477"/>
      <c r="AI94" s="477"/>
      <c r="AJ94" s="477"/>
      <c r="AK94" s="477"/>
      <c r="AL94" s="477"/>
      <c r="AM94" s="477"/>
      <c r="AN94" s="477"/>
      <c r="AO94" s="477"/>
      <c r="AP94" s="546"/>
    </row>
    <row r="95" spans="2:42" ht="15" customHeight="1" x14ac:dyDescent="0.25">
      <c r="B95" s="266" t="s">
        <v>638</v>
      </c>
      <c r="C95" s="617" t="str">
        <f>'Credit risk (SA)'!B57</f>
        <v>below B-</v>
      </c>
      <c r="D95" s="2317" t="str">
        <f>'Credit risk (SA)'!AC57</f>
        <v/>
      </c>
      <c r="E95" s="477"/>
      <c r="F95" s="477"/>
      <c r="G95" s="477"/>
      <c r="H95" s="477"/>
      <c r="I95" s="477"/>
      <c r="J95" s="477"/>
      <c r="K95" s="477"/>
      <c r="L95" s="477"/>
      <c r="M95" s="477"/>
      <c r="N95" s="477"/>
      <c r="O95" s="477"/>
      <c r="P95" s="477"/>
      <c r="Q95" s="477"/>
      <c r="R95" s="477"/>
      <c r="S95" s="477"/>
      <c r="T95" s="477"/>
      <c r="U95" s="477"/>
      <c r="V95" s="477"/>
      <c r="X95" s="477"/>
      <c r="Y95" s="477"/>
      <c r="Z95" s="477"/>
      <c r="AA95" s="477"/>
      <c r="AB95" s="477"/>
      <c r="AC95" s="477"/>
      <c r="AD95" s="477"/>
      <c r="AE95" s="477"/>
      <c r="AF95" s="477"/>
      <c r="AG95" s="477"/>
      <c r="AH95" s="477"/>
      <c r="AI95" s="477"/>
      <c r="AJ95" s="477"/>
      <c r="AK95" s="477"/>
      <c r="AL95" s="477"/>
      <c r="AM95" s="477"/>
      <c r="AN95" s="477"/>
      <c r="AO95" s="477"/>
      <c r="AP95" s="546"/>
    </row>
    <row r="96" spans="2:42" ht="15" customHeight="1" x14ac:dyDescent="0.25">
      <c r="B96" s="263"/>
      <c r="C96" s="240" t="str">
        <f>'Credit risk (SA)'!B58</f>
        <v>unrated; of which:</v>
      </c>
      <c r="D96" s="777"/>
      <c r="E96" s="477"/>
      <c r="F96" s="477"/>
      <c r="G96" s="477"/>
      <c r="H96" s="477"/>
      <c r="I96" s="477"/>
      <c r="J96" s="477"/>
      <c r="K96" s="477"/>
      <c r="L96" s="477"/>
      <c r="M96" s="477"/>
      <c r="N96" s="477"/>
      <c r="O96" s="477"/>
      <c r="P96" s="477"/>
      <c r="Q96" s="477"/>
      <c r="R96" s="477"/>
      <c r="S96" s="477"/>
      <c r="T96" s="477"/>
      <c r="U96" s="477"/>
      <c r="V96" s="477"/>
      <c r="X96" s="477"/>
      <c r="Y96" s="477"/>
      <c r="Z96" s="477"/>
      <c r="AA96" s="477"/>
      <c r="AB96" s="477"/>
      <c r="AC96" s="477"/>
      <c r="AD96" s="477"/>
      <c r="AE96" s="477"/>
      <c r="AF96" s="477"/>
      <c r="AG96" s="477"/>
      <c r="AH96" s="477"/>
      <c r="AI96" s="477"/>
      <c r="AJ96" s="477"/>
      <c r="AK96" s="477"/>
      <c r="AL96" s="477"/>
      <c r="AM96" s="477"/>
      <c r="AN96" s="477"/>
      <c r="AO96" s="477"/>
      <c r="AP96" s="546"/>
    </row>
    <row r="97" spans="2:42" ht="15" customHeight="1" x14ac:dyDescent="0.25">
      <c r="B97" s="266" t="s">
        <v>638</v>
      </c>
      <c r="C97" s="617" t="str">
        <f>'Credit risk (SA)'!B59</f>
        <v>risk weight for issuing bank of 20%</v>
      </c>
      <c r="D97" s="2317" t="str">
        <f>'Credit risk (SA)'!AC59</f>
        <v/>
      </c>
      <c r="E97" s="477"/>
      <c r="F97" s="477"/>
      <c r="G97" s="477"/>
      <c r="H97" s="477"/>
      <c r="I97" s="477"/>
      <c r="J97" s="477"/>
      <c r="K97" s="477"/>
      <c r="L97" s="477"/>
      <c r="M97" s="477"/>
      <c r="N97" s="477"/>
      <c r="O97" s="477"/>
      <c r="P97" s="477"/>
      <c r="Q97" s="477"/>
      <c r="R97" s="477"/>
      <c r="S97" s="477"/>
      <c r="T97" s="477"/>
      <c r="U97" s="477"/>
      <c r="V97" s="477"/>
      <c r="X97" s="477"/>
      <c r="Y97" s="477"/>
      <c r="Z97" s="477"/>
      <c r="AA97" s="477"/>
      <c r="AB97" s="477"/>
      <c r="AC97" s="477"/>
      <c r="AD97" s="477"/>
      <c r="AE97" s="477"/>
      <c r="AF97" s="477"/>
      <c r="AG97" s="477"/>
      <c r="AH97" s="477"/>
      <c r="AI97" s="477"/>
      <c r="AJ97" s="477"/>
      <c r="AK97" s="477"/>
      <c r="AL97" s="477"/>
      <c r="AM97" s="477"/>
      <c r="AN97" s="477"/>
      <c r="AO97" s="477"/>
      <c r="AP97" s="546"/>
    </row>
    <row r="98" spans="2:42" ht="15" customHeight="1" x14ac:dyDescent="0.25">
      <c r="B98" s="266" t="s">
        <v>638</v>
      </c>
      <c r="C98" s="617" t="str">
        <f>'Credit risk (SA)'!B60</f>
        <v>risk weight for issuing bank of 30%</v>
      </c>
      <c r="D98" s="2317" t="str">
        <f>'Credit risk (SA)'!AC60</f>
        <v/>
      </c>
      <c r="E98" s="477"/>
      <c r="F98" s="477"/>
      <c r="G98" s="477"/>
      <c r="H98" s="477"/>
      <c r="I98" s="477"/>
      <c r="J98" s="477"/>
      <c r="K98" s="477"/>
      <c r="L98" s="477"/>
      <c r="M98" s="477"/>
      <c r="N98" s="477"/>
      <c r="O98" s="477"/>
      <c r="P98" s="477"/>
      <c r="Q98" s="477"/>
      <c r="R98" s="477"/>
      <c r="S98" s="477"/>
      <c r="T98" s="477"/>
      <c r="U98" s="477"/>
      <c r="V98" s="477"/>
      <c r="X98" s="477"/>
      <c r="Y98" s="477"/>
      <c r="Z98" s="477"/>
      <c r="AA98" s="477"/>
      <c r="AB98" s="477"/>
      <c r="AC98" s="477"/>
      <c r="AD98" s="477"/>
      <c r="AE98" s="477"/>
      <c r="AF98" s="477"/>
      <c r="AG98" s="477"/>
      <c r="AH98" s="477"/>
      <c r="AI98" s="477"/>
      <c r="AJ98" s="477"/>
      <c r="AK98" s="477"/>
      <c r="AL98" s="477"/>
      <c r="AM98" s="477"/>
      <c r="AN98" s="477"/>
      <c r="AO98" s="477"/>
      <c r="AP98" s="546"/>
    </row>
    <row r="99" spans="2:42" ht="15" customHeight="1" x14ac:dyDescent="0.25">
      <c r="B99" s="266" t="s">
        <v>638</v>
      </c>
      <c r="C99" s="617" t="str">
        <f>'Credit risk (SA)'!B61</f>
        <v>risk weight for issuing bank of 40%</v>
      </c>
      <c r="D99" s="2317" t="str">
        <f>'Credit risk (SA)'!AC61</f>
        <v/>
      </c>
      <c r="E99" s="477"/>
      <c r="F99" s="477"/>
      <c r="G99" s="477"/>
      <c r="H99" s="477"/>
      <c r="I99" s="477"/>
      <c r="J99" s="477"/>
      <c r="K99" s="477"/>
      <c r="L99" s="477"/>
      <c r="M99" s="477"/>
      <c r="N99" s="477"/>
      <c r="O99" s="477"/>
      <c r="P99" s="477"/>
      <c r="Q99" s="477"/>
      <c r="R99" s="477"/>
      <c r="S99" s="477"/>
      <c r="T99" s="477"/>
      <c r="U99" s="477"/>
      <c r="V99" s="477"/>
      <c r="X99" s="477"/>
      <c r="Y99" s="477"/>
      <c r="Z99" s="477"/>
      <c r="AA99" s="477"/>
      <c r="AB99" s="477"/>
      <c r="AC99" s="477"/>
      <c r="AD99" s="477"/>
      <c r="AE99" s="477"/>
      <c r="AF99" s="477"/>
      <c r="AG99" s="477"/>
      <c r="AH99" s="477"/>
      <c r="AI99" s="477"/>
      <c r="AJ99" s="477"/>
      <c r="AK99" s="477"/>
      <c r="AL99" s="477"/>
      <c r="AM99" s="477"/>
      <c r="AN99" s="477"/>
      <c r="AO99" s="477"/>
      <c r="AP99" s="546"/>
    </row>
    <row r="100" spans="2:42" ht="15" customHeight="1" x14ac:dyDescent="0.25">
      <c r="B100" s="266" t="s">
        <v>638</v>
      </c>
      <c r="C100" s="617" t="str">
        <f>'Credit risk (SA)'!B62</f>
        <v>risk weight for issuing bank of 50%</v>
      </c>
      <c r="D100" s="2317" t="str">
        <f>'Credit risk (SA)'!AC62</f>
        <v/>
      </c>
      <c r="E100" s="477"/>
      <c r="F100" s="477"/>
      <c r="G100" s="477"/>
      <c r="H100" s="477"/>
      <c r="I100" s="477"/>
      <c r="J100" s="477"/>
      <c r="K100" s="477"/>
      <c r="L100" s="477"/>
      <c r="M100" s="477"/>
      <c r="N100" s="477"/>
      <c r="O100" s="477"/>
      <c r="P100" s="477"/>
      <c r="Q100" s="477"/>
      <c r="R100" s="477"/>
      <c r="S100" s="477"/>
      <c r="T100" s="477"/>
      <c r="U100" s="477"/>
      <c r="V100" s="477"/>
      <c r="X100" s="477"/>
      <c r="Y100" s="477"/>
      <c r="Z100" s="477"/>
      <c r="AA100" s="477"/>
      <c r="AB100" s="477"/>
      <c r="AC100" s="477"/>
      <c r="AD100" s="477"/>
      <c r="AE100" s="477"/>
      <c r="AF100" s="477"/>
      <c r="AG100" s="477"/>
      <c r="AH100" s="477"/>
      <c r="AI100" s="477"/>
      <c r="AJ100" s="477"/>
      <c r="AK100" s="477"/>
      <c r="AL100" s="477"/>
      <c r="AM100" s="477"/>
      <c r="AN100" s="477"/>
      <c r="AO100" s="477"/>
      <c r="AP100" s="546"/>
    </row>
    <row r="101" spans="2:42" ht="15" customHeight="1" x14ac:dyDescent="0.25">
      <c r="B101" s="266" t="s">
        <v>638</v>
      </c>
      <c r="C101" s="617" t="str">
        <f>'Credit risk (SA)'!B63</f>
        <v>risk weight for issuing bank of 75%</v>
      </c>
      <c r="D101" s="2317" t="str">
        <f>'Credit risk (SA)'!AC63</f>
        <v/>
      </c>
      <c r="E101" s="477"/>
      <c r="F101" s="477"/>
      <c r="G101" s="477"/>
      <c r="H101" s="477"/>
      <c r="I101" s="477"/>
      <c r="J101" s="477"/>
      <c r="K101" s="477"/>
      <c r="L101" s="477"/>
      <c r="M101" s="477"/>
      <c r="N101" s="477"/>
      <c r="O101" s="477"/>
      <c r="P101" s="477"/>
      <c r="Q101" s="477"/>
      <c r="R101" s="477"/>
      <c r="S101" s="477"/>
      <c r="T101" s="477"/>
      <c r="U101" s="477"/>
      <c r="V101" s="477"/>
      <c r="X101" s="477"/>
      <c r="Y101" s="477"/>
      <c r="Z101" s="477"/>
      <c r="AA101" s="477"/>
      <c r="AB101" s="477"/>
      <c r="AC101" s="477"/>
      <c r="AD101" s="477"/>
      <c r="AE101" s="477"/>
      <c r="AF101" s="477"/>
      <c r="AG101" s="477"/>
      <c r="AH101" s="477"/>
      <c r="AI101" s="477"/>
      <c r="AJ101" s="477"/>
      <c r="AK101" s="477"/>
      <c r="AL101" s="477"/>
      <c r="AM101" s="477"/>
      <c r="AN101" s="477"/>
      <c r="AO101" s="477"/>
      <c r="AP101" s="546"/>
    </row>
    <row r="102" spans="2:42" ht="15" customHeight="1" x14ac:dyDescent="0.25">
      <c r="B102" s="266" t="s">
        <v>638</v>
      </c>
      <c r="C102" s="617" t="str">
        <f>'Credit risk (SA)'!B64</f>
        <v>risk weight for issuing bank of 100%</v>
      </c>
      <c r="D102" s="2317" t="str">
        <f>'Credit risk (SA)'!AC64</f>
        <v/>
      </c>
      <c r="E102" s="477"/>
      <c r="F102" s="477"/>
      <c r="G102" s="477"/>
      <c r="H102" s="477"/>
      <c r="I102" s="477"/>
      <c r="J102" s="477"/>
      <c r="K102" s="477"/>
      <c r="L102" s="477"/>
      <c r="M102" s="477"/>
      <c r="N102" s="477"/>
      <c r="O102" s="477"/>
      <c r="P102" s="477"/>
      <c r="Q102" s="477"/>
      <c r="R102" s="477"/>
      <c r="S102" s="477"/>
      <c r="T102" s="477"/>
      <c r="U102" s="477"/>
      <c r="V102" s="477"/>
      <c r="X102" s="477"/>
      <c r="Y102" s="477"/>
      <c r="Z102" s="477"/>
      <c r="AA102" s="477"/>
      <c r="AB102" s="477"/>
      <c r="AC102" s="477"/>
      <c r="AD102" s="477"/>
      <c r="AE102" s="477"/>
      <c r="AF102" s="477"/>
      <c r="AG102" s="477"/>
      <c r="AH102" s="477"/>
      <c r="AI102" s="477"/>
      <c r="AJ102" s="477"/>
      <c r="AK102" s="477"/>
      <c r="AL102" s="477"/>
      <c r="AM102" s="477"/>
      <c r="AN102" s="477"/>
      <c r="AO102" s="477"/>
      <c r="AP102" s="546"/>
    </row>
    <row r="103" spans="2:42" ht="15" customHeight="1" x14ac:dyDescent="0.25">
      <c r="B103" s="266" t="s">
        <v>638</v>
      </c>
      <c r="C103" s="617" t="str">
        <f>'Credit risk (SA)'!B65</f>
        <v>risk weight for issuing bank of 150%</v>
      </c>
      <c r="D103" s="2317" t="str">
        <f>'Credit risk (SA)'!AC65</f>
        <v/>
      </c>
      <c r="E103" s="477"/>
      <c r="F103" s="477"/>
      <c r="G103" s="477"/>
      <c r="H103" s="477"/>
      <c r="I103" s="477"/>
      <c r="J103" s="477"/>
      <c r="K103" s="477"/>
      <c r="L103" s="477"/>
      <c r="M103" s="477"/>
      <c r="N103" s="477"/>
      <c r="O103" s="477"/>
      <c r="P103" s="477"/>
      <c r="Q103" s="477"/>
      <c r="R103" s="477"/>
      <c r="S103" s="477"/>
      <c r="T103" s="477"/>
      <c r="U103" s="477"/>
      <c r="V103" s="477"/>
      <c r="X103" s="477"/>
      <c r="Y103" s="477"/>
      <c r="Z103" s="477"/>
      <c r="AA103" s="477"/>
      <c r="AB103" s="477"/>
      <c r="AC103" s="477"/>
      <c r="AD103" s="477"/>
      <c r="AE103" s="477"/>
      <c r="AF103" s="477"/>
      <c r="AG103" s="477"/>
      <c r="AH103" s="477"/>
      <c r="AI103" s="477"/>
      <c r="AJ103" s="477"/>
      <c r="AK103" s="477"/>
      <c r="AL103" s="477"/>
      <c r="AM103" s="477"/>
      <c r="AN103" s="477"/>
      <c r="AO103" s="477"/>
      <c r="AP103" s="546"/>
    </row>
    <row r="104" spans="2:42" ht="15" customHeight="1" x14ac:dyDescent="0.25">
      <c r="B104" s="263"/>
      <c r="C104" s="222" t="str">
        <f>'Credit risk (SA)'!B66</f>
        <v>Corporates (excluding SMEs); of which:</v>
      </c>
      <c r="D104" s="777"/>
      <c r="E104" s="477"/>
      <c r="F104" s="477"/>
      <c r="G104" s="477"/>
      <c r="H104" s="477"/>
      <c r="I104" s="477"/>
      <c r="J104" s="477"/>
      <c r="K104" s="477"/>
      <c r="L104" s="477"/>
      <c r="M104" s="477"/>
      <c r="N104" s="477"/>
      <c r="O104" s="477"/>
      <c r="P104" s="477"/>
      <c r="Q104" s="477"/>
      <c r="R104" s="477"/>
      <c r="S104" s="477"/>
      <c r="T104" s="477"/>
      <c r="U104" s="477"/>
      <c r="V104" s="477"/>
      <c r="X104" s="477"/>
      <c r="Y104" s="477"/>
      <c r="Z104" s="477"/>
      <c r="AA104" s="477"/>
      <c r="AB104" s="477"/>
      <c r="AC104" s="477"/>
      <c r="AD104" s="477"/>
      <c r="AE104" s="477"/>
      <c r="AF104" s="477"/>
      <c r="AG104" s="477"/>
      <c r="AH104" s="477"/>
      <c r="AI104" s="477"/>
      <c r="AJ104" s="477"/>
      <c r="AK104" s="477"/>
      <c r="AL104" s="477"/>
      <c r="AM104" s="477"/>
      <c r="AN104" s="477"/>
      <c r="AO104" s="477"/>
      <c r="AP104" s="546"/>
    </row>
    <row r="105" spans="2:42" ht="15" customHeight="1" x14ac:dyDescent="0.25">
      <c r="B105" s="263"/>
      <c r="C105" s="240" t="str">
        <f>'Credit risk (SA)'!B67</f>
        <v>Corporates (excluding SMEs) - rating allowed; of which:</v>
      </c>
      <c r="D105" s="777"/>
      <c r="E105" s="477"/>
      <c r="F105" s="477"/>
      <c r="G105" s="477"/>
      <c r="H105" s="477"/>
      <c r="I105" s="477"/>
      <c r="J105" s="477"/>
      <c r="K105" s="477"/>
      <c r="L105" s="477"/>
      <c r="M105" s="477"/>
      <c r="N105" s="477"/>
      <c r="O105" s="477"/>
      <c r="P105" s="477"/>
      <c r="Q105" s="477"/>
      <c r="R105" s="477"/>
      <c r="S105" s="477"/>
      <c r="T105" s="477"/>
      <c r="U105" s="477"/>
      <c r="V105" s="477"/>
      <c r="X105" s="477"/>
      <c r="Y105" s="477"/>
      <c r="Z105" s="477"/>
      <c r="AA105" s="477"/>
      <c r="AB105" s="477"/>
      <c r="AC105" s="477"/>
      <c r="AD105" s="477"/>
      <c r="AE105" s="477"/>
      <c r="AF105" s="477"/>
      <c r="AG105" s="477"/>
      <c r="AH105" s="477"/>
      <c r="AI105" s="477"/>
      <c r="AJ105" s="477"/>
      <c r="AK105" s="477"/>
      <c r="AL105" s="477"/>
      <c r="AM105" s="477"/>
      <c r="AN105" s="477"/>
      <c r="AO105" s="477"/>
      <c r="AP105" s="546"/>
    </row>
    <row r="106" spans="2:42" ht="15" customHeight="1" x14ac:dyDescent="0.25">
      <c r="B106" s="263"/>
      <c r="C106" s="243" t="str">
        <f>'Credit risk (SA)'!B68</f>
        <v>rated corporate exposures; of which:</v>
      </c>
      <c r="D106" s="777"/>
      <c r="E106" s="477"/>
      <c r="F106" s="477"/>
      <c r="G106" s="477"/>
      <c r="H106" s="477"/>
      <c r="I106" s="477"/>
      <c r="J106" s="477"/>
      <c r="K106" s="477"/>
      <c r="L106" s="477"/>
      <c r="M106" s="477"/>
      <c r="N106" s="477"/>
      <c r="O106" s="477"/>
      <c r="P106" s="477"/>
      <c r="Q106" s="477"/>
      <c r="R106" s="477"/>
      <c r="S106" s="477"/>
      <c r="T106" s="477"/>
      <c r="U106" s="477"/>
      <c r="V106" s="477"/>
      <c r="X106" s="477"/>
      <c r="Y106" s="477"/>
      <c r="Z106" s="477"/>
      <c r="AA106" s="477"/>
      <c r="AB106" s="477"/>
      <c r="AC106" s="477"/>
      <c r="AD106" s="477"/>
      <c r="AE106" s="477"/>
      <c r="AF106" s="477"/>
      <c r="AG106" s="477"/>
      <c r="AH106" s="477"/>
      <c r="AI106" s="477"/>
      <c r="AJ106" s="477"/>
      <c r="AK106" s="477"/>
      <c r="AL106" s="477"/>
      <c r="AM106" s="477"/>
      <c r="AN106" s="477"/>
      <c r="AO106" s="477"/>
      <c r="AP106" s="546"/>
    </row>
    <row r="107" spans="2:42" ht="15" customHeight="1" x14ac:dyDescent="0.25">
      <c r="B107" s="266" t="s">
        <v>638</v>
      </c>
      <c r="C107" s="762" t="str">
        <f>'Credit risk (SA)'!B69</f>
        <v xml:space="preserve">AAA to AA- </v>
      </c>
      <c r="D107" s="2317" t="str">
        <f>'Credit risk (SA)'!AC69</f>
        <v/>
      </c>
      <c r="E107" s="477"/>
      <c r="F107" s="477"/>
      <c r="G107" s="477"/>
      <c r="H107" s="477"/>
      <c r="I107" s="477"/>
      <c r="J107" s="477"/>
      <c r="K107" s="477"/>
      <c r="L107" s="477"/>
      <c r="M107" s="477"/>
      <c r="N107" s="477"/>
      <c r="O107" s="477"/>
      <c r="P107" s="477"/>
      <c r="Q107" s="477"/>
      <c r="R107" s="477"/>
      <c r="S107" s="477"/>
      <c r="T107" s="477"/>
      <c r="U107" s="477"/>
      <c r="V107" s="477"/>
      <c r="X107" s="477"/>
      <c r="Y107" s="477"/>
      <c r="Z107" s="477"/>
      <c r="AA107" s="477"/>
      <c r="AB107" s="477"/>
      <c r="AC107" s="477"/>
      <c r="AD107" s="477"/>
      <c r="AE107" s="477"/>
      <c r="AF107" s="477"/>
      <c r="AG107" s="477"/>
      <c r="AH107" s="477"/>
      <c r="AI107" s="477"/>
      <c r="AJ107" s="477"/>
      <c r="AK107" s="477"/>
      <c r="AL107" s="477"/>
      <c r="AM107" s="477"/>
      <c r="AN107" s="477"/>
      <c r="AO107" s="477"/>
      <c r="AP107" s="546"/>
    </row>
    <row r="108" spans="2:42" ht="15" customHeight="1" x14ac:dyDescent="0.25">
      <c r="B108" s="266" t="s">
        <v>638</v>
      </c>
      <c r="C108" s="762" t="str">
        <f>'Credit risk (SA)'!B70</f>
        <v>A+ to A-</v>
      </c>
      <c r="D108" s="2317" t="str">
        <f>'Credit risk (SA)'!AC70</f>
        <v/>
      </c>
      <c r="E108" s="477"/>
      <c r="F108" s="477"/>
      <c r="G108" s="477"/>
      <c r="H108" s="477"/>
      <c r="I108" s="477"/>
      <c r="J108" s="477"/>
      <c r="K108" s="477"/>
      <c r="L108" s="477"/>
      <c r="M108" s="477"/>
      <c r="N108" s="477"/>
      <c r="O108" s="477"/>
      <c r="P108" s="477"/>
      <c r="Q108" s="477"/>
      <c r="R108" s="477"/>
      <c r="S108" s="477"/>
      <c r="T108" s="477"/>
      <c r="U108" s="477"/>
      <c r="V108" s="477"/>
      <c r="X108" s="477"/>
      <c r="Y108" s="477"/>
      <c r="Z108" s="477"/>
      <c r="AA108" s="477"/>
      <c r="AB108" s="477"/>
      <c r="AC108" s="477"/>
      <c r="AD108" s="477"/>
      <c r="AE108" s="477"/>
      <c r="AF108" s="477"/>
      <c r="AG108" s="477"/>
      <c r="AH108" s="477"/>
      <c r="AI108" s="477"/>
      <c r="AJ108" s="477"/>
      <c r="AK108" s="477"/>
      <c r="AL108" s="477"/>
      <c r="AM108" s="477"/>
      <c r="AN108" s="477"/>
      <c r="AO108" s="477"/>
      <c r="AP108" s="546"/>
    </row>
    <row r="109" spans="2:42" ht="15" customHeight="1" x14ac:dyDescent="0.25">
      <c r="B109" s="266" t="s">
        <v>638</v>
      </c>
      <c r="C109" s="762" t="str">
        <f>'Credit risk (SA)'!B71</f>
        <v>BBB+ to BBB-</v>
      </c>
      <c r="D109" s="2317" t="str">
        <f>'Credit risk (SA)'!AC71</f>
        <v/>
      </c>
      <c r="E109" s="477"/>
      <c r="F109" s="477"/>
      <c r="G109" s="477"/>
      <c r="H109" s="477"/>
      <c r="I109" s="477"/>
      <c r="J109" s="477"/>
      <c r="K109" s="477"/>
      <c r="L109" s="477"/>
      <c r="M109" s="477"/>
      <c r="N109" s="477"/>
      <c r="O109" s="477"/>
      <c r="P109" s="477"/>
      <c r="Q109" s="477"/>
      <c r="R109" s="477"/>
      <c r="S109" s="477"/>
      <c r="T109" s="477"/>
      <c r="U109" s="477"/>
      <c r="V109" s="477"/>
      <c r="X109" s="477"/>
      <c r="Y109" s="477"/>
      <c r="Z109" s="477"/>
      <c r="AA109" s="477"/>
      <c r="AB109" s="477"/>
      <c r="AC109" s="477"/>
      <c r="AD109" s="477"/>
      <c r="AE109" s="477"/>
      <c r="AF109" s="477"/>
      <c r="AG109" s="477"/>
      <c r="AH109" s="477"/>
      <c r="AI109" s="477"/>
      <c r="AJ109" s="477"/>
      <c r="AK109" s="477"/>
      <c r="AL109" s="477"/>
      <c r="AM109" s="477"/>
      <c r="AN109" s="477"/>
      <c r="AO109" s="477"/>
      <c r="AP109" s="546"/>
    </row>
    <row r="110" spans="2:42" ht="15" customHeight="1" x14ac:dyDescent="0.25">
      <c r="B110" s="266" t="s">
        <v>638</v>
      </c>
      <c r="C110" s="762" t="str">
        <f>'Credit risk (SA)'!B72</f>
        <v>BB+ to BB-</v>
      </c>
      <c r="D110" s="2317" t="str">
        <f>'Credit risk (SA)'!AC72</f>
        <v/>
      </c>
      <c r="E110" s="477"/>
      <c r="F110" s="477"/>
      <c r="G110" s="477"/>
      <c r="H110" s="477"/>
      <c r="I110" s="477"/>
      <c r="J110" s="477"/>
      <c r="K110" s="477"/>
      <c r="L110" s="477"/>
      <c r="M110" s="477"/>
      <c r="N110" s="477"/>
      <c r="O110" s="477"/>
      <c r="P110" s="477"/>
      <c r="Q110" s="477"/>
      <c r="R110" s="477"/>
      <c r="S110" s="477"/>
      <c r="T110" s="477"/>
      <c r="U110" s="477"/>
      <c r="V110" s="477"/>
      <c r="X110" s="477"/>
      <c r="Y110" s="477"/>
      <c r="Z110" s="477"/>
      <c r="AA110" s="477"/>
      <c r="AB110" s="477"/>
      <c r="AC110" s="477"/>
      <c r="AD110" s="477"/>
      <c r="AE110" s="477"/>
      <c r="AF110" s="477"/>
      <c r="AG110" s="477"/>
      <c r="AH110" s="477"/>
      <c r="AI110" s="477"/>
      <c r="AJ110" s="477"/>
      <c r="AK110" s="477"/>
      <c r="AL110" s="477"/>
      <c r="AM110" s="477"/>
      <c r="AN110" s="477"/>
      <c r="AO110" s="477"/>
      <c r="AP110" s="546"/>
    </row>
    <row r="111" spans="2:42" ht="15" customHeight="1" x14ac:dyDescent="0.25">
      <c r="B111" s="266" t="s">
        <v>638</v>
      </c>
      <c r="C111" s="762" t="str">
        <f>'Credit risk (SA)'!B73</f>
        <v>below BB-</v>
      </c>
      <c r="D111" s="2317" t="str">
        <f>'Credit risk (SA)'!AC73</f>
        <v/>
      </c>
      <c r="E111" s="477"/>
      <c r="F111" s="477"/>
      <c r="G111" s="477"/>
      <c r="H111" s="477"/>
      <c r="I111" s="477"/>
      <c r="J111" s="477"/>
      <c r="K111" s="477"/>
      <c r="L111" s="477"/>
      <c r="M111" s="477"/>
      <c r="N111" s="477"/>
      <c r="O111" s="477"/>
      <c r="P111" s="477"/>
      <c r="Q111" s="477"/>
      <c r="R111" s="477"/>
      <c r="S111" s="477"/>
      <c r="T111" s="477"/>
      <c r="U111" s="477"/>
      <c r="V111" s="477"/>
      <c r="X111" s="477"/>
      <c r="Y111" s="477"/>
      <c r="Z111" s="477"/>
      <c r="AA111" s="477"/>
      <c r="AB111" s="477"/>
      <c r="AC111" s="477"/>
      <c r="AD111" s="477"/>
      <c r="AE111" s="477"/>
      <c r="AF111" s="477"/>
      <c r="AG111" s="477"/>
      <c r="AH111" s="477"/>
      <c r="AI111" s="477"/>
      <c r="AJ111" s="477"/>
      <c r="AK111" s="477"/>
      <c r="AL111" s="477"/>
      <c r="AM111" s="477"/>
      <c r="AN111" s="477"/>
      <c r="AO111" s="477"/>
      <c r="AP111" s="546"/>
    </row>
    <row r="112" spans="2:42" ht="15" customHeight="1" x14ac:dyDescent="0.25">
      <c r="B112" s="266" t="s">
        <v>638</v>
      </c>
      <c r="C112" s="243" t="str">
        <f>'Credit risk (SA)'!B74</f>
        <v xml:space="preserve">unrated corporate exposures </v>
      </c>
      <c r="D112" s="2317" t="str">
        <f>'Credit risk (SA)'!AC74</f>
        <v/>
      </c>
      <c r="E112" s="477"/>
      <c r="F112" s="477"/>
      <c r="G112" s="477"/>
      <c r="H112" s="477"/>
      <c r="I112" s="477"/>
      <c r="J112" s="477"/>
      <c r="K112" s="477"/>
      <c r="L112" s="477"/>
      <c r="M112" s="477"/>
      <c r="N112" s="477"/>
      <c r="O112" s="477"/>
      <c r="P112" s="477"/>
      <c r="Q112" s="477"/>
      <c r="R112" s="477"/>
      <c r="S112" s="477"/>
      <c r="T112" s="477"/>
      <c r="U112" s="477"/>
      <c r="V112" s="477"/>
      <c r="X112" s="477"/>
      <c r="Y112" s="477"/>
      <c r="Z112" s="477"/>
      <c r="AA112" s="477"/>
      <c r="AB112" s="477"/>
      <c r="AC112" s="477"/>
      <c r="AD112" s="477"/>
      <c r="AE112" s="477"/>
      <c r="AF112" s="477"/>
      <c r="AG112" s="477"/>
      <c r="AH112" s="477"/>
      <c r="AI112" s="477"/>
      <c r="AJ112" s="477"/>
      <c r="AK112" s="477"/>
      <c r="AL112" s="477"/>
      <c r="AM112" s="477"/>
      <c r="AN112" s="477"/>
      <c r="AO112" s="477"/>
      <c r="AP112" s="546"/>
    </row>
    <row r="113" spans="2:42" ht="15" customHeight="1" x14ac:dyDescent="0.25">
      <c r="B113" s="263"/>
      <c r="C113" s="240" t="str">
        <f>'Credit risk (SA)'!B75</f>
        <v>Corporates (excluding SMEs) - rating not allowed; of which:</v>
      </c>
      <c r="D113" s="777"/>
      <c r="E113" s="477"/>
      <c r="F113" s="477"/>
      <c r="G113" s="477"/>
      <c r="H113" s="477"/>
      <c r="I113" s="477"/>
      <c r="J113" s="477"/>
      <c r="K113" s="477"/>
      <c r="L113" s="477"/>
      <c r="M113" s="477"/>
      <c r="N113" s="477"/>
      <c r="O113" s="477"/>
      <c r="P113" s="477"/>
      <c r="Q113" s="477"/>
      <c r="R113" s="477"/>
      <c r="S113" s="477"/>
      <c r="T113" s="477"/>
      <c r="U113" s="477"/>
      <c r="V113" s="477"/>
      <c r="X113" s="477"/>
      <c r="Y113" s="477"/>
      <c r="Z113" s="477"/>
      <c r="AA113" s="477"/>
      <c r="AB113" s="477"/>
      <c r="AC113" s="477"/>
      <c r="AD113" s="477"/>
      <c r="AE113" s="477"/>
      <c r="AF113" s="477"/>
      <c r="AG113" s="477"/>
      <c r="AH113" s="477"/>
      <c r="AI113" s="477"/>
      <c r="AJ113" s="477"/>
      <c r="AK113" s="477"/>
      <c r="AL113" s="477"/>
      <c r="AM113" s="477"/>
      <c r="AN113" s="477"/>
      <c r="AO113" s="477"/>
      <c r="AP113" s="546"/>
    </row>
    <row r="114" spans="2:42" ht="15" customHeight="1" x14ac:dyDescent="0.25">
      <c r="B114" s="266" t="s">
        <v>638</v>
      </c>
      <c r="C114" s="617" t="str">
        <f>'Credit risk (SA)'!B76</f>
        <v>investment grade</v>
      </c>
      <c r="D114" s="2317" t="str">
        <f>'Credit risk (SA)'!AC76</f>
        <v/>
      </c>
      <c r="E114" s="477"/>
      <c r="F114" s="477"/>
      <c r="G114" s="477"/>
      <c r="H114" s="477"/>
      <c r="I114" s="477"/>
      <c r="J114" s="477"/>
      <c r="K114" s="477"/>
      <c r="L114" s="477"/>
      <c r="M114" s="477"/>
      <c r="N114" s="477"/>
      <c r="O114" s="477"/>
      <c r="P114" s="477"/>
      <c r="Q114" s="477"/>
      <c r="R114" s="477"/>
      <c r="S114" s="477"/>
      <c r="T114" s="477"/>
      <c r="U114" s="477"/>
      <c r="V114" s="477"/>
      <c r="X114" s="477"/>
      <c r="Y114" s="477"/>
      <c r="Z114" s="477"/>
      <c r="AA114" s="477"/>
      <c r="AB114" s="477"/>
      <c r="AC114" s="477"/>
      <c r="AD114" s="477"/>
      <c r="AE114" s="477"/>
      <c r="AF114" s="477"/>
      <c r="AG114" s="477"/>
      <c r="AH114" s="477"/>
      <c r="AI114" s="477"/>
      <c r="AJ114" s="477"/>
      <c r="AK114" s="477"/>
      <c r="AL114" s="477"/>
      <c r="AM114" s="477"/>
      <c r="AN114" s="477"/>
      <c r="AO114" s="477"/>
      <c r="AP114" s="546"/>
    </row>
    <row r="115" spans="2:42" ht="15" customHeight="1" x14ac:dyDescent="0.25">
      <c r="B115" s="266" t="s">
        <v>638</v>
      </c>
      <c r="C115" s="617" t="str">
        <f>'Credit risk (SA)'!B77</f>
        <v>not investment grade</v>
      </c>
      <c r="D115" s="2317" t="str">
        <f>'Credit risk (SA)'!AC77</f>
        <v/>
      </c>
      <c r="E115" s="477"/>
      <c r="F115" s="477"/>
      <c r="G115" s="477"/>
      <c r="H115" s="477"/>
      <c r="I115" s="477"/>
      <c r="J115" s="477"/>
      <c r="K115" s="477"/>
      <c r="L115" s="477"/>
      <c r="M115" s="477"/>
      <c r="N115" s="477"/>
      <c r="O115" s="477"/>
      <c r="P115" s="477"/>
      <c r="Q115" s="477"/>
      <c r="R115" s="477"/>
      <c r="S115" s="477"/>
      <c r="T115" s="477"/>
      <c r="U115" s="477"/>
      <c r="V115" s="477"/>
      <c r="X115" s="477"/>
      <c r="Y115" s="477"/>
      <c r="Z115" s="477"/>
      <c r="AA115" s="477"/>
      <c r="AB115" s="477"/>
      <c r="AC115" s="477"/>
      <c r="AD115" s="477"/>
      <c r="AE115" s="477"/>
      <c r="AF115" s="477"/>
      <c r="AG115" s="477"/>
      <c r="AH115" s="477"/>
      <c r="AI115" s="477"/>
      <c r="AJ115" s="477"/>
      <c r="AK115" s="477"/>
      <c r="AL115" s="477"/>
      <c r="AM115" s="477"/>
      <c r="AN115" s="477"/>
      <c r="AO115" s="477"/>
      <c r="AP115" s="546"/>
    </row>
    <row r="116" spans="2:42" ht="15" customHeight="1" x14ac:dyDescent="0.25">
      <c r="B116" s="266" t="s">
        <v>638</v>
      </c>
      <c r="C116" s="222" t="str">
        <f>'Credit risk (SA)'!B78</f>
        <v>Corporate SME exposures</v>
      </c>
      <c r="D116" s="2317" t="str">
        <f>'Credit risk (SA)'!AC78</f>
        <v/>
      </c>
      <c r="E116" s="477"/>
      <c r="F116" s="477"/>
      <c r="G116" s="477"/>
      <c r="H116" s="477"/>
      <c r="I116" s="477"/>
      <c r="J116" s="477"/>
      <c r="K116" s="477"/>
      <c r="L116" s="477"/>
      <c r="M116" s="477"/>
      <c r="N116" s="477"/>
      <c r="O116" s="477"/>
      <c r="P116" s="477"/>
      <c r="Q116" s="477"/>
      <c r="R116" s="477"/>
      <c r="S116" s="477"/>
      <c r="T116" s="477"/>
      <c r="U116" s="477"/>
      <c r="V116" s="477"/>
      <c r="X116" s="477"/>
      <c r="Y116" s="477"/>
      <c r="Z116" s="477"/>
      <c r="AA116" s="477"/>
      <c r="AB116" s="477"/>
      <c r="AC116" s="477"/>
      <c r="AD116" s="477"/>
      <c r="AE116" s="477"/>
      <c r="AF116" s="477"/>
      <c r="AG116" s="477"/>
      <c r="AH116" s="477"/>
      <c r="AI116" s="477"/>
      <c r="AJ116" s="477"/>
      <c r="AK116" s="477"/>
      <c r="AL116" s="477"/>
      <c r="AM116" s="477"/>
      <c r="AN116" s="477"/>
      <c r="AO116" s="477"/>
      <c r="AP116" s="546"/>
    </row>
    <row r="117" spans="2:42" ht="15" customHeight="1" x14ac:dyDescent="0.25">
      <c r="B117" s="263"/>
      <c r="C117" s="222" t="str">
        <f>'Credit risk (SA)'!B79</f>
        <v>Specialised lending; of which:</v>
      </c>
      <c r="D117" s="777"/>
      <c r="E117" s="477"/>
      <c r="F117" s="477"/>
      <c r="G117" s="477"/>
      <c r="H117" s="477"/>
      <c r="I117" s="477"/>
      <c r="J117" s="477"/>
      <c r="K117" s="477"/>
      <c r="L117" s="477"/>
      <c r="M117" s="477"/>
      <c r="N117" s="477"/>
      <c r="O117" s="477"/>
      <c r="P117" s="477"/>
      <c r="Q117" s="477"/>
      <c r="R117" s="477"/>
      <c r="S117" s="477"/>
      <c r="T117" s="477"/>
      <c r="U117" s="477"/>
      <c r="V117" s="477"/>
      <c r="X117" s="477"/>
      <c r="Y117" s="477"/>
      <c r="Z117" s="477"/>
      <c r="AA117" s="477"/>
      <c r="AB117" s="477"/>
      <c r="AC117" s="477"/>
      <c r="AD117" s="477"/>
      <c r="AE117" s="477"/>
      <c r="AF117" s="477"/>
      <c r="AG117" s="477"/>
      <c r="AH117" s="477"/>
      <c r="AI117" s="477"/>
      <c r="AJ117" s="477"/>
      <c r="AK117" s="477"/>
      <c r="AL117" s="477"/>
      <c r="AM117" s="477"/>
      <c r="AN117" s="477"/>
      <c r="AO117" s="477"/>
      <c r="AP117" s="546"/>
    </row>
    <row r="118" spans="2:42" ht="15" customHeight="1" x14ac:dyDescent="0.25">
      <c r="B118" s="263"/>
      <c r="C118" s="240" t="str">
        <f>'Credit risk (SA)'!B80</f>
        <v>rated (only for jurisdictions where rating is allowed)</v>
      </c>
      <c r="D118" s="777"/>
      <c r="E118" s="477"/>
      <c r="F118" s="477"/>
      <c r="G118" s="477"/>
      <c r="H118" s="477"/>
      <c r="I118" s="477"/>
      <c r="J118" s="477"/>
      <c r="K118" s="477"/>
      <c r="L118" s="477"/>
      <c r="M118" s="477"/>
      <c r="N118" s="477"/>
      <c r="O118" s="477"/>
      <c r="P118" s="477"/>
      <c r="Q118" s="477"/>
      <c r="R118" s="477"/>
      <c r="S118" s="477"/>
      <c r="T118" s="477"/>
      <c r="U118" s="477"/>
      <c r="V118" s="477"/>
      <c r="X118" s="477"/>
      <c r="Y118" s="477"/>
      <c r="Z118" s="477"/>
      <c r="AA118" s="477"/>
      <c r="AB118" s="477"/>
      <c r="AC118" s="477"/>
      <c r="AD118" s="477"/>
      <c r="AE118" s="477"/>
      <c r="AF118" s="477"/>
      <c r="AG118" s="477"/>
      <c r="AH118" s="477"/>
      <c r="AI118" s="477"/>
      <c r="AJ118" s="477"/>
      <c r="AK118" s="477"/>
      <c r="AL118" s="477"/>
      <c r="AM118" s="477"/>
      <c r="AN118" s="477"/>
      <c r="AO118" s="477"/>
      <c r="AP118" s="546"/>
    </row>
    <row r="119" spans="2:42" ht="15" customHeight="1" x14ac:dyDescent="0.25">
      <c r="B119" s="263"/>
      <c r="C119" s="240" t="str">
        <f>'Credit risk (SA)'!B81</f>
        <v>project finance; of which:</v>
      </c>
      <c r="D119" s="777"/>
      <c r="E119" s="477"/>
      <c r="F119" s="477"/>
      <c r="G119" s="477"/>
      <c r="H119" s="477"/>
      <c r="I119" s="477"/>
      <c r="J119" s="477"/>
      <c r="K119" s="477"/>
      <c r="L119" s="477"/>
      <c r="M119" s="477"/>
      <c r="N119" s="477"/>
      <c r="O119" s="477"/>
      <c r="P119" s="477"/>
      <c r="Q119" s="477"/>
      <c r="R119" s="477"/>
      <c r="S119" s="477"/>
      <c r="T119" s="477"/>
      <c r="U119" s="477"/>
      <c r="V119" s="477"/>
      <c r="X119" s="477"/>
      <c r="Y119" s="477"/>
      <c r="Z119" s="477"/>
      <c r="AA119" s="477"/>
      <c r="AB119" s="477"/>
      <c r="AC119" s="477"/>
      <c r="AD119" s="477"/>
      <c r="AE119" s="477"/>
      <c r="AF119" s="477"/>
      <c r="AG119" s="477"/>
      <c r="AH119" s="477"/>
      <c r="AI119" s="477"/>
      <c r="AJ119" s="477"/>
      <c r="AK119" s="477"/>
      <c r="AL119" s="477"/>
      <c r="AM119" s="477"/>
      <c r="AN119" s="477"/>
      <c r="AO119" s="477"/>
      <c r="AP119" s="546"/>
    </row>
    <row r="120" spans="2:42" ht="15" customHeight="1" x14ac:dyDescent="0.25">
      <c r="B120" s="266" t="s">
        <v>638</v>
      </c>
      <c r="C120" s="617" t="str">
        <f>'Credit risk (SA)'!B82</f>
        <v>pre-operational phase</v>
      </c>
      <c r="D120" s="2317" t="str">
        <f>'Credit risk (SA)'!AC82</f>
        <v/>
      </c>
      <c r="E120" s="477"/>
      <c r="F120" s="477"/>
      <c r="G120" s="477"/>
      <c r="H120" s="477"/>
      <c r="I120" s="477"/>
      <c r="J120" s="477"/>
      <c r="K120" s="477"/>
      <c r="L120" s="477"/>
      <c r="M120" s="477"/>
      <c r="N120" s="477"/>
      <c r="O120" s="477"/>
      <c r="P120" s="477"/>
      <c r="Q120" s="477"/>
      <c r="R120" s="477"/>
      <c r="S120" s="477"/>
      <c r="T120" s="477"/>
      <c r="U120" s="477"/>
      <c r="V120" s="477"/>
      <c r="X120" s="477"/>
      <c r="Y120" s="477"/>
      <c r="Z120" s="477"/>
      <c r="AA120" s="477"/>
      <c r="AB120" s="477"/>
      <c r="AC120" s="477"/>
      <c r="AD120" s="477"/>
      <c r="AE120" s="477"/>
      <c r="AF120" s="477"/>
      <c r="AG120" s="477"/>
      <c r="AH120" s="477"/>
      <c r="AI120" s="477"/>
      <c r="AJ120" s="477"/>
      <c r="AK120" s="477"/>
      <c r="AL120" s="477"/>
      <c r="AM120" s="477"/>
      <c r="AN120" s="477"/>
      <c r="AO120" s="477"/>
      <c r="AP120" s="546"/>
    </row>
    <row r="121" spans="2:42" ht="15" customHeight="1" x14ac:dyDescent="0.25">
      <c r="B121" s="266" t="s">
        <v>638</v>
      </c>
      <c r="C121" s="617" t="str">
        <f>'Credit risk (SA)'!B83</f>
        <v>operational phase</v>
      </c>
      <c r="D121" s="2317" t="str">
        <f>'Credit risk (SA)'!AC83</f>
        <v/>
      </c>
      <c r="E121" s="477"/>
      <c r="F121" s="477"/>
      <c r="G121" s="477"/>
      <c r="H121" s="477"/>
      <c r="I121" s="477"/>
      <c r="J121" s="477"/>
      <c r="K121" s="477"/>
      <c r="L121" s="477"/>
      <c r="M121" s="477"/>
      <c r="N121" s="477"/>
      <c r="O121" s="477"/>
      <c r="P121" s="477"/>
      <c r="Q121" s="477"/>
      <c r="R121" s="477"/>
      <c r="S121" s="477"/>
      <c r="T121" s="477"/>
      <c r="U121" s="477"/>
      <c r="V121" s="477"/>
      <c r="X121" s="477"/>
      <c r="Y121" s="477"/>
      <c r="Z121" s="477"/>
      <c r="AA121" s="477"/>
      <c r="AB121" s="477"/>
      <c r="AC121" s="477"/>
      <c r="AD121" s="477"/>
      <c r="AE121" s="477"/>
      <c r="AF121" s="477"/>
      <c r="AG121" s="477"/>
      <c r="AH121" s="477"/>
      <c r="AI121" s="477"/>
      <c r="AJ121" s="477"/>
      <c r="AK121" s="477"/>
      <c r="AL121" s="477"/>
      <c r="AM121" s="477"/>
      <c r="AN121" s="477"/>
      <c r="AO121" s="477"/>
      <c r="AP121" s="546"/>
    </row>
    <row r="122" spans="2:42" ht="15" customHeight="1" x14ac:dyDescent="0.25">
      <c r="B122" s="266" t="s">
        <v>638</v>
      </c>
      <c r="C122" s="617" t="str">
        <f>'Credit risk (SA)'!B84</f>
        <v>operational phase (high quality)</v>
      </c>
      <c r="D122" s="2317" t="str">
        <f>'Credit risk (SA)'!AC84</f>
        <v/>
      </c>
      <c r="E122" s="477"/>
      <c r="F122" s="477"/>
      <c r="G122" s="477"/>
      <c r="H122" s="477"/>
      <c r="I122" s="477"/>
      <c r="J122" s="477"/>
      <c r="K122" s="477"/>
      <c r="L122" s="477"/>
      <c r="M122" s="477"/>
      <c r="N122" s="477"/>
      <c r="O122" s="477"/>
      <c r="P122" s="477"/>
      <c r="Q122" s="477"/>
      <c r="R122" s="477"/>
      <c r="S122" s="477"/>
      <c r="T122" s="477"/>
      <c r="U122" s="477"/>
      <c r="V122" s="477"/>
      <c r="X122" s="477"/>
      <c r="Y122" s="477"/>
      <c r="Z122" s="477"/>
      <c r="AA122" s="477"/>
      <c r="AB122" s="477"/>
      <c r="AC122" s="477"/>
      <c r="AD122" s="477"/>
      <c r="AE122" s="477"/>
      <c r="AF122" s="477"/>
      <c r="AG122" s="477"/>
      <c r="AH122" s="477"/>
      <c r="AI122" s="477"/>
      <c r="AJ122" s="477"/>
      <c r="AK122" s="477"/>
      <c r="AL122" s="477"/>
      <c r="AM122" s="477"/>
      <c r="AN122" s="477"/>
      <c r="AO122" s="477"/>
      <c r="AP122" s="546"/>
    </row>
    <row r="123" spans="2:42" ht="15" customHeight="1" x14ac:dyDescent="0.25">
      <c r="B123" s="266" t="s">
        <v>638</v>
      </c>
      <c r="C123" s="240" t="str">
        <f>'Credit risk (SA)'!B85</f>
        <v>object finance</v>
      </c>
      <c r="D123" s="2317" t="str">
        <f>'Credit risk (SA)'!AC85</f>
        <v/>
      </c>
      <c r="E123" s="477"/>
      <c r="F123" s="477"/>
      <c r="G123" s="477"/>
      <c r="H123" s="477"/>
      <c r="I123" s="477"/>
      <c r="J123" s="477"/>
      <c r="K123" s="477"/>
      <c r="L123" s="477"/>
      <c r="M123" s="477"/>
      <c r="N123" s="477"/>
      <c r="O123" s="477"/>
      <c r="P123" s="477"/>
      <c r="Q123" s="477"/>
      <c r="R123" s="477"/>
      <c r="S123" s="477"/>
      <c r="T123" s="477"/>
      <c r="U123" s="477"/>
      <c r="V123" s="477"/>
      <c r="X123" s="477"/>
      <c r="Y123" s="477"/>
      <c r="Z123" s="477"/>
      <c r="AA123" s="477"/>
      <c r="AB123" s="477"/>
      <c r="AC123" s="477"/>
      <c r="AD123" s="477"/>
      <c r="AE123" s="477"/>
      <c r="AF123" s="477"/>
      <c r="AG123" s="477"/>
      <c r="AH123" s="477"/>
      <c r="AI123" s="477"/>
      <c r="AJ123" s="477"/>
      <c r="AK123" s="477"/>
      <c r="AL123" s="477"/>
      <c r="AM123" s="477"/>
      <c r="AN123" s="477"/>
      <c r="AO123" s="477"/>
      <c r="AP123" s="546"/>
    </row>
    <row r="124" spans="2:42" ht="15" customHeight="1" x14ac:dyDescent="0.25">
      <c r="B124" s="266" t="s">
        <v>638</v>
      </c>
      <c r="C124" s="240" t="str">
        <f>'Credit risk (SA)'!B86</f>
        <v>commodity finance</v>
      </c>
      <c r="D124" s="2317" t="str">
        <f>'Credit risk (SA)'!AC86</f>
        <v/>
      </c>
      <c r="E124" s="477"/>
      <c r="F124" s="477"/>
      <c r="G124" s="477"/>
      <c r="H124" s="477"/>
      <c r="I124" s="477"/>
      <c r="J124" s="477"/>
      <c r="K124" s="477"/>
      <c r="L124" s="477"/>
      <c r="M124" s="477"/>
      <c r="N124" s="477"/>
      <c r="O124" s="477"/>
      <c r="P124" s="477"/>
      <c r="Q124" s="477"/>
      <c r="R124" s="477"/>
      <c r="S124" s="477"/>
      <c r="T124" s="477"/>
      <c r="U124" s="477"/>
      <c r="V124" s="477"/>
      <c r="X124" s="477"/>
      <c r="Y124" s="477"/>
      <c r="Z124" s="477"/>
      <c r="AA124" s="477"/>
      <c r="AB124" s="477"/>
      <c r="AC124" s="477"/>
      <c r="AD124" s="477"/>
      <c r="AE124" s="477"/>
      <c r="AF124" s="477"/>
      <c r="AG124" s="477"/>
      <c r="AH124" s="477"/>
      <c r="AI124" s="477"/>
      <c r="AJ124" s="477"/>
      <c r="AK124" s="477"/>
      <c r="AL124" s="477"/>
      <c r="AM124" s="477"/>
      <c r="AN124" s="477"/>
      <c r="AO124" s="477"/>
      <c r="AP124" s="546"/>
    </row>
    <row r="125" spans="2:42" ht="15" customHeight="1" x14ac:dyDescent="0.25">
      <c r="B125" s="263"/>
      <c r="C125" s="765" t="str">
        <f>'Credit risk (SA)'!B87</f>
        <v>Equity exposures; of which:</v>
      </c>
      <c r="D125" s="777"/>
      <c r="E125" s="477"/>
      <c r="F125" s="477"/>
      <c r="G125" s="477"/>
      <c r="H125" s="477"/>
      <c r="I125" s="477"/>
      <c r="J125" s="477"/>
      <c r="K125" s="477"/>
      <c r="L125" s="477"/>
      <c r="M125" s="477"/>
      <c r="N125" s="477"/>
      <c r="O125" s="477"/>
      <c r="P125" s="477"/>
      <c r="Q125" s="477"/>
      <c r="R125" s="477"/>
      <c r="S125" s="477"/>
      <c r="T125" s="477"/>
      <c r="U125" s="477"/>
      <c r="V125" s="477"/>
      <c r="X125" s="477"/>
      <c r="Y125" s="477"/>
      <c r="Z125" s="477"/>
      <c r="AA125" s="477"/>
      <c r="AB125" s="477"/>
      <c r="AC125" s="477"/>
      <c r="AD125" s="477"/>
      <c r="AE125" s="477"/>
      <c r="AF125" s="477"/>
      <c r="AG125" s="477"/>
      <c r="AH125" s="477"/>
      <c r="AI125" s="477"/>
      <c r="AJ125" s="477"/>
      <c r="AK125" s="477"/>
      <c r="AL125" s="477"/>
      <c r="AM125" s="477"/>
      <c r="AN125" s="477"/>
      <c r="AO125" s="477"/>
      <c r="AP125" s="546"/>
    </row>
    <row r="126" spans="2:42" ht="15" customHeight="1" x14ac:dyDescent="0.25">
      <c r="B126" s="266" t="s">
        <v>638</v>
      </c>
      <c r="C126" s="763" t="str">
        <f>'Credit risk (SA)'!B88</f>
        <v>speculative unlisted</v>
      </c>
      <c r="D126" s="2317" t="str">
        <f>'Credit risk (SA)'!AC88</f>
        <v/>
      </c>
      <c r="E126" s="477"/>
      <c r="F126" s="477"/>
      <c r="G126" s="477"/>
      <c r="H126" s="477"/>
      <c r="I126" s="477"/>
      <c r="J126" s="477"/>
      <c r="K126" s="477"/>
      <c r="L126" s="477"/>
      <c r="M126" s="477"/>
      <c r="N126" s="477"/>
      <c r="O126" s="477"/>
      <c r="P126" s="477"/>
      <c r="Q126" s="477"/>
      <c r="R126" s="477"/>
      <c r="S126" s="477"/>
      <c r="T126" s="477"/>
      <c r="U126" s="477"/>
      <c r="V126" s="477"/>
      <c r="X126" s="477"/>
      <c r="Y126" s="477"/>
      <c r="Z126" s="477"/>
      <c r="AA126" s="477"/>
      <c r="AB126" s="477"/>
      <c r="AC126" s="477"/>
      <c r="AD126" s="477"/>
      <c r="AE126" s="477"/>
      <c r="AF126" s="477"/>
      <c r="AG126" s="477"/>
      <c r="AH126" s="477"/>
      <c r="AI126" s="477"/>
      <c r="AJ126" s="477"/>
      <c r="AK126" s="477"/>
      <c r="AL126" s="477"/>
      <c r="AM126" s="477"/>
      <c r="AN126" s="477"/>
      <c r="AO126" s="477"/>
      <c r="AP126" s="546"/>
    </row>
    <row r="127" spans="2:42" ht="15" customHeight="1" x14ac:dyDescent="0.25">
      <c r="B127" s="266" t="s">
        <v>638</v>
      </c>
      <c r="C127" s="763" t="str">
        <f>'Credit risk (SA)'!B89</f>
        <v>exposures to certain legislative programs</v>
      </c>
      <c r="D127" s="2317" t="str">
        <f>'Credit risk (SA)'!AC89</f>
        <v/>
      </c>
      <c r="E127" s="477"/>
      <c r="F127" s="477"/>
      <c r="G127" s="477"/>
      <c r="H127" s="477"/>
      <c r="I127" s="477"/>
      <c r="J127" s="477"/>
      <c r="K127" s="477"/>
      <c r="L127" s="477"/>
      <c r="M127" s="477"/>
      <c r="N127" s="477"/>
      <c r="O127" s="477"/>
      <c r="P127" s="477"/>
      <c r="Q127" s="477"/>
      <c r="R127" s="477"/>
      <c r="S127" s="477"/>
      <c r="T127" s="477"/>
      <c r="U127" s="477"/>
      <c r="V127" s="477"/>
      <c r="X127" s="477"/>
      <c r="Y127" s="477"/>
      <c r="Z127" s="477"/>
      <c r="AA127" s="477"/>
      <c r="AB127" s="477"/>
      <c r="AC127" s="477"/>
      <c r="AD127" s="477"/>
      <c r="AE127" s="477"/>
      <c r="AF127" s="477"/>
      <c r="AG127" s="477"/>
      <c r="AH127" s="477"/>
      <c r="AI127" s="477"/>
      <c r="AJ127" s="477"/>
      <c r="AK127" s="477"/>
      <c r="AL127" s="477"/>
      <c r="AM127" s="477"/>
      <c r="AN127" s="477"/>
      <c r="AO127" s="477"/>
      <c r="AP127" s="546"/>
    </row>
    <row r="128" spans="2:42" ht="15" customHeight="1" x14ac:dyDescent="0.25">
      <c r="B128" s="266" t="s">
        <v>638</v>
      </c>
      <c r="C128" s="763" t="str">
        <f>'Credit risk (SA)'!B90</f>
        <v>others</v>
      </c>
      <c r="D128" s="2317" t="str">
        <f>'Credit risk (SA)'!AC90</f>
        <v/>
      </c>
      <c r="E128" s="477"/>
      <c r="F128" s="477"/>
      <c r="G128" s="477"/>
      <c r="H128" s="477"/>
      <c r="I128" s="477"/>
      <c r="J128" s="477"/>
      <c r="K128" s="477"/>
      <c r="L128" s="477"/>
      <c r="M128" s="477"/>
      <c r="N128" s="477"/>
      <c r="O128" s="477"/>
      <c r="P128" s="477"/>
      <c r="Q128" s="477"/>
      <c r="R128" s="477"/>
      <c r="S128" s="477"/>
      <c r="T128" s="477"/>
      <c r="U128" s="477"/>
      <c r="V128" s="477"/>
      <c r="X128" s="477"/>
      <c r="Y128" s="477"/>
      <c r="Z128" s="477"/>
      <c r="AA128" s="477"/>
      <c r="AB128" s="477"/>
      <c r="AC128" s="477"/>
      <c r="AD128" s="477"/>
      <c r="AE128" s="477"/>
      <c r="AF128" s="477"/>
      <c r="AG128" s="477"/>
      <c r="AH128" s="477"/>
      <c r="AI128" s="477"/>
      <c r="AJ128" s="477"/>
      <c r="AK128" s="477"/>
      <c r="AL128" s="477"/>
      <c r="AM128" s="477"/>
      <c r="AN128" s="477"/>
      <c r="AO128" s="477"/>
      <c r="AP128" s="546"/>
    </row>
    <row r="129" spans="2:42" ht="15" customHeight="1" x14ac:dyDescent="0.25">
      <c r="B129" s="263"/>
      <c r="C129" s="222" t="str">
        <f>'Credit risk (SA)'!B95</f>
        <v>Retail exposures; of which:</v>
      </c>
      <c r="D129" s="777"/>
      <c r="E129" s="477"/>
      <c r="F129" s="477"/>
      <c r="G129" s="477"/>
      <c r="H129" s="477"/>
      <c r="I129" s="477"/>
      <c r="J129" s="477"/>
      <c r="K129" s="477"/>
      <c r="L129" s="477"/>
      <c r="M129" s="477"/>
      <c r="N129" s="477"/>
      <c r="O129" s="477"/>
      <c r="P129" s="477"/>
      <c r="Q129" s="477"/>
      <c r="R129" s="477"/>
      <c r="S129" s="477"/>
      <c r="T129" s="477"/>
      <c r="U129" s="477"/>
      <c r="V129" s="477"/>
      <c r="X129" s="477"/>
      <c r="Y129" s="477"/>
      <c r="Z129" s="477"/>
      <c r="AA129" s="477"/>
      <c r="AB129" s="477"/>
      <c r="AC129" s="477"/>
      <c r="AD129" s="477"/>
      <c r="AE129" s="477"/>
      <c r="AF129" s="477"/>
      <c r="AG129" s="477"/>
      <c r="AH129" s="477"/>
      <c r="AI129" s="477"/>
      <c r="AJ129" s="477"/>
      <c r="AK129" s="477"/>
      <c r="AL129" s="477"/>
      <c r="AM129" s="477"/>
      <c r="AN129" s="477"/>
      <c r="AO129" s="477"/>
      <c r="AP129" s="546"/>
    </row>
    <row r="130" spans="2:42" ht="15" customHeight="1" x14ac:dyDescent="0.25">
      <c r="B130" s="266" t="s">
        <v>638</v>
      </c>
      <c r="C130" s="240" t="str">
        <f>'Credit risk (SA)'!B96</f>
        <v>regulatory retail: transactors</v>
      </c>
      <c r="D130" s="2317" t="str">
        <f>'Credit risk (SA)'!AC96</f>
        <v/>
      </c>
      <c r="E130" s="477"/>
      <c r="F130" s="477"/>
      <c r="G130" s="477"/>
      <c r="H130" s="477"/>
      <c r="I130" s="477"/>
      <c r="J130" s="477"/>
      <c r="K130" s="477"/>
      <c r="L130" s="477"/>
      <c r="M130" s="477"/>
      <c r="N130" s="477"/>
      <c r="O130" s="477"/>
      <c r="P130" s="477"/>
      <c r="Q130" s="477"/>
      <c r="R130" s="477"/>
      <c r="S130" s="477"/>
      <c r="T130" s="477"/>
      <c r="U130" s="477"/>
      <c r="V130" s="477"/>
      <c r="X130" s="477"/>
      <c r="Y130" s="477"/>
      <c r="Z130" s="477"/>
      <c r="AA130" s="477"/>
      <c r="AB130" s="477"/>
      <c r="AC130" s="477"/>
      <c r="AD130" s="477"/>
      <c r="AE130" s="477"/>
      <c r="AF130" s="477"/>
      <c r="AG130" s="477"/>
      <c r="AH130" s="477"/>
      <c r="AI130" s="477"/>
      <c r="AJ130" s="477"/>
      <c r="AK130" s="477"/>
      <c r="AL130" s="477"/>
      <c r="AM130" s="477"/>
      <c r="AN130" s="477"/>
      <c r="AO130" s="477"/>
      <c r="AP130" s="546"/>
    </row>
    <row r="131" spans="2:42" ht="15" customHeight="1" x14ac:dyDescent="0.25">
      <c r="B131" s="266" t="s">
        <v>638</v>
      </c>
      <c r="C131" s="485" t="str">
        <f>'Credit risk (SA)'!B97</f>
        <v>regulatory retail: non-transactors</v>
      </c>
      <c r="D131" s="2317" t="str">
        <f>'Credit risk (SA)'!AC97</f>
        <v/>
      </c>
      <c r="E131" s="477"/>
      <c r="F131" s="477"/>
      <c r="G131" s="477"/>
      <c r="H131" s="477"/>
      <c r="I131" s="477"/>
      <c r="J131" s="477"/>
      <c r="K131" s="477"/>
      <c r="L131" s="477"/>
      <c r="M131" s="477"/>
      <c r="N131" s="477"/>
      <c r="O131" s="477"/>
      <c r="P131" s="477"/>
      <c r="Q131" s="477"/>
      <c r="R131" s="477"/>
      <c r="S131" s="477"/>
      <c r="T131" s="477"/>
      <c r="U131" s="477"/>
      <c r="V131" s="477"/>
      <c r="X131" s="477"/>
      <c r="Y131" s="477"/>
      <c r="Z131" s="477"/>
      <c r="AA131" s="477"/>
      <c r="AB131" s="477"/>
      <c r="AC131" s="477"/>
      <c r="AD131" s="477"/>
      <c r="AE131" s="477"/>
      <c r="AF131" s="477"/>
      <c r="AG131" s="477"/>
      <c r="AH131" s="477"/>
      <c r="AI131" s="477"/>
      <c r="AJ131" s="477"/>
      <c r="AK131" s="477"/>
      <c r="AL131" s="477"/>
      <c r="AM131" s="477"/>
      <c r="AN131" s="477"/>
      <c r="AO131" s="477"/>
      <c r="AP131" s="546"/>
    </row>
    <row r="132" spans="2:42" ht="15" customHeight="1" x14ac:dyDescent="0.25">
      <c r="B132" s="266" t="s">
        <v>638</v>
      </c>
      <c r="C132" s="485" t="str">
        <f>'Credit risk (SA)'!B98</f>
        <v>other retail</v>
      </c>
      <c r="D132" s="2317" t="str">
        <f>'Credit risk (SA)'!AC98</f>
        <v/>
      </c>
      <c r="E132" s="477"/>
      <c r="F132" s="477"/>
      <c r="G132" s="477"/>
      <c r="H132" s="477"/>
      <c r="I132" s="477"/>
      <c r="J132" s="477"/>
      <c r="K132" s="477"/>
      <c r="L132" s="477"/>
      <c r="M132" s="477"/>
      <c r="N132" s="477"/>
      <c r="O132" s="477"/>
      <c r="P132" s="477"/>
      <c r="Q132" s="477"/>
      <c r="R132" s="477"/>
      <c r="S132" s="477"/>
      <c r="T132" s="477"/>
      <c r="U132" s="477"/>
      <c r="V132" s="477"/>
      <c r="X132" s="477"/>
      <c r="Y132" s="477"/>
      <c r="Z132" s="477"/>
      <c r="AA132" s="477"/>
      <c r="AB132" s="477"/>
      <c r="AC132" s="477"/>
      <c r="AD132" s="477"/>
      <c r="AE132" s="477"/>
      <c r="AF132" s="477"/>
      <c r="AG132" s="477"/>
      <c r="AH132" s="477"/>
      <c r="AI132" s="477"/>
      <c r="AJ132" s="477"/>
      <c r="AK132" s="477"/>
      <c r="AL132" s="477"/>
      <c r="AM132" s="477"/>
      <c r="AN132" s="477"/>
      <c r="AO132" s="477"/>
      <c r="AP132" s="546"/>
    </row>
    <row r="133" spans="2:42" ht="15" customHeight="1" x14ac:dyDescent="0.25">
      <c r="B133" s="263"/>
      <c r="C133" s="766" t="str">
        <f>'Credit risk (SA)'!B99</f>
        <v>Exposures secured by real estate; of which:</v>
      </c>
      <c r="D133" s="777"/>
      <c r="E133" s="477"/>
      <c r="F133" s="477"/>
      <c r="G133" s="477"/>
      <c r="H133" s="477"/>
      <c r="I133" s="477"/>
      <c r="J133" s="477"/>
      <c r="K133" s="477"/>
      <c r="L133" s="477"/>
      <c r="M133" s="477"/>
      <c r="N133" s="477"/>
      <c r="O133" s="477"/>
      <c r="P133" s="477"/>
      <c r="Q133" s="477"/>
      <c r="R133" s="477"/>
      <c r="S133" s="477"/>
      <c r="T133" s="477"/>
      <c r="U133" s="477"/>
      <c r="V133" s="477"/>
      <c r="X133" s="477"/>
      <c r="Y133" s="477"/>
      <c r="Z133" s="477"/>
      <c r="AA133" s="477"/>
      <c r="AB133" s="477"/>
      <c r="AC133" s="477"/>
      <c r="AD133" s="477"/>
      <c r="AE133" s="477"/>
      <c r="AF133" s="477"/>
      <c r="AG133" s="477"/>
      <c r="AH133" s="477"/>
      <c r="AI133" s="477"/>
      <c r="AJ133" s="477"/>
      <c r="AK133" s="477"/>
      <c r="AL133" s="477"/>
      <c r="AM133" s="477"/>
      <c r="AN133" s="477"/>
      <c r="AO133" s="477"/>
      <c r="AP133" s="546"/>
    </row>
    <row r="134" spans="2:42" ht="15" customHeight="1" x14ac:dyDescent="0.25">
      <c r="B134" s="263"/>
      <c r="C134" s="485" t="str">
        <f>'Credit risk (SA)'!B100</f>
        <v>general residential real estate; of which:</v>
      </c>
      <c r="D134" s="777"/>
      <c r="E134" s="477"/>
      <c r="F134" s="477"/>
      <c r="G134" s="477"/>
      <c r="H134" s="477"/>
      <c r="I134" s="477"/>
      <c r="J134" s="477"/>
      <c r="K134" s="477"/>
      <c r="L134" s="477"/>
      <c r="M134" s="477"/>
      <c r="N134" s="477"/>
      <c r="O134" s="477"/>
      <c r="P134" s="477"/>
      <c r="Q134" s="477"/>
      <c r="R134" s="477"/>
      <c r="S134" s="477"/>
      <c r="T134" s="477"/>
      <c r="U134" s="477"/>
      <c r="V134" s="477"/>
      <c r="X134" s="477"/>
      <c r="Y134" s="477"/>
      <c r="Z134" s="477"/>
      <c r="AA134" s="477"/>
      <c r="AB134" s="477"/>
      <c r="AC134" s="477"/>
      <c r="AD134" s="477"/>
      <c r="AE134" s="477"/>
      <c r="AF134" s="477"/>
      <c r="AG134" s="477"/>
      <c r="AH134" s="477"/>
      <c r="AI134" s="477"/>
      <c r="AJ134" s="477"/>
      <c r="AK134" s="477"/>
      <c r="AL134" s="477"/>
      <c r="AM134" s="477"/>
      <c r="AN134" s="477"/>
      <c r="AO134" s="477"/>
      <c r="AP134" s="546"/>
    </row>
    <row r="135" spans="2:42" ht="15" customHeight="1" x14ac:dyDescent="0.25">
      <c r="B135" s="263"/>
      <c r="C135" s="756" t="str">
        <f>'Credit risk (SA)'!B101</f>
        <v>whole loan approach; of which:</v>
      </c>
      <c r="D135" s="777"/>
      <c r="E135" s="477"/>
      <c r="F135" s="477"/>
      <c r="G135" s="477"/>
      <c r="H135" s="477"/>
      <c r="I135" s="477"/>
      <c r="J135" s="477"/>
      <c r="K135" s="477"/>
      <c r="L135" s="477"/>
      <c r="M135" s="477"/>
      <c r="N135" s="477"/>
      <c r="O135" s="477"/>
      <c r="P135" s="477"/>
      <c r="Q135" s="477"/>
      <c r="R135" s="477"/>
      <c r="S135" s="477"/>
      <c r="T135" s="477"/>
      <c r="U135" s="477"/>
      <c r="V135" s="477"/>
      <c r="X135" s="477"/>
      <c r="Y135" s="477"/>
      <c r="Z135" s="477"/>
      <c r="AA135" s="477"/>
      <c r="AB135" s="477"/>
      <c r="AC135" s="477"/>
      <c r="AD135" s="477"/>
      <c r="AE135" s="477"/>
      <c r="AF135" s="477"/>
      <c r="AG135" s="477"/>
      <c r="AH135" s="477"/>
      <c r="AI135" s="477"/>
      <c r="AJ135" s="477"/>
      <c r="AK135" s="477"/>
      <c r="AL135" s="477"/>
      <c r="AM135" s="477"/>
      <c r="AN135" s="477"/>
      <c r="AO135" s="477"/>
      <c r="AP135" s="546"/>
    </row>
    <row r="136" spans="2:42" ht="15" customHeight="1" x14ac:dyDescent="0.25">
      <c r="B136" s="266" t="s">
        <v>638</v>
      </c>
      <c r="C136" s="764" t="str">
        <f>'Credit risk (SA)'!B102</f>
        <v>LTV ≤ 50%</v>
      </c>
      <c r="D136" s="2317" t="str">
        <f>'Credit risk (SA)'!AC102</f>
        <v/>
      </c>
      <c r="E136" s="477"/>
      <c r="F136" s="477"/>
      <c r="G136" s="477"/>
      <c r="H136" s="477"/>
      <c r="I136" s="477"/>
      <c r="J136" s="477"/>
      <c r="K136" s="477"/>
      <c r="L136" s="477"/>
      <c r="M136" s="477"/>
      <c r="N136" s="477"/>
      <c r="O136" s="477"/>
      <c r="P136" s="477"/>
      <c r="Q136" s="477"/>
      <c r="R136" s="477"/>
      <c r="S136" s="477"/>
      <c r="T136" s="477"/>
      <c r="U136" s="477"/>
      <c r="V136" s="477"/>
      <c r="X136" s="477"/>
      <c r="Y136" s="477"/>
      <c r="Z136" s="477"/>
      <c r="AA136" s="477"/>
      <c r="AB136" s="477"/>
      <c r="AC136" s="477"/>
      <c r="AD136" s="477"/>
      <c r="AE136" s="477"/>
      <c r="AF136" s="477"/>
      <c r="AG136" s="477"/>
      <c r="AH136" s="477"/>
      <c r="AI136" s="477"/>
      <c r="AJ136" s="477"/>
      <c r="AK136" s="477"/>
      <c r="AL136" s="477"/>
      <c r="AM136" s="477"/>
      <c r="AN136" s="477"/>
      <c r="AO136" s="477"/>
      <c r="AP136" s="546"/>
    </row>
    <row r="137" spans="2:42" ht="15" customHeight="1" x14ac:dyDescent="0.25">
      <c r="B137" s="266" t="s">
        <v>638</v>
      </c>
      <c r="C137" s="764" t="str">
        <f>'Credit risk (SA)'!B103</f>
        <v>50% &lt;LTV ≤ 60%</v>
      </c>
      <c r="D137" s="2317" t="str">
        <f>'Credit risk (SA)'!AC103</f>
        <v/>
      </c>
      <c r="E137" s="477"/>
      <c r="F137" s="477"/>
      <c r="G137" s="477"/>
      <c r="H137" s="477"/>
      <c r="I137" s="477"/>
      <c r="J137" s="477"/>
      <c r="K137" s="477"/>
      <c r="L137" s="477"/>
      <c r="M137" s="477"/>
      <c r="N137" s="477"/>
      <c r="O137" s="477"/>
      <c r="P137" s="477"/>
      <c r="Q137" s="477"/>
      <c r="R137" s="477"/>
      <c r="S137" s="477"/>
      <c r="T137" s="477"/>
      <c r="U137" s="477"/>
      <c r="V137" s="477"/>
      <c r="X137" s="477"/>
      <c r="Y137" s="477"/>
      <c r="Z137" s="477"/>
      <c r="AA137" s="477"/>
      <c r="AB137" s="477"/>
      <c r="AC137" s="477"/>
      <c r="AD137" s="477"/>
      <c r="AE137" s="477"/>
      <c r="AF137" s="477"/>
      <c r="AG137" s="477"/>
      <c r="AH137" s="477"/>
      <c r="AI137" s="477"/>
      <c r="AJ137" s="477"/>
      <c r="AK137" s="477"/>
      <c r="AL137" s="477"/>
      <c r="AM137" s="477"/>
      <c r="AN137" s="477"/>
      <c r="AO137" s="477"/>
      <c r="AP137" s="546"/>
    </row>
    <row r="138" spans="2:42" ht="15" customHeight="1" x14ac:dyDescent="0.25">
      <c r="B138" s="266" t="s">
        <v>638</v>
      </c>
      <c r="C138" s="764" t="str">
        <f>'Credit risk (SA)'!B104</f>
        <v>60% &lt;LTV ≤ 80%</v>
      </c>
      <c r="D138" s="2317" t="str">
        <f>'Credit risk (SA)'!AC104</f>
        <v/>
      </c>
      <c r="E138" s="477"/>
      <c r="F138" s="477"/>
      <c r="G138" s="477"/>
      <c r="H138" s="477"/>
      <c r="I138" s="477"/>
      <c r="J138" s="477"/>
      <c r="K138" s="477"/>
      <c r="L138" s="477"/>
      <c r="M138" s="477"/>
      <c r="N138" s="477"/>
      <c r="O138" s="477"/>
      <c r="P138" s="477"/>
      <c r="Q138" s="477"/>
      <c r="R138" s="477"/>
      <c r="S138" s="477"/>
      <c r="T138" s="477"/>
      <c r="U138" s="477"/>
      <c r="V138" s="477"/>
      <c r="X138" s="477"/>
      <c r="Y138" s="477"/>
      <c r="Z138" s="477"/>
      <c r="AA138" s="477"/>
      <c r="AB138" s="477"/>
      <c r="AC138" s="477"/>
      <c r="AD138" s="477"/>
      <c r="AE138" s="477"/>
      <c r="AF138" s="477"/>
      <c r="AG138" s="477"/>
      <c r="AH138" s="477"/>
      <c r="AI138" s="477"/>
      <c r="AJ138" s="477"/>
      <c r="AK138" s="477"/>
      <c r="AL138" s="477"/>
      <c r="AM138" s="477"/>
      <c r="AN138" s="477"/>
      <c r="AO138" s="477"/>
      <c r="AP138" s="546"/>
    </row>
    <row r="139" spans="2:42" ht="15" customHeight="1" x14ac:dyDescent="0.25">
      <c r="B139" s="266" t="s">
        <v>638</v>
      </c>
      <c r="C139" s="764" t="str">
        <f>'Credit risk (SA)'!B105</f>
        <v>80% &lt;LTV ≤ 90%</v>
      </c>
      <c r="D139" s="2317" t="str">
        <f>'Credit risk (SA)'!AC105</f>
        <v/>
      </c>
      <c r="E139" s="477"/>
      <c r="F139" s="477"/>
      <c r="G139" s="477"/>
      <c r="H139" s="477"/>
      <c r="I139" s="477"/>
      <c r="J139" s="477"/>
      <c r="K139" s="477"/>
      <c r="L139" s="477"/>
      <c r="M139" s="477"/>
      <c r="N139" s="477"/>
      <c r="O139" s="477"/>
      <c r="P139" s="477"/>
      <c r="Q139" s="477"/>
      <c r="R139" s="477"/>
      <c r="S139" s="477"/>
      <c r="T139" s="477"/>
      <c r="U139" s="477"/>
      <c r="V139" s="477"/>
      <c r="X139" s="477"/>
      <c r="Y139" s="477"/>
      <c r="Z139" s="477"/>
      <c r="AA139" s="477"/>
      <c r="AB139" s="477"/>
      <c r="AC139" s="477"/>
      <c r="AD139" s="477"/>
      <c r="AE139" s="477"/>
      <c r="AF139" s="477"/>
      <c r="AG139" s="477"/>
      <c r="AH139" s="477"/>
      <c r="AI139" s="477"/>
      <c r="AJ139" s="477"/>
      <c r="AK139" s="477"/>
      <c r="AL139" s="477"/>
      <c r="AM139" s="477"/>
      <c r="AN139" s="477"/>
      <c r="AO139" s="477"/>
      <c r="AP139" s="546"/>
    </row>
    <row r="140" spans="2:42" ht="15" customHeight="1" x14ac:dyDescent="0.25">
      <c r="B140" s="266" t="s">
        <v>638</v>
      </c>
      <c r="C140" s="764" t="str">
        <f>'Credit risk (SA)'!B106</f>
        <v>90% &lt;LTV ≤ 100%</v>
      </c>
      <c r="D140" s="2317" t="str">
        <f>'Credit risk (SA)'!AC106</f>
        <v/>
      </c>
      <c r="E140" s="477"/>
      <c r="F140" s="477"/>
      <c r="G140" s="477"/>
      <c r="H140" s="477"/>
      <c r="I140" s="477"/>
      <c r="J140" s="477"/>
      <c r="K140" s="477"/>
      <c r="L140" s="477"/>
      <c r="M140" s="477"/>
      <c r="N140" s="477"/>
      <c r="O140" s="477"/>
      <c r="P140" s="477"/>
      <c r="Q140" s="477"/>
      <c r="R140" s="477"/>
      <c r="S140" s="477"/>
      <c r="T140" s="477"/>
      <c r="U140" s="477"/>
      <c r="V140" s="477"/>
      <c r="X140" s="477"/>
      <c r="Y140" s="477"/>
      <c r="Z140" s="477"/>
      <c r="AA140" s="477"/>
      <c r="AB140" s="477"/>
      <c r="AC140" s="477"/>
      <c r="AD140" s="477"/>
      <c r="AE140" s="477"/>
      <c r="AF140" s="477"/>
      <c r="AG140" s="477"/>
      <c r="AH140" s="477"/>
      <c r="AI140" s="477"/>
      <c r="AJ140" s="477"/>
      <c r="AK140" s="477"/>
      <c r="AL140" s="477"/>
      <c r="AM140" s="477"/>
      <c r="AN140" s="477"/>
      <c r="AO140" s="477"/>
      <c r="AP140" s="546"/>
    </row>
    <row r="141" spans="2:42" ht="15" customHeight="1" x14ac:dyDescent="0.25">
      <c r="B141" s="266" t="s">
        <v>638</v>
      </c>
      <c r="C141" s="764" t="str">
        <f>'Credit risk (SA)'!B107</f>
        <v>LTV &gt; 100%</v>
      </c>
      <c r="D141" s="2317" t="str">
        <f>'Credit risk (SA)'!AC107</f>
        <v/>
      </c>
      <c r="E141" s="477"/>
      <c r="F141" s="477"/>
      <c r="G141" s="477"/>
      <c r="H141" s="477"/>
      <c r="I141" s="477"/>
      <c r="J141" s="477"/>
      <c r="K141" s="477"/>
      <c r="L141" s="477"/>
      <c r="M141" s="477"/>
      <c r="N141" s="477"/>
      <c r="O141" s="477"/>
      <c r="P141" s="477"/>
      <c r="Q141" s="477"/>
      <c r="R141" s="477"/>
      <c r="S141" s="477"/>
      <c r="T141" s="477"/>
      <c r="U141" s="477"/>
      <c r="V141" s="477"/>
      <c r="X141" s="477"/>
      <c r="Y141" s="477"/>
      <c r="Z141" s="477"/>
      <c r="AA141" s="477"/>
      <c r="AB141" s="477"/>
      <c r="AC141" s="477"/>
      <c r="AD141" s="477"/>
      <c r="AE141" s="477"/>
      <c r="AF141" s="477"/>
      <c r="AG141" s="477"/>
      <c r="AH141" s="477"/>
      <c r="AI141" s="477"/>
      <c r="AJ141" s="477"/>
      <c r="AK141" s="477"/>
      <c r="AL141" s="477"/>
      <c r="AM141" s="477"/>
      <c r="AN141" s="477"/>
      <c r="AO141" s="477"/>
      <c r="AP141" s="546"/>
    </row>
    <row r="142" spans="2:42" ht="15" customHeight="1" x14ac:dyDescent="0.25">
      <c r="B142" s="263"/>
      <c r="C142" s="764" t="str">
        <f>'Credit risk (SA)'!B108</f>
        <v>Requirements not met</v>
      </c>
      <c r="D142" s="777"/>
      <c r="E142" s="477"/>
      <c r="F142" s="477"/>
      <c r="G142" s="477"/>
      <c r="H142" s="477"/>
      <c r="I142" s="477"/>
      <c r="J142" s="477"/>
      <c r="K142" s="477"/>
      <c r="L142" s="477"/>
      <c r="M142" s="477"/>
      <c r="N142" s="477"/>
      <c r="O142" s="477"/>
      <c r="P142" s="477"/>
      <c r="Q142" s="477"/>
      <c r="R142" s="477"/>
      <c r="S142" s="477"/>
      <c r="T142" s="477"/>
      <c r="U142" s="477"/>
      <c r="V142" s="477"/>
      <c r="X142" s="477"/>
      <c r="Y142" s="477"/>
      <c r="Z142" s="477"/>
      <c r="AA142" s="477"/>
      <c r="AB142" s="477"/>
      <c r="AC142" s="477"/>
      <c r="AD142" s="477"/>
      <c r="AE142" s="477"/>
      <c r="AF142" s="477"/>
      <c r="AG142" s="477"/>
      <c r="AH142" s="477"/>
      <c r="AI142" s="477"/>
      <c r="AJ142" s="477"/>
      <c r="AK142" s="477"/>
      <c r="AL142" s="477"/>
      <c r="AM142" s="477"/>
      <c r="AN142" s="477"/>
      <c r="AO142" s="477"/>
      <c r="AP142" s="546"/>
    </row>
    <row r="143" spans="2:42" ht="15" customHeight="1" x14ac:dyDescent="0.25">
      <c r="B143" s="263"/>
      <c r="C143" s="756" t="str">
        <f>'Credit risk (SA)'!B109</f>
        <v>loan splitting approach; of which:</v>
      </c>
      <c r="D143" s="777"/>
      <c r="E143" s="477"/>
      <c r="F143" s="477"/>
      <c r="G143" s="477"/>
      <c r="H143" s="477"/>
      <c r="I143" s="477"/>
      <c r="J143" s="477"/>
      <c r="K143" s="477"/>
      <c r="L143" s="477"/>
      <c r="M143" s="477"/>
      <c r="N143" s="477"/>
      <c r="O143" s="477"/>
      <c r="P143" s="477"/>
      <c r="Q143" s="477"/>
      <c r="R143" s="477"/>
      <c r="S143" s="477"/>
      <c r="T143" s="477"/>
      <c r="U143" s="477"/>
      <c r="V143" s="477"/>
      <c r="X143" s="477"/>
      <c r="Y143" s="477"/>
      <c r="Z143" s="477"/>
      <c r="AA143" s="477"/>
      <c r="AB143" s="477"/>
      <c r="AC143" s="477"/>
      <c r="AD143" s="477"/>
      <c r="AE143" s="477"/>
      <c r="AF143" s="477"/>
      <c r="AG143" s="477"/>
      <c r="AH143" s="477"/>
      <c r="AI143" s="477"/>
      <c r="AJ143" s="477"/>
      <c r="AK143" s="477"/>
      <c r="AL143" s="477"/>
      <c r="AM143" s="477"/>
      <c r="AN143" s="477"/>
      <c r="AO143" s="477"/>
      <c r="AP143" s="546"/>
    </row>
    <row r="144" spans="2:42" ht="15" customHeight="1" x14ac:dyDescent="0.25">
      <c r="B144" s="266" t="s">
        <v>638</v>
      </c>
      <c r="C144" s="764" t="str">
        <f>'Credit risk (SA)'!B110</f>
        <v>exposures ≤ 55% of property value</v>
      </c>
      <c r="D144" s="2317" t="str">
        <f>'Credit risk (SA)'!AC110</f>
        <v/>
      </c>
      <c r="E144" s="477"/>
      <c r="F144" s="477"/>
      <c r="G144" s="477"/>
      <c r="H144" s="477"/>
      <c r="I144" s="477"/>
      <c r="J144" s="477"/>
      <c r="K144" s="477"/>
      <c r="L144" s="477"/>
      <c r="M144" s="477"/>
      <c r="N144" s="477"/>
      <c r="O144" s="477"/>
      <c r="P144" s="477"/>
      <c r="Q144" s="477"/>
      <c r="R144" s="477"/>
      <c r="S144" s="477"/>
      <c r="T144" s="477"/>
      <c r="U144" s="477"/>
      <c r="V144" s="477"/>
      <c r="X144" s="477"/>
      <c r="Y144" s="477"/>
      <c r="Z144" s="477"/>
      <c r="AA144" s="477"/>
      <c r="AB144" s="477"/>
      <c r="AC144" s="477"/>
      <c r="AD144" s="477"/>
      <c r="AE144" s="477"/>
      <c r="AF144" s="477"/>
      <c r="AG144" s="477"/>
      <c r="AH144" s="477"/>
      <c r="AI144" s="477"/>
      <c r="AJ144" s="477"/>
      <c r="AK144" s="477"/>
      <c r="AL144" s="477"/>
      <c r="AM144" s="477"/>
      <c r="AN144" s="477"/>
      <c r="AO144" s="477"/>
      <c r="AP144" s="546"/>
    </row>
    <row r="145" spans="2:42" ht="15" customHeight="1" x14ac:dyDescent="0.25">
      <c r="B145" s="263"/>
      <c r="C145" s="485" t="str">
        <f>'Credit risk (SA)'!B122</f>
        <v>income producing residential real estate; of which:</v>
      </c>
      <c r="D145" s="777"/>
      <c r="E145" s="477"/>
      <c r="F145" s="477"/>
      <c r="G145" s="477"/>
      <c r="H145" s="477"/>
      <c r="I145" s="477"/>
      <c r="J145" s="477"/>
      <c r="K145" s="477"/>
      <c r="L145" s="477"/>
      <c r="M145" s="477"/>
      <c r="N145" s="477"/>
      <c r="O145" s="477"/>
      <c r="P145" s="477"/>
      <c r="Q145" s="477"/>
      <c r="R145" s="477"/>
      <c r="S145" s="477"/>
      <c r="T145" s="477"/>
      <c r="U145" s="477"/>
      <c r="V145" s="477"/>
      <c r="X145" s="477"/>
      <c r="Y145" s="477"/>
      <c r="Z145" s="477"/>
      <c r="AA145" s="477"/>
      <c r="AB145" s="477"/>
      <c r="AC145" s="477"/>
      <c r="AD145" s="477"/>
      <c r="AE145" s="477"/>
      <c r="AF145" s="477"/>
      <c r="AG145" s="477"/>
      <c r="AH145" s="477"/>
      <c r="AI145" s="477"/>
      <c r="AJ145" s="477"/>
      <c r="AK145" s="477"/>
      <c r="AL145" s="477"/>
      <c r="AM145" s="477"/>
      <c r="AN145" s="477"/>
      <c r="AO145" s="477"/>
      <c r="AP145" s="546"/>
    </row>
    <row r="146" spans="2:42" ht="15" customHeight="1" x14ac:dyDescent="0.25">
      <c r="B146" s="266" t="s">
        <v>638</v>
      </c>
      <c r="C146" s="764" t="str">
        <f>'Credit risk (SA)'!B123</f>
        <v>LTV ≤ 50%</v>
      </c>
      <c r="D146" s="2317" t="str">
        <f>'Credit risk (SA)'!AC123</f>
        <v/>
      </c>
      <c r="E146" s="477"/>
      <c r="F146" s="477"/>
      <c r="G146" s="477"/>
      <c r="H146" s="477"/>
      <c r="I146" s="477"/>
      <c r="J146" s="477"/>
      <c r="K146" s="477"/>
      <c r="L146" s="477"/>
      <c r="M146" s="477"/>
      <c r="N146" s="477"/>
      <c r="O146" s="477"/>
      <c r="P146" s="477"/>
      <c r="Q146" s="477"/>
      <c r="R146" s="477"/>
      <c r="S146" s="477"/>
      <c r="T146" s="477"/>
      <c r="U146" s="477"/>
      <c r="V146" s="477"/>
      <c r="X146" s="477"/>
      <c r="Y146" s="477"/>
      <c r="Z146" s="477"/>
      <c r="AA146" s="477"/>
      <c r="AB146" s="477"/>
      <c r="AC146" s="477"/>
      <c r="AD146" s="477"/>
      <c r="AE146" s="477"/>
      <c r="AF146" s="477"/>
      <c r="AG146" s="477"/>
      <c r="AH146" s="477"/>
      <c r="AI146" s="477"/>
      <c r="AJ146" s="477"/>
      <c r="AK146" s="477"/>
      <c r="AL146" s="477"/>
      <c r="AM146" s="477"/>
      <c r="AN146" s="477"/>
      <c r="AO146" s="477"/>
      <c r="AP146" s="546"/>
    </row>
    <row r="147" spans="2:42" ht="15" customHeight="1" x14ac:dyDescent="0.25">
      <c r="B147" s="266" t="s">
        <v>638</v>
      </c>
      <c r="C147" s="764" t="str">
        <f>'Credit risk (SA)'!B124</f>
        <v>50% &lt;LTV ≤ 60%</v>
      </c>
      <c r="D147" s="2317" t="str">
        <f>'Credit risk (SA)'!AC124</f>
        <v/>
      </c>
      <c r="E147" s="477"/>
      <c r="F147" s="477"/>
      <c r="G147" s="477"/>
      <c r="H147" s="477"/>
      <c r="I147" s="477"/>
      <c r="J147" s="477"/>
      <c r="K147" s="477"/>
      <c r="L147" s="477"/>
      <c r="M147" s="477"/>
      <c r="N147" s="477"/>
      <c r="O147" s="477"/>
      <c r="P147" s="477"/>
      <c r="Q147" s="477"/>
      <c r="R147" s="477"/>
      <c r="S147" s="477"/>
      <c r="T147" s="477"/>
      <c r="U147" s="477"/>
      <c r="V147" s="477"/>
      <c r="X147" s="477"/>
      <c r="Y147" s="477"/>
      <c r="Z147" s="477"/>
      <c r="AA147" s="477"/>
      <c r="AB147" s="477"/>
      <c r="AC147" s="477"/>
      <c r="AD147" s="477"/>
      <c r="AE147" s="477"/>
      <c r="AF147" s="477"/>
      <c r="AG147" s="477"/>
      <c r="AH147" s="477"/>
      <c r="AI147" s="477"/>
      <c r="AJ147" s="477"/>
      <c r="AK147" s="477"/>
      <c r="AL147" s="477"/>
      <c r="AM147" s="477"/>
      <c r="AN147" s="477"/>
      <c r="AO147" s="477"/>
      <c r="AP147" s="546"/>
    </row>
    <row r="148" spans="2:42" ht="15" customHeight="1" x14ac:dyDescent="0.25">
      <c r="B148" s="266" t="s">
        <v>638</v>
      </c>
      <c r="C148" s="764" t="str">
        <f>'Credit risk (SA)'!B125</f>
        <v>60% &lt;LTV ≤ 80%</v>
      </c>
      <c r="D148" s="2317" t="str">
        <f>'Credit risk (SA)'!AC125</f>
        <v/>
      </c>
      <c r="E148" s="477"/>
      <c r="F148" s="477"/>
      <c r="G148" s="477"/>
      <c r="H148" s="477"/>
      <c r="I148" s="477"/>
      <c r="J148" s="477"/>
      <c r="K148" s="477"/>
      <c r="L148" s="477"/>
      <c r="M148" s="477"/>
      <c r="N148" s="477"/>
      <c r="O148" s="477"/>
      <c r="P148" s="477"/>
      <c r="Q148" s="477"/>
      <c r="R148" s="477"/>
      <c r="S148" s="477"/>
      <c r="T148" s="477"/>
      <c r="U148" s="477"/>
      <c r="V148" s="477"/>
      <c r="X148" s="477"/>
      <c r="Y148" s="477"/>
      <c r="Z148" s="477"/>
      <c r="AA148" s="477"/>
      <c r="AB148" s="477"/>
      <c r="AC148" s="477"/>
      <c r="AD148" s="477"/>
      <c r="AE148" s="477"/>
      <c r="AF148" s="477"/>
      <c r="AG148" s="477"/>
      <c r="AH148" s="477"/>
      <c r="AI148" s="477"/>
      <c r="AJ148" s="477"/>
      <c r="AK148" s="477"/>
      <c r="AL148" s="477"/>
      <c r="AM148" s="477"/>
      <c r="AN148" s="477"/>
      <c r="AO148" s="477"/>
      <c r="AP148" s="546"/>
    </row>
    <row r="149" spans="2:42" ht="15" customHeight="1" x14ac:dyDescent="0.25">
      <c r="B149" s="266" t="s">
        <v>638</v>
      </c>
      <c r="C149" s="764" t="str">
        <f>'Credit risk (SA)'!B126</f>
        <v>80% &lt;LTV ≤ 90%</v>
      </c>
      <c r="D149" s="2317" t="str">
        <f>'Credit risk (SA)'!AC126</f>
        <v/>
      </c>
      <c r="E149" s="477"/>
      <c r="F149" s="477"/>
      <c r="G149" s="477"/>
      <c r="H149" s="477"/>
      <c r="I149" s="477"/>
      <c r="J149" s="477"/>
      <c r="K149" s="477"/>
      <c r="L149" s="477"/>
      <c r="M149" s="477"/>
      <c r="N149" s="477"/>
      <c r="O149" s="477"/>
      <c r="P149" s="477"/>
      <c r="Q149" s="477"/>
      <c r="R149" s="477"/>
      <c r="S149" s="477"/>
      <c r="T149" s="477"/>
      <c r="U149" s="477"/>
      <c r="V149" s="477"/>
      <c r="X149" s="477"/>
      <c r="Y149" s="477"/>
      <c r="Z149" s="477"/>
      <c r="AA149" s="477"/>
      <c r="AB149" s="477"/>
      <c r="AC149" s="477"/>
      <c r="AD149" s="477"/>
      <c r="AE149" s="477"/>
      <c r="AF149" s="477"/>
      <c r="AG149" s="477"/>
      <c r="AH149" s="477"/>
      <c r="AI149" s="477"/>
      <c r="AJ149" s="477"/>
      <c r="AK149" s="477"/>
      <c r="AL149" s="477"/>
      <c r="AM149" s="477"/>
      <c r="AN149" s="477"/>
      <c r="AO149" s="477"/>
      <c r="AP149" s="546"/>
    </row>
    <row r="150" spans="2:42" ht="15" customHeight="1" x14ac:dyDescent="0.25">
      <c r="B150" s="266" t="s">
        <v>638</v>
      </c>
      <c r="C150" s="764" t="str">
        <f>'Credit risk (SA)'!B127</f>
        <v>90% &lt;LTV ≤ 100%</v>
      </c>
      <c r="D150" s="2317" t="str">
        <f>'Credit risk (SA)'!AC127</f>
        <v/>
      </c>
      <c r="E150" s="477"/>
      <c r="F150" s="477"/>
      <c r="G150" s="477"/>
      <c r="H150" s="477"/>
      <c r="I150" s="477"/>
      <c r="J150" s="477"/>
      <c r="K150" s="477"/>
      <c r="L150" s="477"/>
      <c r="M150" s="477"/>
      <c r="N150" s="477"/>
      <c r="O150" s="477"/>
      <c r="P150" s="477"/>
      <c r="Q150" s="477"/>
      <c r="R150" s="477"/>
      <c r="S150" s="477"/>
      <c r="T150" s="477"/>
      <c r="U150" s="477"/>
      <c r="V150" s="477"/>
      <c r="X150" s="477"/>
      <c r="Y150" s="477"/>
      <c r="Z150" s="477"/>
      <c r="AA150" s="477"/>
      <c r="AB150" s="477"/>
      <c r="AC150" s="477"/>
      <c r="AD150" s="477"/>
      <c r="AE150" s="477"/>
      <c r="AF150" s="477"/>
      <c r="AG150" s="477"/>
      <c r="AH150" s="477"/>
      <c r="AI150" s="477"/>
      <c r="AJ150" s="477"/>
      <c r="AK150" s="477"/>
      <c r="AL150" s="477"/>
      <c r="AM150" s="477"/>
      <c r="AN150" s="477"/>
      <c r="AO150" s="477"/>
      <c r="AP150" s="546"/>
    </row>
    <row r="151" spans="2:42" ht="15" customHeight="1" x14ac:dyDescent="0.25">
      <c r="B151" s="266" t="s">
        <v>638</v>
      </c>
      <c r="C151" s="764" t="str">
        <f>'Credit risk (SA)'!B128</f>
        <v>LTV &gt; 100%</v>
      </c>
      <c r="D151" s="2317" t="str">
        <f>'Credit risk (SA)'!AC128</f>
        <v/>
      </c>
      <c r="E151" s="477"/>
      <c r="F151" s="477"/>
      <c r="G151" s="477"/>
      <c r="H151" s="477"/>
      <c r="I151" s="477"/>
      <c r="J151" s="477"/>
      <c r="K151" s="477"/>
      <c r="L151" s="477"/>
      <c r="M151" s="477"/>
      <c r="N151" s="477"/>
      <c r="O151" s="477"/>
      <c r="P151" s="477"/>
      <c r="Q151" s="477"/>
      <c r="R151" s="477"/>
      <c r="S151" s="477"/>
      <c r="T151" s="477"/>
      <c r="U151" s="477"/>
      <c r="V151" s="477"/>
      <c r="X151" s="477"/>
      <c r="Y151" s="477"/>
      <c r="Z151" s="477"/>
      <c r="AA151" s="477"/>
      <c r="AB151" s="477"/>
      <c r="AC151" s="477"/>
      <c r="AD151" s="477"/>
      <c r="AE151" s="477"/>
      <c r="AF151" s="477"/>
      <c r="AG151" s="477"/>
      <c r="AH151" s="477"/>
      <c r="AI151" s="477"/>
      <c r="AJ151" s="477"/>
      <c r="AK151" s="477"/>
      <c r="AL151" s="477"/>
      <c r="AM151" s="477"/>
      <c r="AN151" s="477"/>
      <c r="AO151" s="477"/>
      <c r="AP151" s="546"/>
    </row>
    <row r="152" spans="2:42" ht="15" customHeight="1" x14ac:dyDescent="0.25">
      <c r="B152" s="266" t="s">
        <v>638</v>
      </c>
      <c r="C152" s="764" t="str">
        <f>'Credit risk (SA)'!B129</f>
        <v>Requirements not met</v>
      </c>
      <c r="D152" s="2317" t="str">
        <f>'Credit risk (SA)'!AC129</f>
        <v/>
      </c>
      <c r="E152" s="477"/>
      <c r="F152" s="477"/>
      <c r="G152" s="477"/>
      <c r="H152" s="477"/>
      <c r="I152" s="477"/>
      <c r="J152" s="477"/>
      <c r="K152" s="477"/>
      <c r="L152" s="477"/>
      <c r="M152" s="477"/>
      <c r="N152" s="477"/>
      <c r="O152" s="477"/>
      <c r="P152" s="477"/>
      <c r="Q152" s="477"/>
      <c r="R152" s="477"/>
      <c r="S152" s="477"/>
      <c r="T152" s="477"/>
      <c r="U152" s="477"/>
      <c r="V152" s="477"/>
      <c r="X152" s="477"/>
      <c r="Y152" s="477"/>
      <c r="Z152" s="477"/>
      <c r="AA152" s="477"/>
      <c r="AB152" s="477"/>
      <c r="AC152" s="477"/>
      <c r="AD152" s="477"/>
      <c r="AE152" s="477"/>
      <c r="AF152" s="477"/>
      <c r="AG152" s="477"/>
      <c r="AH152" s="477"/>
      <c r="AI152" s="477"/>
      <c r="AJ152" s="477"/>
      <c r="AK152" s="477"/>
      <c r="AL152" s="477"/>
      <c r="AM152" s="477"/>
      <c r="AN152" s="477"/>
      <c r="AO152" s="477"/>
      <c r="AP152" s="546"/>
    </row>
    <row r="153" spans="2:42" ht="15" customHeight="1" x14ac:dyDescent="0.25">
      <c r="B153" s="263"/>
      <c r="C153" s="485" t="str">
        <f>'Credit risk (SA)'!B130</f>
        <v>income producing commercial real estate; of which:</v>
      </c>
      <c r="D153" s="777"/>
      <c r="E153" s="477"/>
      <c r="F153" s="477"/>
      <c r="G153" s="477"/>
      <c r="H153" s="477"/>
      <c r="I153" s="477"/>
      <c r="J153" s="477"/>
      <c r="K153" s="477"/>
      <c r="L153" s="477"/>
      <c r="M153" s="477"/>
      <c r="N153" s="477"/>
      <c r="O153" s="477"/>
      <c r="P153" s="477"/>
      <c r="Q153" s="477"/>
      <c r="R153" s="477"/>
      <c r="S153" s="477"/>
      <c r="T153" s="477"/>
      <c r="U153" s="477"/>
      <c r="V153" s="477"/>
      <c r="X153" s="477"/>
      <c r="Y153" s="477"/>
      <c r="Z153" s="477"/>
      <c r="AA153" s="477"/>
      <c r="AB153" s="477"/>
      <c r="AC153" s="477"/>
      <c r="AD153" s="477"/>
      <c r="AE153" s="477"/>
      <c r="AF153" s="477"/>
      <c r="AG153" s="477"/>
      <c r="AH153" s="477"/>
      <c r="AI153" s="477"/>
      <c r="AJ153" s="477"/>
      <c r="AK153" s="477"/>
      <c r="AL153" s="477"/>
      <c r="AM153" s="477"/>
      <c r="AN153" s="477"/>
      <c r="AO153" s="477"/>
      <c r="AP153" s="546"/>
    </row>
    <row r="154" spans="2:42" ht="15" customHeight="1" x14ac:dyDescent="0.25">
      <c r="B154" s="266" t="s">
        <v>638</v>
      </c>
      <c r="C154" s="764" t="str">
        <f>'Credit risk (SA)'!B131</f>
        <v>LTV ≤ 60%</v>
      </c>
      <c r="D154" s="2317" t="str">
        <f>'Credit risk (SA)'!AC131</f>
        <v/>
      </c>
      <c r="E154" s="477"/>
      <c r="F154" s="477"/>
      <c r="G154" s="477"/>
      <c r="H154" s="477"/>
      <c r="I154" s="477"/>
      <c r="J154" s="477"/>
      <c r="K154" s="477"/>
      <c r="L154" s="477"/>
      <c r="M154" s="477"/>
      <c r="N154" s="477"/>
      <c r="O154" s="477"/>
      <c r="P154" s="477"/>
      <c r="Q154" s="477"/>
      <c r="R154" s="477"/>
      <c r="S154" s="477"/>
      <c r="T154" s="477"/>
      <c r="U154" s="477"/>
      <c r="V154" s="477"/>
      <c r="X154" s="477"/>
      <c r="Y154" s="477"/>
      <c r="Z154" s="477"/>
      <c r="AA154" s="477"/>
      <c r="AB154" s="477"/>
      <c r="AC154" s="477"/>
      <c r="AD154" s="477"/>
      <c r="AE154" s="477"/>
      <c r="AF154" s="477"/>
      <c r="AG154" s="477"/>
      <c r="AH154" s="477"/>
      <c r="AI154" s="477"/>
      <c r="AJ154" s="477"/>
      <c r="AK154" s="477"/>
      <c r="AL154" s="477"/>
      <c r="AM154" s="477"/>
      <c r="AN154" s="477"/>
      <c r="AO154" s="477"/>
      <c r="AP154" s="546"/>
    </row>
    <row r="155" spans="2:42" ht="15" customHeight="1" x14ac:dyDescent="0.25">
      <c r="B155" s="266" t="s">
        <v>638</v>
      </c>
      <c r="C155" s="764" t="str">
        <f>'Credit risk (SA)'!B132</f>
        <v>60% &lt; LTV ≤ 80%</v>
      </c>
      <c r="D155" s="2317" t="str">
        <f>'Credit risk (SA)'!AC132</f>
        <v/>
      </c>
      <c r="E155" s="477"/>
      <c r="F155" s="477"/>
      <c r="G155" s="477"/>
      <c r="H155" s="477"/>
      <c r="I155" s="477"/>
      <c r="J155" s="477"/>
      <c r="K155" s="477"/>
      <c r="L155" s="477"/>
      <c r="M155" s="477"/>
      <c r="N155" s="477"/>
      <c r="O155" s="477"/>
      <c r="P155" s="477"/>
      <c r="Q155" s="477"/>
      <c r="R155" s="477"/>
      <c r="S155" s="477"/>
      <c r="T155" s="477"/>
      <c r="U155" s="477"/>
      <c r="V155" s="477"/>
      <c r="X155" s="477"/>
      <c r="Y155" s="477"/>
      <c r="Z155" s="477"/>
      <c r="AA155" s="477"/>
      <c r="AB155" s="477"/>
      <c r="AC155" s="477"/>
      <c r="AD155" s="477"/>
      <c r="AE155" s="477"/>
      <c r="AF155" s="477"/>
      <c r="AG155" s="477"/>
      <c r="AH155" s="477"/>
      <c r="AI155" s="477"/>
      <c r="AJ155" s="477"/>
      <c r="AK155" s="477"/>
      <c r="AL155" s="477"/>
      <c r="AM155" s="477"/>
      <c r="AN155" s="477"/>
      <c r="AO155" s="477"/>
      <c r="AP155" s="546"/>
    </row>
    <row r="156" spans="2:42" ht="15" customHeight="1" x14ac:dyDescent="0.25">
      <c r="B156" s="266" t="s">
        <v>638</v>
      </c>
      <c r="C156" s="764" t="str">
        <f>'Credit risk (SA)'!B133</f>
        <v>LTV &gt; 80%</v>
      </c>
      <c r="D156" s="2317" t="str">
        <f>'Credit risk (SA)'!AC133</f>
        <v/>
      </c>
      <c r="E156" s="477"/>
      <c r="F156" s="477"/>
      <c r="G156" s="477"/>
      <c r="H156" s="477"/>
      <c r="I156" s="477"/>
      <c r="J156" s="477"/>
      <c r="K156" s="477"/>
      <c r="L156" s="477"/>
      <c r="M156" s="477"/>
      <c r="N156" s="477"/>
      <c r="O156" s="477"/>
      <c r="P156" s="477"/>
      <c r="Q156" s="477"/>
      <c r="R156" s="477"/>
      <c r="S156" s="477"/>
      <c r="T156" s="477"/>
      <c r="U156" s="477"/>
      <c r="V156" s="477"/>
      <c r="X156" s="477"/>
      <c r="Y156" s="477"/>
      <c r="Z156" s="477"/>
      <c r="AA156" s="477"/>
      <c r="AB156" s="477"/>
      <c r="AC156" s="477"/>
      <c r="AD156" s="477"/>
      <c r="AE156" s="477"/>
      <c r="AF156" s="477"/>
      <c r="AG156" s="477"/>
      <c r="AH156" s="477"/>
      <c r="AI156" s="477"/>
      <c r="AJ156" s="477"/>
      <c r="AK156" s="477"/>
      <c r="AL156" s="477"/>
      <c r="AM156" s="477"/>
      <c r="AN156" s="477"/>
      <c r="AO156" s="477"/>
      <c r="AP156" s="546"/>
    </row>
    <row r="157" spans="2:42" ht="15" customHeight="1" x14ac:dyDescent="0.25">
      <c r="B157" s="266" t="s">
        <v>638</v>
      </c>
      <c r="C157" s="764" t="str">
        <f>'Credit risk (SA)'!B134</f>
        <v>Requirements not met</v>
      </c>
      <c r="D157" s="2317" t="str">
        <f>'Credit risk (SA)'!AC134</f>
        <v/>
      </c>
      <c r="E157" s="477"/>
      <c r="F157" s="477"/>
      <c r="G157" s="477"/>
      <c r="H157" s="477"/>
      <c r="I157" s="477"/>
      <c r="J157" s="477"/>
      <c r="K157" s="477"/>
      <c r="L157" s="477"/>
      <c r="M157" s="477"/>
      <c r="N157" s="477"/>
      <c r="O157" s="477"/>
      <c r="P157" s="477"/>
      <c r="Q157" s="477"/>
      <c r="R157" s="477"/>
      <c r="S157" s="477"/>
      <c r="T157" s="477"/>
      <c r="U157" s="477"/>
      <c r="V157" s="477"/>
      <c r="X157" s="477"/>
      <c r="Y157" s="477"/>
      <c r="Z157" s="477"/>
      <c r="AA157" s="477"/>
      <c r="AB157" s="477"/>
      <c r="AC157" s="477"/>
      <c r="AD157" s="477"/>
      <c r="AE157" s="477"/>
      <c r="AF157" s="477"/>
      <c r="AG157" s="477"/>
      <c r="AH157" s="477"/>
      <c r="AI157" s="477"/>
      <c r="AJ157" s="477"/>
      <c r="AK157" s="477"/>
      <c r="AL157" s="477"/>
      <c r="AM157" s="477"/>
      <c r="AN157" s="477"/>
      <c r="AO157" s="477"/>
      <c r="AP157" s="546"/>
    </row>
    <row r="158" spans="2:42" ht="15" customHeight="1" x14ac:dyDescent="0.25">
      <c r="B158" s="263"/>
      <c r="C158" s="485" t="str">
        <f>'Credit risk (SA)'!B135</f>
        <v>land acquisition, development and construction; of which:</v>
      </c>
      <c r="D158" s="777"/>
      <c r="E158" s="477"/>
      <c r="F158" s="477"/>
      <c r="G158" s="477"/>
      <c r="H158" s="477"/>
      <c r="I158" s="477"/>
      <c r="J158" s="477"/>
      <c r="K158" s="477"/>
      <c r="L158" s="477"/>
      <c r="M158" s="477"/>
      <c r="N158" s="477"/>
      <c r="O158" s="477"/>
      <c r="P158" s="477"/>
      <c r="Q158" s="477"/>
      <c r="R158" s="477"/>
      <c r="S158" s="477"/>
      <c r="T158" s="477"/>
      <c r="U158" s="477"/>
      <c r="V158" s="477"/>
      <c r="X158" s="477"/>
      <c r="Y158" s="477"/>
      <c r="Z158" s="477"/>
      <c r="AA158" s="477"/>
      <c r="AB158" s="477"/>
      <c r="AC158" s="477"/>
      <c r="AD158" s="477"/>
      <c r="AE158" s="477"/>
      <c r="AF158" s="477"/>
      <c r="AG158" s="477"/>
      <c r="AH158" s="477"/>
      <c r="AI158" s="477"/>
      <c r="AJ158" s="477"/>
      <c r="AK158" s="477"/>
      <c r="AL158" s="477"/>
      <c r="AM158" s="477"/>
      <c r="AN158" s="477"/>
      <c r="AO158" s="477"/>
      <c r="AP158" s="546"/>
    </row>
    <row r="159" spans="2:42" ht="15" customHeight="1" x14ac:dyDescent="0.25">
      <c r="B159" s="266" t="s">
        <v>638</v>
      </c>
      <c r="C159" s="764" t="str">
        <f>'Credit risk (SA)'!B136</f>
        <v>150% risk weight</v>
      </c>
      <c r="D159" s="2317" t="str">
        <f>'Credit risk (SA)'!AC136</f>
        <v/>
      </c>
      <c r="E159" s="477"/>
      <c r="F159" s="477"/>
      <c r="G159" s="477"/>
      <c r="H159" s="477"/>
      <c r="I159" s="477"/>
      <c r="J159" s="477"/>
      <c r="K159" s="477"/>
      <c r="L159" s="477"/>
      <c r="M159" s="477"/>
      <c r="N159" s="477"/>
      <c r="O159" s="477"/>
      <c r="P159" s="477"/>
      <c r="Q159" s="477"/>
      <c r="R159" s="477"/>
      <c r="S159" s="477"/>
      <c r="T159" s="477"/>
      <c r="U159" s="477"/>
      <c r="V159" s="477"/>
      <c r="X159" s="477"/>
      <c r="Y159" s="477"/>
      <c r="Z159" s="477"/>
      <c r="AA159" s="477"/>
      <c r="AB159" s="477"/>
      <c r="AC159" s="477"/>
      <c r="AD159" s="177"/>
      <c r="AE159" s="177"/>
      <c r="AF159" s="177"/>
      <c r="AG159" s="177"/>
      <c r="AH159" s="177"/>
      <c r="AI159" s="177"/>
      <c r="AJ159" s="477"/>
      <c r="AK159" s="477"/>
      <c r="AL159" s="477"/>
      <c r="AM159" s="477"/>
      <c r="AN159" s="477"/>
      <c r="AO159" s="477"/>
      <c r="AP159" s="546"/>
    </row>
    <row r="160" spans="2:42" ht="15" customHeight="1" x14ac:dyDescent="0.25">
      <c r="B160" s="254" t="s">
        <v>638</v>
      </c>
      <c r="C160" s="776" t="str">
        <f>'Credit risk (SA)'!B137</f>
        <v>100% risk weight</v>
      </c>
      <c r="D160" s="559" t="str">
        <f>'Credit risk (SA)'!AC137</f>
        <v/>
      </c>
      <c r="E160" s="477"/>
      <c r="F160" s="477"/>
      <c r="G160" s="477"/>
      <c r="H160" s="477"/>
      <c r="I160" s="477"/>
      <c r="J160" s="477"/>
      <c r="K160" s="477"/>
      <c r="L160" s="477"/>
      <c r="M160" s="477"/>
      <c r="N160" s="477"/>
      <c r="O160" s="477"/>
      <c r="P160" s="477"/>
      <c r="Q160" s="477"/>
      <c r="R160" s="477"/>
      <c r="S160" s="477"/>
      <c r="T160" s="477"/>
      <c r="U160" s="477"/>
      <c r="V160" s="477"/>
      <c r="X160" s="477"/>
      <c r="Y160" s="477"/>
      <c r="Z160" s="477"/>
      <c r="AA160" s="477"/>
      <c r="AB160" s="477"/>
      <c r="AC160" s="477"/>
      <c r="AD160" s="477"/>
      <c r="AE160" s="477"/>
      <c r="AF160" s="477"/>
      <c r="AG160" s="477"/>
      <c r="AH160" s="477"/>
      <c r="AI160" s="477"/>
      <c r="AJ160" s="477"/>
      <c r="AK160" s="477"/>
      <c r="AL160" s="477"/>
      <c r="AM160" s="477"/>
      <c r="AN160" s="477"/>
      <c r="AO160" s="477"/>
      <c r="AP160" s="546"/>
    </row>
    <row r="161" spans="1:42" ht="15" customHeight="1" x14ac:dyDescent="0.25">
      <c r="D161" s="477"/>
      <c r="E161" s="477"/>
      <c r="F161" s="477"/>
      <c r="G161" s="477"/>
      <c r="H161" s="477"/>
      <c r="I161" s="477"/>
      <c r="J161" s="477"/>
      <c r="K161" s="477"/>
      <c r="L161" s="549"/>
      <c r="M161" s="549"/>
      <c r="N161" s="549"/>
      <c r="O161" s="477"/>
      <c r="P161" s="477"/>
      <c r="Q161" s="477"/>
      <c r="R161" s="477"/>
      <c r="S161" s="477"/>
      <c r="T161" s="477"/>
      <c r="U161" s="477"/>
      <c r="V161" s="477"/>
      <c r="W161" s="177"/>
      <c r="X161" s="177"/>
      <c r="Y161" s="177"/>
      <c r="Z161" s="177"/>
      <c r="AA161" s="177"/>
      <c r="AB161" s="177"/>
      <c r="AC161" s="177"/>
      <c r="AD161" s="477"/>
      <c r="AE161" s="477"/>
      <c r="AF161" s="477"/>
      <c r="AG161" s="477"/>
      <c r="AH161" s="477"/>
      <c r="AI161" s="477"/>
      <c r="AJ161" s="177"/>
      <c r="AK161" s="177"/>
      <c r="AL161" s="177"/>
      <c r="AM161" s="177"/>
      <c r="AN161" s="177"/>
      <c r="AO161" s="177"/>
      <c r="AP161" s="546"/>
    </row>
    <row r="162" spans="1:42" ht="15" customHeight="1" x14ac:dyDescent="0.25">
      <c r="B162" s="772" t="s">
        <v>633</v>
      </c>
      <c r="C162" s="1341" t="s">
        <v>13</v>
      </c>
      <c r="D162" s="2312" t="str">
        <f>CONCATENATE("Col ", LEFT(ADDRESS(ROW('Credit risk (SA)'!D19),COLUMN('Credit risk (SA)'!D19),4), 1))</f>
        <v>Col D</v>
      </c>
      <c r="E162" s="2312" t="str">
        <f>CONCATENATE("Col ", LEFT(ADDRESS(ROW('Credit risk (SA)'!E19),COLUMN('Credit risk (SA)'!E19),4), 1))</f>
        <v>Col E</v>
      </c>
      <c r="F162" s="2312" t="str">
        <f>CONCATENATE("Col ", LEFT(ADDRESS(ROW('Credit risk (SA)'!F19),COLUMN('Credit risk (SA)'!F19),4), 1))</f>
        <v>Col F</v>
      </c>
      <c r="G162" s="2312" t="str">
        <f>CONCATENATE("Col ", LEFT(ADDRESS(ROW('Credit risk (SA)'!H19),COLUMN('Credit risk (SA)'!H19),4), 1))</f>
        <v>Col H</v>
      </c>
      <c r="H162" s="2312" t="str">
        <f>CONCATENATE("Col ", LEFT(ADDRESS(ROW('Credit risk (SA)'!I19),COLUMN('Credit risk (SA)'!I19),4), 1))</f>
        <v>Col I</v>
      </c>
      <c r="I162" s="2312" t="str">
        <f>CONCATENATE("Col ", LEFT(ADDRESS(ROW('Credit risk (SA)'!J19),COLUMN('Credit risk (SA)'!J19),4), 1))</f>
        <v>Col J</v>
      </c>
      <c r="J162" s="2312" t="str">
        <f>CONCATENATE("Col ", LEFT(ADDRESS(ROW('Credit risk (SA)'!K19),COLUMN('Credit risk (SA)'!K19),4), 1))</f>
        <v>Col K</v>
      </c>
      <c r="K162" s="2312" t="str">
        <f>CONCATENATE("Col ", LEFT(ADDRESS(ROW('Credit risk (SA)'!L19),COLUMN('Credit risk (SA)'!L19),4), 1))</f>
        <v>Col L</v>
      </c>
      <c r="L162" s="2312" t="str">
        <f>CONCATENATE("Col ", LEFT(ADDRESS(ROW('Credit risk (SA)'!N19),COLUMN('Credit risk (SA)'!N19),4), 1))</f>
        <v>Col N</v>
      </c>
      <c r="M162" s="2312" t="str">
        <f>CONCATENATE("Col ", LEFT(ADDRESS(ROW('Credit risk (SA)'!R19),COLUMN('Credit risk (SA)'!R19),4), 1))</f>
        <v>Col R</v>
      </c>
      <c r="N162" s="2312" t="str">
        <f>CONCATENATE("Col ", LEFT(ADDRESS(ROW('Credit risk (SA)'!S19),COLUMN('Credit risk (SA)'!S19),4), 1))</f>
        <v>Col S</v>
      </c>
      <c r="O162" s="2312" t="str">
        <f>CONCATENATE("Col ", LEFT(ADDRESS(ROW('Credit risk (SA)'!T19),COLUMN('Credit risk (SA)'!T19),4), 1))</f>
        <v>Col T</v>
      </c>
      <c r="P162" s="2312" t="str">
        <f>CONCATENATE("Col ", LEFT(ADDRESS(ROW('Credit risk (SA)'!V19),COLUMN('Credit risk (SA)'!V19),4), 1))</f>
        <v>Col V</v>
      </c>
      <c r="Q162" s="2312" t="str">
        <f>CONCATENATE("Col ", LEFT(ADDRESS(ROW('Credit risk (SA)'!W19),COLUMN('Credit risk (SA)'!W19),4), 1))</f>
        <v>Col W</v>
      </c>
      <c r="R162" s="2312" t="str">
        <f>CONCATENATE("Col ", LEFT(ADDRESS(ROW('Credit risk (SA)'!X19),COLUMN('Credit risk (SA)'!X19),4), 1))</f>
        <v>Col X</v>
      </c>
      <c r="S162" s="2312" t="str">
        <f>CONCATENATE("Col ", LEFT(ADDRESS(ROW('Credit risk (SA)'!Y19),COLUMN('Credit risk (SA)'!Y19),4), 1))</f>
        <v>Col Y</v>
      </c>
      <c r="T162" s="2312" t="str">
        <f>CONCATENATE("Col ", LEFT(ADDRESS(ROW('Credit risk (SA)'!Z19),COLUMN('Credit risk (SA)'!Z19),4), 1))</f>
        <v>Col Z</v>
      </c>
      <c r="U162" s="2016" t="str">
        <f>CONCATENATE("Col ", LEFT(ADDRESS(ROW('Credit risk (SA)'!AD19),COLUMN('Credit risk (SA)'!AD19),4), 2))</f>
        <v>Col AD</v>
      </c>
      <c r="V162" s="2312" t="str">
        <f>CONCATENATE("Col ", LEFT(ADDRESS(ROW('Credit risk (SA)'!AE19),COLUMN('Credit risk (SA)'!AE19),4), 2))</f>
        <v>Col AE</v>
      </c>
      <c r="W162" s="2312" t="str">
        <f>CONCATENATE("Col ", LEFT(ADDRESS(ROW('Credit risk (SA)'!AF19),COLUMN('Credit risk (SA)'!AF19),4), 2))</f>
        <v>Col AF</v>
      </c>
      <c r="X162" s="2312" t="str">
        <f>CONCATENATE("Col ", LEFT(ADDRESS(ROW('Credit risk (SA)'!AG19),COLUMN('Credit risk (SA)'!AG19),4), 2))</f>
        <v>Col AG</v>
      </c>
      <c r="Y162" s="2312" t="str">
        <f>CONCATENATE("Col ", LEFT(ADDRESS(ROW('Credit risk (SA)'!AH19),COLUMN('Credit risk (SA)'!AH19),4), 2))</f>
        <v>Col AH</v>
      </c>
      <c r="Z162" s="2312" t="str">
        <f>CONCATENATE("Col ", LEFT(ADDRESS(ROW('Credit risk (SA)'!AI19),COLUMN('Credit risk (SA)'!AI19),4), 2))</f>
        <v>Col AI</v>
      </c>
      <c r="AA162" s="2312" t="str">
        <f>CONCATENATE("Col ", LEFT(ADDRESS(ROW('Credit risk (SA)'!AJ19),COLUMN('Credit risk (SA)'!AJ19),4), 2))</f>
        <v>Col AJ</v>
      </c>
      <c r="AB162" s="2311" t="str">
        <f>CONCATENATE("Col ", LEFT(ADDRESS(ROW('Credit risk (SA)'!AK19),COLUMN('Credit risk (SA)'!AK19),4), 2))</f>
        <v>Col AK</v>
      </c>
      <c r="AC162" s="477"/>
      <c r="AD162" s="177"/>
      <c r="AE162" s="177"/>
      <c r="AF162" s="177"/>
      <c r="AG162" s="177"/>
      <c r="AH162" s="177"/>
      <c r="AI162" s="177"/>
      <c r="AJ162" s="177"/>
      <c r="AK162" s="177"/>
      <c r="AL162" s="177"/>
      <c r="AM162" s="177"/>
      <c r="AN162" s="177"/>
      <c r="AO162" s="177"/>
      <c r="AP162" s="546"/>
    </row>
    <row r="163" spans="1:42" ht="15" customHeight="1" x14ac:dyDescent="0.25">
      <c r="B163" s="769" t="s">
        <v>638</v>
      </c>
      <c r="C163" s="770" t="str">
        <f>'Credit risk (SA)'!B140</f>
        <v>Check: row139 ≤ row 138</v>
      </c>
      <c r="D163" s="731" t="str">
        <f>'Credit risk (SA)'!D140</f>
        <v/>
      </c>
      <c r="E163" s="731" t="str">
        <f>'Credit risk (SA)'!E140</f>
        <v/>
      </c>
      <c r="F163" s="731" t="str">
        <f>'Credit risk (SA)'!F140</f>
        <v/>
      </c>
      <c r="G163" s="731" t="str">
        <f>'Credit risk (SA)'!H140</f>
        <v/>
      </c>
      <c r="H163" s="761"/>
      <c r="I163" s="731" t="str">
        <f>'Credit risk (SA)'!J140</f>
        <v/>
      </c>
      <c r="J163" s="731" t="str">
        <f>'Credit risk (SA)'!K140</f>
        <v/>
      </c>
      <c r="K163" s="731" t="str">
        <f>'Credit risk (SA)'!L140</f>
        <v/>
      </c>
      <c r="L163" s="263"/>
      <c r="M163" s="731" t="str">
        <f>'Credit risk (SA)'!R140</f>
        <v/>
      </c>
      <c r="N163" s="731" t="str">
        <f>'Credit risk (SA)'!S140</f>
        <v/>
      </c>
      <c r="O163" s="731" t="str">
        <f>'Credit risk (SA)'!T140</f>
        <v/>
      </c>
      <c r="P163" s="731" t="str">
        <f>'Credit risk (SA)'!V140</f>
        <v/>
      </c>
      <c r="Q163" s="731" t="str">
        <f>'Credit risk (SA)'!W140</f>
        <v/>
      </c>
      <c r="R163" s="731" t="str">
        <f>'Credit risk (SA)'!X140</f>
        <v/>
      </c>
      <c r="S163" s="731" t="str">
        <f>'Credit risk (SA)'!Y140</f>
        <v/>
      </c>
      <c r="T163" s="731" t="str">
        <f>'Credit risk (SA)'!Z140</f>
        <v/>
      </c>
      <c r="U163" s="731" t="str">
        <f>'Credit risk (SA)'!AD140</f>
        <v/>
      </c>
      <c r="V163" s="731" t="str">
        <f>'Credit risk (SA)'!AE140</f>
        <v/>
      </c>
      <c r="W163" s="731" t="str">
        <f>'Credit risk (SA)'!AF140</f>
        <v/>
      </c>
      <c r="X163" s="731" t="str">
        <f>'Credit risk (SA)'!AG140</f>
        <v/>
      </c>
      <c r="Y163" s="731" t="str">
        <f>'Credit risk (SA)'!AH140</f>
        <v/>
      </c>
      <c r="Z163" s="731" t="str">
        <f>'Credit risk (SA)'!AI140</f>
        <v/>
      </c>
      <c r="AA163" s="731" t="str">
        <f>'Credit risk (SA)'!AJ140</f>
        <v/>
      </c>
      <c r="AB163" s="771" t="str">
        <f>'Credit risk (SA)'!AK140</f>
        <v/>
      </c>
      <c r="AC163" s="477"/>
      <c r="AD163" s="177"/>
      <c r="AE163" s="177"/>
      <c r="AF163" s="177"/>
      <c r="AG163" s="177"/>
      <c r="AH163" s="177"/>
      <c r="AI163" s="177"/>
      <c r="AJ163" s="177"/>
      <c r="AK163" s="177"/>
      <c r="AL163" s="177"/>
      <c r="AM163" s="177"/>
      <c r="AN163" s="177"/>
      <c r="AO163" s="177"/>
      <c r="AP163" s="546"/>
    </row>
    <row r="164" spans="1:42" ht="15" customHeight="1" x14ac:dyDescent="0.25">
      <c r="B164" s="266" t="s">
        <v>638</v>
      </c>
      <c r="C164" s="632" t="str">
        <f>'Credit risk (SA)'!B144</f>
        <v>Check: cell I138 = cell N143</v>
      </c>
      <c r="D164" s="263"/>
      <c r="E164" s="263"/>
      <c r="F164" s="263"/>
      <c r="G164" s="263"/>
      <c r="H164" s="263"/>
      <c r="I164" s="263"/>
      <c r="J164" s="263"/>
      <c r="K164" s="263"/>
      <c r="L164" s="553" t="str">
        <f>'Credit risk (SA)'!N144</f>
        <v/>
      </c>
      <c r="M164" s="263"/>
      <c r="N164" s="263"/>
      <c r="O164" s="263"/>
      <c r="P164" s="263"/>
      <c r="Q164" s="263"/>
      <c r="R164" s="263"/>
      <c r="S164" s="259"/>
      <c r="T164" s="259"/>
      <c r="U164" s="259"/>
      <c r="V164" s="259"/>
      <c r="W164" s="259"/>
      <c r="X164" s="259"/>
      <c r="Y164" s="259"/>
      <c r="Z164" s="259"/>
      <c r="AA164" s="259"/>
      <c r="AB164" s="259"/>
      <c r="AC164" s="477"/>
      <c r="AD164" s="177"/>
      <c r="AE164" s="177"/>
      <c r="AF164" s="177"/>
      <c r="AG164" s="177"/>
      <c r="AH164" s="177"/>
      <c r="AI164" s="177"/>
      <c r="AJ164" s="177"/>
      <c r="AK164" s="177"/>
      <c r="AL164" s="177"/>
      <c r="AM164" s="177"/>
      <c r="AN164" s="177"/>
      <c r="AO164" s="177"/>
      <c r="AP164" s="546"/>
    </row>
    <row r="165" spans="1:42" ht="15" customHeight="1" x14ac:dyDescent="0.25">
      <c r="B165" s="254" t="s">
        <v>639</v>
      </c>
      <c r="C165" s="547" t="str">
        <f>'Credit risk (SA)'!B155</f>
        <v>Check: row 152 = row 87</v>
      </c>
      <c r="D165" s="561" t="str">
        <f>'Credit risk (SA)'!D155</f>
        <v/>
      </c>
      <c r="E165" s="561" t="str">
        <f>'Credit risk (SA)'!E155</f>
        <v/>
      </c>
      <c r="F165" s="561" t="str">
        <f>'Credit risk (SA)'!F155</f>
        <v/>
      </c>
      <c r="G165" s="561" t="str">
        <f>'Credit risk (SA)'!H155</f>
        <v/>
      </c>
      <c r="H165" s="561" t="str">
        <f>'Credit risk (SA)'!I155</f>
        <v/>
      </c>
      <c r="I165" s="561" t="str">
        <f>'Credit risk (SA)'!J155</f>
        <v/>
      </c>
      <c r="J165" s="265"/>
      <c r="K165" s="265"/>
      <c r="L165" s="265"/>
      <c r="M165" s="265"/>
      <c r="N165" s="265"/>
      <c r="O165" s="265"/>
      <c r="P165" s="265"/>
      <c r="Q165" s="265"/>
      <c r="R165" s="265"/>
      <c r="S165" s="356"/>
      <c r="T165" s="356"/>
      <c r="U165" s="356"/>
      <c r="V165" s="356"/>
      <c r="W165" s="356"/>
      <c r="X165" s="356"/>
      <c r="Y165" s="356"/>
      <c r="Z165" s="356"/>
      <c r="AA165" s="356"/>
      <c r="AB165" s="356"/>
      <c r="AC165" s="477"/>
      <c r="AD165" s="177"/>
      <c r="AE165" s="177"/>
      <c r="AF165" s="177"/>
      <c r="AG165" s="177"/>
      <c r="AH165" s="177"/>
      <c r="AI165" s="177"/>
      <c r="AJ165" s="177"/>
      <c r="AK165" s="177"/>
      <c r="AL165" s="177"/>
      <c r="AM165" s="177"/>
      <c r="AN165" s="177"/>
      <c r="AO165" s="177"/>
      <c r="AP165" s="546"/>
    </row>
    <row r="166" spans="1:42" ht="45" customHeight="1" x14ac:dyDescent="0.25">
      <c r="A166" s="464" t="s">
        <v>2110</v>
      </c>
      <c r="D166" s="477"/>
      <c r="E166" s="477"/>
      <c r="F166" s="477"/>
      <c r="G166" s="477"/>
      <c r="H166" s="477"/>
      <c r="I166" s="477"/>
      <c r="J166" s="477"/>
      <c r="K166" s="477"/>
      <c r="L166" s="477"/>
      <c r="M166" s="477"/>
      <c r="N166" s="477"/>
      <c r="O166" s="477"/>
      <c r="P166" s="477"/>
      <c r="Q166" s="477"/>
      <c r="R166" s="477"/>
      <c r="S166" s="477"/>
      <c r="T166" s="477"/>
      <c r="U166" s="477"/>
      <c r="V166" s="477"/>
      <c r="X166" s="477"/>
      <c r="Y166" s="477"/>
      <c r="Z166" s="477"/>
      <c r="AA166" s="477"/>
      <c r="AB166" s="477"/>
      <c r="AC166" s="477"/>
      <c r="AD166" s="477"/>
      <c r="AE166" s="477"/>
      <c r="AF166" s="477"/>
      <c r="AG166" s="477"/>
      <c r="AH166" s="477"/>
      <c r="AI166" s="477"/>
      <c r="AJ166" s="477"/>
      <c r="AK166" s="477"/>
      <c r="AL166" s="477"/>
      <c r="AM166" s="477"/>
      <c r="AN166" s="477"/>
      <c r="AO166" s="477"/>
      <c r="AP166" s="544"/>
    </row>
    <row r="167" spans="1:42" ht="15" customHeight="1" x14ac:dyDescent="0.25">
      <c r="B167" s="2594" t="s">
        <v>633</v>
      </c>
      <c r="C167" s="2592" t="s">
        <v>13</v>
      </c>
      <c r="D167" s="2597" t="str">
        <f>CONCATENATE("Col ", LEFT(ADDRESS(ROW('Credit risk (IRB)'!CR17),COLUMN('Credit risk (IRB)'!CR17),4), 2))</f>
        <v>Col CR</v>
      </c>
      <c r="E167" s="2603"/>
      <c r="F167" s="2596" t="str">
        <f>CONCATENATE("Col ", LEFT(ADDRESS(ROW('Credit risk (IRB)'!CS17),COLUMN('Credit risk (IRB)'!CS17),4), 2))</f>
        <v>Col CS</v>
      </c>
      <c r="G167" s="259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546"/>
    </row>
    <row r="168" spans="1:42" ht="90" customHeight="1" x14ac:dyDescent="0.25">
      <c r="B168" s="2595"/>
      <c r="C168" s="2593"/>
      <c r="D168" s="2599" t="str">
        <f>'Credit risk (IRB)'!CR16</f>
        <v>Check: column CO ≥ column AU plus column CE</v>
      </c>
      <c r="E168" s="2604"/>
      <c r="F168" s="2598" t="str">
        <f>'Credit risk (IRB)'!CS16</f>
        <v>Check column CQ ≥ column AY plus column CI, adjusted for provisioning shortfall if any</v>
      </c>
      <c r="G168" s="2599"/>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546"/>
    </row>
    <row r="169" spans="1:42" ht="15" customHeight="1" x14ac:dyDescent="0.25">
      <c r="B169" s="465" t="s">
        <v>636</v>
      </c>
      <c r="C169" s="857" t="str">
        <f>'Credit risk (IRB)'!B17</f>
        <v>Large and mid-market general corporates; of which:</v>
      </c>
      <c r="D169" s="2601" t="str">
        <f>'Credit risk (IRB)'!CR17</f>
        <v/>
      </c>
      <c r="E169" s="2605"/>
      <c r="F169" s="2600" t="str">
        <f>'Credit risk (IRB)'!CS17</f>
        <v/>
      </c>
      <c r="G169" s="2601"/>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c r="AL169" s="177"/>
      <c r="AM169" s="177"/>
      <c r="AN169" s="177"/>
      <c r="AO169" s="177"/>
      <c r="AP169" s="546"/>
    </row>
    <row r="170" spans="1:42" ht="15" customHeight="1" x14ac:dyDescent="0.25">
      <c r="B170" s="266" t="s">
        <v>636</v>
      </c>
      <c r="C170" s="336" t="str">
        <f>'Credit risk (IRB)'!B18</f>
        <v>corporates with revenues &gt;EUR 500mn</v>
      </c>
      <c r="D170" s="2589" t="str">
        <f>'Credit risk (IRB)'!CR18</f>
        <v/>
      </c>
      <c r="E170" s="2602"/>
      <c r="F170" s="2588" t="str">
        <f>'Credit risk (IRB)'!CS18</f>
        <v/>
      </c>
      <c r="G170" s="2589"/>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7"/>
      <c r="AL170" s="177"/>
      <c r="AM170" s="177"/>
      <c r="AN170" s="177"/>
      <c r="AO170" s="177"/>
      <c r="AP170" s="546"/>
    </row>
    <row r="171" spans="1:42" ht="15" customHeight="1" x14ac:dyDescent="0.25">
      <c r="B171" s="266" t="s">
        <v>636</v>
      </c>
      <c r="C171" s="336" t="str">
        <f>'Credit risk (IRB)'!B19</f>
        <v>corporates with revenues ≤ EUR 500mn</v>
      </c>
      <c r="D171" s="2589" t="str">
        <f>'Credit risk (IRB)'!CR19</f>
        <v/>
      </c>
      <c r="E171" s="2602"/>
      <c r="F171" s="2588" t="str">
        <f>'Credit risk (IRB)'!CS19</f>
        <v/>
      </c>
      <c r="G171" s="2589"/>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c r="AL171" s="177"/>
      <c r="AM171" s="177"/>
      <c r="AN171" s="177"/>
      <c r="AO171" s="177"/>
      <c r="AP171" s="546"/>
    </row>
    <row r="172" spans="1:42" ht="15" customHeight="1" x14ac:dyDescent="0.25">
      <c r="B172" s="266" t="s">
        <v>636</v>
      </c>
      <c r="C172" s="507" t="str">
        <f>'Credit risk (IRB)'!B20</f>
        <v>Specialised lending; of which:</v>
      </c>
      <c r="D172" s="2589" t="str">
        <f>'Credit risk (IRB)'!CR20</f>
        <v/>
      </c>
      <c r="E172" s="2602"/>
      <c r="F172" s="2588" t="str">
        <f>'Credit risk (IRB)'!CS20</f>
        <v/>
      </c>
      <c r="G172" s="2589"/>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546"/>
    </row>
    <row r="173" spans="1:42" ht="15" customHeight="1" x14ac:dyDescent="0.25">
      <c r="B173" s="266" t="s">
        <v>636</v>
      </c>
      <c r="C173" s="336" t="str">
        <f>'Credit risk (IRB)'!B21</f>
        <v>Project finance; of which:</v>
      </c>
      <c r="D173" s="2589" t="str">
        <f>'Credit risk (IRB)'!CR21</f>
        <v/>
      </c>
      <c r="E173" s="2602"/>
      <c r="F173" s="2588" t="str">
        <f>'Credit risk (IRB)'!CS21</f>
        <v/>
      </c>
      <c r="G173" s="2589"/>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c r="AK173" s="177"/>
      <c r="AL173" s="177"/>
      <c r="AM173" s="177"/>
      <c r="AN173" s="177"/>
      <c r="AO173" s="177"/>
      <c r="AP173" s="546"/>
    </row>
    <row r="174" spans="1:42" ht="15" customHeight="1" x14ac:dyDescent="0.25">
      <c r="B174" s="266" t="s">
        <v>636</v>
      </c>
      <c r="C174" s="615" t="str">
        <f>'Credit risk (IRB)'!B22</f>
        <v>supervisory slotting approach</v>
      </c>
      <c r="D174" s="2589" t="str">
        <f>'Credit risk (IRB)'!CR22</f>
        <v/>
      </c>
      <c r="E174" s="2602"/>
      <c r="F174" s="2588" t="str">
        <f>'Credit risk (IRB)'!CS22</f>
        <v/>
      </c>
      <c r="G174" s="2589"/>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c r="AK174" s="177"/>
      <c r="AL174" s="177"/>
      <c r="AM174" s="177"/>
      <c r="AN174" s="177"/>
      <c r="AO174" s="177"/>
      <c r="AP174" s="546"/>
    </row>
    <row r="175" spans="1:42" ht="15" customHeight="1" x14ac:dyDescent="0.25">
      <c r="B175" s="266" t="s">
        <v>636</v>
      </c>
      <c r="C175" s="508" t="str">
        <f>'Credit risk (IRB)'!B23</f>
        <v>Check: row 22 ≤ row 21</v>
      </c>
      <c r="D175" s="259"/>
      <c r="E175" s="777"/>
      <c r="F175" s="259"/>
      <c r="G175" s="7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c r="AL175" s="177"/>
      <c r="AM175" s="177"/>
      <c r="AN175" s="177"/>
      <c r="AO175" s="177"/>
      <c r="AP175" s="546"/>
    </row>
    <row r="176" spans="1:42" ht="15" customHeight="1" x14ac:dyDescent="0.25">
      <c r="B176" s="266" t="s">
        <v>636</v>
      </c>
      <c r="C176" s="336" t="str">
        <f>'Credit risk (IRB)'!B24</f>
        <v>Object finance; of which:</v>
      </c>
      <c r="D176" s="2589" t="str">
        <f>'Credit risk (IRB)'!CR24</f>
        <v/>
      </c>
      <c r="E176" s="2602"/>
      <c r="F176" s="2588" t="str">
        <f>'Credit risk (IRB)'!CS24</f>
        <v/>
      </c>
      <c r="G176" s="2589"/>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7"/>
      <c r="AL176" s="177"/>
      <c r="AM176" s="177"/>
      <c r="AN176" s="177"/>
      <c r="AO176" s="177"/>
      <c r="AP176" s="546"/>
    </row>
    <row r="177" spans="2:42" ht="15" customHeight="1" x14ac:dyDescent="0.25">
      <c r="B177" s="266" t="s">
        <v>636</v>
      </c>
      <c r="C177" s="615" t="str">
        <f>'Credit risk (IRB)'!B25</f>
        <v>supervisory slotting approach</v>
      </c>
      <c r="D177" s="2589" t="str">
        <f>'Credit risk (IRB)'!CR25</f>
        <v/>
      </c>
      <c r="E177" s="2602"/>
      <c r="F177" s="2588" t="str">
        <f>'Credit risk (IRB)'!CS25</f>
        <v/>
      </c>
      <c r="G177" s="2589"/>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O177" s="177"/>
      <c r="AP177" s="546"/>
    </row>
    <row r="178" spans="2:42" ht="15" customHeight="1" x14ac:dyDescent="0.25">
      <c r="B178" s="266" t="s">
        <v>636</v>
      </c>
      <c r="C178" s="508" t="str">
        <f>'Credit risk (IRB)'!B26</f>
        <v>Check: row 25 ≤ row 24</v>
      </c>
      <c r="D178" s="259"/>
      <c r="E178" s="777"/>
      <c r="F178" s="259"/>
      <c r="G178" s="7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546"/>
    </row>
    <row r="179" spans="2:42" ht="15" customHeight="1" x14ac:dyDescent="0.25">
      <c r="B179" s="266" t="s">
        <v>636</v>
      </c>
      <c r="C179" s="336" t="str">
        <f>'Credit risk (IRB)'!B27</f>
        <v>Commodities finance; of which:</v>
      </c>
      <c r="D179" s="2589" t="str">
        <f>'Credit risk (IRB)'!CR27</f>
        <v/>
      </c>
      <c r="E179" s="2602"/>
      <c r="F179" s="2588" t="str">
        <f>'Credit risk (IRB)'!CS27</f>
        <v/>
      </c>
      <c r="G179" s="2589"/>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c r="AK179" s="177"/>
      <c r="AL179" s="177"/>
      <c r="AM179" s="177"/>
      <c r="AN179" s="177"/>
      <c r="AO179" s="177"/>
      <c r="AP179" s="546"/>
    </row>
    <row r="180" spans="2:42" ht="15" customHeight="1" x14ac:dyDescent="0.25">
      <c r="B180" s="266" t="s">
        <v>636</v>
      </c>
      <c r="C180" s="615" t="str">
        <f>'Credit risk (IRB)'!B28</f>
        <v>supervisory slotting approach</v>
      </c>
      <c r="D180" s="2589" t="str">
        <f>'Credit risk (IRB)'!CR28</f>
        <v/>
      </c>
      <c r="E180" s="2602"/>
      <c r="F180" s="2588" t="str">
        <f>'Credit risk (IRB)'!CS28</f>
        <v/>
      </c>
      <c r="G180" s="2589"/>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c r="AL180" s="177"/>
      <c r="AM180" s="177"/>
      <c r="AN180" s="177"/>
      <c r="AO180" s="177"/>
      <c r="AP180" s="546"/>
    </row>
    <row r="181" spans="2:42" ht="15" customHeight="1" x14ac:dyDescent="0.25">
      <c r="B181" s="266" t="s">
        <v>636</v>
      </c>
      <c r="C181" s="508" t="str">
        <f>'Credit risk (IRB)'!B29</f>
        <v>Check: row 28 ≤ row 27</v>
      </c>
      <c r="D181" s="259"/>
      <c r="E181" s="777"/>
      <c r="F181" s="259"/>
      <c r="G181" s="7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O181" s="177"/>
      <c r="AP181" s="546"/>
    </row>
    <row r="182" spans="2:42" ht="15" customHeight="1" x14ac:dyDescent="0.25">
      <c r="B182" s="266" t="s">
        <v>636</v>
      </c>
      <c r="C182" s="336" t="str">
        <f>'Credit risk (IRB)'!B30</f>
        <v>Income-producing real estate; of which:</v>
      </c>
      <c r="D182" s="2589" t="str">
        <f>'Credit risk (IRB)'!CR30</f>
        <v/>
      </c>
      <c r="E182" s="2602"/>
      <c r="F182" s="2588" t="str">
        <f>'Credit risk (IRB)'!CS30</f>
        <v/>
      </c>
      <c r="G182" s="2589"/>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546"/>
    </row>
    <row r="183" spans="2:42" ht="15" customHeight="1" x14ac:dyDescent="0.25">
      <c r="B183" s="266" t="s">
        <v>636</v>
      </c>
      <c r="C183" s="615" t="str">
        <f>'Credit risk (IRB)'!B31</f>
        <v>supervisory slotting approach</v>
      </c>
      <c r="D183" s="2589" t="str">
        <f>'Credit risk (IRB)'!CR31</f>
        <v/>
      </c>
      <c r="E183" s="2602"/>
      <c r="F183" s="2588" t="str">
        <f>'Credit risk (IRB)'!CS31</f>
        <v/>
      </c>
      <c r="G183" s="2589"/>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546"/>
    </row>
    <row r="184" spans="2:42" ht="15" customHeight="1" x14ac:dyDescent="0.25">
      <c r="B184" s="266" t="s">
        <v>636</v>
      </c>
      <c r="C184" s="508" t="str">
        <f>'Credit risk (IRB)'!B32</f>
        <v>Check: row 31 ≤ row 30</v>
      </c>
      <c r="D184" s="259"/>
      <c r="E184" s="777"/>
      <c r="F184" s="259"/>
      <c r="G184" s="7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O184" s="177"/>
      <c r="AP184" s="546"/>
    </row>
    <row r="185" spans="2:42" ht="15" customHeight="1" x14ac:dyDescent="0.25">
      <c r="B185" s="266" t="s">
        <v>636</v>
      </c>
      <c r="C185" s="336" t="str">
        <f>'Credit risk (IRB)'!B33</f>
        <v>High-volatility commercial real estate; of which:</v>
      </c>
      <c r="D185" s="2589" t="str">
        <f>'Credit risk (IRB)'!CR33</f>
        <v/>
      </c>
      <c r="E185" s="2602"/>
      <c r="F185" s="2588" t="str">
        <f>'Credit risk (IRB)'!CS33</f>
        <v/>
      </c>
      <c r="G185" s="2589"/>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546"/>
    </row>
    <row r="186" spans="2:42" ht="15" customHeight="1" x14ac:dyDescent="0.25">
      <c r="B186" s="266" t="s">
        <v>636</v>
      </c>
      <c r="C186" s="615" t="str">
        <f>'Credit risk (IRB)'!B34</f>
        <v>supervisory slotting approach</v>
      </c>
      <c r="D186" s="2589" t="str">
        <f>'Credit risk (IRB)'!CR34</f>
        <v/>
      </c>
      <c r="E186" s="2602"/>
      <c r="F186" s="2588" t="str">
        <f>'Credit risk (IRB)'!CS34</f>
        <v/>
      </c>
      <c r="G186" s="2589"/>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546"/>
    </row>
    <row r="187" spans="2:42" ht="15" customHeight="1" x14ac:dyDescent="0.25">
      <c r="B187" s="266" t="s">
        <v>636</v>
      </c>
      <c r="C187" s="508" t="str">
        <f>'Credit risk (IRB)'!B35</f>
        <v>Check: row 34 ≤ row 33</v>
      </c>
      <c r="D187" s="259"/>
      <c r="E187" s="777"/>
      <c r="F187" s="259"/>
      <c r="G187" s="7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c r="AL187" s="177"/>
      <c r="AM187" s="177"/>
      <c r="AN187" s="177"/>
      <c r="AO187" s="177"/>
      <c r="AP187" s="546"/>
    </row>
    <row r="188" spans="2:42" ht="15" customHeight="1" x14ac:dyDescent="0.25">
      <c r="B188" s="266" t="s">
        <v>636</v>
      </c>
      <c r="C188" s="507" t="str">
        <f>'Credit risk (IRB)'!B36</f>
        <v>SME treated as corporate</v>
      </c>
      <c r="D188" s="2589" t="str">
        <f>'Credit risk (IRB)'!CR36</f>
        <v/>
      </c>
      <c r="E188" s="2602"/>
      <c r="F188" s="2588" t="str">
        <f>'Credit risk (IRB)'!CS36</f>
        <v/>
      </c>
      <c r="G188" s="2589"/>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546"/>
    </row>
    <row r="189" spans="2:42" ht="15" customHeight="1" x14ac:dyDescent="0.25">
      <c r="B189" s="266" t="s">
        <v>636</v>
      </c>
      <c r="C189" s="507" t="str">
        <f>'Credit risk (IRB)'!B37</f>
        <v>Financial institutions treated as corporates</v>
      </c>
      <c r="D189" s="2589" t="str">
        <f>'Credit risk (IRB)'!CR37</f>
        <v/>
      </c>
      <c r="E189" s="2602"/>
      <c r="F189" s="2588" t="str">
        <f>'Credit risk (IRB)'!CS37</f>
        <v/>
      </c>
      <c r="G189" s="2589"/>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O189" s="177"/>
      <c r="AP189" s="546"/>
    </row>
    <row r="190" spans="2:42" ht="15" customHeight="1" x14ac:dyDescent="0.25">
      <c r="B190" s="266" t="s">
        <v>636</v>
      </c>
      <c r="C190" s="507" t="str">
        <f>'Credit risk (IRB)'!B38</f>
        <v>Sovereigns</v>
      </c>
      <c r="D190" s="2589" t="str">
        <f>'Credit risk (IRB)'!CR38</f>
        <v/>
      </c>
      <c r="E190" s="2602"/>
      <c r="F190" s="2588" t="str">
        <f>'Credit risk (IRB)'!CS38</f>
        <v/>
      </c>
      <c r="G190" s="2589"/>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c r="AL190" s="177"/>
      <c r="AM190" s="177"/>
      <c r="AN190" s="177"/>
      <c r="AO190" s="177"/>
      <c r="AP190" s="546"/>
    </row>
    <row r="191" spans="2:42" ht="15" customHeight="1" x14ac:dyDescent="0.25">
      <c r="B191" s="266" t="s">
        <v>636</v>
      </c>
      <c r="C191" s="507" t="str">
        <f>'Credit risk (IRB)'!B39</f>
        <v>Banks</v>
      </c>
      <c r="D191" s="2589" t="str">
        <f>'Credit risk (IRB)'!CR39</f>
        <v/>
      </c>
      <c r="E191" s="2602"/>
      <c r="F191" s="2588" t="str">
        <f>'Credit risk (IRB)'!CS39</f>
        <v/>
      </c>
      <c r="G191" s="2589"/>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546"/>
    </row>
    <row r="192" spans="2:42" ht="15" customHeight="1" x14ac:dyDescent="0.25">
      <c r="B192" s="266" t="s">
        <v>636</v>
      </c>
      <c r="C192" s="507" t="str">
        <f>'Credit risk (IRB)'!B40</f>
        <v>Retail residential mortgages</v>
      </c>
      <c r="D192" s="2589" t="str">
        <f>'Credit risk (IRB)'!CR40</f>
        <v/>
      </c>
      <c r="E192" s="2602"/>
      <c r="F192" s="2588" t="str">
        <f>'Credit risk (IRB)'!CS40</f>
        <v/>
      </c>
      <c r="G192" s="2589"/>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546"/>
    </row>
    <row r="193" spans="2:42" ht="15" customHeight="1" x14ac:dyDescent="0.25">
      <c r="B193" s="266" t="s">
        <v>636</v>
      </c>
      <c r="C193" s="507" t="str">
        <f>'Credit risk (IRB)'!B41</f>
        <v>Qualifying revolving retail exposures; of which:</v>
      </c>
      <c r="D193" s="2589" t="str">
        <f>'Credit risk (IRB)'!CR41</f>
        <v/>
      </c>
      <c r="E193" s="2602"/>
      <c r="F193" s="2588" t="str">
        <f>'Credit risk (IRB)'!CS41</f>
        <v/>
      </c>
      <c r="G193" s="2589"/>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546"/>
    </row>
    <row r="194" spans="2:42" ht="15" customHeight="1" x14ac:dyDescent="0.25">
      <c r="B194" s="266" t="s">
        <v>636</v>
      </c>
      <c r="C194" s="336" t="str">
        <f>'Credit risk (IRB)'!B42</f>
        <v>transactors</v>
      </c>
      <c r="D194" s="2589" t="str">
        <f>'Credit risk (IRB)'!CR42</f>
        <v/>
      </c>
      <c r="E194" s="2602"/>
      <c r="F194" s="2588" t="str">
        <f>'Credit risk (IRB)'!CS42</f>
        <v/>
      </c>
      <c r="G194" s="2589"/>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546"/>
    </row>
    <row r="195" spans="2:42" ht="15" customHeight="1" x14ac:dyDescent="0.25">
      <c r="B195" s="266" t="s">
        <v>636</v>
      </c>
      <c r="C195" s="336" t="str">
        <f>'Credit risk (IRB)'!B43</f>
        <v>revolvers</v>
      </c>
      <c r="D195" s="2589" t="str">
        <f>'Credit risk (IRB)'!CR43</f>
        <v/>
      </c>
      <c r="E195" s="2602"/>
      <c r="F195" s="2588" t="str">
        <f>'Credit risk (IRB)'!CS43</f>
        <v/>
      </c>
      <c r="G195" s="2589"/>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546"/>
    </row>
    <row r="196" spans="2:42" ht="15" customHeight="1" x14ac:dyDescent="0.25">
      <c r="B196" s="266" t="s">
        <v>636</v>
      </c>
      <c r="C196" s="507" t="str">
        <f>'Credit risk (IRB)'!B44</f>
        <v>Other retail; of which:</v>
      </c>
      <c r="D196" s="2589" t="str">
        <f>'Credit risk (IRB)'!CR44</f>
        <v/>
      </c>
      <c r="E196" s="2602"/>
      <c r="F196" s="2588" t="str">
        <f>'Credit risk (IRB)'!CS44</f>
        <v/>
      </c>
      <c r="G196" s="2589"/>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546"/>
    </row>
    <row r="197" spans="2:42" ht="15" customHeight="1" x14ac:dyDescent="0.25">
      <c r="B197" s="266" t="s">
        <v>636</v>
      </c>
      <c r="C197" s="336" t="str">
        <f>'Credit risk (IRB)'!B45</f>
        <v>unsecured; of which:</v>
      </c>
      <c r="D197" s="2589" t="str">
        <f>'Credit risk (IRB)'!CR45</f>
        <v/>
      </c>
      <c r="E197" s="2602"/>
      <c r="F197" s="2588" t="str">
        <f>'Credit risk (IRB)'!CS45</f>
        <v/>
      </c>
      <c r="G197" s="2589"/>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546"/>
    </row>
    <row r="198" spans="2:42" ht="15" customHeight="1" x14ac:dyDescent="0.25">
      <c r="B198" s="266" t="s">
        <v>636</v>
      </c>
      <c r="C198" s="615" t="str">
        <f>'Credit risk (IRB)'!B46</f>
        <v>SME treated as retail</v>
      </c>
      <c r="D198" s="2589" t="str">
        <f>'Credit risk (IRB)'!CR46</f>
        <v/>
      </c>
      <c r="E198" s="2602"/>
      <c r="F198" s="2588" t="str">
        <f>'Credit risk (IRB)'!CS46</f>
        <v/>
      </c>
      <c r="G198" s="2589"/>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546"/>
    </row>
    <row r="199" spans="2:42" ht="15" customHeight="1" x14ac:dyDescent="0.25">
      <c r="B199" s="266" t="s">
        <v>636</v>
      </c>
      <c r="C199" s="508" t="str">
        <f>'Credit risk (IRB)'!B47</f>
        <v>Check: row 46 ≤ row 45</v>
      </c>
      <c r="D199" s="259"/>
      <c r="E199" s="777"/>
      <c r="F199" s="259"/>
      <c r="G199" s="7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546"/>
    </row>
    <row r="200" spans="2:42" ht="15" customHeight="1" x14ac:dyDescent="0.25">
      <c r="B200" s="266" t="s">
        <v>636</v>
      </c>
      <c r="C200" s="336" t="str">
        <f>'Credit risk (IRB)'!B48</f>
        <v>secured; of which:</v>
      </c>
      <c r="D200" s="2589" t="str">
        <f>'Credit risk (IRB)'!CR48</f>
        <v/>
      </c>
      <c r="E200" s="2602"/>
      <c r="F200" s="2588" t="str">
        <f>'Credit risk (IRB)'!CS48</f>
        <v/>
      </c>
      <c r="G200" s="2589"/>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546"/>
    </row>
    <row r="201" spans="2:42" ht="15" customHeight="1" x14ac:dyDescent="0.25">
      <c r="B201" s="266" t="s">
        <v>636</v>
      </c>
      <c r="C201" s="615" t="str">
        <f>'Credit risk (IRB)'!B49</f>
        <v>SME treated as retail</v>
      </c>
      <c r="D201" s="2589" t="str">
        <f>'Credit risk (IRB)'!CR49</f>
        <v/>
      </c>
      <c r="E201" s="2602"/>
      <c r="F201" s="2588" t="str">
        <f>'Credit risk (IRB)'!CS49</f>
        <v/>
      </c>
      <c r="G201" s="2589"/>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77"/>
      <c r="AN201" s="177"/>
      <c r="AO201" s="177"/>
      <c r="AP201" s="546"/>
    </row>
    <row r="202" spans="2:42" ht="15" customHeight="1" x14ac:dyDescent="0.25">
      <c r="B202" s="266" t="s">
        <v>636</v>
      </c>
      <c r="C202" s="508" t="str">
        <f>'Credit risk (IRB)'!B50</f>
        <v>Check: row 49 ≤ row 48</v>
      </c>
      <c r="D202" s="259"/>
      <c r="E202" s="777"/>
      <c r="F202" s="259"/>
      <c r="G202" s="7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O202" s="177"/>
      <c r="AP202" s="546"/>
    </row>
    <row r="203" spans="2:42" ht="15" customHeight="1" x14ac:dyDescent="0.25">
      <c r="B203" s="266" t="s">
        <v>636</v>
      </c>
      <c r="C203" s="507" t="str">
        <f>'Credit risk (IRB)'!B51</f>
        <v>Equity exposures; of which:</v>
      </c>
      <c r="D203" s="259"/>
      <c r="E203" s="777"/>
      <c r="F203" s="259"/>
      <c r="G203" s="7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O203" s="177"/>
      <c r="AP203" s="546"/>
    </row>
    <row r="204" spans="2:42" ht="15" customHeight="1" x14ac:dyDescent="0.25">
      <c r="B204" s="266" t="s">
        <v>636</v>
      </c>
      <c r="C204" s="507" t="str">
        <f>'Credit risk (IRB)'!B55</f>
        <v>Equity investment in funds; of which:</v>
      </c>
      <c r="D204" s="2589" t="str">
        <f>'Credit risk (IRB)'!CR55</f>
        <v/>
      </c>
      <c r="E204" s="2602"/>
      <c r="F204" s="2588" t="str">
        <f>'Credit risk (IRB)'!CS55</f>
        <v/>
      </c>
      <c r="G204" s="2589"/>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546"/>
    </row>
    <row r="205" spans="2:42" ht="15" customHeight="1" x14ac:dyDescent="0.25">
      <c r="B205" s="266" t="s">
        <v>636</v>
      </c>
      <c r="C205" s="336" t="str">
        <f>'Credit risk (IRB)'!B56</f>
        <v>Equity investment in funds (mandate-based approach)</v>
      </c>
      <c r="D205" s="2589" t="str">
        <f>'Credit risk (IRB)'!CR56</f>
        <v/>
      </c>
      <c r="E205" s="2602"/>
      <c r="F205" s="2588" t="str">
        <f>'Credit risk (IRB)'!CS56</f>
        <v/>
      </c>
      <c r="G205" s="2589"/>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7"/>
      <c r="AP205" s="546"/>
    </row>
    <row r="206" spans="2:42" ht="15" customHeight="1" x14ac:dyDescent="0.25">
      <c r="B206" s="266" t="s">
        <v>636</v>
      </c>
      <c r="C206" s="336" t="str">
        <f>'Credit risk (IRB)'!B57</f>
        <v>Equity investment in funds (fall back approach)</v>
      </c>
      <c r="D206" s="2589" t="str">
        <f>'Credit risk (IRB)'!CR57</f>
        <v/>
      </c>
      <c r="E206" s="2602"/>
      <c r="F206" s="2588" t="str">
        <f>'Credit risk (IRB)'!CS57</f>
        <v/>
      </c>
      <c r="G206" s="2589"/>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546"/>
    </row>
    <row r="207" spans="2:42" ht="15" customHeight="1" x14ac:dyDescent="0.25">
      <c r="B207" s="266" t="s">
        <v>636</v>
      </c>
      <c r="C207" s="507" t="str">
        <f>'Credit risk (IRB)'!B58</f>
        <v>Eligible purchased receivables; of which:</v>
      </c>
      <c r="D207" s="2589" t="str">
        <f>'Credit risk (IRB)'!CR58</f>
        <v/>
      </c>
      <c r="E207" s="2602"/>
      <c r="F207" s="2588" t="str">
        <f>'Credit risk (IRB)'!CS58</f>
        <v/>
      </c>
      <c r="G207" s="2589"/>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546"/>
    </row>
    <row r="208" spans="2:42" ht="15" customHeight="1" x14ac:dyDescent="0.25">
      <c r="B208" s="266" t="s">
        <v>636</v>
      </c>
      <c r="C208" s="336" t="str">
        <f>'Credit risk (IRB)'!B59</f>
        <v>Corporates</v>
      </c>
      <c r="D208" s="2589" t="str">
        <f>'Credit risk (IRB)'!CR59</f>
        <v/>
      </c>
      <c r="E208" s="2602"/>
      <c r="F208" s="2588" t="str">
        <f>'Credit risk (IRB)'!CS59</f>
        <v/>
      </c>
      <c r="G208" s="2589"/>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546"/>
    </row>
    <row r="209" spans="2:42" ht="15" customHeight="1" x14ac:dyDescent="0.25">
      <c r="B209" s="266" t="s">
        <v>636</v>
      </c>
      <c r="C209" s="336" t="str">
        <f>'Credit risk (IRB)'!B60</f>
        <v>Retail</v>
      </c>
      <c r="D209" s="2589" t="str">
        <f>'Credit risk (IRB)'!CR60</f>
        <v/>
      </c>
      <c r="E209" s="2602"/>
      <c r="F209" s="2588" t="str">
        <f>'Credit risk (IRB)'!CS60</f>
        <v/>
      </c>
      <c r="G209" s="2589"/>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546"/>
    </row>
    <row r="210" spans="2:42" ht="15" customHeight="1" x14ac:dyDescent="0.25">
      <c r="B210" s="266" t="s">
        <v>636</v>
      </c>
      <c r="C210" s="507" t="str">
        <f>'Credit risk (IRB)'!B61</f>
        <v>Failed trades and non-DVP transactions</v>
      </c>
      <c r="D210" s="2589" t="str">
        <f>'Credit risk (IRB)'!CR61</f>
        <v/>
      </c>
      <c r="E210" s="2602"/>
      <c r="F210" s="2588" t="str">
        <f>'Credit risk (IRB)'!CS61</f>
        <v/>
      </c>
      <c r="G210" s="2589"/>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546"/>
    </row>
    <row r="211" spans="2:42" ht="15" customHeight="1" x14ac:dyDescent="0.25">
      <c r="B211" s="266" t="s">
        <v>636</v>
      </c>
      <c r="C211" s="337" t="str">
        <f>'Credit risk (IRB)'!B62</f>
        <v>Other assets; of which:</v>
      </c>
      <c r="D211" s="2589" t="str">
        <f>'Credit risk (IRB)'!CR62</f>
        <v/>
      </c>
      <c r="E211" s="2602"/>
      <c r="F211" s="2588" t="str">
        <f>'Credit risk (IRB)'!CS62</f>
        <v/>
      </c>
      <c r="G211" s="2589"/>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c r="AL211" s="177"/>
      <c r="AM211" s="177"/>
      <c r="AN211" s="177"/>
      <c r="AO211" s="177"/>
      <c r="AP211" s="546"/>
    </row>
    <row r="212" spans="2:42" ht="15" customHeight="1" x14ac:dyDescent="0.25">
      <c r="B212" s="254" t="s">
        <v>636</v>
      </c>
      <c r="C212" s="509" t="str">
        <f>'Credit risk (IRB)'!B63</f>
        <v>Non-credit obligations</v>
      </c>
      <c r="D212" s="2591" t="str">
        <f>'Credit risk (IRB)'!CR63</f>
        <v/>
      </c>
      <c r="E212" s="2606"/>
      <c r="F212" s="2590" t="str">
        <f>'Credit risk (IRB)'!CS63</f>
        <v/>
      </c>
      <c r="G212" s="2591"/>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O212" s="177"/>
      <c r="AP212" s="546"/>
    </row>
    <row r="213" spans="2:42" ht="15" customHeight="1" x14ac:dyDescent="0.25">
      <c r="D213" s="477"/>
      <c r="E213" s="477"/>
      <c r="F213" s="477"/>
      <c r="G213" s="477"/>
      <c r="H213" s="477"/>
      <c r="I213" s="477"/>
      <c r="J213" s="477"/>
      <c r="K213" s="477"/>
      <c r="L213" s="549"/>
      <c r="M213" s="477"/>
      <c r="N213" s="477"/>
      <c r="O213" s="477"/>
      <c r="P213" s="477"/>
      <c r="Q213" s="477"/>
      <c r="R213" s="477"/>
      <c r="S213" s="477"/>
      <c r="T213" s="477"/>
      <c r="U213" s="477"/>
      <c r="V213" s="477"/>
      <c r="W213" s="177"/>
      <c r="X213" s="177"/>
      <c r="Y213" s="177"/>
      <c r="Z213" s="177"/>
      <c r="AA213" s="177"/>
      <c r="AB213" s="177"/>
      <c r="AC213" s="177"/>
      <c r="AD213" s="177"/>
      <c r="AE213" s="177"/>
      <c r="AF213" s="177"/>
      <c r="AG213" s="177"/>
      <c r="AH213" s="177"/>
      <c r="AI213" s="177"/>
      <c r="AJ213" s="177"/>
      <c r="AK213" s="177"/>
      <c r="AL213" s="177"/>
      <c r="AM213" s="177"/>
      <c r="AN213" s="177"/>
      <c r="AO213" s="177"/>
      <c r="AP213" s="546"/>
    </row>
    <row r="214" spans="2:42" ht="15" customHeight="1" x14ac:dyDescent="0.25">
      <c r="B214" s="772" t="s">
        <v>633</v>
      </c>
      <c r="C214" s="1341" t="s">
        <v>13</v>
      </c>
      <c r="D214" s="2312" t="str">
        <f>CONCATENATE("Col ", LEFT(ADDRESS(ROW('Credit risk (IRB)'!Z17),COLUMN('Credit risk (IRB)'!Z17),4), 2))</f>
        <v>Col Z1</v>
      </c>
      <c r="E214" s="2312" t="str">
        <f>CONCATENATE("Col ", LEFT(ADDRESS(ROW('Credit risk (IRB)'!AA17),COLUMN('Credit risk (IRB)'!AA17),4), 2))</f>
        <v>Col AA</v>
      </c>
      <c r="F214" s="2312" t="str">
        <f>CONCATENATE("Col ", LEFT(ADDRESS(ROW('Credit risk (IRB)'!AB17),COLUMN('Credit risk (IRB)'!AB17),4), 2))</f>
        <v>Col AB</v>
      </c>
      <c r="G214" s="2312" t="str">
        <f>CONCATENATE("Col ", LEFT(ADDRESS(ROW('Credit risk (IRB)'!AC17),COLUMN('Credit risk (IRB)'!AC17),4), 2))</f>
        <v>Col AC</v>
      </c>
      <c r="H214" s="2312" t="str">
        <f>CONCATENATE("Col ", LEFT(ADDRESS(ROW('Credit risk (IRB)'!AD17),COLUMN('Credit risk (IRB)'!AD17),4), 2))</f>
        <v>Col AD</v>
      </c>
      <c r="I214" s="2312" t="str">
        <f>CONCATENATE("Col ", LEFT(ADDRESS(ROW('Credit risk (IRB)'!AF17),COLUMN('Credit risk (IRB)'!AF17),4), 2))</f>
        <v>Col AF</v>
      </c>
      <c r="J214" s="2312" t="str">
        <f>CONCATENATE("Col ", LEFT(ADDRESS(ROW('Credit risk (IRB)'!AG17),COLUMN('Credit risk (IRB)'!AG17),4), 2))</f>
        <v>Col AG</v>
      </c>
      <c r="K214" s="2312" t="str">
        <f>CONCATENATE("Col ", LEFT(ADDRESS(ROW('Credit risk (IRB)'!AH17),COLUMN('Credit risk (IRB)'!AH17),4), 2))</f>
        <v>Col AH</v>
      </c>
      <c r="L214" s="2312" t="str">
        <f>CONCATENATE("Col ", LEFT(ADDRESS(ROW('Credit risk (IRB)'!AJ17),COLUMN('Credit risk (IRB)'!AJ17),4), 2))</f>
        <v>Col AJ</v>
      </c>
      <c r="M214" s="2312" t="str">
        <f>CONCATENATE("Col ", LEFT(ADDRESS(ROW('Credit risk (IRB)'!AK17),COLUMN('Credit risk (IRB)'!AK17),4), 2))</f>
        <v>Col AK</v>
      </c>
      <c r="N214" s="2312" t="str">
        <f>CONCATENATE("Col ", LEFT(ADDRESS(ROW('Credit risk (IRB)'!BM17),COLUMN('Credit risk (IRB)'!BM17),4), 2))</f>
        <v>Col BM</v>
      </c>
      <c r="O214" s="2312" t="str">
        <f>CONCATENATE("Col ", LEFT(ADDRESS(ROW('Credit risk (IRB)'!BN17),COLUMN('Credit risk (IRB)'!BN17),4), 2))</f>
        <v>Col BN</v>
      </c>
      <c r="P214" s="2312" t="str">
        <f>CONCATENATE("Col ", LEFT(ADDRESS(ROW('Credit risk (IRB)'!BO17),COLUMN('Credit risk (IRB)'!BO17),4), 2))</f>
        <v>Col BO</v>
      </c>
      <c r="Q214" s="2312" t="str">
        <f>CONCATENATE("Col ", LEFT(ADDRESS(ROW('Credit risk (IRB)'!BP17),COLUMN('Credit risk (IRB)'!BP17),4), 2))</f>
        <v>Col BP</v>
      </c>
      <c r="R214" s="2312" t="str">
        <f>CONCATENATE("Col ", LEFT(ADDRESS(ROW('Credit risk (IRB)'!BQ17),COLUMN('Credit risk (IRB)'!BQ17),4), 2))</f>
        <v>Col BQ</v>
      </c>
      <c r="S214" s="2312" t="str">
        <f>CONCATENATE("Col ", LEFT(ADDRESS(ROW('Credit risk (IRB)'!BS17),COLUMN('Credit risk (IRB)'!BS17),4), 2))</f>
        <v>Col BS</v>
      </c>
      <c r="T214" s="2312" t="str">
        <f>CONCATENATE("Col ", LEFT(ADDRESS(ROW('Credit risk (IRB)'!BT17),COLUMN('Credit risk (IRB)'!BT17),4), 2))</f>
        <v>Col BT</v>
      </c>
      <c r="U214" s="2312" t="str">
        <f>CONCATENATE("Col ", LEFT(ADDRESS(ROW('Credit risk (IRB)'!BU17),COLUMN('Credit risk (IRB)'!BU17),4), 2))</f>
        <v>Col BU</v>
      </c>
      <c r="V214" s="2312" t="str">
        <f>CONCATENATE("Col ", LEFT(ADDRESS(ROW('Credit risk (IRB)'!BW17),COLUMN('Credit risk (IRB)'!BW17),4), 2))</f>
        <v>Col BW</v>
      </c>
      <c r="W214" s="2312" t="str">
        <f>CONCATENATE("Col ", LEFT(ADDRESS(ROW('Credit risk (IRB)'!CL17),COLUMN('Credit risk (IRB)'!CL17),4), 2))</f>
        <v>Col CL</v>
      </c>
      <c r="X214" s="2312" t="str">
        <f>CONCATENATE("Col ", LEFT(ADDRESS(ROW('Credit risk (IRB)'!CO17),COLUMN('Credit risk (IRB)'!CO17),4), 2))</f>
        <v>Col CO</v>
      </c>
      <c r="Y214" s="2312" t="str">
        <f>CONCATENATE("Col ", LEFT(ADDRESS(ROW('Credit risk (IRB)'!CP17),COLUMN('Credit risk (IRB)'!CP17),4), 2))</f>
        <v>Col CP</v>
      </c>
      <c r="Z214" s="2310" t="str">
        <f>CONCATENATE("Col ", LEFT(ADDRESS(ROW('Credit risk (IRB)'!CQ17),COLUMN('Credit risk (IRB)'!CQ17),4), 2))</f>
        <v>Col CQ</v>
      </c>
      <c r="AA214" s="2315"/>
      <c r="AB214" s="2315"/>
      <c r="AC214" s="2315"/>
      <c r="AD214" s="2315"/>
      <c r="AE214" s="2315"/>
      <c r="AF214" s="2315"/>
      <c r="AG214" s="2315"/>
      <c r="AH214" s="2315"/>
      <c r="AI214" s="2315"/>
      <c r="AJ214" s="177"/>
      <c r="AK214" s="177"/>
      <c r="AL214" s="177"/>
      <c r="AM214" s="177"/>
      <c r="AN214" s="177"/>
      <c r="AO214" s="177"/>
      <c r="AP214" s="546"/>
    </row>
    <row r="215" spans="2:42" ht="15" customHeight="1" x14ac:dyDescent="0.25">
      <c r="B215" s="465" t="s">
        <v>636</v>
      </c>
      <c r="C215" s="753" t="str">
        <f>'Credit risk (IRB)'!B23</f>
        <v>Check: row 22 ≤ row 21</v>
      </c>
      <c r="D215" s="730" t="str">
        <f>'Credit risk (IRB)'!Z23</f>
        <v/>
      </c>
      <c r="E215" s="731" t="str">
        <f>'Credit risk (IRB)'!AA23</f>
        <v/>
      </c>
      <c r="F215" s="731" t="str">
        <f>'Credit risk (IRB)'!AB23</f>
        <v/>
      </c>
      <c r="G215" s="731" t="str">
        <f>'Credit risk (IRB)'!AC23</f>
        <v/>
      </c>
      <c r="H215" s="731" t="str">
        <f>'Credit risk (IRB)'!AD23</f>
        <v/>
      </c>
      <c r="I215" s="731" t="str">
        <f>'Credit risk (IRB)'!AF23</f>
        <v/>
      </c>
      <c r="J215" s="731" t="str">
        <f>'Credit risk (IRB)'!AG23</f>
        <v/>
      </c>
      <c r="K215" s="731" t="str">
        <f>'Credit risk (IRB)'!AH23</f>
        <v/>
      </c>
      <c r="L215" s="731" t="str">
        <f>'Credit risk (IRB)'!AJ23</f>
        <v/>
      </c>
      <c r="M215" s="731" t="str">
        <f>'Credit risk (IRB)'!AK23</f>
        <v/>
      </c>
      <c r="N215" s="731" t="str">
        <f>'Credit risk (IRB)'!BM23</f>
        <v/>
      </c>
      <c r="O215" s="731" t="str">
        <f>'Credit risk (IRB)'!BN23</f>
        <v/>
      </c>
      <c r="P215" s="731" t="str">
        <f>'Credit risk (IRB)'!BO23</f>
        <v/>
      </c>
      <c r="Q215" s="731" t="str">
        <f>'Credit risk (IRB)'!BP23</f>
        <v/>
      </c>
      <c r="R215" s="731" t="str">
        <f>'Credit risk (IRB)'!BQ23</f>
        <v/>
      </c>
      <c r="S215" s="731" t="str">
        <f>'Credit risk (IRB)'!BS23</f>
        <v/>
      </c>
      <c r="T215" s="731" t="str">
        <f>'Credit risk (IRB)'!BT23</f>
        <v/>
      </c>
      <c r="U215" s="731" t="str">
        <f>'Credit risk (IRB)'!BU23</f>
        <v/>
      </c>
      <c r="V215" s="731" t="str">
        <f>'Credit risk (IRB)'!BW23</f>
        <v/>
      </c>
      <c r="W215" s="731" t="str">
        <f>'Credit risk (IRB)'!CL23</f>
        <v/>
      </c>
      <c r="X215" s="731" t="str">
        <f>'Credit risk (IRB)'!CO23</f>
        <v/>
      </c>
      <c r="Y215" s="731" t="str">
        <f>'Credit risk (IRB)'!CP23</f>
        <v/>
      </c>
      <c r="Z215" s="771" t="str">
        <f>'Credit risk (IRB)'!CQ23</f>
        <v/>
      </c>
      <c r="AA215" s="177"/>
      <c r="AB215" s="177"/>
      <c r="AC215" s="177"/>
      <c r="AD215" s="177"/>
      <c r="AE215" s="177"/>
      <c r="AF215" s="177"/>
      <c r="AG215" s="177"/>
      <c r="AH215" s="177"/>
      <c r="AI215" s="177"/>
      <c r="AJ215" s="177"/>
      <c r="AK215" s="177"/>
      <c r="AL215" s="177"/>
      <c r="AM215" s="177"/>
      <c r="AN215" s="177"/>
      <c r="AO215" s="177"/>
      <c r="AP215" s="546"/>
    </row>
    <row r="216" spans="2:42" ht="15" customHeight="1" x14ac:dyDescent="0.25">
      <c r="B216" s="465" t="s">
        <v>636</v>
      </c>
      <c r="C216" s="2306" t="str">
        <f>'Credit risk (IRB)'!B26</f>
        <v>Check: row 25 ≤ row 24</v>
      </c>
      <c r="D216" s="560" t="str">
        <f>'Credit risk (IRB)'!Z26</f>
        <v/>
      </c>
      <c r="E216" s="553" t="str">
        <f>'Credit risk (IRB)'!AA26</f>
        <v/>
      </c>
      <c r="F216" s="553" t="str">
        <f>'Credit risk (IRB)'!AB26</f>
        <v/>
      </c>
      <c r="G216" s="553" t="str">
        <f>'Credit risk (IRB)'!AC26</f>
        <v/>
      </c>
      <c r="H216" s="553" t="str">
        <f>'Credit risk (IRB)'!AD26</f>
        <v/>
      </c>
      <c r="I216" s="553" t="str">
        <f>'Credit risk (IRB)'!AF26</f>
        <v/>
      </c>
      <c r="J216" s="553" t="str">
        <f>'Credit risk (IRB)'!AG26</f>
        <v/>
      </c>
      <c r="K216" s="553" t="str">
        <f>'Credit risk (IRB)'!AH26</f>
        <v/>
      </c>
      <c r="L216" s="553" t="str">
        <f>'Credit risk (IRB)'!AJ26</f>
        <v/>
      </c>
      <c r="M216" s="553" t="str">
        <f>'Credit risk (IRB)'!AK26</f>
        <v/>
      </c>
      <c r="N216" s="553" t="str">
        <f>'Credit risk (IRB)'!BM26</f>
        <v/>
      </c>
      <c r="O216" s="553" t="str">
        <f>'Credit risk (IRB)'!BN26</f>
        <v/>
      </c>
      <c r="P216" s="553" t="str">
        <f>'Credit risk (IRB)'!BO26</f>
        <v/>
      </c>
      <c r="Q216" s="553" t="str">
        <f>'Credit risk (IRB)'!BP26</f>
        <v/>
      </c>
      <c r="R216" s="553" t="str">
        <f>'Credit risk (IRB)'!BQ26</f>
        <v/>
      </c>
      <c r="S216" s="553" t="str">
        <f>'Credit risk (IRB)'!BS26</f>
        <v/>
      </c>
      <c r="T216" s="553" t="str">
        <f>'Credit risk (IRB)'!BT26</f>
        <v/>
      </c>
      <c r="U216" s="553" t="str">
        <f>'Credit risk (IRB)'!BU26</f>
        <v/>
      </c>
      <c r="V216" s="553" t="str">
        <f>'Credit risk (IRB)'!BW26</f>
        <v/>
      </c>
      <c r="W216" s="553" t="str">
        <f>'Credit risk (IRB)'!CL26</f>
        <v/>
      </c>
      <c r="X216" s="553" t="str">
        <f>'Credit risk (IRB)'!CO26</f>
        <v/>
      </c>
      <c r="Y216" s="553" t="str">
        <f>'Credit risk (IRB)'!CP26</f>
        <v/>
      </c>
      <c r="Z216" s="701" t="str">
        <f>'Credit risk (IRB)'!CQ26</f>
        <v/>
      </c>
      <c r="AA216" s="177"/>
      <c r="AB216" s="177"/>
      <c r="AC216" s="177"/>
      <c r="AD216" s="177"/>
      <c r="AE216" s="177"/>
      <c r="AF216" s="177"/>
      <c r="AG216" s="177"/>
      <c r="AH216" s="177"/>
      <c r="AI216" s="177"/>
      <c r="AJ216" s="177"/>
      <c r="AK216" s="177"/>
      <c r="AL216" s="177"/>
      <c r="AM216" s="177"/>
      <c r="AN216" s="177"/>
      <c r="AO216" s="177"/>
      <c r="AP216" s="546"/>
    </row>
    <row r="217" spans="2:42" ht="15" customHeight="1" x14ac:dyDescent="0.25">
      <c r="B217" s="465" t="s">
        <v>636</v>
      </c>
      <c r="C217" s="2306" t="str">
        <f>'Credit risk (IRB)'!B29</f>
        <v>Check: row 28 ≤ row 27</v>
      </c>
      <c r="D217" s="560" t="str">
        <f>'Credit risk (IRB)'!Z29</f>
        <v/>
      </c>
      <c r="E217" s="553" t="str">
        <f>'Credit risk (IRB)'!AA29</f>
        <v/>
      </c>
      <c r="F217" s="553" t="str">
        <f>'Credit risk (IRB)'!AB29</f>
        <v/>
      </c>
      <c r="G217" s="553" t="str">
        <f>'Credit risk (IRB)'!AC29</f>
        <v/>
      </c>
      <c r="H217" s="553" t="str">
        <f>'Credit risk (IRB)'!AD29</f>
        <v/>
      </c>
      <c r="I217" s="553" t="str">
        <f>'Credit risk (IRB)'!AF29</f>
        <v/>
      </c>
      <c r="J217" s="553" t="str">
        <f>'Credit risk (IRB)'!AG29</f>
        <v/>
      </c>
      <c r="K217" s="553" t="str">
        <f>'Credit risk (IRB)'!AH29</f>
        <v/>
      </c>
      <c r="L217" s="553" t="str">
        <f>'Credit risk (IRB)'!AJ29</f>
        <v/>
      </c>
      <c r="M217" s="553" t="str">
        <f>'Credit risk (IRB)'!AK29</f>
        <v/>
      </c>
      <c r="N217" s="553" t="str">
        <f>'Credit risk (IRB)'!BM29</f>
        <v/>
      </c>
      <c r="O217" s="553" t="str">
        <f>'Credit risk (IRB)'!BN29</f>
        <v/>
      </c>
      <c r="P217" s="553" t="str">
        <f>'Credit risk (IRB)'!BO29</f>
        <v/>
      </c>
      <c r="Q217" s="553" t="str">
        <f>'Credit risk (IRB)'!BP29</f>
        <v/>
      </c>
      <c r="R217" s="553" t="str">
        <f>'Credit risk (IRB)'!BQ29</f>
        <v/>
      </c>
      <c r="S217" s="553" t="str">
        <f>'Credit risk (IRB)'!BS29</f>
        <v/>
      </c>
      <c r="T217" s="553" t="str">
        <f>'Credit risk (IRB)'!BT29</f>
        <v/>
      </c>
      <c r="U217" s="553" t="str">
        <f>'Credit risk (IRB)'!BU29</f>
        <v/>
      </c>
      <c r="V217" s="553" t="str">
        <f>'Credit risk (IRB)'!BW29</f>
        <v/>
      </c>
      <c r="W217" s="553" t="str">
        <f>'Credit risk (IRB)'!CL29</f>
        <v/>
      </c>
      <c r="X217" s="553" t="str">
        <f>'Credit risk (IRB)'!CO29</f>
        <v/>
      </c>
      <c r="Y217" s="553" t="str">
        <f>'Credit risk (IRB)'!CP29</f>
        <v/>
      </c>
      <c r="Z217" s="701" t="str">
        <f>'Credit risk (IRB)'!CQ29</f>
        <v/>
      </c>
      <c r="AA217" s="177"/>
      <c r="AB217" s="177"/>
      <c r="AC217" s="177"/>
      <c r="AD217" s="177"/>
      <c r="AE217" s="177"/>
      <c r="AF217" s="177"/>
      <c r="AG217" s="177"/>
      <c r="AH217" s="177"/>
      <c r="AI217" s="177"/>
      <c r="AJ217" s="177"/>
      <c r="AK217" s="177"/>
      <c r="AL217" s="177"/>
      <c r="AM217" s="177"/>
      <c r="AN217" s="177"/>
      <c r="AO217" s="177"/>
      <c r="AP217" s="546"/>
    </row>
    <row r="218" spans="2:42" ht="15" customHeight="1" x14ac:dyDescent="0.25">
      <c r="B218" s="465" t="s">
        <v>636</v>
      </c>
      <c r="C218" s="2306" t="str">
        <f>'Credit risk (IRB)'!B32</f>
        <v>Check: row 31 ≤ row 30</v>
      </c>
      <c r="D218" s="560" t="str">
        <f>'Credit risk (IRB)'!Z32</f>
        <v/>
      </c>
      <c r="E218" s="553" t="str">
        <f>'Credit risk (IRB)'!AA32</f>
        <v/>
      </c>
      <c r="F218" s="553" t="str">
        <f>'Credit risk (IRB)'!AB32</f>
        <v/>
      </c>
      <c r="G218" s="553" t="str">
        <f>'Credit risk (IRB)'!AC32</f>
        <v/>
      </c>
      <c r="H218" s="553" t="str">
        <f>'Credit risk (IRB)'!AD32</f>
        <v/>
      </c>
      <c r="I218" s="553" t="str">
        <f>'Credit risk (IRB)'!AF32</f>
        <v/>
      </c>
      <c r="J218" s="553" t="str">
        <f>'Credit risk (IRB)'!AG32</f>
        <v/>
      </c>
      <c r="K218" s="553" t="str">
        <f>'Credit risk (IRB)'!AH32</f>
        <v/>
      </c>
      <c r="L218" s="553" t="str">
        <f>'Credit risk (IRB)'!AJ32</f>
        <v/>
      </c>
      <c r="M218" s="553" t="str">
        <f>'Credit risk (IRB)'!AK32</f>
        <v/>
      </c>
      <c r="N218" s="553" t="str">
        <f>'Credit risk (IRB)'!BM32</f>
        <v/>
      </c>
      <c r="O218" s="553" t="str">
        <f>'Credit risk (IRB)'!BN32</f>
        <v/>
      </c>
      <c r="P218" s="553" t="str">
        <f>'Credit risk (IRB)'!BO32</f>
        <v/>
      </c>
      <c r="Q218" s="553" t="str">
        <f>'Credit risk (IRB)'!BP32</f>
        <v/>
      </c>
      <c r="R218" s="553" t="str">
        <f>'Credit risk (IRB)'!BQ32</f>
        <v/>
      </c>
      <c r="S218" s="553" t="str">
        <f>'Credit risk (IRB)'!BS32</f>
        <v/>
      </c>
      <c r="T218" s="553" t="str">
        <f>'Credit risk (IRB)'!BT32</f>
        <v/>
      </c>
      <c r="U218" s="553" t="str">
        <f>'Credit risk (IRB)'!BU32</f>
        <v/>
      </c>
      <c r="V218" s="553" t="str">
        <f>'Credit risk (IRB)'!BW32</f>
        <v/>
      </c>
      <c r="W218" s="553" t="str">
        <f>'Credit risk (IRB)'!CL32</f>
        <v/>
      </c>
      <c r="X218" s="553" t="str">
        <f>'Credit risk (IRB)'!CO32</f>
        <v/>
      </c>
      <c r="Y218" s="553" t="str">
        <f>'Credit risk (IRB)'!CP32</f>
        <v/>
      </c>
      <c r="Z218" s="701" t="str">
        <f>'Credit risk (IRB)'!CQ32</f>
        <v/>
      </c>
      <c r="AA218" s="177"/>
      <c r="AB218" s="177"/>
      <c r="AC218" s="177"/>
      <c r="AD218" s="177"/>
      <c r="AE218" s="177"/>
      <c r="AF218" s="177"/>
      <c r="AG218" s="177"/>
      <c r="AH218" s="177"/>
      <c r="AI218" s="177"/>
      <c r="AJ218" s="177"/>
      <c r="AK218" s="177"/>
      <c r="AL218" s="177"/>
      <c r="AM218" s="177"/>
      <c r="AN218" s="177"/>
      <c r="AO218" s="177"/>
      <c r="AP218" s="546"/>
    </row>
    <row r="219" spans="2:42" ht="15" customHeight="1" x14ac:dyDescent="0.25">
      <c r="B219" s="254" t="s">
        <v>636</v>
      </c>
      <c r="C219" s="780" t="str">
        <f>'Credit risk (IRB)'!B35</f>
        <v>Check: row 34 ≤ row 33</v>
      </c>
      <c r="D219" s="561" t="str">
        <f>'Credit risk (IRB)'!Z35</f>
        <v/>
      </c>
      <c r="E219" s="555" t="str">
        <f>'Credit risk (IRB)'!AA35</f>
        <v/>
      </c>
      <c r="F219" s="555" t="str">
        <f>'Credit risk (IRB)'!AB35</f>
        <v/>
      </c>
      <c r="G219" s="555" t="str">
        <f>'Credit risk (IRB)'!AC35</f>
        <v/>
      </c>
      <c r="H219" s="555" t="str">
        <f>'Credit risk (IRB)'!AD35</f>
        <v/>
      </c>
      <c r="I219" s="555" t="str">
        <f>'Credit risk (IRB)'!AF35</f>
        <v/>
      </c>
      <c r="J219" s="555" t="str">
        <f>'Credit risk (IRB)'!AG35</f>
        <v/>
      </c>
      <c r="K219" s="555" t="str">
        <f>'Credit risk (IRB)'!AH35</f>
        <v/>
      </c>
      <c r="L219" s="555" t="str">
        <f>'Credit risk (IRB)'!AJ35</f>
        <v/>
      </c>
      <c r="M219" s="555" t="str">
        <f>'Credit risk (IRB)'!AK35</f>
        <v/>
      </c>
      <c r="N219" s="555" t="str">
        <f>'Credit risk (IRB)'!BM35</f>
        <v/>
      </c>
      <c r="O219" s="555" t="str">
        <f>'Credit risk (IRB)'!BN35</f>
        <v/>
      </c>
      <c r="P219" s="555" t="str">
        <f>'Credit risk (IRB)'!BO35</f>
        <v/>
      </c>
      <c r="Q219" s="555" t="str">
        <f>'Credit risk (IRB)'!BP35</f>
        <v/>
      </c>
      <c r="R219" s="555" t="str">
        <f>'Credit risk (IRB)'!BQ35</f>
        <v/>
      </c>
      <c r="S219" s="555" t="str">
        <f>'Credit risk (IRB)'!BS35</f>
        <v/>
      </c>
      <c r="T219" s="555" t="str">
        <f>'Credit risk (IRB)'!BT35</f>
        <v/>
      </c>
      <c r="U219" s="555" t="str">
        <f>'Credit risk (IRB)'!BU35</f>
        <v/>
      </c>
      <c r="V219" s="555" t="str">
        <f>'Credit risk (IRB)'!BW35</f>
        <v/>
      </c>
      <c r="W219" s="555" t="str">
        <f>'Credit risk (IRB)'!CL35</f>
        <v/>
      </c>
      <c r="X219" s="555" t="str">
        <f>'Credit risk (IRB)'!CO35</f>
        <v/>
      </c>
      <c r="Y219" s="555" t="str">
        <f>'Credit risk (IRB)'!CP35</f>
        <v/>
      </c>
      <c r="Z219" s="554" t="str">
        <f>'Credit risk (IRB)'!CQ35</f>
        <v/>
      </c>
      <c r="AA219" s="177"/>
      <c r="AB219" s="177"/>
      <c r="AC219" s="177"/>
      <c r="AD219" s="177"/>
      <c r="AE219" s="177"/>
      <c r="AF219" s="177"/>
      <c r="AG219" s="177"/>
      <c r="AH219" s="177"/>
      <c r="AI219" s="177"/>
      <c r="AJ219" s="177"/>
      <c r="AK219" s="177"/>
      <c r="AL219" s="177"/>
      <c r="AM219" s="177"/>
      <c r="AN219" s="177"/>
      <c r="AO219" s="177"/>
      <c r="AP219" s="546"/>
    </row>
    <row r="220" spans="2:42" ht="15" customHeight="1" x14ac:dyDescent="0.25">
      <c r="D220" s="477"/>
      <c r="E220" s="477"/>
      <c r="F220" s="477"/>
      <c r="G220" s="477"/>
      <c r="H220" s="477"/>
      <c r="I220" s="477"/>
      <c r="J220" s="477"/>
      <c r="K220" s="477"/>
      <c r="L220" s="549"/>
      <c r="M220" s="477"/>
      <c r="N220" s="477"/>
      <c r="O220" s="477"/>
      <c r="P220" s="477"/>
      <c r="Q220" s="477"/>
      <c r="R220" s="477"/>
      <c r="S220" s="477"/>
      <c r="T220" s="477"/>
      <c r="U220" s="477"/>
      <c r="V220" s="477"/>
      <c r="W220" s="177"/>
      <c r="X220" s="177"/>
      <c r="Y220" s="177"/>
      <c r="Z220" s="177"/>
      <c r="AA220" s="177"/>
      <c r="AB220" s="177"/>
      <c r="AC220" s="177"/>
      <c r="AD220" s="177"/>
      <c r="AE220" s="177"/>
      <c r="AF220" s="177"/>
      <c r="AG220" s="177"/>
      <c r="AH220" s="177"/>
      <c r="AI220" s="177"/>
      <c r="AJ220" s="177"/>
      <c r="AK220" s="177"/>
      <c r="AL220" s="177"/>
      <c r="AM220" s="177"/>
      <c r="AN220" s="177"/>
      <c r="AO220" s="177"/>
      <c r="AP220" s="546"/>
    </row>
    <row r="221" spans="2:42" ht="15" customHeight="1" x14ac:dyDescent="0.25">
      <c r="B221" s="772" t="s">
        <v>633</v>
      </c>
      <c r="C221" s="1341" t="s">
        <v>13</v>
      </c>
      <c r="D221" s="2312" t="str">
        <f>CONCATENATE("Col ", LEFT(ADDRESS(ROW('Credit risk (IRB)'!N24),COLUMN('Credit risk (IRB)'!N24),4), 1))</f>
        <v>Col N</v>
      </c>
      <c r="E221" s="2312" t="str">
        <f>CONCATENATE("Col ", LEFT(ADDRESS(ROW('Credit risk (IRB)'!O24),COLUMN('Credit risk (IRB)'!O24),4), 1))</f>
        <v>Col O</v>
      </c>
      <c r="F221" s="2312" t="str">
        <f>CONCATENATE("Col ", LEFT(ADDRESS(ROW('Credit risk (IRB)'!P24),COLUMN('Credit risk (IRB)'!P24),4), 1))</f>
        <v>Col P</v>
      </c>
      <c r="G221" s="2312" t="str">
        <f>CONCATENATE("Col ", LEFT(ADDRESS(ROW('Credit risk (IRB)'!Q24),COLUMN('Credit risk (IRB)'!Q24),4), 1))</f>
        <v>Col Q</v>
      </c>
      <c r="H221" s="2312" t="str">
        <f>CONCATENATE("Col ", LEFT(ADDRESS(ROW('Credit risk (IRB)'!R24),COLUMN('Credit risk (IRB)'!R24),4), 1))</f>
        <v>Col R</v>
      </c>
      <c r="I221" s="2312" t="str">
        <f>CONCATENATE("Col ", LEFT(ADDRESS(ROW('Credit risk (IRB)'!T24),COLUMN('Credit risk (IRB)'!T24),4), 1))</f>
        <v>Col T</v>
      </c>
      <c r="J221" s="2312" t="str">
        <f>CONCATENATE("Col ", LEFT(ADDRESS(ROW('Credit risk (IRB)'!U24),COLUMN('Credit risk (IRB)'!U24),4), 1))</f>
        <v>Col U</v>
      </c>
      <c r="K221" s="2312" t="str">
        <f>CONCATENATE("Col ", LEFT(ADDRESS(ROW('Credit risk (IRB)'!V24),COLUMN('Credit risk (IRB)'!V24),4), 1))</f>
        <v>Col V</v>
      </c>
      <c r="L221" s="2312" t="str">
        <f>CONCATENATE("Col ", LEFT(ADDRESS(ROW('Credit risk (IRB)'!X24),COLUMN('Credit risk (IRB)'!X24),4), 1))</f>
        <v>Col X</v>
      </c>
      <c r="M221" s="2312" t="str">
        <f>CONCATENATE("Col ", LEFT(ADDRESS(ROW('Credit risk (IRB)'!Y24),COLUMN('Credit risk (IRB)'!Y24),4), 1))</f>
        <v>Col Y</v>
      </c>
      <c r="N221" s="2312" t="str">
        <f>CONCATENATE("Col ", LEFT(ADDRESS(ROW('Credit risk (IRB)'!AL24),COLUMN('Credit risk (IRB)'!AL24),4), 2))</f>
        <v>Col AL</v>
      </c>
      <c r="O221" s="2312" t="str">
        <f>CONCATENATE("Col ", LEFT(ADDRESS(ROW('Credit risk (IRB)'!AM24),COLUMN('Credit risk (IRB)'!AM24),4), 2))</f>
        <v>Col AM</v>
      </c>
      <c r="P221" s="2312" t="str">
        <f>CONCATENATE("Col ", LEFT(ADDRESS(ROW('Credit risk (IRB)'!AN24),COLUMN('Credit risk (IRB)'!AN24),4), 2))</f>
        <v>Col AN</v>
      </c>
      <c r="Q221" s="2312" t="str">
        <f>CONCATENATE("Col ", LEFT(ADDRESS(ROW('Credit risk (IRB)'!AO24),COLUMN('Credit risk (IRB)'!AO24),4), 2))</f>
        <v>Col AO</v>
      </c>
      <c r="R221" s="2312" t="str">
        <f>CONCATENATE("Col ", LEFT(ADDRESS(ROW('Credit risk (IRB)'!BA24),COLUMN('Credit risk (IRB)'!BA24),4), 2))</f>
        <v>Col BA</v>
      </c>
      <c r="S221" s="2312" t="str">
        <f>CONCATENATE("Col ", LEFT(ADDRESS(ROW('Credit risk (IRB)'!BB24),COLUMN('Credit risk (IRB)'!BB24),4), 2))</f>
        <v>Col BB</v>
      </c>
      <c r="T221" s="2312" t="str">
        <f>CONCATENATE("Col ", LEFT(ADDRESS(ROW('Credit risk (IRB)'!BC24),COLUMN('Credit risk (IRB)'!BC24),4), 2))</f>
        <v>Col BC</v>
      </c>
      <c r="U221" s="2312" t="str">
        <f>CONCATENATE("Col ", LEFT(ADDRESS(ROW('Credit risk (IRB)'!BD24),COLUMN('Credit risk (IRB)'!BD24),4), 2))</f>
        <v>Col BD</v>
      </c>
      <c r="V221" s="2312" t="str">
        <f>CONCATENATE("Col ", LEFT(ADDRESS(ROW('Credit risk (IRB)'!BE24),COLUMN('Credit risk (IRB)'!BE24),4), 2))</f>
        <v>Col BE</v>
      </c>
      <c r="W221" s="2312" t="str">
        <f>CONCATENATE("Col ", LEFT(ADDRESS(ROW('Credit risk (IRB)'!BG24),COLUMN('Credit risk (IRB)'!BG24),4), 2))</f>
        <v>Col BG</v>
      </c>
      <c r="X221" s="2312" t="str">
        <f>CONCATENATE("Col ", LEFT(ADDRESS(ROW('Credit risk (IRB)'!BH24),COLUMN('Credit risk (IRB)'!BH24),4), 2))</f>
        <v>Col BH</v>
      </c>
      <c r="Y221" s="2312" t="str">
        <f>CONCATENATE("Col ", LEFT(ADDRESS(ROW('Credit risk (IRB)'!BI24),COLUMN('Credit risk (IRB)'!BI24),4), 2))</f>
        <v>Col BI</v>
      </c>
      <c r="Z221" s="2312" t="str">
        <f>CONCATENATE("Col ", LEFT(ADDRESS(ROW('Credit risk (IRB)'!BK24),COLUMN('Credit risk (IRB)'!BK24),4), 2))</f>
        <v>Col BK</v>
      </c>
      <c r="AA221" s="2312" t="str">
        <f>CONCATENATE("Col ", LEFT(ADDRESS(ROW('Credit risk (IRB)'!BL24),COLUMN('Credit risk (IRB)'!BL24),4), 2))</f>
        <v>Col BL</v>
      </c>
      <c r="AB221" s="2312" t="str">
        <f>CONCATENATE("Col ", LEFT(ADDRESS(ROW('Credit risk (IRB)'!BM24),COLUMN('Credit risk (IRB)'!BM24),4), 2))</f>
        <v>Col BM</v>
      </c>
      <c r="AC221" s="2312" t="str">
        <f>CONCATENATE("Col ", LEFT(ADDRESS(ROW('Credit risk (IRB)'!BN24),COLUMN('Credit risk (IRB)'!BN24),4), 2))</f>
        <v>Col BN</v>
      </c>
      <c r="AD221" s="2312" t="str">
        <f>CONCATENATE("Col ", LEFT(ADDRESS(ROW('Credit risk (IRB)'!BO24),COLUMN('Credit risk (IRB)'!BO24),4), 2))</f>
        <v>Col BO</v>
      </c>
      <c r="AE221" s="2312" t="str">
        <f>CONCATENATE("Col ", LEFT(ADDRESS(ROW('Credit risk (IRB)'!BP24),COLUMN('Credit risk (IRB)'!BP24),4), 2))</f>
        <v>Col BP</v>
      </c>
      <c r="AF221" s="2312" t="str">
        <f>CONCATENATE("Col ", LEFT(ADDRESS(ROW('Credit risk (IRB)'!BQ24),COLUMN('Credit risk (IRB)'!BQ24),4), 2))</f>
        <v>Col BQ</v>
      </c>
      <c r="AG221" s="2312" t="str">
        <f>CONCATENATE("Col ", LEFT(ADDRESS(ROW('Credit risk (IRB)'!BS24),COLUMN('Credit risk (IRB)'!BS24),4), 2))</f>
        <v>Col BS</v>
      </c>
      <c r="AH221" s="2312" t="str">
        <f>CONCATENATE("Col ", LEFT(ADDRESS(ROW('Credit risk (IRB)'!BT24),COLUMN('Credit risk (IRB)'!BT24),4), 2))</f>
        <v>Col BT</v>
      </c>
      <c r="AI221" s="2312" t="str">
        <f>CONCATENATE("Col ", LEFT(ADDRESS(ROW('Credit risk (IRB)'!BU24),COLUMN('Credit risk (IRB)'!BU24),4), 2))</f>
        <v>Col BU</v>
      </c>
      <c r="AJ221" s="2312" t="str">
        <f>CONCATENATE("Col ", LEFT(ADDRESS(ROW('Credit risk (IRB)'!BW24),COLUMN('Credit risk (IRB)'!BW24),4), 2))</f>
        <v>Col BW</v>
      </c>
      <c r="AK221" s="2312" t="str">
        <f>CONCATENATE("Col ", LEFT(ADDRESS(ROW('Credit risk (IRB)'!BX24),COLUMN('Credit risk (IRB)'!BX24),4), 2))</f>
        <v>Col BX</v>
      </c>
      <c r="AL221" s="2312" t="str">
        <f>CONCATENATE("Col ", LEFT(ADDRESS(ROW('Credit risk (IRB)'!CL24),COLUMN('Credit risk (IRB)'!CL24),4), 2))</f>
        <v>Col CL</v>
      </c>
      <c r="AM221" s="2312" t="str">
        <f>CONCATENATE("Col ", LEFT(ADDRESS(ROW('Credit risk (IRB)'!CO24),COLUMN('Credit risk (IRB)'!CO24),4), 2))</f>
        <v>Col CO</v>
      </c>
      <c r="AN221" s="2312" t="str">
        <f>CONCATENATE("Col ", LEFT(ADDRESS(ROW('Credit risk (IRB)'!CP24),COLUMN('Credit risk (IRB)'!CP24),4), 2))</f>
        <v>Col CP</v>
      </c>
      <c r="AO221" s="2311" t="str">
        <f>CONCATENATE("Col ", LEFT(ADDRESS(ROW('Credit risk (IRB)'!CQ24),COLUMN('Credit risk (IRB)'!CQ24),4), 2))</f>
        <v>Col CQ</v>
      </c>
      <c r="AP221" s="546"/>
    </row>
    <row r="222" spans="2:42" ht="15" customHeight="1" x14ac:dyDescent="0.25">
      <c r="B222" s="769" t="s">
        <v>636</v>
      </c>
      <c r="C222" s="1081" t="str">
        <f>'Credit risk (IRB)'!B47</f>
        <v>Check: row 46 ≤ row 45</v>
      </c>
      <c r="D222" s="731" t="str">
        <f>'Credit risk (IRB)'!N47</f>
        <v/>
      </c>
      <c r="E222" s="731" t="str">
        <f>'Credit risk (IRB)'!O47</f>
        <v/>
      </c>
      <c r="F222" s="731" t="str">
        <f>'Credit risk (IRB)'!P47</f>
        <v/>
      </c>
      <c r="G222" s="731" t="str">
        <f>'Credit risk (IRB)'!Q47</f>
        <v/>
      </c>
      <c r="H222" s="731" t="str">
        <f>'Credit risk (IRB)'!R47</f>
        <v/>
      </c>
      <c r="I222" s="731" t="str">
        <f>'Credit risk (IRB)'!T47</f>
        <v/>
      </c>
      <c r="J222" s="731" t="str">
        <f>'Credit risk (IRB)'!U47</f>
        <v/>
      </c>
      <c r="K222" s="731" t="str">
        <f>'Credit risk (IRB)'!V47</f>
        <v/>
      </c>
      <c r="L222" s="731" t="str">
        <f>'Credit risk (IRB)'!X47</f>
        <v/>
      </c>
      <c r="M222" s="731" t="str">
        <f>'Credit risk (IRB)'!Y47</f>
        <v/>
      </c>
      <c r="N222" s="731" t="str">
        <f>'Credit risk (IRB)'!AL47</f>
        <v/>
      </c>
      <c r="O222" s="731" t="str">
        <f>'Credit risk (IRB)'!AM47</f>
        <v/>
      </c>
      <c r="P222" s="731" t="str">
        <f>'Credit risk (IRB)'!AN47</f>
        <v/>
      </c>
      <c r="Q222" s="731" t="str">
        <f>'Credit risk (IRB)'!AO47</f>
        <v/>
      </c>
      <c r="R222" s="731" t="str">
        <f>'Credit risk (IRB)'!BA47</f>
        <v/>
      </c>
      <c r="S222" s="731" t="str">
        <f>'Credit risk (IRB)'!BB47</f>
        <v/>
      </c>
      <c r="T222" s="731" t="str">
        <f>'Credit risk (IRB)'!BC47</f>
        <v/>
      </c>
      <c r="U222" s="731" t="str">
        <f>'Credit risk (IRB)'!BD47</f>
        <v/>
      </c>
      <c r="V222" s="731" t="str">
        <f>'Credit risk (IRB)'!BE47</f>
        <v/>
      </c>
      <c r="W222" s="731" t="str">
        <f>'Credit risk (IRB)'!BG47</f>
        <v/>
      </c>
      <c r="X222" s="731" t="str">
        <f>'Credit risk (IRB)'!BH47</f>
        <v/>
      </c>
      <c r="Y222" s="731" t="str">
        <f>'Credit risk (IRB)'!BI47</f>
        <v/>
      </c>
      <c r="Z222" s="731" t="str">
        <f>'Credit risk (IRB)'!BK47</f>
        <v/>
      </c>
      <c r="AA222" s="731" t="str">
        <f>'Credit risk (IRB)'!BL47</f>
        <v/>
      </c>
      <c r="AB222" s="731" t="str">
        <f>'Credit risk (IRB)'!BM47</f>
        <v/>
      </c>
      <c r="AC222" s="731" t="str">
        <f>'Credit risk (IRB)'!BN47</f>
        <v/>
      </c>
      <c r="AD222" s="731" t="str">
        <f>'Credit risk (IRB)'!BO47</f>
        <v/>
      </c>
      <c r="AE222" s="731" t="str">
        <f>'Credit risk (IRB)'!BP47</f>
        <v/>
      </c>
      <c r="AF222" s="731" t="str">
        <f>'Credit risk (IRB)'!BQ47</f>
        <v/>
      </c>
      <c r="AG222" s="731" t="str">
        <f>'Credit risk (IRB)'!BS47</f>
        <v/>
      </c>
      <c r="AH222" s="731" t="str">
        <f>'Credit risk (IRB)'!BT47</f>
        <v/>
      </c>
      <c r="AI222" s="731" t="str">
        <f>'Credit risk (IRB)'!BU47</f>
        <v/>
      </c>
      <c r="AJ222" s="731" t="str">
        <f>'Credit risk (IRB)'!BW47</f>
        <v/>
      </c>
      <c r="AK222" s="731" t="str">
        <f>'Credit risk (IRB)'!BX47</f>
        <v/>
      </c>
      <c r="AL222" s="731" t="str">
        <f>'Credit risk (IRB)'!CL47</f>
        <v/>
      </c>
      <c r="AM222" s="731" t="str">
        <f>'Credit risk (IRB)'!CO47</f>
        <v/>
      </c>
      <c r="AN222" s="731" t="str">
        <f>'Credit risk (IRB)'!CP47</f>
        <v/>
      </c>
      <c r="AO222" s="771" t="str">
        <f>'Credit risk (IRB)'!CQ47</f>
        <v/>
      </c>
      <c r="AP222" s="546"/>
    </row>
    <row r="223" spans="2:42" ht="15" customHeight="1" x14ac:dyDescent="0.25">
      <c r="B223" s="266" t="s">
        <v>636</v>
      </c>
      <c r="C223" s="2316" t="str">
        <f>'Credit risk (IRB)'!B50</f>
        <v>Check: row 49 ≤ row 48</v>
      </c>
      <c r="D223" s="553" t="str">
        <f>'Credit risk (IRB)'!N50</f>
        <v/>
      </c>
      <c r="E223" s="553" t="str">
        <f>'Credit risk (IRB)'!O50</f>
        <v/>
      </c>
      <c r="F223" s="553" t="str">
        <f>'Credit risk (IRB)'!P50</f>
        <v/>
      </c>
      <c r="G223" s="553" t="str">
        <f>'Credit risk (IRB)'!Q50</f>
        <v/>
      </c>
      <c r="H223" s="553" t="str">
        <f>'Credit risk (IRB)'!R50</f>
        <v/>
      </c>
      <c r="I223" s="553" t="str">
        <f>'Credit risk (IRB)'!T50</f>
        <v/>
      </c>
      <c r="J223" s="553" t="str">
        <f>'Credit risk (IRB)'!U50</f>
        <v/>
      </c>
      <c r="K223" s="553" t="str">
        <f>'Credit risk (IRB)'!V50</f>
        <v/>
      </c>
      <c r="L223" s="553" t="str">
        <f>'Credit risk (IRB)'!X50</f>
        <v/>
      </c>
      <c r="M223" s="553" t="str">
        <f>'Credit risk (IRB)'!Y50</f>
        <v/>
      </c>
      <c r="N223" s="553" t="str">
        <f>'Credit risk (IRB)'!AL50</f>
        <v/>
      </c>
      <c r="O223" s="553" t="str">
        <f>'Credit risk (IRB)'!AM50</f>
        <v/>
      </c>
      <c r="P223" s="553" t="str">
        <f>'Credit risk (IRB)'!AN50</f>
        <v/>
      </c>
      <c r="Q223" s="553" t="str">
        <f>'Credit risk (IRB)'!AO50</f>
        <v/>
      </c>
      <c r="R223" s="553" t="str">
        <f>'Credit risk (IRB)'!BA50</f>
        <v/>
      </c>
      <c r="S223" s="553" t="str">
        <f>'Credit risk (IRB)'!BB50</f>
        <v/>
      </c>
      <c r="T223" s="553" t="str">
        <f>'Credit risk (IRB)'!BC50</f>
        <v/>
      </c>
      <c r="U223" s="553" t="str">
        <f>'Credit risk (IRB)'!BD50</f>
        <v/>
      </c>
      <c r="V223" s="553" t="str">
        <f>'Credit risk (IRB)'!BE50</f>
        <v/>
      </c>
      <c r="W223" s="553" t="str">
        <f>'Credit risk (IRB)'!BG50</f>
        <v/>
      </c>
      <c r="X223" s="553" t="str">
        <f>'Credit risk (IRB)'!BH50</f>
        <v/>
      </c>
      <c r="Y223" s="553" t="str">
        <f>'Credit risk (IRB)'!BI50</f>
        <v/>
      </c>
      <c r="Z223" s="553" t="str">
        <f>'Credit risk (IRB)'!BK50</f>
        <v/>
      </c>
      <c r="AA223" s="553" t="str">
        <f>'Credit risk (IRB)'!BL50</f>
        <v/>
      </c>
      <c r="AB223" s="553" t="str">
        <f>'Credit risk (IRB)'!BM50</f>
        <v/>
      </c>
      <c r="AC223" s="553" t="str">
        <f>'Credit risk (IRB)'!BN50</f>
        <v/>
      </c>
      <c r="AD223" s="553" t="str">
        <f>'Credit risk (IRB)'!BO50</f>
        <v/>
      </c>
      <c r="AE223" s="553" t="str">
        <f>'Credit risk (IRB)'!BP50</f>
        <v/>
      </c>
      <c r="AF223" s="553" t="str">
        <f>'Credit risk (IRB)'!BQ50</f>
        <v/>
      </c>
      <c r="AG223" s="553" t="str">
        <f>'Credit risk (IRB)'!BS50</f>
        <v/>
      </c>
      <c r="AH223" s="553" t="str">
        <f>'Credit risk (IRB)'!BT50</f>
        <v/>
      </c>
      <c r="AI223" s="553" t="str">
        <f>'Credit risk (IRB)'!BU50</f>
        <v/>
      </c>
      <c r="AJ223" s="553" t="str">
        <f>'Credit risk (IRB)'!BW50</f>
        <v/>
      </c>
      <c r="AK223" s="553" t="str">
        <f>'Credit risk (IRB)'!BX50</f>
        <v/>
      </c>
      <c r="AL223" s="553" t="str">
        <f>'Credit risk (IRB)'!CL50</f>
        <v/>
      </c>
      <c r="AM223" s="553" t="str">
        <f>'Credit risk (IRB)'!CO50</f>
        <v/>
      </c>
      <c r="AN223" s="553" t="str">
        <f>'Credit risk (IRB)'!CP50</f>
        <v/>
      </c>
      <c r="AO223" s="701" t="str">
        <f>'Credit risk (IRB)'!CQ50</f>
        <v/>
      </c>
      <c r="AP223" s="544"/>
    </row>
    <row r="224" spans="2:42" ht="15" customHeight="1" x14ac:dyDescent="0.25">
      <c r="B224" s="254" t="s">
        <v>636</v>
      </c>
      <c r="C224" s="1082" t="str">
        <f>'Credit risk (IRB)'!B67</f>
        <v>Check: DefCap provisioning data versus row 65</v>
      </c>
      <c r="D224" s="355"/>
      <c r="E224" s="355"/>
      <c r="F224" s="355"/>
      <c r="G224" s="355"/>
      <c r="H224" s="355"/>
      <c r="I224" s="355"/>
      <c r="J224" s="355"/>
      <c r="K224" s="355"/>
      <c r="L224" s="355"/>
      <c r="M224" s="355"/>
      <c r="N224" s="555" t="str">
        <f>'Credit risk (IRB)'!AL67</f>
        <v/>
      </c>
      <c r="O224" s="355"/>
      <c r="P224" s="355"/>
      <c r="Q224" s="355"/>
      <c r="R224" s="355"/>
      <c r="S224" s="355"/>
      <c r="T224" s="355"/>
      <c r="U224" s="355"/>
      <c r="V224" s="355"/>
      <c r="W224" s="355"/>
      <c r="X224" s="355"/>
      <c r="Y224" s="355"/>
      <c r="Z224" s="355"/>
      <c r="AA224" s="355"/>
      <c r="AB224" s="355"/>
      <c r="AC224" s="355"/>
      <c r="AD224" s="355"/>
      <c r="AE224" s="355"/>
      <c r="AF224" s="355"/>
      <c r="AG224" s="355"/>
      <c r="AH224" s="355"/>
      <c r="AI224" s="355"/>
      <c r="AJ224" s="355"/>
      <c r="AK224" s="355"/>
      <c r="AL224" s="355"/>
      <c r="AM224" s="355"/>
      <c r="AN224" s="355"/>
      <c r="AO224" s="356"/>
      <c r="AP224" s="546"/>
    </row>
    <row r="225" spans="1:42" ht="15" customHeight="1" x14ac:dyDescent="0.25">
      <c r="D225" s="477"/>
      <c r="E225" s="477"/>
      <c r="F225" s="477"/>
      <c r="G225" s="477"/>
      <c r="H225" s="477"/>
      <c r="I225" s="477"/>
      <c r="J225" s="477"/>
      <c r="K225" s="477"/>
      <c r="L225" s="549"/>
      <c r="M225" s="477"/>
      <c r="N225" s="477"/>
      <c r="O225" s="477"/>
      <c r="P225" s="477"/>
      <c r="Q225" s="477"/>
      <c r="R225" s="477"/>
      <c r="S225" s="477"/>
      <c r="T225" s="477"/>
      <c r="U225" s="477"/>
      <c r="V225" s="477"/>
      <c r="W225" s="177"/>
      <c r="X225" s="177"/>
      <c r="Y225" s="177"/>
      <c r="Z225" s="177"/>
      <c r="AA225" s="177"/>
      <c r="AB225" s="177"/>
      <c r="AC225" s="177"/>
      <c r="AD225" s="177"/>
      <c r="AE225" s="177"/>
      <c r="AF225" s="177"/>
      <c r="AG225" s="177"/>
      <c r="AH225" s="177"/>
      <c r="AI225" s="177"/>
      <c r="AJ225" s="177"/>
      <c r="AK225" s="177"/>
      <c r="AL225" s="177"/>
      <c r="AM225" s="177"/>
      <c r="AN225" s="177"/>
      <c r="AO225" s="177"/>
      <c r="AP225" s="544"/>
    </row>
    <row r="226" spans="1:42" ht="15" customHeight="1" x14ac:dyDescent="0.25">
      <c r="B226" s="772" t="s">
        <v>633</v>
      </c>
      <c r="C226" s="1341" t="s">
        <v>13</v>
      </c>
      <c r="D226" s="2312" t="str">
        <f>CONCATENATE("Col ", LEFT(ADDRESS(ROW('Credit risk (IRB)'!C70),COLUMN('Credit risk (IRB)'!C70),4), 1))</f>
        <v>Col C</v>
      </c>
      <c r="E226" s="2016" t="str">
        <f>CONCATENATE("Col ", LEFT(ADDRESS(ROW('Credit risk (IRB)'!D70),COLUMN('Credit risk (IRB)'!D70),4), 1))</f>
        <v>Col D</v>
      </c>
      <c r="F226" s="2016" t="str">
        <f>CONCATENATE("Col ", LEFT(ADDRESS(ROW('Credit risk (IRB)'!E70),COLUMN('Credit risk (IRB)'!E70),4), 1))</f>
        <v>Col E</v>
      </c>
      <c r="G226" s="2016" t="str">
        <f>CONCATENATE("Col ", LEFT(ADDRESS(ROW('Credit risk (IRB)'!F70),COLUMN('Credit risk (IRB)'!F70),4), 1))</f>
        <v>Col F</v>
      </c>
      <c r="H226" s="2016" t="str">
        <f>CONCATENATE("Col ", LEFT(ADDRESS(ROW('Credit risk (IRB)'!G70),COLUMN('Credit risk (IRB)'!G70),4), 1))</f>
        <v>Col G</v>
      </c>
      <c r="I226" s="2016" t="str">
        <f>CONCATENATE("Col ", LEFT(ADDRESS(ROW('Credit risk (IRB)'!H70),COLUMN('Credit risk (IRB)'!H70),4), 1))</f>
        <v>Col H</v>
      </c>
      <c r="J226" s="2016" t="str">
        <f>CONCATENATE("Col ", LEFT(ADDRESS(ROW('Credit risk (IRB)'!I70),COLUMN('Credit risk (IRB)'!I70),4), 1))</f>
        <v>Col I</v>
      </c>
      <c r="K226" s="2310" t="str">
        <f>CONCATENATE("Col ", LEFT(ADDRESS(ROW('Credit risk (IRB)'!J70),COLUMN('Credit risk (IRB)'!J70),4), 1))</f>
        <v>Col J</v>
      </c>
      <c r="L226" s="2310" t="str">
        <f>CONCATENATE("Col ", LEFT(ADDRESS(ROW('Credit risk (IRB)'!K70),COLUMN('Credit risk (IRB)'!K70),4), 1))</f>
        <v>Col K</v>
      </c>
      <c r="M226" s="477"/>
      <c r="N226" s="477"/>
      <c r="O226" s="477"/>
      <c r="P226" s="477"/>
      <c r="Q226" s="477"/>
      <c r="R226" s="477"/>
      <c r="S226" s="477"/>
      <c r="T226" s="477"/>
      <c r="U226" s="477"/>
      <c r="V226" s="477"/>
      <c r="X226" s="477"/>
      <c r="Y226" s="477"/>
      <c r="Z226" s="477"/>
      <c r="AA226" s="477"/>
      <c r="AB226" s="477"/>
      <c r="AC226" s="477"/>
      <c r="AD226" s="477"/>
      <c r="AE226" s="477"/>
      <c r="AF226" s="477"/>
      <c r="AG226" s="477"/>
      <c r="AH226" s="477"/>
      <c r="AI226" s="477"/>
      <c r="AJ226" s="477"/>
      <c r="AK226" s="477"/>
      <c r="AL226" s="477"/>
      <c r="AM226" s="477"/>
      <c r="AN226" s="477"/>
      <c r="AO226" s="477"/>
      <c r="AP226" s="546"/>
    </row>
    <row r="227" spans="1:42" ht="15" customHeight="1" x14ac:dyDescent="0.25">
      <c r="B227" s="769" t="s">
        <v>636</v>
      </c>
      <c r="C227" s="753" t="str">
        <f>'Credit risk (IRB)'!B64</f>
        <v>Check: row 63 ≤ row 62</v>
      </c>
      <c r="D227" s="730" t="str">
        <f>'Credit risk (IRB)'!C64</f>
        <v/>
      </c>
      <c r="E227" s="731" t="str">
        <f>'Credit risk (IRB)'!D64</f>
        <v/>
      </c>
      <c r="F227" s="731" t="str">
        <f>'Credit risk (IRB)'!E64</f>
        <v/>
      </c>
      <c r="G227" s="731" t="str">
        <f>'Credit risk (IRB)'!F64</f>
        <v/>
      </c>
      <c r="H227" s="731" t="str">
        <f>'Credit risk (IRB)'!G64</f>
        <v/>
      </c>
      <c r="I227" s="773"/>
      <c r="J227" s="731" t="str">
        <f>'Credit risk (IRB)'!I64</f>
        <v/>
      </c>
      <c r="K227" s="731" t="str">
        <f>'Credit risk (IRB)'!J64</f>
        <v/>
      </c>
      <c r="L227" s="771" t="str">
        <f>'Credit risk (IRB)'!K64</f>
        <v/>
      </c>
      <c r="M227" s="477"/>
      <c r="N227" s="477"/>
      <c r="O227" s="477"/>
      <c r="P227" s="477"/>
      <c r="Q227" s="477"/>
      <c r="R227" s="477"/>
      <c r="S227" s="477"/>
      <c r="T227" s="477"/>
      <c r="U227" s="477"/>
      <c r="V227" s="477"/>
      <c r="X227" s="477"/>
      <c r="Y227" s="477"/>
      <c r="Z227" s="477"/>
      <c r="AA227" s="477"/>
      <c r="AB227" s="477"/>
      <c r="AC227" s="477"/>
      <c r="AD227" s="477"/>
      <c r="AE227" s="477"/>
      <c r="AF227" s="477"/>
      <c r="AG227" s="477"/>
      <c r="AH227" s="477"/>
      <c r="AI227" s="477"/>
      <c r="AJ227" s="477"/>
      <c r="AK227" s="477"/>
      <c r="AL227" s="477"/>
      <c r="AM227" s="477"/>
      <c r="AN227" s="477"/>
      <c r="AO227" s="477"/>
      <c r="AP227" s="546"/>
    </row>
    <row r="228" spans="1:42" ht="15" customHeight="1" x14ac:dyDescent="0.25">
      <c r="B228" s="254" t="s">
        <v>634</v>
      </c>
      <c r="C228" s="775" t="str">
        <f>'Credit risk (IRB)'!B80</f>
        <v>Check: row 77 = row 51</v>
      </c>
      <c r="D228" s="561" t="str">
        <f>'Credit risk (IRB)'!C80</f>
        <v/>
      </c>
      <c r="E228" s="555" t="str">
        <f>'Credit risk (IRB)'!D80</f>
        <v/>
      </c>
      <c r="F228" s="355"/>
      <c r="G228" s="555" t="str">
        <f>'Credit risk (IRB)'!F80</f>
        <v/>
      </c>
      <c r="H228" s="555" t="str">
        <f>'Credit risk (IRB)'!G80</f>
        <v/>
      </c>
      <c r="I228" s="555" t="str">
        <f>'Credit risk (IRB)'!H80</f>
        <v/>
      </c>
      <c r="J228" s="555" t="str">
        <f>'Credit risk (IRB)'!I80</f>
        <v/>
      </c>
      <c r="K228" s="554" t="str">
        <f>'Credit risk (IRB)'!J80</f>
        <v/>
      </c>
      <c r="L228" s="355"/>
      <c r="M228" s="477"/>
      <c r="N228" s="477"/>
      <c r="O228" s="477"/>
      <c r="P228" s="477"/>
      <c r="Q228" s="477"/>
      <c r="R228" s="477"/>
      <c r="S228" s="477"/>
      <c r="T228" s="477"/>
      <c r="U228" s="477"/>
      <c r="V228" s="477"/>
      <c r="X228" s="477"/>
      <c r="Y228" s="477"/>
      <c r="Z228" s="477"/>
      <c r="AA228" s="477"/>
      <c r="AB228" s="477"/>
      <c r="AC228" s="477"/>
      <c r="AD228" s="477"/>
      <c r="AE228" s="477"/>
      <c r="AF228" s="477"/>
      <c r="AG228" s="477"/>
      <c r="AH228" s="477"/>
      <c r="AI228" s="477"/>
      <c r="AJ228" s="477"/>
      <c r="AK228" s="477"/>
      <c r="AL228" s="477"/>
      <c r="AM228" s="477"/>
      <c r="AN228" s="477"/>
      <c r="AO228" s="477"/>
      <c r="AP228" s="546"/>
    </row>
    <row r="229" spans="1:42" ht="45" customHeight="1" x14ac:dyDescent="0.25">
      <c r="A229" s="464" t="s">
        <v>2111</v>
      </c>
      <c r="D229" s="477"/>
      <c r="E229" s="477"/>
      <c r="F229" s="477"/>
      <c r="G229" s="477"/>
      <c r="H229" s="477"/>
      <c r="I229" s="477"/>
      <c r="J229" s="477"/>
      <c r="K229" s="477"/>
      <c r="L229" s="477"/>
      <c r="M229" s="477"/>
      <c r="N229" s="477"/>
      <c r="O229" s="477"/>
      <c r="P229" s="477"/>
      <c r="Q229" s="477"/>
      <c r="R229" s="477"/>
      <c r="S229" s="477"/>
      <c r="T229" s="477"/>
      <c r="U229" s="477"/>
      <c r="V229" s="477"/>
      <c r="X229" s="477"/>
      <c r="Y229" s="477"/>
      <c r="Z229" s="477"/>
      <c r="AA229" s="477"/>
      <c r="AB229" s="477"/>
      <c r="AC229" s="477"/>
      <c r="AD229" s="477"/>
      <c r="AE229" s="477"/>
      <c r="AF229" s="477"/>
      <c r="AG229" s="477"/>
      <c r="AH229" s="477"/>
      <c r="AI229" s="477"/>
      <c r="AJ229" s="477"/>
      <c r="AK229" s="477"/>
      <c r="AL229" s="477"/>
      <c r="AM229" s="477"/>
      <c r="AN229" s="477"/>
      <c r="AO229" s="477"/>
      <c r="AP229" s="544"/>
    </row>
    <row r="230" spans="1:42" ht="15" customHeight="1" x14ac:dyDescent="0.25">
      <c r="B230" s="772" t="s">
        <v>633</v>
      </c>
      <c r="C230" s="1341" t="s">
        <v>13</v>
      </c>
      <c r="D230" s="1393"/>
      <c r="E230" s="1393"/>
      <c r="F230" s="2312" t="str">
        <f>CONCATENATE("Col ", LEFT(ADDRESS(ROW(Securitisation!C1),COLUMN(Securitisation!C1),4), 1))</f>
        <v>Col C</v>
      </c>
      <c r="G230" s="2312" t="str">
        <f>CONCATENATE("Col ", LEFT(ADDRESS(ROW(Securitisation!D1),COLUMN(Securitisation!D1),4), 1))</f>
        <v>Col D</v>
      </c>
      <c r="H230" s="2312" t="str">
        <f>CONCATENATE("Col ", LEFT(ADDRESS(ROW(Securitisation!E1),COLUMN(Securitisation!E1),4), 1))</f>
        <v>Col E</v>
      </c>
      <c r="I230" s="2312" t="str">
        <f>CONCATENATE("Col ", LEFT(ADDRESS(ROW(Securitisation!F1),COLUMN(Securitisation!F1),4), 1))</f>
        <v>Col F</v>
      </c>
      <c r="J230" s="2312" t="str">
        <f>CONCATENATE("Col ", LEFT(ADDRESS(ROW(Securitisation!G1),COLUMN(Securitisation!G1),4), 1))</f>
        <v>Col G</v>
      </c>
      <c r="K230" s="2312" t="str">
        <f>CONCATENATE("Col ", LEFT(ADDRESS(ROW(Securitisation!H1),COLUMN(Securitisation!H1),4), 1))</f>
        <v>Col H</v>
      </c>
      <c r="L230" s="2312" t="str">
        <f>CONCATENATE("Col ", LEFT(ADDRESS(ROW(Securitisation!I1),COLUMN(Securitisation!I1),4), 1))</f>
        <v>Col I</v>
      </c>
      <c r="M230" s="2312" t="str">
        <f>CONCATENATE("Col ", LEFT(ADDRESS(ROW(Securitisation!J1),COLUMN(Securitisation!J1),4), 1))</f>
        <v>Col J</v>
      </c>
      <c r="N230" s="2312" t="str">
        <f>CONCATENATE("Col ", LEFT(ADDRESS(ROW(Securitisation!K1),COLUMN(Securitisation!K1),4), 1))</f>
        <v>Col K</v>
      </c>
      <c r="O230" s="2312" t="str">
        <f>CONCATENATE("Col ", LEFT(ADDRESS(ROW(Securitisation!L1),COLUMN(Securitisation!L1),4), 1))</f>
        <v>Col L</v>
      </c>
      <c r="P230" s="2016" t="str">
        <f>CONCATENATE("Col ", LEFT(ADDRESS(ROW(Securitisation!M1),COLUMN(Securitisation!M1),4), 1))</f>
        <v>Col M</v>
      </c>
      <c r="Q230" s="2016" t="str">
        <f>CONCATENATE("Col ", LEFT(ADDRESS(ROW(Securitisation!N1),COLUMN(Securitisation!N1),4), 1))</f>
        <v>Col N</v>
      </c>
      <c r="R230" s="2016" t="str">
        <f>CONCATENATE("Col ", LEFT(ADDRESS(ROW(Securitisation!O1),COLUMN(Securitisation!O1),4), 1))</f>
        <v>Col O</v>
      </c>
      <c r="S230" s="2016" t="str">
        <f>CONCATENATE("Col ", LEFT(ADDRESS(ROW(Securitisation!P1),COLUMN(Securitisation!P1),4), 1))</f>
        <v>Col P</v>
      </c>
      <c r="T230" s="2310" t="str">
        <f>CONCATENATE("Col ", LEFT(ADDRESS(ROW(Securitisation!Q1),COLUMN(Securitisation!Q1),4), 1))</f>
        <v>Col Q</v>
      </c>
      <c r="U230" s="2016" t="str">
        <f>CONCATENATE("Col ", LEFT(ADDRESS(ROW(Securitisation!R1),COLUMN(Securitisation!R1),4), 1))</f>
        <v>Col R</v>
      </c>
      <c r="V230" s="2310" t="str">
        <f>CONCATENATE("Col ", LEFT(ADDRESS(ROW(Securitisation!S1),COLUMN(Securitisation!S1),4), 1))</f>
        <v>Col S</v>
      </c>
      <c r="W230" s="177"/>
      <c r="X230" s="177"/>
      <c r="Y230" s="177"/>
      <c r="Z230" s="177"/>
      <c r="AA230" s="177"/>
      <c r="AB230" s="177"/>
      <c r="AC230" s="177"/>
      <c r="AD230" s="177"/>
      <c r="AE230" s="177"/>
      <c r="AF230" s="177"/>
      <c r="AG230" s="177"/>
      <c r="AH230" s="177"/>
      <c r="AI230" s="177"/>
      <c r="AJ230" s="177"/>
      <c r="AK230" s="177"/>
      <c r="AL230" s="177"/>
      <c r="AM230" s="177"/>
      <c r="AN230" s="177"/>
      <c r="AO230" s="177"/>
      <c r="AP230" s="546"/>
    </row>
    <row r="231" spans="1:42" ht="135" customHeight="1" x14ac:dyDescent="0.25">
      <c r="B231" s="2309"/>
      <c r="C231" s="1973"/>
      <c r="D231" s="177"/>
      <c r="E231" s="177"/>
      <c r="F231" s="788"/>
      <c r="G231" s="789"/>
      <c r="H231" s="789"/>
      <c r="I231" s="789"/>
      <c r="J231" s="789"/>
      <c r="K231" s="789"/>
      <c r="L231" s="789"/>
      <c r="M231" s="789"/>
      <c r="N231" s="789"/>
      <c r="O231" s="789"/>
      <c r="P231" s="1343" t="str">
        <f>Securitisation!M18</f>
        <v>Check
RW above floor</v>
      </c>
      <c r="Q231" s="1343" t="str">
        <f>Securitisation!N18</f>
        <v>Check
RW≤1,250% 
(= for other assets)</v>
      </c>
      <c r="R231" s="1343" t="str">
        <f>Securitisation!O18</f>
        <v>Check
RW above floor</v>
      </c>
      <c r="S231" s="1343" t="str">
        <f>Securitisation!P18</f>
        <v>Check
RWA within range</v>
      </c>
      <c r="T231" s="1344" t="str">
        <f>Securitisation!Q18</f>
        <v>Check
RWA under final standards not equal to floor</v>
      </c>
      <c r="U231" s="1343" t="str">
        <f>Securitisation!R18</f>
        <v>Check
RWA within range</v>
      </c>
      <c r="V231" s="1344" t="str">
        <f>Securitisation!S18</f>
        <v>Check
RWA under final standards not equal to floor</v>
      </c>
      <c r="W231" s="177"/>
      <c r="X231" s="177"/>
      <c r="Y231" s="177"/>
      <c r="Z231" s="177"/>
      <c r="AA231" s="177"/>
      <c r="AB231" s="177"/>
      <c r="AC231" s="177"/>
      <c r="AD231" s="177"/>
      <c r="AE231" s="177"/>
      <c r="AF231" s="177"/>
      <c r="AG231" s="177"/>
      <c r="AH231" s="177"/>
      <c r="AI231" s="177"/>
      <c r="AJ231" s="177"/>
      <c r="AK231" s="177"/>
      <c r="AL231" s="177"/>
      <c r="AM231" s="177"/>
      <c r="AN231" s="177"/>
      <c r="AO231" s="177"/>
      <c r="AP231" s="546"/>
    </row>
    <row r="232" spans="1:42" ht="15" customHeight="1" x14ac:dyDescent="0.25">
      <c r="B232" s="769" t="s">
        <v>639</v>
      </c>
      <c r="C232" s="1947" t="str">
        <f>Securitisation!B19</f>
        <v>Non-STC securitisations; of which:</v>
      </c>
      <c r="D232" s="986"/>
      <c r="E232" s="986"/>
      <c r="F232" s="761"/>
      <c r="G232" s="773"/>
      <c r="H232" s="773"/>
      <c r="I232" s="773"/>
      <c r="J232" s="773"/>
      <c r="K232" s="773"/>
      <c r="L232" s="773"/>
      <c r="M232" s="773"/>
      <c r="N232" s="773"/>
      <c r="O232" s="773"/>
      <c r="P232" s="731" t="str">
        <f>Securitisation!M19</f>
        <v/>
      </c>
      <c r="Q232" s="731" t="str">
        <f>Securitisation!N19</f>
        <v/>
      </c>
      <c r="R232" s="771" t="str">
        <f>Securitisation!O19</f>
        <v/>
      </c>
      <c r="S232" s="259"/>
      <c r="T232" s="259"/>
      <c r="U232" s="259"/>
      <c r="V232" s="259"/>
      <c r="W232" s="177"/>
      <c r="X232" s="177"/>
      <c r="Y232" s="177"/>
      <c r="Z232" s="177"/>
      <c r="AA232" s="177"/>
      <c r="AB232" s="177"/>
      <c r="AC232" s="177"/>
      <c r="AD232" s="177"/>
      <c r="AE232" s="177"/>
      <c r="AF232" s="177"/>
      <c r="AG232" s="177"/>
      <c r="AH232" s="177"/>
      <c r="AI232" s="177"/>
      <c r="AJ232" s="177"/>
      <c r="AK232" s="177"/>
      <c r="AL232" s="177"/>
      <c r="AM232" s="177"/>
      <c r="AN232" s="177"/>
      <c r="AO232" s="177"/>
      <c r="AP232" s="546"/>
    </row>
    <row r="233" spans="1:42" ht="15" customHeight="1" x14ac:dyDescent="0.25">
      <c r="B233" s="266" t="s">
        <v>639</v>
      </c>
      <c r="C233" s="1972" t="str">
        <f>Securitisation!B20</f>
        <v>internal ratings-based approach (SEC-IRBA)</v>
      </c>
      <c r="D233" s="242"/>
      <c r="E233" s="242"/>
      <c r="F233" s="263"/>
      <c r="G233" s="261"/>
      <c r="H233" s="261"/>
      <c r="I233" s="261"/>
      <c r="J233" s="261"/>
      <c r="K233" s="261"/>
      <c r="L233" s="261"/>
      <c r="M233" s="261"/>
      <c r="N233" s="261"/>
      <c r="O233" s="261"/>
      <c r="P233" s="553" t="str">
        <f>Securitisation!M20</f>
        <v/>
      </c>
      <c r="Q233" s="553" t="str">
        <f>Securitisation!N20</f>
        <v/>
      </c>
      <c r="R233" s="701" t="str">
        <f>Securitisation!O20</f>
        <v/>
      </c>
      <c r="S233" s="701" t="str">
        <f>Securitisation!P20</f>
        <v/>
      </c>
      <c r="T233" s="701" t="str">
        <f>Securitisation!Q20</f>
        <v/>
      </c>
      <c r="U233" s="701" t="str">
        <f>Securitisation!R20</f>
        <v/>
      </c>
      <c r="V233" s="701" t="str">
        <f>Securitisation!S20</f>
        <v/>
      </c>
      <c r="W233" s="177"/>
      <c r="X233" s="177"/>
      <c r="Y233" s="177"/>
      <c r="Z233" s="177"/>
      <c r="AA233" s="177"/>
      <c r="AB233" s="177"/>
      <c r="AC233" s="177"/>
      <c r="AD233" s="177"/>
      <c r="AE233" s="177"/>
      <c r="AF233" s="177"/>
      <c r="AG233" s="177"/>
      <c r="AH233" s="177"/>
      <c r="AI233" s="177"/>
      <c r="AJ233" s="177"/>
      <c r="AK233" s="177"/>
      <c r="AL233" s="177"/>
      <c r="AM233" s="177"/>
      <c r="AN233" s="177"/>
      <c r="AO233" s="177"/>
      <c r="AP233" s="546"/>
    </row>
    <row r="234" spans="1:42" ht="15" customHeight="1" x14ac:dyDescent="0.25">
      <c r="B234" s="266" t="s">
        <v>639</v>
      </c>
      <c r="C234" s="1972" t="str">
        <f>Securitisation!B21</f>
        <v>external ratings-based approach (SEC-ERBA)</v>
      </c>
      <c r="D234" s="242"/>
      <c r="E234" s="242"/>
      <c r="F234" s="263"/>
      <c r="G234" s="261"/>
      <c r="H234" s="261"/>
      <c r="I234" s="261"/>
      <c r="J234" s="261"/>
      <c r="K234" s="261"/>
      <c r="L234" s="261"/>
      <c r="M234" s="261"/>
      <c r="N234" s="261"/>
      <c r="O234" s="261"/>
      <c r="P234" s="553" t="str">
        <f>Securitisation!M21</f>
        <v/>
      </c>
      <c r="Q234" s="553" t="str">
        <f>Securitisation!N21</f>
        <v/>
      </c>
      <c r="R234" s="701" t="str">
        <f>Securitisation!O21</f>
        <v/>
      </c>
      <c r="S234" s="259"/>
      <c r="T234" s="259"/>
      <c r="U234" s="701" t="str">
        <f>Securitisation!R21</f>
        <v/>
      </c>
      <c r="V234" s="701" t="str">
        <f>Securitisation!S21</f>
        <v/>
      </c>
      <c r="W234" s="177"/>
      <c r="X234" s="177"/>
      <c r="Y234" s="177"/>
      <c r="Z234" s="177"/>
      <c r="AA234" s="177"/>
      <c r="AB234" s="177"/>
      <c r="AC234" s="177"/>
      <c r="AD234" s="177"/>
      <c r="AE234" s="177"/>
      <c r="AF234" s="177"/>
      <c r="AG234" s="177"/>
      <c r="AH234" s="177"/>
      <c r="AI234" s="177"/>
      <c r="AJ234" s="177"/>
      <c r="AK234" s="177"/>
      <c r="AL234" s="177"/>
      <c r="AM234" s="177"/>
      <c r="AN234" s="177"/>
      <c r="AO234" s="177"/>
      <c r="AP234" s="546"/>
    </row>
    <row r="235" spans="1:42" ht="15" customHeight="1" x14ac:dyDescent="0.25">
      <c r="B235" s="266" t="s">
        <v>639</v>
      </c>
      <c r="C235" s="1972" t="str">
        <f>Securitisation!B22</f>
        <v>internal assessment approach (IAA)</v>
      </c>
      <c r="D235" s="242"/>
      <c r="E235" s="242"/>
      <c r="F235" s="263"/>
      <c r="G235" s="261"/>
      <c r="H235" s="261"/>
      <c r="I235" s="261"/>
      <c r="J235" s="261"/>
      <c r="K235" s="261"/>
      <c r="L235" s="261"/>
      <c r="M235" s="261"/>
      <c r="N235" s="261"/>
      <c r="O235" s="261"/>
      <c r="P235" s="553" t="str">
        <f>Securitisation!M22</f>
        <v/>
      </c>
      <c r="Q235" s="553" t="str">
        <f>Securitisation!N22</f>
        <v/>
      </c>
      <c r="R235" s="701" t="str">
        <f>Securitisation!O22</f>
        <v/>
      </c>
      <c r="S235" s="701" t="str">
        <f>Securitisation!P22</f>
        <v/>
      </c>
      <c r="T235" s="701" t="str">
        <f>Securitisation!Q22</f>
        <v/>
      </c>
      <c r="U235" s="259"/>
      <c r="V235" s="259"/>
      <c r="W235" s="177"/>
      <c r="X235" s="177"/>
      <c r="Y235" s="177"/>
      <c r="Z235" s="177"/>
      <c r="AA235" s="177"/>
      <c r="AB235" s="177"/>
      <c r="AC235" s="177"/>
      <c r="AD235" s="177"/>
      <c r="AE235" s="177"/>
      <c r="AF235" s="177"/>
      <c r="AG235" s="177"/>
      <c r="AH235" s="177"/>
      <c r="AI235" s="177"/>
      <c r="AJ235" s="177"/>
      <c r="AK235" s="177"/>
      <c r="AL235" s="177"/>
      <c r="AM235" s="177"/>
      <c r="AN235" s="177"/>
      <c r="AO235" s="177"/>
      <c r="AP235" s="546"/>
    </row>
    <row r="236" spans="1:42" ht="15" customHeight="1" x14ac:dyDescent="0.25">
      <c r="B236" s="266" t="s">
        <v>639</v>
      </c>
      <c r="C236" s="1972" t="str">
        <f>Securitisation!B23</f>
        <v>standardised approach (SEC-SA); of which:</v>
      </c>
      <c r="D236" s="242"/>
      <c r="E236" s="242"/>
      <c r="F236" s="263"/>
      <c r="G236" s="261"/>
      <c r="H236" s="261"/>
      <c r="I236" s="261"/>
      <c r="J236" s="261"/>
      <c r="K236" s="261"/>
      <c r="L236" s="261"/>
      <c r="M236" s="261"/>
      <c r="N236" s="261"/>
      <c r="O236" s="261"/>
      <c r="P236" s="553" t="str">
        <f>Securitisation!M23</f>
        <v/>
      </c>
      <c r="Q236" s="553" t="str">
        <f>Securitisation!N23</f>
        <v/>
      </c>
      <c r="R236" s="701" t="str">
        <f>Securitisation!O23</f>
        <v/>
      </c>
      <c r="S236" s="259"/>
      <c r="T236" s="259"/>
      <c r="U236" s="259"/>
      <c r="V236" s="259"/>
      <c r="W236" s="177"/>
      <c r="X236" s="177"/>
      <c r="Y236" s="177"/>
      <c r="Z236" s="177"/>
      <c r="AA236" s="177"/>
      <c r="AB236" s="177"/>
      <c r="AC236" s="177"/>
      <c r="AD236" s="177"/>
      <c r="AE236" s="177"/>
      <c r="AF236" s="177"/>
      <c r="AG236" s="177"/>
      <c r="AH236" s="177"/>
      <c r="AI236" s="177"/>
      <c r="AJ236" s="177"/>
      <c r="AK236" s="177"/>
      <c r="AL236" s="177"/>
      <c r="AM236" s="177"/>
      <c r="AN236" s="177"/>
      <c r="AO236" s="177"/>
      <c r="AP236" s="546"/>
    </row>
    <row r="237" spans="1:42" ht="15" customHeight="1" x14ac:dyDescent="0.25">
      <c r="B237" s="266" t="s">
        <v>639</v>
      </c>
      <c r="C237" s="1972" t="str">
        <f>Securitisation!B24</f>
        <v>resecuritisation exposures</v>
      </c>
      <c r="D237" s="242"/>
      <c r="E237" s="242"/>
      <c r="F237" s="263"/>
      <c r="G237" s="261"/>
      <c r="H237" s="261"/>
      <c r="I237" s="261"/>
      <c r="J237" s="261"/>
      <c r="K237" s="261"/>
      <c r="L237" s="261"/>
      <c r="M237" s="261"/>
      <c r="N237" s="261"/>
      <c r="O237" s="261"/>
      <c r="P237" s="553" t="str">
        <f>Securitisation!M24</f>
        <v/>
      </c>
      <c r="Q237" s="553" t="str">
        <f>Securitisation!N24</f>
        <v/>
      </c>
      <c r="R237" s="701" t="str">
        <f>Securitisation!O24</f>
        <v/>
      </c>
      <c r="S237" s="259"/>
      <c r="T237" s="259"/>
      <c r="U237" s="259"/>
      <c r="V237" s="259"/>
      <c r="W237" s="177"/>
      <c r="X237" s="177"/>
      <c r="Y237" s="177"/>
      <c r="Z237" s="177"/>
      <c r="AA237" s="177"/>
      <c r="AB237" s="177"/>
      <c r="AC237" s="177"/>
      <c r="AD237" s="177"/>
      <c r="AE237" s="177"/>
      <c r="AF237" s="177"/>
      <c r="AG237" s="177"/>
      <c r="AH237" s="177"/>
      <c r="AI237" s="177"/>
      <c r="AJ237" s="177"/>
      <c r="AK237" s="177"/>
      <c r="AL237" s="177"/>
      <c r="AM237" s="177"/>
      <c r="AN237" s="177"/>
      <c r="AO237" s="177"/>
      <c r="AP237" s="546"/>
    </row>
    <row r="238" spans="1:42" ht="15" customHeight="1" x14ac:dyDescent="0.25">
      <c r="B238" s="266" t="s">
        <v>639</v>
      </c>
      <c r="C238" s="1205" t="str">
        <f>Securitisation!B25</f>
        <v>STC securitisations; of which:</v>
      </c>
      <c r="D238" s="242"/>
      <c r="E238" s="242"/>
      <c r="F238" s="263"/>
      <c r="G238" s="261"/>
      <c r="H238" s="261"/>
      <c r="I238" s="261"/>
      <c r="J238" s="261"/>
      <c r="K238" s="261"/>
      <c r="L238" s="261"/>
      <c r="M238" s="261"/>
      <c r="N238" s="261"/>
      <c r="O238" s="261"/>
      <c r="P238" s="553" t="str">
        <f>Securitisation!M25</f>
        <v/>
      </c>
      <c r="Q238" s="553" t="str">
        <f>Securitisation!N25</f>
        <v/>
      </c>
      <c r="R238" s="701" t="str">
        <f>Securitisation!O25</f>
        <v/>
      </c>
      <c r="S238" s="259"/>
      <c r="T238" s="259"/>
      <c r="U238" s="259"/>
      <c r="V238" s="259"/>
      <c r="W238" s="177"/>
      <c r="X238" s="177"/>
      <c r="Y238" s="177"/>
      <c r="Z238" s="177"/>
      <c r="AA238" s="177"/>
      <c r="AB238" s="177"/>
      <c r="AC238" s="177"/>
      <c r="AD238" s="177"/>
      <c r="AE238" s="177"/>
      <c r="AF238" s="177"/>
      <c r="AG238" s="177"/>
      <c r="AH238" s="177"/>
      <c r="AI238" s="177"/>
      <c r="AJ238" s="177"/>
      <c r="AK238" s="177"/>
      <c r="AL238" s="177"/>
      <c r="AM238" s="177"/>
      <c r="AN238" s="177"/>
      <c r="AO238" s="177"/>
      <c r="AP238" s="546"/>
    </row>
    <row r="239" spans="1:42" ht="15" customHeight="1" x14ac:dyDescent="0.25">
      <c r="B239" s="266" t="s">
        <v>639</v>
      </c>
      <c r="C239" s="1972" t="str">
        <f>Securitisation!B26</f>
        <v>internal ratings-based approach (SEC-IRBA)</v>
      </c>
      <c r="D239" s="242"/>
      <c r="E239" s="242"/>
      <c r="F239" s="263"/>
      <c r="G239" s="261"/>
      <c r="H239" s="261"/>
      <c r="I239" s="261"/>
      <c r="J239" s="261"/>
      <c r="K239" s="261"/>
      <c r="L239" s="261"/>
      <c r="M239" s="261"/>
      <c r="N239" s="261"/>
      <c r="O239" s="261"/>
      <c r="P239" s="553" t="str">
        <f>Securitisation!M26</f>
        <v/>
      </c>
      <c r="Q239" s="553" t="str">
        <f>Securitisation!N26</f>
        <v/>
      </c>
      <c r="R239" s="701" t="str">
        <f>Securitisation!O26</f>
        <v/>
      </c>
      <c r="S239" s="701" t="str">
        <f>Securitisation!P26</f>
        <v/>
      </c>
      <c r="T239" s="701" t="str">
        <f>Securitisation!Q26</f>
        <v/>
      </c>
      <c r="U239" s="701" t="str">
        <f>Securitisation!R26</f>
        <v/>
      </c>
      <c r="V239" s="701" t="str">
        <f>Securitisation!S26</f>
        <v/>
      </c>
      <c r="W239" s="177"/>
      <c r="X239" s="177"/>
      <c r="Y239" s="177"/>
      <c r="Z239" s="177"/>
      <c r="AA239" s="177"/>
      <c r="AB239" s="177"/>
      <c r="AC239" s="177"/>
      <c r="AD239" s="177"/>
      <c r="AE239" s="177"/>
      <c r="AF239" s="177"/>
      <c r="AG239" s="177"/>
      <c r="AH239" s="177"/>
      <c r="AI239" s="177"/>
      <c r="AJ239" s="177"/>
      <c r="AK239" s="177"/>
      <c r="AL239" s="177"/>
      <c r="AM239" s="177"/>
      <c r="AN239" s="177"/>
      <c r="AO239" s="177"/>
      <c r="AP239" s="546"/>
    </row>
    <row r="240" spans="1:42" ht="15" customHeight="1" x14ac:dyDescent="0.25">
      <c r="B240" s="266" t="s">
        <v>639</v>
      </c>
      <c r="C240" s="1972" t="str">
        <f>Securitisation!B27</f>
        <v>external ratings-based approach (SEC-ERBA)</v>
      </c>
      <c r="D240" s="242"/>
      <c r="E240" s="242"/>
      <c r="F240" s="263"/>
      <c r="G240" s="261"/>
      <c r="H240" s="261"/>
      <c r="I240" s="261"/>
      <c r="J240" s="261"/>
      <c r="K240" s="261"/>
      <c r="L240" s="261"/>
      <c r="M240" s="261"/>
      <c r="N240" s="261"/>
      <c r="O240" s="261"/>
      <c r="P240" s="553" t="str">
        <f>Securitisation!M27</f>
        <v/>
      </c>
      <c r="Q240" s="553" t="str">
        <f>Securitisation!N27</f>
        <v/>
      </c>
      <c r="R240" s="701" t="str">
        <f>Securitisation!O27</f>
        <v/>
      </c>
      <c r="S240" s="259"/>
      <c r="T240" s="259"/>
      <c r="U240" s="701" t="str">
        <f>Securitisation!R27</f>
        <v/>
      </c>
      <c r="V240" s="701" t="str">
        <f>Securitisation!S27</f>
        <v/>
      </c>
      <c r="W240" s="177"/>
      <c r="X240" s="177"/>
      <c r="Y240" s="177"/>
      <c r="Z240" s="177"/>
      <c r="AA240" s="177"/>
      <c r="AB240" s="177"/>
      <c r="AC240" s="177"/>
      <c r="AD240" s="177"/>
      <c r="AE240" s="177"/>
      <c r="AF240" s="177"/>
      <c r="AG240" s="177"/>
      <c r="AH240" s="177"/>
      <c r="AI240" s="177"/>
      <c r="AJ240" s="177"/>
      <c r="AK240" s="177"/>
      <c r="AL240" s="177"/>
      <c r="AM240" s="177"/>
      <c r="AN240" s="177"/>
      <c r="AO240" s="177"/>
      <c r="AP240" s="546"/>
    </row>
    <row r="241" spans="2:42" ht="15" customHeight="1" x14ac:dyDescent="0.25">
      <c r="B241" s="266" t="s">
        <v>639</v>
      </c>
      <c r="C241" s="1972" t="str">
        <f>Securitisation!B28</f>
        <v>internal assessment approach (IAA)</v>
      </c>
      <c r="D241" s="242"/>
      <c r="E241" s="242"/>
      <c r="F241" s="263"/>
      <c r="G241" s="261"/>
      <c r="H241" s="261"/>
      <c r="I241" s="261"/>
      <c r="J241" s="261"/>
      <c r="K241" s="261"/>
      <c r="L241" s="261"/>
      <c r="M241" s="261"/>
      <c r="N241" s="261"/>
      <c r="O241" s="261"/>
      <c r="P241" s="553" t="str">
        <f>Securitisation!M28</f>
        <v/>
      </c>
      <c r="Q241" s="553" t="str">
        <f>Securitisation!N28</f>
        <v/>
      </c>
      <c r="R241" s="701" t="str">
        <f>Securitisation!O28</f>
        <v/>
      </c>
      <c r="S241" s="259"/>
      <c r="T241" s="259"/>
      <c r="U241" s="259"/>
      <c r="V241" s="259"/>
      <c r="W241" s="177"/>
      <c r="X241" s="177"/>
      <c r="Y241" s="177"/>
      <c r="Z241" s="177"/>
      <c r="AA241" s="177"/>
      <c r="AB241" s="177"/>
      <c r="AC241" s="177"/>
      <c r="AD241" s="177"/>
      <c r="AE241" s="177"/>
      <c r="AF241" s="177"/>
      <c r="AG241" s="177"/>
      <c r="AH241" s="177"/>
      <c r="AI241" s="177"/>
      <c r="AJ241" s="177"/>
      <c r="AK241" s="177"/>
      <c r="AL241" s="177"/>
      <c r="AM241" s="177"/>
      <c r="AN241" s="177"/>
      <c r="AO241" s="177"/>
      <c r="AP241" s="546"/>
    </row>
    <row r="242" spans="2:42" ht="15" customHeight="1" x14ac:dyDescent="0.25">
      <c r="B242" s="266" t="s">
        <v>639</v>
      </c>
      <c r="C242" s="1972" t="str">
        <f>Securitisation!B29</f>
        <v>standardised approach (SEC-SA)</v>
      </c>
      <c r="D242" s="242"/>
      <c r="E242" s="242"/>
      <c r="F242" s="263"/>
      <c r="G242" s="261"/>
      <c r="H242" s="261"/>
      <c r="I242" s="261"/>
      <c r="J242" s="261"/>
      <c r="K242" s="261"/>
      <c r="L242" s="261"/>
      <c r="M242" s="261"/>
      <c r="N242" s="261"/>
      <c r="O242" s="261"/>
      <c r="P242" s="553" t="str">
        <f>Securitisation!M29</f>
        <v/>
      </c>
      <c r="Q242" s="553" t="str">
        <f>Securitisation!N29</f>
        <v/>
      </c>
      <c r="R242" s="701" t="str">
        <f>Securitisation!O29</f>
        <v/>
      </c>
      <c r="S242" s="259"/>
      <c r="T242" s="259"/>
      <c r="U242" s="259"/>
      <c r="V242" s="259"/>
      <c r="W242" s="177"/>
      <c r="X242" s="177"/>
      <c r="Y242" s="177"/>
      <c r="Z242" s="177"/>
      <c r="AA242" s="177"/>
      <c r="AB242" s="177"/>
      <c r="AC242" s="177"/>
      <c r="AD242" s="177"/>
      <c r="AE242" s="177"/>
      <c r="AF242" s="177"/>
      <c r="AG242" s="177"/>
      <c r="AH242" s="177"/>
      <c r="AI242" s="177"/>
      <c r="AJ242" s="177"/>
      <c r="AK242" s="177"/>
      <c r="AL242" s="177"/>
      <c r="AM242" s="177"/>
      <c r="AN242" s="177"/>
      <c r="AO242" s="177"/>
      <c r="AP242" s="546"/>
    </row>
    <row r="243" spans="2:42" ht="15" customHeight="1" x14ac:dyDescent="0.25">
      <c r="B243" s="266" t="s">
        <v>639</v>
      </c>
      <c r="C243" s="1205" t="str">
        <f>Securitisation!B30</f>
        <v>Others (1250% RW)</v>
      </c>
      <c r="D243" s="242"/>
      <c r="E243" s="242"/>
      <c r="F243" s="263"/>
      <c r="G243" s="261"/>
      <c r="H243" s="261"/>
      <c r="I243" s="261"/>
      <c r="J243" s="261"/>
      <c r="K243" s="261"/>
      <c r="L243" s="261"/>
      <c r="M243" s="261"/>
      <c r="N243" s="261"/>
      <c r="O243" s="261"/>
      <c r="P243" s="553" t="str">
        <f>Securitisation!M30</f>
        <v/>
      </c>
      <c r="Q243" s="553" t="str">
        <f>Securitisation!N30</f>
        <v/>
      </c>
      <c r="R243" s="701" t="str">
        <f>Securitisation!O30</f>
        <v/>
      </c>
      <c r="S243" s="259"/>
      <c r="T243" s="259"/>
      <c r="U243" s="259"/>
      <c r="V243" s="259"/>
      <c r="W243" s="177"/>
      <c r="X243" s="177"/>
      <c r="Y243" s="177"/>
      <c r="Z243" s="177"/>
      <c r="AA243" s="177"/>
      <c r="AB243" s="177"/>
      <c r="AC243" s="177"/>
      <c r="AD243" s="177"/>
      <c r="AE243" s="177"/>
      <c r="AF243" s="177"/>
      <c r="AG243" s="177"/>
      <c r="AH243" s="177"/>
      <c r="AI243" s="177"/>
      <c r="AJ243" s="177"/>
      <c r="AK243" s="177"/>
      <c r="AL243" s="177"/>
      <c r="AM243" s="177"/>
      <c r="AN243" s="177"/>
      <c r="AO243" s="177"/>
      <c r="AP243" s="546"/>
    </row>
    <row r="244" spans="2:42" ht="15" customHeight="1" x14ac:dyDescent="0.25">
      <c r="B244" s="266" t="s">
        <v>639</v>
      </c>
      <c r="C244" s="1205" t="str">
        <f>Securitisation!B33</f>
        <v>Check: of which items should be less than the total</v>
      </c>
      <c r="D244" s="242"/>
      <c r="E244" s="242"/>
      <c r="F244" s="263"/>
      <c r="G244" s="261"/>
      <c r="H244" s="553" t="str">
        <f>Securitisation!E33</f>
        <v/>
      </c>
      <c r="I244" s="553" t="str">
        <f>Securitisation!F33</f>
        <v/>
      </c>
      <c r="J244" s="261"/>
      <c r="K244" s="261"/>
      <c r="L244" s="261"/>
      <c r="M244" s="261"/>
      <c r="N244" s="261"/>
      <c r="O244" s="261"/>
      <c r="P244" s="261"/>
      <c r="Q244" s="261"/>
      <c r="R244" s="261"/>
      <c r="S244" s="259"/>
      <c r="T244" s="259"/>
      <c r="U244" s="259"/>
      <c r="V244" s="259"/>
      <c r="W244" s="177"/>
      <c r="X244" s="177"/>
      <c r="Y244" s="177"/>
      <c r="Z244" s="177"/>
      <c r="AA244" s="177"/>
      <c r="AB244" s="177"/>
      <c r="AC244" s="177"/>
      <c r="AD244" s="177"/>
      <c r="AE244" s="177"/>
      <c r="AF244" s="177"/>
      <c r="AG244" s="177"/>
      <c r="AH244" s="177"/>
      <c r="AI244" s="177"/>
      <c r="AJ244" s="177"/>
      <c r="AK244" s="177"/>
      <c r="AL244" s="177"/>
      <c r="AM244" s="177"/>
      <c r="AN244" s="177"/>
      <c r="AO244" s="177"/>
      <c r="AP244" s="546"/>
    </row>
    <row r="245" spans="2:42" ht="15" customHeight="1" x14ac:dyDescent="0.25">
      <c r="B245" s="266" t="s">
        <v>639</v>
      </c>
      <c r="C245" s="1205" t="str">
        <f>Securitisation!B34</f>
        <v>Check: total RWA should not be higher than total reported in panel A1</v>
      </c>
      <c r="D245" s="242"/>
      <c r="E245" s="242"/>
      <c r="F245" s="263"/>
      <c r="G245" s="261"/>
      <c r="H245" s="261"/>
      <c r="I245" s="553" t="str">
        <f>Securitisation!F34</f>
        <v/>
      </c>
      <c r="J245" s="261"/>
      <c r="K245" s="261"/>
      <c r="L245" s="261"/>
      <c r="M245" s="261"/>
      <c r="N245" s="261"/>
      <c r="O245" s="261"/>
      <c r="P245" s="261"/>
      <c r="Q245" s="261"/>
      <c r="R245" s="259"/>
      <c r="S245" s="259"/>
      <c r="T245" s="259"/>
      <c r="U245" s="259"/>
      <c r="V245" s="259"/>
      <c r="W245" s="177"/>
      <c r="X245" s="177"/>
      <c r="Y245" s="177"/>
      <c r="Z245" s="177"/>
      <c r="AA245" s="177"/>
      <c r="AB245" s="177"/>
      <c r="AC245" s="177"/>
      <c r="AD245" s="177"/>
      <c r="AE245" s="177"/>
      <c r="AF245" s="177"/>
      <c r="AG245" s="177"/>
      <c r="AH245" s="177"/>
      <c r="AI245" s="177"/>
      <c r="AJ245" s="177"/>
      <c r="AK245" s="177"/>
      <c r="AL245" s="177"/>
      <c r="AM245" s="177"/>
      <c r="AN245" s="177"/>
      <c r="AO245" s="177"/>
      <c r="AP245" s="546"/>
    </row>
    <row r="246" spans="2:42" ht="15" customHeight="1" x14ac:dyDescent="0.25">
      <c r="B246" s="266" t="s">
        <v>639</v>
      </c>
      <c r="C246" s="1205" t="str">
        <f>Securitisation!B37</f>
        <v>Check: row 35 ≤ row 19</v>
      </c>
      <c r="D246" s="242"/>
      <c r="E246" s="242"/>
      <c r="F246" s="263"/>
      <c r="G246" s="261"/>
      <c r="H246" s="553" t="str">
        <f>Securitisation!E37</f>
        <v/>
      </c>
      <c r="I246" s="553" t="str">
        <f>Securitisation!F37</f>
        <v/>
      </c>
      <c r="J246" s="261"/>
      <c r="K246" s="261"/>
      <c r="L246" s="553" t="str">
        <f>Securitisation!I37</f>
        <v/>
      </c>
      <c r="M246" s="553" t="str">
        <f>Securitisation!J37</f>
        <v/>
      </c>
      <c r="N246" s="553" t="str">
        <f>Securitisation!K37</f>
        <v/>
      </c>
      <c r="O246" s="553" t="str">
        <f>Securitisation!L37</f>
        <v/>
      </c>
      <c r="P246" s="261"/>
      <c r="Q246" s="261"/>
      <c r="R246" s="259"/>
      <c r="S246" s="259"/>
      <c r="T246" s="259"/>
      <c r="U246" s="259"/>
      <c r="V246" s="259"/>
      <c r="W246" s="177"/>
      <c r="X246" s="177"/>
      <c r="Y246" s="177"/>
      <c r="Z246" s="177"/>
      <c r="AA246" s="177"/>
      <c r="AB246" s="177"/>
      <c r="AC246" s="177"/>
      <c r="AD246" s="177"/>
      <c r="AE246" s="177"/>
      <c r="AF246" s="177"/>
      <c r="AG246" s="177"/>
      <c r="AH246" s="177"/>
      <c r="AI246" s="177"/>
      <c r="AJ246" s="177"/>
      <c r="AK246" s="177"/>
      <c r="AL246" s="177"/>
      <c r="AM246" s="177"/>
      <c r="AN246" s="177"/>
      <c r="AO246" s="177"/>
      <c r="AP246" s="546"/>
    </row>
    <row r="247" spans="2:42" ht="15" customHeight="1" x14ac:dyDescent="0.25">
      <c r="B247" s="266" t="s">
        <v>639</v>
      </c>
      <c r="C247" s="1205" t="str">
        <f>Securitisation!B38</f>
        <v>Check: row 36 ≤ row 35</v>
      </c>
      <c r="D247" s="242"/>
      <c r="E247" s="242"/>
      <c r="F247" s="263"/>
      <c r="G247" s="261"/>
      <c r="H247" s="553" t="str">
        <f>Securitisation!E38</f>
        <v/>
      </c>
      <c r="I247" s="553" t="str">
        <f>Securitisation!F38</f>
        <v/>
      </c>
      <c r="J247" s="261"/>
      <c r="K247" s="261"/>
      <c r="L247" s="553" t="str">
        <f>Securitisation!I38</f>
        <v/>
      </c>
      <c r="M247" s="553" t="str">
        <f>Securitisation!J38</f>
        <v/>
      </c>
      <c r="N247" s="553" t="str">
        <f>Securitisation!K38</f>
        <v/>
      </c>
      <c r="O247" s="553" t="str">
        <f>Securitisation!L38</f>
        <v/>
      </c>
      <c r="P247" s="261"/>
      <c r="Q247" s="261"/>
      <c r="R247" s="259"/>
      <c r="S247" s="259"/>
      <c r="T247" s="259"/>
      <c r="U247" s="259"/>
      <c r="V247" s="259"/>
      <c r="W247" s="177"/>
      <c r="X247" s="177"/>
      <c r="Y247" s="177"/>
      <c r="Z247" s="177"/>
      <c r="AA247" s="177"/>
      <c r="AB247" s="177"/>
      <c r="AC247" s="177"/>
      <c r="AD247" s="177"/>
      <c r="AE247" s="177"/>
      <c r="AF247" s="177"/>
      <c r="AG247" s="177"/>
      <c r="AH247" s="177"/>
      <c r="AI247" s="177"/>
      <c r="AJ247" s="177"/>
      <c r="AK247" s="177"/>
      <c r="AL247" s="177"/>
      <c r="AM247" s="177"/>
      <c r="AN247" s="177"/>
      <c r="AO247" s="177"/>
      <c r="AP247" s="546"/>
    </row>
    <row r="248" spans="2:42" ht="15" customHeight="1" x14ac:dyDescent="0.25">
      <c r="B248" s="266" t="s">
        <v>967</v>
      </c>
      <c r="C248" s="1205" t="str">
        <f>Securitisation!B44</f>
        <v xml:space="preserve">Securitisation exposures currently deducted: </v>
      </c>
      <c r="D248" s="242"/>
      <c r="E248" s="242"/>
      <c r="F248" s="263"/>
      <c r="G248" s="261"/>
      <c r="H248" s="261"/>
      <c r="I248" s="261"/>
      <c r="J248" s="261"/>
      <c r="K248" s="261"/>
      <c r="L248" s="261"/>
      <c r="M248" s="261"/>
      <c r="N248" s="261"/>
      <c r="O248" s="261"/>
      <c r="P248" s="261"/>
      <c r="Q248" s="553" t="str">
        <f>Securitisation!N44</f>
        <v/>
      </c>
      <c r="R248" s="701" t="str">
        <f>Securitisation!O44</f>
        <v/>
      </c>
      <c r="S248" s="259"/>
      <c r="T248" s="259"/>
      <c r="U248" s="259"/>
      <c r="V248" s="259"/>
      <c r="W248" s="177"/>
      <c r="X248" s="177"/>
      <c r="Y248" s="177"/>
      <c r="Z248" s="177"/>
      <c r="AA248" s="177"/>
      <c r="AB248" s="177"/>
      <c r="AC248" s="177"/>
      <c r="AD248" s="177"/>
      <c r="AE248" s="177"/>
      <c r="AF248" s="177"/>
      <c r="AG248" s="177"/>
      <c r="AH248" s="177"/>
      <c r="AI248" s="177"/>
      <c r="AJ248" s="177"/>
      <c r="AK248" s="177"/>
      <c r="AL248" s="177"/>
      <c r="AM248" s="177"/>
      <c r="AN248" s="177"/>
      <c r="AO248" s="177"/>
      <c r="AP248" s="546"/>
    </row>
    <row r="249" spans="2:42" ht="15" customHeight="1" x14ac:dyDescent="0.25">
      <c r="B249" s="266" t="s">
        <v>967</v>
      </c>
      <c r="C249" s="1972" t="str">
        <f>Securitisation!B45</f>
        <v>of which: internal ratings-based approach (SEC-IRBA)</v>
      </c>
      <c r="D249" s="242"/>
      <c r="E249" s="242"/>
      <c r="F249" s="263"/>
      <c r="G249" s="261"/>
      <c r="H249" s="261"/>
      <c r="I249" s="261"/>
      <c r="J249" s="261"/>
      <c r="K249" s="261"/>
      <c r="L249" s="261"/>
      <c r="M249" s="261"/>
      <c r="N249" s="261"/>
      <c r="O249" s="261"/>
      <c r="P249" s="261"/>
      <c r="Q249" s="553" t="str">
        <f>Securitisation!N45</f>
        <v/>
      </c>
      <c r="R249" s="701" t="str">
        <f>Securitisation!O45</f>
        <v/>
      </c>
      <c r="S249" s="701" t="str">
        <f>Securitisation!P45</f>
        <v/>
      </c>
      <c r="T249" s="701" t="str">
        <f>Securitisation!Q45</f>
        <v/>
      </c>
      <c r="U249" s="701" t="str">
        <f>Securitisation!R45</f>
        <v/>
      </c>
      <c r="V249" s="701" t="str">
        <f>Securitisation!S45</f>
        <v/>
      </c>
      <c r="W249" s="177"/>
      <c r="X249" s="177"/>
      <c r="Y249" s="177"/>
      <c r="Z249" s="177"/>
      <c r="AA249" s="177"/>
      <c r="AB249" s="177"/>
      <c r="AC249" s="177"/>
      <c r="AD249" s="177"/>
      <c r="AE249" s="177"/>
      <c r="AF249" s="177"/>
      <c r="AG249" s="177"/>
      <c r="AH249" s="177"/>
      <c r="AI249" s="177"/>
      <c r="AJ249" s="177"/>
      <c r="AK249" s="177"/>
      <c r="AL249" s="177"/>
      <c r="AM249" s="177"/>
      <c r="AN249" s="177"/>
      <c r="AO249" s="177"/>
      <c r="AP249" s="546"/>
    </row>
    <row r="250" spans="2:42" ht="15" customHeight="1" x14ac:dyDescent="0.25">
      <c r="B250" s="266" t="s">
        <v>967</v>
      </c>
      <c r="C250" s="1972" t="str">
        <f>Securitisation!B46</f>
        <v>of which: external ratings-based approach (SEC-ERBA)</v>
      </c>
      <c r="D250" s="242"/>
      <c r="E250" s="242"/>
      <c r="F250" s="263"/>
      <c r="G250" s="261"/>
      <c r="H250" s="261"/>
      <c r="I250" s="261"/>
      <c r="J250" s="261"/>
      <c r="K250" s="261"/>
      <c r="L250" s="261"/>
      <c r="M250" s="261"/>
      <c r="N250" s="261"/>
      <c r="O250" s="261"/>
      <c r="P250" s="261"/>
      <c r="Q250" s="553" t="str">
        <f>Securitisation!N46</f>
        <v/>
      </c>
      <c r="R250" s="701" t="str">
        <f>Securitisation!O46</f>
        <v/>
      </c>
      <c r="S250" s="259"/>
      <c r="T250" s="259"/>
      <c r="U250" s="701" t="str">
        <f>Securitisation!R46</f>
        <v/>
      </c>
      <c r="V250" s="701" t="str">
        <f>Securitisation!S46</f>
        <v/>
      </c>
      <c r="W250" s="177"/>
      <c r="X250" s="177"/>
      <c r="Y250" s="177"/>
      <c r="Z250" s="177"/>
      <c r="AA250" s="177"/>
      <c r="AB250" s="177"/>
      <c r="AC250" s="177"/>
      <c r="AD250" s="177"/>
      <c r="AE250" s="177"/>
      <c r="AF250" s="177"/>
      <c r="AG250" s="177"/>
      <c r="AH250" s="177"/>
      <c r="AI250" s="177"/>
      <c r="AJ250" s="177"/>
      <c r="AK250" s="177"/>
      <c r="AL250" s="177"/>
      <c r="AM250" s="177"/>
      <c r="AN250" s="177"/>
      <c r="AO250" s="177"/>
      <c r="AP250" s="546"/>
    </row>
    <row r="251" spans="2:42" ht="15" customHeight="1" x14ac:dyDescent="0.25">
      <c r="B251" s="266" t="s">
        <v>967</v>
      </c>
      <c r="C251" s="1972" t="str">
        <f>Securitisation!B47</f>
        <v>of which: internal assessment approach (IAA)</v>
      </c>
      <c r="D251" s="242"/>
      <c r="E251" s="242"/>
      <c r="F251" s="263"/>
      <c r="G251" s="261"/>
      <c r="H251" s="261"/>
      <c r="I251" s="261"/>
      <c r="J251" s="261"/>
      <c r="K251" s="261"/>
      <c r="L251" s="261"/>
      <c r="M251" s="261"/>
      <c r="N251" s="261"/>
      <c r="O251" s="261"/>
      <c r="P251" s="261"/>
      <c r="Q251" s="553" t="str">
        <f>Securitisation!N47</f>
        <v/>
      </c>
      <c r="R251" s="701" t="str">
        <f>Securitisation!O47</f>
        <v/>
      </c>
      <c r="S251" s="701" t="str">
        <f>Securitisation!P47</f>
        <v/>
      </c>
      <c r="T251" s="701" t="str">
        <f>Securitisation!Q47</f>
        <v/>
      </c>
      <c r="U251" s="259"/>
      <c r="V251" s="259"/>
      <c r="W251" s="177"/>
      <c r="X251" s="177"/>
      <c r="Y251" s="177"/>
      <c r="Z251" s="177"/>
      <c r="AA251" s="177"/>
      <c r="AB251" s="177"/>
      <c r="AC251" s="177"/>
      <c r="AD251" s="177"/>
      <c r="AE251" s="177"/>
      <c r="AF251" s="177"/>
      <c r="AG251" s="177"/>
      <c r="AH251" s="177"/>
      <c r="AI251" s="177"/>
      <c r="AJ251" s="177"/>
      <c r="AK251" s="177"/>
      <c r="AL251" s="177"/>
      <c r="AM251" s="177"/>
      <c r="AN251" s="177"/>
      <c r="AO251" s="177"/>
      <c r="AP251" s="546"/>
    </row>
    <row r="252" spans="2:42" ht="15" customHeight="1" x14ac:dyDescent="0.25">
      <c r="B252" s="266" t="s">
        <v>967</v>
      </c>
      <c r="C252" s="1972" t="str">
        <f>Securitisation!B48</f>
        <v>of which: standardised approach (SEC-SA)</v>
      </c>
      <c r="D252" s="242"/>
      <c r="E252" s="242"/>
      <c r="F252" s="263"/>
      <c r="G252" s="261"/>
      <c r="H252" s="261"/>
      <c r="I252" s="261"/>
      <c r="J252" s="261"/>
      <c r="K252" s="261"/>
      <c r="L252" s="261"/>
      <c r="M252" s="261"/>
      <c r="N252" s="261"/>
      <c r="O252" s="261"/>
      <c r="P252" s="261"/>
      <c r="Q252" s="553" t="str">
        <f>Securitisation!N48</f>
        <v/>
      </c>
      <c r="R252" s="701" t="str">
        <f>Securitisation!O48</f>
        <v/>
      </c>
      <c r="S252" s="259"/>
      <c r="T252" s="259"/>
      <c r="U252" s="259"/>
      <c r="V252" s="259"/>
      <c r="W252" s="177"/>
      <c r="X252" s="177"/>
      <c r="Y252" s="177"/>
      <c r="Z252" s="177"/>
      <c r="AA252" s="177"/>
      <c r="AB252" s="177"/>
      <c r="AC252" s="177"/>
      <c r="AD252" s="177"/>
      <c r="AE252" s="177"/>
      <c r="AF252" s="177"/>
      <c r="AG252" s="177"/>
      <c r="AH252" s="177"/>
      <c r="AI252" s="177"/>
      <c r="AJ252" s="177"/>
      <c r="AK252" s="177"/>
      <c r="AL252" s="177"/>
      <c r="AM252" s="177"/>
      <c r="AN252" s="177"/>
      <c r="AO252" s="177"/>
      <c r="AP252" s="546"/>
    </row>
    <row r="253" spans="2:42" ht="15" customHeight="1" x14ac:dyDescent="0.25">
      <c r="B253" s="266" t="s">
        <v>967</v>
      </c>
      <c r="C253" s="1972" t="str">
        <f>Securitisation!B49</f>
        <v>of which: Others (risk-weighted 1250%)</v>
      </c>
      <c r="D253" s="242"/>
      <c r="E253" s="242"/>
      <c r="F253" s="263"/>
      <c r="G253" s="261"/>
      <c r="H253" s="261"/>
      <c r="I253" s="261"/>
      <c r="J253" s="261"/>
      <c r="K253" s="261"/>
      <c r="L253" s="261"/>
      <c r="M253" s="261"/>
      <c r="N253" s="261"/>
      <c r="O253" s="261"/>
      <c r="P253" s="261"/>
      <c r="Q253" s="553" t="str">
        <f>Securitisation!N49</f>
        <v/>
      </c>
      <c r="R253" s="701" t="str">
        <f>Securitisation!O49</f>
        <v/>
      </c>
      <c r="S253" s="259"/>
      <c r="T253" s="259"/>
      <c r="U253" s="259"/>
      <c r="V253" s="259"/>
      <c r="W253" s="177"/>
      <c r="X253" s="177"/>
      <c r="Y253" s="177"/>
      <c r="Z253" s="177"/>
      <c r="AA253" s="177"/>
      <c r="AB253" s="177"/>
      <c r="AC253" s="177"/>
      <c r="AD253" s="177"/>
      <c r="AE253" s="177"/>
      <c r="AF253" s="177"/>
      <c r="AG253" s="177"/>
      <c r="AH253" s="177"/>
      <c r="AI253" s="177"/>
      <c r="AJ253" s="177"/>
      <c r="AK253" s="177"/>
      <c r="AL253" s="177"/>
      <c r="AM253" s="177"/>
      <c r="AN253" s="177"/>
      <c r="AO253" s="177"/>
      <c r="AP253" s="546"/>
    </row>
    <row r="254" spans="2:42" ht="30" customHeight="1" x14ac:dyDescent="0.25">
      <c r="B254" s="266" t="s">
        <v>967</v>
      </c>
      <c r="C254" s="2586" t="str">
        <f>Securitisation!B50</f>
        <v>Check: deductions reported in panel A3 less or equal than deductions reported in the Memo box</v>
      </c>
      <c r="D254" s="2587"/>
      <c r="E254" s="2587"/>
      <c r="F254" s="263"/>
      <c r="G254" s="261"/>
      <c r="H254" s="553" t="str">
        <f>Securitisation!E50</f>
        <v/>
      </c>
      <c r="I254" s="261"/>
      <c r="J254" s="261"/>
      <c r="K254" s="261"/>
      <c r="L254" s="261"/>
      <c r="M254" s="261"/>
      <c r="N254" s="261"/>
      <c r="O254" s="261"/>
      <c r="P254" s="261"/>
      <c r="Q254" s="261"/>
      <c r="R254" s="259"/>
      <c r="S254" s="259"/>
      <c r="T254" s="259"/>
      <c r="U254" s="259"/>
      <c r="V254" s="259"/>
      <c r="W254" s="177"/>
      <c r="X254" s="177"/>
      <c r="Y254" s="177"/>
      <c r="Z254" s="177"/>
      <c r="AA254" s="177"/>
      <c r="AB254" s="177"/>
      <c r="AC254" s="177"/>
      <c r="AD254" s="177"/>
      <c r="AE254" s="177"/>
      <c r="AF254" s="177"/>
      <c r="AG254" s="177"/>
      <c r="AH254" s="177"/>
      <c r="AI254" s="177"/>
      <c r="AJ254" s="177"/>
      <c r="AK254" s="177"/>
      <c r="AL254" s="177"/>
      <c r="AM254" s="177"/>
      <c r="AN254" s="177"/>
      <c r="AO254" s="177"/>
      <c r="AP254" s="546"/>
    </row>
    <row r="255" spans="2:42" ht="15" customHeight="1" x14ac:dyDescent="0.25">
      <c r="B255" s="266" t="s">
        <v>967</v>
      </c>
      <c r="C255" s="1205" t="str">
        <f>Securitisation!B52</f>
        <v>Check: deductions reported in row 51 less or equal than deductions reported in row 44</v>
      </c>
      <c r="D255" s="242"/>
      <c r="E255" s="242"/>
      <c r="F255" s="263"/>
      <c r="G255" s="261"/>
      <c r="H255" s="553" t="str">
        <f>Securitisation!E52</f>
        <v/>
      </c>
      <c r="I255" s="553" t="str">
        <f>Securitisation!F52</f>
        <v/>
      </c>
      <c r="J255" s="261"/>
      <c r="K255" s="261"/>
      <c r="L255" s="261"/>
      <c r="M255" s="261"/>
      <c r="N255" s="261"/>
      <c r="O255" s="261"/>
      <c r="P255" s="261"/>
      <c r="Q255" s="261"/>
      <c r="R255" s="259"/>
      <c r="S255" s="259"/>
      <c r="T255" s="259"/>
      <c r="U255" s="259"/>
      <c r="V255" s="259"/>
      <c r="W255" s="177"/>
      <c r="X255" s="177"/>
      <c r="Y255" s="177"/>
      <c r="Z255" s="177"/>
      <c r="AA255" s="177"/>
      <c r="AB255" s="177"/>
      <c r="AC255" s="177"/>
      <c r="AD255" s="177"/>
      <c r="AE255" s="177"/>
      <c r="AF255" s="177"/>
      <c r="AG255" s="177"/>
      <c r="AH255" s="177"/>
      <c r="AI255" s="177"/>
      <c r="AJ255" s="177"/>
      <c r="AK255" s="177"/>
      <c r="AL255" s="177"/>
      <c r="AM255" s="177"/>
      <c r="AN255" s="177"/>
      <c r="AO255" s="177"/>
      <c r="AP255" s="546"/>
    </row>
    <row r="256" spans="2:42" ht="15" customHeight="1" x14ac:dyDescent="0.25">
      <c r="B256" s="266" t="s">
        <v>634</v>
      </c>
      <c r="C256" s="1205" t="str">
        <f>Securitisation!B62</f>
        <v>Check: "Total" panel A2 = "Total" panel B</v>
      </c>
      <c r="D256" s="242"/>
      <c r="E256" s="242"/>
      <c r="F256" s="560" t="str">
        <f>Securitisation!C62</f>
        <v/>
      </c>
      <c r="G256" s="553" t="str">
        <f>Securitisation!D62</f>
        <v/>
      </c>
      <c r="H256" s="553" t="str">
        <f>Securitisation!E62</f>
        <v/>
      </c>
      <c r="I256" s="553" t="str">
        <f>Securitisation!F62</f>
        <v/>
      </c>
      <c r="J256" s="553" t="str">
        <f>Securitisation!G62</f>
        <v/>
      </c>
      <c r="K256" s="553" t="str">
        <f>Securitisation!H62</f>
        <v/>
      </c>
      <c r="L256" s="553" t="str">
        <f>Securitisation!I62</f>
        <v/>
      </c>
      <c r="M256" s="261"/>
      <c r="N256" s="261"/>
      <c r="O256" s="261"/>
      <c r="P256" s="261"/>
      <c r="Q256" s="261"/>
      <c r="R256" s="259"/>
      <c r="S256" s="259"/>
      <c r="T256" s="259"/>
      <c r="U256" s="259"/>
      <c r="V256" s="259"/>
      <c r="W256" s="177"/>
      <c r="X256" s="177"/>
      <c r="Y256" s="177"/>
      <c r="Z256" s="177"/>
      <c r="AA256" s="177"/>
      <c r="AB256" s="177"/>
      <c r="AC256" s="177"/>
      <c r="AD256" s="177"/>
      <c r="AE256" s="177"/>
      <c r="AF256" s="177"/>
      <c r="AG256" s="177"/>
      <c r="AH256" s="177"/>
      <c r="AI256" s="177"/>
      <c r="AJ256" s="177"/>
      <c r="AK256" s="177"/>
      <c r="AL256" s="177"/>
      <c r="AM256" s="177"/>
      <c r="AN256" s="177"/>
      <c r="AO256" s="177"/>
      <c r="AP256" s="546"/>
    </row>
    <row r="257" spans="1:42" ht="15" customHeight="1" x14ac:dyDescent="0.25">
      <c r="B257" s="266" t="s">
        <v>634</v>
      </c>
      <c r="C257" s="1205" t="str">
        <f>Securitisation!B63</f>
        <v>Check: "Deductions" in panel A3 = "Deductions" panel B</v>
      </c>
      <c r="D257" s="242"/>
      <c r="E257" s="242"/>
      <c r="F257" s="263"/>
      <c r="G257" s="261"/>
      <c r="H257" s="261"/>
      <c r="I257" s="261"/>
      <c r="J257" s="261"/>
      <c r="K257" s="261"/>
      <c r="L257" s="261"/>
      <c r="M257" s="261"/>
      <c r="N257" s="261"/>
      <c r="O257" s="261"/>
      <c r="P257" s="261"/>
      <c r="Q257" s="883" t="str">
        <f>Securitisation!M63</f>
        <v/>
      </c>
      <c r="R257" s="259"/>
      <c r="S257" s="259"/>
      <c r="T257" s="259"/>
      <c r="U257" s="259"/>
      <c r="V257" s="259"/>
      <c r="W257" s="177"/>
      <c r="X257" s="177"/>
      <c r="Y257" s="177"/>
      <c r="Z257" s="177"/>
      <c r="AA257" s="177"/>
      <c r="AB257" s="177"/>
      <c r="AC257" s="177"/>
      <c r="AD257" s="177"/>
      <c r="AE257" s="177"/>
      <c r="AF257" s="177"/>
      <c r="AG257" s="177"/>
      <c r="AH257" s="177"/>
      <c r="AI257" s="177"/>
      <c r="AJ257" s="177"/>
      <c r="AK257" s="177"/>
      <c r="AL257" s="177"/>
      <c r="AM257" s="177"/>
      <c r="AN257" s="177"/>
      <c r="AO257" s="177"/>
      <c r="AP257" s="546"/>
    </row>
    <row r="258" spans="1:42" ht="15" customHeight="1" x14ac:dyDescent="0.25">
      <c r="B258" s="254" t="s">
        <v>634</v>
      </c>
      <c r="C258" s="1968" t="str">
        <f>Securitisation!B64</f>
        <v>Check: "Deduction for securitisation gain on sale"</v>
      </c>
      <c r="D258" s="250"/>
      <c r="E258" s="250"/>
      <c r="F258" s="265"/>
      <c r="G258" s="355"/>
      <c r="H258" s="355"/>
      <c r="I258" s="355"/>
      <c r="J258" s="355"/>
      <c r="K258" s="355"/>
      <c r="L258" s="355"/>
      <c r="M258" s="555" t="str">
        <f>Securitisation!J64</f>
        <v/>
      </c>
      <c r="N258" s="355"/>
      <c r="O258" s="355"/>
      <c r="P258" s="355"/>
      <c r="Q258" s="355"/>
      <c r="R258" s="356"/>
      <c r="S258" s="356"/>
      <c r="T258" s="356"/>
      <c r="U258" s="356"/>
      <c r="V258" s="356"/>
      <c r="W258" s="177"/>
      <c r="X258" s="177"/>
      <c r="Y258" s="177"/>
      <c r="Z258" s="177"/>
      <c r="AA258" s="177"/>
      <c r="AB258" s="177"/>
      <c r="AC258" s="177"/>
      <c r="AD258" s="177"/>
      <c r="AE258" s="177"/>
      <c r="AF258" s="177"/>
      <c r="AG258" s="177"/>
      <c r="AH258" s="177"/>
      <c r="AI258" s="177"/>
      <c r="AJ258" s="177"/>
      <c r="AK258" s="177"/>
      <c r="AL258" s="177"/>
      <c r="AM258" s="177"/>
      <c r="AN258" s="177"/>
      <c r="AO258" s="177"/>
      <c r="AP258" s="546"/>
    </row>
    <row r="259" spans="1:42" ht="15" customHeight="1" x14ac:dyDescent="0.25">
      <c r="D259" s="477"/>
      <c r="E259" s="477"/>
      <c r="F259" s="477"/>
      <c r="G259" s="477"/>
      <c r="H259" s="477"/>
      <c r="I259" s="477"/>
      <c r="J259" s="477"/>
      <c r="K259" s="477"/>
      <c r="L259" s="549"/>
      <c r="M259" s="549"/>
      <c r="N259" s="549"/>
      <c r="O259" s="477"/>
      <c r="P259" s="477"/>
      <c r="Q259" s="477"/>
      <c r="R259" s="477"/>
      <c r="S259" s="477"/>
      <c r="T259" s="477"/>
      <c r="U259" s="177"/>
      <c r="V259" s="177"/>
      <c r="W259" s="548"/>
      <c r="X259" s="177"/>
      <c r="Y259" s="177"/>
      <c r="Z259" s="177"/>
      <c r="AA259" s="177"/>
      <c r="AB259" s="177"/>
      <c r="AC259" s="177"/>
      <c r="AD259" s="177"/>
      <c r="AE259" s="177"/>
      <c r="AF259" s="177"/>
      <c r="AG259" s="177"/>
      <c r="AH259" s="177"/>
      <c r="AI259" s="177"/>
      <c r="AJ259" s="177"/>
      <c r="AK259" s="177"/>
      <c r="AL259" s="177"/>
      <c r="AM259" s="177"/>
      <c r="AN259" s="177"/>
      <c r="AO259" s="177"/>
      <c r="AP259" s="546"/>
    </row>
    <row r="260" spans="1:42" ht="45" customHeight="1" x14ac:dyDescent="0.25">
      <c r="A260" s="784" t="s">
        <v>2112</v>
      </c>
      <c r="B260" s="1105"/>
      <c r="C260" s="1105"/>
      <c r="D260" s="1105"/>
      <c r="E260" s="1105"/>
      <c r="F260" s="1105"/>
      <c r="G260" s="1105"/>
      <c r="H260" s="1105"/>
      <c r="I260" s="1105"/>
      <c r="J260" s="1105"/>
      <c r="K260" s="1105"/>
      <c r="L260" s="1105"/>
      <c r="M260" s="1105"/>
      <c r="N260" s="1105"/>
      <c r="O260" s="1105"/>
      <c r="P260" s="1105"/>
      <c r="Q260" s="1105"/>
      <c r="R260" s="1105"/>
      <c r="S260" s="1105"/>
      <c r="T260" s="1105"/>
      <c r="U260" s="1105"/>
      <c r="V260" s="1105"/>
      <c r="X260" s="1105"/>
      <c r="Y260" s="1105"/>
      <c r="Z260" s="1105"/>
      <c r="AA260" s="1105"/>
      <c r="AB260" s="1105"/>
      <c r="AC260" s="1105"/>
      <c r="AD260" s="1105"/>
      <c r="AE260" s="1105"/>
      <c r="AF260" s="1105"/>
      <c r="AG260" s="1105"/>
      <c r="AH260" s="1105"/>
      <c r="AI260" s="1105"/>
      <c r="AJ260" s="1105"/>
      <c r="AK260" s="1105"/>
      <c r="AL260" s="1105"/>
      <c r="AM260" s="1105"/>
      <c r="AN260" s="1105"/>
      <c r="AO260" s="1105"/>
      <c r="AP260" s="785"/>
    </row>
    <row r="261" spans="1:42" ht="15" customHeight="1" x14ac:dyDescent="0.25">
      <c r="B261" s="772" t="s">
        <v>633</v>
      </c>
      <c r="C261" s="1341" t="s">
        <v>13</v>
      </c>
      <c r="D261" s="1393"/>
      <c r="E261" s="1393"/>
      <c r="F261" s="1393"/>
      <c r="G261" s="1393"/>
      <c r="H261" s="1393"/>
      <c r="I261" s="1393"/>
      <c r="J261" s="2312" t="str">
        <f>CONCATENATE("Col ", LEFT(ADDRESS(ROW('CCR and CVA'!C74),COLUMN('CCR and CVA'!C74),4), 1))</f>
        <v>Col C</v>
      </c>
      <c r="K261" s="2312" t="str">
        <f>CONCATENATE("Col ", LEFT(ADDRESS(ROW('CCR and CVA'!E74),COLUMN('CCR and CVA'!E74),4), 1))</f>
        <v>Col E</v>
      </c>
      <c r="L261" s="2312" t="str">
        <f>CONCATENATE("Col ", LEFT(ADDRESS(ROW('CCR and CVA'!F74),COLUMN('CCR and CVA'!F74),4), 1))</f>
        <v>Col F</v>
      </c>
      <c r="M261" s="2312" t="str">
        <f>CONCATENATE("Col ", LEFT(ADDRESS(ROW('CCR and CVA'!G74),COLUMN('CCR and CVA'!G74),4), 1))</f>
        <v>Col G</v>
      </c>
      <c r="N261" s="2310" t="str">
        <f>CONCATENATE("Col ", LEFT(ADDRESS(ROW('CCR and CVA'!H74),COLUMN('CCR and CVA'!H74),4), 1))</f>
        <v>Col H</v>
      </c>
      <c r="O261" s="477"/>
      <c r="P261" s="477"/>
      <c r="Q261" s="477"/>
      <c r="R261" s="477"/>
      <c r="S261" s="477"/>
      <c r="T261" s="477"/>
      <c r="U261" s="477"/>
      <c r="V261" s="477"/>
      <c r="X261" s="477"/>
      <c r="Y261" s="477"/>
      <c r="Z261" s="477"/>
      <c r="AA261" s="477"/>
      <c r="AB261" s="477"/>
      <c r="AC261" s="477"/>
      <c r="AD261" s="477"/>
      <c r="AE261" s="477"/>
      <c r="AF261" s="477"/>
      <c r="AG261" s="477"/>
      <c r="AH261" s="477"/>
      <c r="AI261" s="477"/>
      <c r="AJ261" s="477"/>
      <c r="AK261" s="477"/>
      <c r="AL261" s="477"/>
      <c r="AM261" s="477"/>
      <c r="AN261" s="477"/>
      <c r="AO261" s="477"/>
      <c r="AP261" s="544"/>
    </row>
    <row r="262" spans="1:42" ht="15" customHeight="1" x14ac:dyDescent="0.25">
      <c r="B262" s="769" t="s">
        <v>637</v>
      </c>
      <c r="C262" s="1947" t="str">
        <f>'CCR and CVA'!B74</f>
        <v>Possibility to use CCR capital requirement</v>
      </c>
      <c r="D262" s="986"/>
      <c r="E262" s="986"/>
      <c r="F262" s="986"/>
      <c r="G262" s="986"/>
      <c r="H262" s="986"/>
      <c r="I262" s="1969"/>
      <c r="J262" s="731" t="str">
        <f>'CCR and CVA'!C74</f>
        <v/>
      </c>
      <c r="K262" s="773"/>
      <c r="L262" s="773"/>
      <c r="M262" s="773"/>
      <c r="N262" s="767"/>
      <c r="O262" s="477"/>
      <c r="P262" s="477"/>
      <c r="Q262" s="477"/>
      <c r="R262" s="477"/>
      <c r="S262" s="477"/>
      <c r="T262" s="477"/>
      <c r="U262" s="477"/>
      <c r="V262" s="477"/>
      <c r="X262" s="477"/>
      <c r="Y262" s="477"/>
      <c r="Z262" s="477"/>
      <c r="AA262" s="477"/>
      <c r="AB262" s="477"/>
      <c r="AC262" s="477"/>
      <c r="AD262" s="477"/>
      <c r="AE262" s="477"/>
      <c r="AF262" s="477"/>
      <c r="AG262" s="477"/>
      <c r="AH262" s="477"/>
      <c r="AI262" s="477"/>
      <c r="AJ262" s="477"/>
      <c r="AK262" s="477"/>
      <c r="AL262" s="477"/>
      <c r="AM262" s="477"/>
      <c r="AN262" s="477"/>
      <c r="AO262" s="477"/>
      <c r="AP262" s="544"/>
    </row>
    <row r="263" spans="1:42" ht="15" customHeight="1" x14ac:dyDescent="0.25">
      <c r="B263" s="266" t="s">
        <v>1060</v>
      </c>
      <c r="C263" s="1205" t="str">
        <f>'CCR and CVA'!E74</f>
        <v>Calculation using CCR capital requirement</v>
      </c>
      <c r="D263" s="242"/>
      <c r="E263" s="242"/>
      <c r="F263" s="242"/>
      <c r="G263" s="242"/>
      <c r="H263" s="242"/>
      <c r="I263" s="1970"/>
      <c r="J263" s="261"/>
      <c r="K263" s="261"/>
      <c r="L263" s="261"/>
      <c r="M263" s="553" t="str">
        <f>IF(OR('CCR and CVA'!G74="No", 'CCR and CVA'!G74="Yes"), "", 'CCR and CVA'!G74)</f>
        <v/>
      </c>
      <c r="N263" s="259"/>
      <c r="O263" s="477"/>
      <c r="P263" s="477"/>
      <c r="Q263" s="477"/>
      <c r="R263" s="477"/>
      <c r="S263" s="477"/>
      <c r="T263" s="477"/>
      <c r="U263" s="477"/>
      <c r="V263" s="477"/>
      <c r="X263" s="477"/>
      <c r="Y263" s="477"/>
      <c r="Z263" s="477"/>
      <c r="AA263" s="477"/>
      <c r="AB263" s="477"/>
      <c r="AC263" s="477"/>
      <c r="AD263" s="477"/>
      <c r="AE263" s="477"/>
      <c r="AF263" s="477"/>
      <c r="AG263" s="477"/>
      <c r="AH263" s="477"/>
      <c r="AI263" s="477"/>
      <c r="AJ263" s="477"/>
      <c r="AK263" s="477"/>
      <c r="AL263" s="477"/>
      <c r="AM263" s="477"/>
      <c r="AN263" s="477"/>
      <c r="AO263" s="477"/>
      <c r="AP263" s="544"/>
    </row>
    <row r="264" spans="1:42" ht="17.25" customHeight="1" x14ac:dyDescent="0.25">
      <c r="B264" s="266" t="s">
        <v>1056</v>
      </c>
      <c r="C264" s="1976" t="str">
        <f>CONCATENATE('CCR and CVA'!E76:E76, " : ", 'CCR and CVA'!B77)</f>
        <v>Check: Col C will be ignored if flags on General Info rows 38 and 39 are set to 'No', respectively : Advanced approach</v>
      </c>
      <c r="D264" s="242"/>
      <c r="E264" s="242"/>
      <c r="F264" s="242"/>
      <c r="G264" s="242"/>
      <c r="H264" s="242"/>
      <c r="I264" s="1970"/>
      <c r="J264" s="261"/>
      <c r="K264" s="553" t="str">
        <f>'CCR and CVA'!E77</f>
        <v/>
      </c>
      <c r="L264" s="261"/>
      <c r="M264" s="261"/>
      <c r="N264" s="259"/>
      <c r="O264" s="477"/>
      <c r="P264" s="477"/>
      <c r="Q264" s="477"/>
      <c r="R264" s="477"/>
      <c r="S264" s="477"/>
      <c r="T264" s="477"/>
      <c r="U264" s="477"/>
      <c r="V264" s="477"/>
      <c r="X264" s="477"/>
      <c r="Y264" s="477"/>
      <c r="Z264" s="477"/>
      <c r="AA264" s="477"/>
      <c r="AB264" s="477"/>
      <c r="AC264" s="477"/>
      <c r="AD264" s="477"/>
      <c r="AE264" s="477"/>
      <c r="AF264" s="477"/>
      <c r="AG264" s="477"/>
      <c r="AH264" s="477"/>
      <c r="AI264" s="477"/>
      <c r="AJ264" s="477"/>
      <c r="AK264" s="477"/>
      <c r="AL264" s="477"/>
      <c r="AM264" s="477"/>
      <c r="AN264" s="477"/>
      <c r="AO264" s="477"/>
      <c r="AP264" s="544"/>
    </row>
    <row r="265" spans="1:42" ht="15" customHeight="1" x14ac:dyDescent="0.25">
      <c r="B265" s="266" t="s">
        <v>1056</v>
      </c>
      <c r="C265" s="1976" t="str">
        <f>CONCATENATE('CCR and CVA'!E76, " : ", 'CCR and CVA'!B78)</f>
        <v>Check: Col C will be ignored if flags on General Info rows 38 and 39 are set to 'No', respectively : Standardised approach</v>
      </c>
      <c r="D265" s="242"/>
      <c r="E265" s="242"/>
      <c r="F265" s="242"/>
      <c r="G265" s="242"/>
      <c r="H265" s="242"/>
      <c r="I265" s="1970"/>
      <c r="J265" s="261"/>
      <c r="K265" s="553" t="str">
        <f>'CCR and CVA'!E78</f>
        <v/>
      </c>
      <c r="L265" s="261"/>
      <c r="M265" s="261"/>
      <c r="N265" s="259"/>
      <c r="O265" s="477"/>
      <c r="P265" s="477"/>
      <c r="Q265" s="477"/>
      <c r="R265" s="477"/>
      <c r="S265" s="477"/>
      <c r="T265" s="477"/>
      <c r="U265" s="477"/>
      <c r="V265" s="477"/>
      <c r="X265" s="477"/>
      <c r="Y265" s="477"/>
      <c r="Z265" s="477"/>
      <c r="AA265" s="477"/>
      <c r="AB265" s="477"/>
      <c r="AC265" s="477"/>
      <c r="AD265" s="477"/>
      <c r="AE265" s="477"/>
      <c r="AF265" s="477"/>
      <c r="AG265" s="477"/>
      <c r="AH265" s="477"/>
      <c r="AI265" s="477"/>
      <c r="AJ265" s="477"/>
      <c r="AK265" s="477"/>
      <c r="AL265" s="477"/>
      <c r="AM265" s="477"/>
      <c r="AN265" s="477"/>
      <c r="AO265" s="477"/>
      <c r="AP265" s="544"/>
    </row>
    <row r="266" spans="1:42" ht="15" customHeight="1" x14ac:dyDescent="0.25">
      <c r="B266" s="266" t="s">
        <v>1056</v>
      </c>
      <c r="C266" s="1205" t="str">
        <f>CONCATENATE('CCR and CVA'!F76, " : ", 'CCR and CVA'!B77)</f>
        <v>Check: Col C will be ignored if flags on General Info rows 38 and 39 are set to 'No', respectively : Advanced approach</v>
      </c>
      <c r="D266" s="242"/>
      <c r="E266" s="242"/>
      <c r="F266" s="242"/>
      <c r="G266" s="242"/>
      <c r="H266" s="242"/>
      <c r="I266" s="1970"/>
      <c r="J266" s="261"/>
      <c r="K266" s="261"/>
      <c r="L266" s="553" t="str">
        <f>'CCR and CVA'!F77</f>
        <v/>
      </c>
      <c r="M266" s="261"/>
      <c r="N266" s="259"/>
      <c r="O266" s="477"/>
      <c r="P266" s="477"/>
      <c r="Q266" s="477"/>
      <c r="R266" s="477"/>
      <c r="S266" s="477"/>
      <c r="T266" s="477"/>
      <c r="U266" s="477"/>
      <c r="V266" s="477"/>
      <c r="X266" s="477"/>
      <c r="Y266" s="477"/>
      <c r="Z266" s="477"/>
      <c r="AA266" s="477"/>
      <c r="AB266" s="477"/>
      <c r="AC266" s="477"/>
      <c r="AD266" s="477"/>
      <c r="AE266" s="477"/>
      <c r="AF266" s="477"/>
      <c r="AG266" s="477"/>
      <c r="AH266" s="477"/>
      <c r="AI266" s="477"/>
      <c r="AJ266" s="477"/>
      <c r="AK266" s="477"/>
      <c r="AL266" s="477"/>
      <c r="AM266" s="477"/>
      <c r="AN266" s="477"/>
      <c r="AO266" s="477"/>
      <c r="AP266" s="544"/>
    </row>
    <row r="267" spans="1:42" ht="15" customHeight="1" x14ac:dyDescent="0.25">
      <c r="B267" s="266" t="s">
        <v>1056</v>
      </c>
      <c r="C267" s="1205" t="str">
        <f>CONCATENATE('CCR and CVA'!F76, " : ", 'CCR and CVA'!B78)</f>
        <v>Check: Col C will be ignored if flags on General Info rows 38 and 39 are set to 'No', respectively : Standardised approach</v>
      </c>
      <c r="D267" s="242"/>
      <c r="E267" s="242"/>
      <c r="F267" s="242"/>
      <c r="G267" s="242"/>
      <c r="H267" s="242"/>
      <c r="I267" s="1970"/>
      <c r="J267" s="261"/>
      <c r="K267" s="261"/>
      <c r="L267" s="553" t="str">
        <f>'CCR and CVA'!F78</f>
        <v/>
      </c>
      <c r="M267" s="261"/>
      <c r="N267" s="259"/>
      <c r="O267" s="477"/>
      <c r="P267" s="477"/>
      <c r="Q267" s="477"/>
      <c r="R267" s="477"/>
      <c r="S267" s="477"/>
      <c r="T267" s="477"/>
      <c r="U267" s="477"/>
      <c r="V267" s="477"/>
      <c r="X267" s="477"/>
      <c r="Y267" s="477"/>
      <c r="Z267" s="477"/>
      <c r="AA267" s="477"/>
      <c r="AB267" s="477"/>
      <c r="AC267" s="477"/>
      <c r="AD267" s="477"/>
      <c r="AE267" s="477"/>
      <c r="AF267" s="477"/>
      <c r="AG267" s="477"/>
      <c r="AH267" s="477"/>
      <c r="AI267" s="477"/>
      <c r="AJ267" s="477"/>
      <c r="AK267" s="477"/>
      <c r="AL267" s="477"/>
      <c r="AM267" s="477"/>
      <c r="AN267" s="477"/>
      <c r="AO267" s="477"/>
      <c r="AP267" s="544"/>
    </row>
    <row r="268" spans="1:42" ht="15" customHeight="1" x14ac:dyDescent="0.25">
      <c r="B268" s="266" t="s">
        <v>1056</v>
      </c>
      <c r="C268" s="1205" t="str">
        <f>CONCATENATE('CCR and CVA'!G76, " : ", 'CCR and CVA'!B79)</f>
        <v>Check: Col C Total not calculated due to missing flags in General Info rows 38 and 39 : Total</v>
      </c>
      <c r="D268" s="242"/>
      <c r="E268" s="242"/>
      <c r="F268" s="242"/>
      <c r="G268" s="242"/>
      <c r="H268" s="242"/>
      <c r="I268" s="1970"/>
      <c r="J268" s="261"/>
      <c r="K268" s="261"/>
      <c r="L268" s="261"/>
      <c r="M268" s="553" t="str">
        <f>'CCR and CVA'!G79</f>
        <v/>
      </c>
      <c r="N268" s="259"/>
      <c r="O268" s="477"/>
      <c r="P268" s="477"/>
      <c r="Q268" s="477"/>
      <c r="R268" s="477"/>
      <c r="S268" s="477"/>
      <c r="T268" s="477"/>
      <c r="U268" s="477"/>
      <c r="V268" s="477"/>
      <c r="X268" s="477"/>
      <c r="Y268" s="477"/>
      <c r="Z268" s="477"/>
      <c r="AA268" s="477"/>
      <c r="AB268" s="477"/>
      <c r="AC268" s="477"/>
      <c r="AD268" s="477"/>
      <c r="AE268" s="477"/>
      <c r="AF268" s="477"/>
      <c r="AG268" s="477"/>
      <c r="AH268" s="477"/>
      <c r="AI268" s="477"/>
      <c r="AJ268" s="477"/>
      <c r="AK268" s="477"/>
      <c r="AL268" s="477"/>
      <c r="AM268" s="477"/>
      <c r="AN268" s="477"/>
      <c r="AO268" s="477"/>
      <c r="AP268" s="544"/>
    </row>
    <row r="269" spans="1:42" ht="15" customHeight="1" x14ac:dyDescent="0.25">
      <c r="B269" s="266" t="s">
        <v>1056</v>
      </c>
      <c r="C269" s="1205" t="str">
        <f>CONCATENATE('CCR and CVA'!H76, " : ", 'CCR and CVA'!B79)</f>
        <v>Check: Col D Total not calculated due to missing flags in General Info rows 38 and 39 : Total</v>
      </c>
      <c r="D269" s="242"/>
      <c r="E269" s="242"/>
      <c r="F269" s="242"/>
      <c r="G269" s="242"/>
      <c r="H269" s="242"/>
      <c r="I269" s="1970"/>
      <c r="J269" s="261"/>
      <c r="K269" s="261"/>
      <c r="L269" s="261"/>
      <c r="M269" s="261"/>
      <c r="N269" s="701" t="str">
        <f>'CCR and CVA'!H79</f>
        <v/>
      </c>
      <c r="O269" s="477"/>
      <c r="P269" s="477"/>
      <c r="Q269" s="477"/>
      <c r="R269" s="477"/>
      <c r="S269" s="477"/>
      <c r="T269" s="477"/>
      <c r="U269" s="477"/>
      <c r="V269" s="477"/>
      <c r="X269" s="477"/>
      <c r="Y269" s="477"/>
      <c r="Z269" s="477"/>
      <c r="AA269" s="477"/>
      <c r="AB269" s="477"/>
      <c r="AC269" s="477"/>
      <c r="AD269" s="477"/>
      <c r="AE269" s="477"/>
      <c r="AF269" s="477"/>
      <c r="AG269" s="477"/>
      <c r="AH269" s="477"/>
      <c r="AI269" s="477"/>
      <c r="AJ269" s="477"/>
      <c r="AK269" s="477"/>
      <c r="AL269" s="477"/>
      <c r="AM269" s="477"/>
      <c r="AN269" s="477"/>
      <c r="AO269" s="477"/>
      <c r="AP269" s="544"/>
    </row>
    <row r="270" spans="1:42" ht="15" customHeight="1" x14ac:dyDescent="0.25">
      <c r="B270" s="266" t="s">
        <v>1057</v>
      </c>
      <c r="C270" s="1205" t="str">
        <f>CONCATENATE('CCR and CVA'!$E$82, ": ", 'CCR and CVA'!B83)</f>
        <v>Filled in consistent with flag settings: K_Reduced (assuming hedges are not recognised)</v>
      </c>
      <c r="D270" s="242"/>
      <c r="E270" s="242"/>
      <c r="F270" s="242"/>
      <c r="G270" s="242"/>
      <c r="H270" s="242"/>
      <c r="I270" s="1970"/>
      <c r="J270" s="261"/>
      <c r="K270" s="553" t="str">
        <f>'CCR and CVA'!E83</f>
        <v>Pass</v>
      </c>
      <c r="L270" s="261"/>
      <c r="M270" s="261"/>
      <c r="N270" s="259"/>
      <c r="O270" s="477"/>
      <c r="P270" s="477"/>
      <c r="Q270" s="477"/>
      <c r="R270" s="477"/>
      <c r="S270" s="477"/>
      <c r="T270" s="477"/>
      <c r="U270" s="477"/>
      <c r="V270" s="477"/>
      <c r="X270" s="477"/>
      <c r="Y270" s="477"/>
      <c r="Z270" s="477"/>
      <c r="AA270" s="477"/>
      <c r="AB270" s="477"/>
      <c r="AC270" s="477"/>
      <c r="AD270" s="477"/>
      <c r="AE270" s="477"/>
      <c r="AF270" s="477"/>
      <c r="AG270" s="477"/>
      <c r="AH270" s="477"/>
      <c r="AI270" s="477"/>
      <c r="AJ270" s="477"/>
      <c r="AK270" s="477"/>
      <c r="AL270" s="477"/>
      <c r="AM270" s="477"/>
      <c r="AN270" s="477"/>
      <c r="AO270" s="477"/>
      <c r="AP270" s="544"/>
    </row>
    <row r="271" spans="1:42" ht="15" customHeight="1" x14ac:dyDescent="0.25">
      <c r="B271" s="266" t="s">
        <v>1058</v>
      </c>
      <c r="C271" s="1205" t="str">
        <f>CONCATENATE('CCR and CVA'!$E$85, ": ", 'CCR and CVA'!B86)</f>
        <v>Filled in consistent with flag settings: K_Reduced (assuming hedges are not recognised)</v>
      </c>
      <c r="D271" s="242"/>
      <c r="E271" s="242"/>
      <c r="F271" s="242"/>
      <c r="G271" s="242"/>
      <c r="H271" s="242"/>
      <c r="I271" s="1970"/>
      <c r="J271" s="261"/>
      <c r="K271" s="553" t="str">
        <f>'CCR and CVA'!E86</f>
        <v>Pass</v>
      </c>
      <c r="L271" s="261"/>
      <c r="M271" s="261"/>
      <c r="N271" s="259"/>
      <c r="O271" s="477"/>
      <c r="P271" s="477"/>
      <c r="Q271" s="477"/>
      <c r="R271" s="477"/>
      <c r="S271" s="477"/>
      <c r="T271" s="477"/>
      <c r="U271" s="477"/>
      <c r="V271" s="477"/>
      <c r="X271" s="477"/>
      <c r="Y271" s="477"/>
      <c r="Z271" s="477"/>
      <c r="AA271" s="477"/>
      <c r="AB271" s="477"/>
      <c r="AC271" s="477"/>
      <c r="AD271" s="477"/>
      <c r="AE271" s="477"/>
      <c r="AF271" s="477"/>
      <c r="AG271" s="477"/>
      <c r="AH271" s="477"/>
      <c r="AI271" s="477"/>
      <c r="AJ271" s="477"/>
      <c r="AK271" s="477"/>
      <c r="AL271" s="477"/>
      <c r="AM271" s="477"/>
      <c r="AN271" s="477"/>
      <c r="AO271" s="477"/>
      <c r="AP271" s="544"/>
    </row>
    <row r="272" spans="1:42" ht="15" customHeight="1" x14ac:dyDescent="0.25">
      <c r="B272" s="266" t="s">
        <v>1058</v>
      </c>
      <c r="C272" s="1205" t="str">
        <f>CONCATENATE('CCR and CVA'!$E$85, ": ", 'CCR and CVA'!B87)</f>
        <v>Filled in consistent with flag settings: K_Hedged (assuming recognition of all eligible hedges)</v>
      </c>
      <c r="D272" s="242"/>
      <c r="E272" s="242"/>
      <c r="F272" s="242"/>
      <c r="G272" s="242"/>
      <c r="H272" s="242"/>
      <c r="I272" s="1970"/>
      <c r="J272" s="261"/>
      <c r="K272" s="553" t="str">
        <f>'CCR and CVA'!E87</f>
        <v>Pass</v>
      </c>
      <c r="L272" s="553" t="str">
        <f>'CCR and CVA'!F87</f>
        <v/>
      </c>
      <c r="M272" s="261"/>
      <c r="N272" s="259"/>
      <c r="O272" s="477"/>
      <c r="P272" s="477"/>
      <c r="Q272" s="477"/>
      <c r="R272" s="477"/>
      <c r="S272" s="477"/>
      <c r="T272" s="477"/>
      <c r="U272" s="477"/>
      <c r="V272" s="477"/>
      <c r="X272" s="477"/>
      <c r="Y272" s="477"/>
      <c r="Z272" s="477"/>
      <c r="AA272" s="477"/>
      <c r="AB272" s="477"/>
      <c r="AC272" s="477"/>
      <c r="AD272" s="477"/>
      <c r="AE272" s="477"/>
      <c r="AF272" s="477"/>
      <c r="AG272" s="477"/>
      <c r="AH272" s="477"/>
      <c r="AI272" s="477"/>
      <c r="AJ272" s="477"/>
      <c r="AK272" s="477"/>
      <c r="AL272" s="477"/>
      <c r="AM272" s="477"/>
      <c r="AN272" s="477"/>
      <c r="AO272" s="477"/>
      <c r="AP272" s="544"/>
    </row>
    <row r="273" spans="1:42" ht="15" customHeight="1" x14ac:dyDescent="0.25">
      <c r="B273" s="266" t="s">
        <v>1058</v>
      </c>
      <c r="C273" s="1205" t="str">
        <f>'CCR and CVA'!F85</f>
        <v>Check: K_reduced and K_hedged in panel 3b should be larger than 0 and not equal</v>
      </c>
      <c r="D273" s="242"/>
      <c r="E273" s="242"/>
      <c r="F273" s="242"/>
      <c r="G273" s="242"/>
      <c r="H273" s="242"/>
      <c r="I273" s="1970"/>
      <c r="J273" s="261"/>
      <c r="K273" s="261"/>
      <c r="L273" s="553" t="str">
        <f>'CCR and CVA'!F87</f>
        <v/>
      </c>
      <c r="M273" s="261"/>
      <c r="N273" s="259"/>
      <c r="O273" s="477"/>
      <c r="P273" s="477"/>
      <c r="Q273" s="477"/>
      <c r="R273" s="477"/>
      <c r="S273" s="477"/>
      <c r="T273" s="477"/>
      <c r="U273" s="477"/>
      <c r="V273" s="477"/>
      <c r="X273" s="477"/>
      <c r="Y273" s="477"/>
      <c r="Z273" s="477"/>
      <c r="AA273" s="477"/>
      <c r="AB273" s="477"/>
      <c r="AC273" s="477"/>
      <c r="AD273" s="477"/>
      <c r="AE273" s="477"/>
      <c r="AF273" s="477"/>
      <c r="AG273" s="477"/>
      <c r="AH273" s="477"/>
      <c r="AI273" s="477"/>
      <c r="AJ273" s="477"/>
      <c r="AK273" s="477"/>
      <c r="AL273" s="477"/>
      <c r="AM273" s="477"/>
      <c r="AN273" s="477"/>
      <c r="AO273" s="477"/>
      <c r="AP273" s="544"/>
    </row>
    <row r="274" spans="1:42" ht="15" customHeight="1" x14ac:dyDescent="0.25">
      <c r="B274" s="266" t="s">
        <v>1506</v>
      </c>
      <c r="C274" s="1205" t="str">
        <f>CONCATENATE('CCR and CVA'!$G$91, ": ", 'CCR and CVA'!B93)</f>
        <v>Filled in consistent with flag settings: Interest rates</v>
      </c>
      <c r="D274" s="242"/>
      <c r="E274" s="242"/>
      <c r="F274" s="242"/>
      <c r="G274" s="242"/>
      <c r="H274" s="242"/>
      <c r="I274" s="1970"/>
      <c r="J274" s="261"/>
      <c r="K274" s="261"/>
      <c r="L274" s="261"/>
      <c r="M274" s="553" t="str">
        <f>'CCR and CVA'!G93</f>
        <v>Pass</v>
      </c>
      <c r="N274" s="259"/>
      <c r="O274" s="477"/>
      <c r="P274" s="477"/>
      <c r="Q274" s="477"/>
      <c r="R274" s="477"/>
      <c r="S274" s="477"/>
      <c r="T274" s="477"/>
      <c r="U274" s="477"/>
      <c r="V274" s="477"/>
      <c r="X274" s="477"/>
      <c r="Y274" s="477"/>
      <c r="Z274" s="477"/>
      <c r="AA274" s="477"/>
      <c r="AB274" s="477"/>
      <c r="AC274" s="477"/>
      <c r="AD274" s="477"/>
      <c r="AE274" s="477"/>
      <c r="AF274" s="477"/>
      <c r="AG274" s="477"/>
      <c r="AH274" s="477"/>
      <c r="AI274" s="477"/>
      <c r="AJ274" s="477"/>
      <c r="AK274" s="477"/>
      <c r="AL274" s="477"/>
      <c r="AM274" s="477"/>
      <c r="AN274" s="477"/>
      <c r="AO274" s="477"/>
      <c r="AP274" s="544"/>
    </row>
    <row r="275" spans="1:42" ht="15" customHeight="1" x14ac:dyDescent="0.25">
      <c r="B275" s="266" t="s">
        <v>1506</v>
      </c>
      <c r="C275" s="1205" t="str">
        <f>CONCATENATE('CCR and CVA'!$G$91, ": ", 'CCR and CVA'!B94)</f>
        <v>Filled in consistent with flag settings: Foreign exchange</v>
      </c>
      <c r="D275" s="242"/>
      <c r="E275" s="242"/>
      <c r="F275" s="242"/>
      <c r="G275" s="242"/>
      <c r="H275" s="242"/>
      <c r="I275" s="1970"/>
      <c r="J275" s="261"/>
      <c r="K275" s="261"/>
      <c r="L275" s="261"/>
      <c r="M275" s="553" t="str">
        <f>'CCR and CVA'!G94</f>
        <v>Pass</v>
      </c>
      <c r="N275" s="259"/>
      <c r="O275" s="477"/>
      <c r="P275" s="477"/>
      <c r="Q275" s="477"/>
      <c r="R275" s="477"/>
      <c r="S275" s="477"/>
      <c r="T275" s="477"/>
      <c r="U275" s="477"/>
      <c r="V275" s="477"/>
      <c r="X275" s="477"/>
      <c r="Y275" s="477"/>
      <c r="Z275" s="477"/>
      <c r="AA275" s="477"/>
      <c r="AB275" s="477"/>
      <c r="AC275" s="477"/>
      <c r="AD275" s="477"/>
      <c r="AE275" s="477"/>
      <c r="AF275" s="477"/>
      <c r="AG275" s="477"/>
      <c r="AH275" s="477"/>
      <c r="AI275" s="477"/>
      <c r="AJ275" s="477"/>
      <c r="AK275" s="477"/>
      <c r="AL275" s="477"/>
      <c r="AM275" s="477"/>
      <c r="AN275" s="477"/>
      <c r="AO275" s="477"/>
      <c r="AP275" s="544"/>
    </row>
    <row r="276" spans="1:42" ht="15" customHeight="1" x14ac:dyDescent="0.25">
      <c r="B276" s="266" t="s">
        <v>1506</v>
      </c>
      <c r="C276" s="1205" t="str">
        <f>CONCATENATE('CCR and CVA'!$G$91, ": ", 'CCR and CVA'!B95)</f>
        <v>Filled in consistent with flag settings: Counterparty credit spread</v>
      </c>
      <c r="D276" s="242"/>
      <c r="E276" s="242"/>
      <c r="F276" s="242"/>
      <c r="G276" s="242"/>
      <c r="H276" s="242"/>
      <c r="I276" s="1970"/>
      <c r="J276" s="261"/>
      <c r="K276" s="261"/>
      <c r="L276" s="261"/>
      <c r="M276" s="553" t="str">
        <f>'CCR and CVA'!G95</f>
        <v>Pass</v>
      </c>
      <c r="N276" s="259"/>
      <c r="O276" s="477"/>
      <c r="P276" s="477"/>
      <c r="Q276" s="477"/>
      <c r="R276" s="477"/>
      <c r="S276" s="477"/>
      <c r="T276" s="477"/>
      <c r="U276" s="477"/>
      <c r="V276" s="477"/>
      <c r="X276" s="477"/>
      <c r="Y276" s="477"/>
      <c r="Z276" s="477"/>
      <c r="AA276" s="477"/>
      <c r="AB276" s="477"/>
      <c r="AC276" s="477"/>
      <c r="AD276" s="477"/>
      <c r="AE276" s="477"/>
      <c r="AF276" s="477"/>
      <c r="AG276" s="477"/>
      <c r="AH276" s="477"/>
      <c r="AI276" s="477"/>
      <c r="AJ276" s="477"/>
      <c r="AK276" s="477"/>
      <c r="AL276" s="477"/>
      <c r="AM276" s="477"/>
      <c r="AN276" s="477"/>
      <c r="AO276" s="477"/>
      <c r="AP276" s="544"/>
    </row>
    <row r="277" spans="1:42" ht="15" customHeight="1" x14ac:dyDescent="0.25">
      <c r="B277" s="266" t="s">
        <v>1506</v>
      </c>
      <c r="C277" s="1205" t="str">
        <f>CONCATENATE('CCR and CVA'!$G$91, ": ", 'CCR and CVA'!B96)</f>
        <v>Filled in consistent with flag settings: Reference credit spread</v>
      </c>
      <c r="D277" s="242"/>
      <c r="E277" s="242"/>
      <c r="F277" s="242"/>
      <c r="G277" s="242"/>
      <c r="H277" s="242"/>
      <c r="I277" s="1970"/>
      <c r="J277" s="261"/>
      <c r="K277" s="261"/>
      <c r="L277" s="261"/>
      <c r="M277" s="553" t="str">
        <f>'CCR and CVA'!G96</f>
        <v>Pass</v>
      </c>
      <c r="N277" s="259"/>
      <c r="O277" s="477"/>
      <c r="P277" s="477"/>
      <c r="Q277" s="477"/>
      <c r="R277" s="477"/>
      <c r="S277" s="477"/>
      <c r="T277" s="477"/>
      <c r="U277" s="477"/>
      <c r="V277" s="477"/>
      <c r="X277" s="477"/>
      <c r="Y277" s="477"/>
      <c r="Z277" s="477"/>
      <c r="AA277" s="477"/>
      <c r="AB277" s="477"/>
      <c r="AC277" s="477"/>
      <c r="AD277" s="477"/>
      <c r="AE277" s="477"/>
      <c r="AF277" s="477"/>
      <c r="AG277" s="477"/>
      <c r="AH277" s="477"/>
      <c r="AI277" s="477"/>
      <c r="AJ277" s="477"/>
      <c r="AK277" s="477"/>
      <c r="AL277" s="477"/>
      <c r="AM277" s="477"/>
      <c r="AN277" s="477"/>
      <c r="AO277" s="477"/>
      <c r="AP277" s="544"/>
    </row>
    <row r="278" spans="1:42" ht="15" customHeight="1" x14ac:dyDescent="0.25">
      <c r="B278" s="266" t="s">
        <v>1506</v>
      </c>
      <c r="C278" s="1205" t="str">
        <f>CONCATENATE('CCR and CVA'!$G$91, ": ", 'CCR and CVA'!B97)</f>
        <v>Filled in consistent with flag settings: Equity</v>
      </c>
      <c r="D278" s="242"/>
      <c r="E278" s="242"/>
      <c r="F278" s="242"/>
      <c r="G278" s="242"/>
      <c r="H278" s="242"/>
      <c r="I278" s="1970"/>
      <c r="J278" s="261"/>
      <c r="K278" s="261"/>
      <c r="L278" s="261"/>
      <c r="M278" s="553" t="str">
        <f>'CCR and CVA'!G97</f>
        <v>Pass</v>
      </c>
      <c r="N278" s="259"/>
      <c r="O278" s="477"/>
      <c r="P278" s="477"/>
      <c r="Q278" s="477"/>
      <c r="R278" s="477"/>
      <c r="S278" s="477"/>
      <c r="T278" s="477"/>
      <c r="U278" s="477"/>
      <c r="V278" s="477"/>
      <c r="X278" s="477"/>
      <c r="Y278" s="477"/>
      <c r="Z278" s="477"/>
      <c r="AA278" s="477"/>
      <c r="AB278" s="477"/>
      <c r="AC278" s="477"/>
      <c r="AD278" s="477"/>
      <c r="AE278" s="477"/>
      <c r="AF278" s="477"/>
      <c r="AG278" s="477"/>
      <c r="AH278" s="477"/>
      <c r="AI278" s="477"/>
      <c r="AJ278" s="477"/>
      <c r="AK278" s="477"/>
      <c r="AL278" s="477"/>
      <c r="AM278" s="477"/>
      <c r="AN278" s="477"/>
      <c r="AO278" s="477"/>
      <c r="AP278" s="544"/>
    </row>
    <row r="279" spans="1:42" ht="15" customHeight="1" x14ac:dyDescent="0.25">
      <c r="B279" s="266" t="s">
        <v>1506</v>
      </c>
      <c r="C279" s="1205" t="str">
        <f>CONCATENATE('CCR and CVA'!$G$91, ": ", 'CCR and CVA'!B98)</f>
        <v>Filled in consistent with flag settings: Commodity</v>
      </c>
      <c r="D279" s="242"/>
      <c r="E279" s="242"/>
      <c r="F279" s="242"/>
      <c r="G279" s="242"/>
      <c r="H279" s="242"/>
      <c r="I279" s="1970"/>
      <c r="J279" s="261"/>
      <c r="K279" s="261"/>
      <c r="L279" s="261"/>
      <c r="M279" s="553" t="str">
        <f>'CCR and CVA'!G98</f>
        <v>Pass</v>
      </c>
      <c r="N279" s="259"/>
      <c r="O279" s="477"/>
      <c r="P279" s="477"/>
      <c r="Q279" s="477"/>
      <c r="R279" s="477"/>
      <c r="S279" s="477"/>
      <c r="T279" s="477"/>
      <c r="U279" s="477"/>
      <c r="V279" s="477"/>
      <c r="X279" s="477"/>
      <c r="Y279" s="477"/>
      <c r="Z279" s="477"/>
      <c r="AA279" s="477"/>
      <c r="AB279" s="477"/>
      <c r="AC279" s="477"/>
      <c r="AD279" s="477"/>
      <c r="AE279" s="477"/>
      <c r="AF279" s="477"/>
      <c r="AG279" s="477"/>
      <c r="AH279" s="477"/>
      <c r="AI279" s="477"/>
      <c r="AJ279" s="477"/>
      <c r="AK279" s="477"/>
      <c r="AL279" s="477"/>
      <c r="AM279" s="477"/>
      <c r="AN279" s="477"/>
      <c r="AO279" s="477"/>
      <c r="AP279" s="544"/>
    </row>
    <row r="280" spans="1:42" ht="15" customHeight="1" x14ac:dyDescent="0.25">
      <c r="B280" s="266" t="s">
        <v>1059</v>
      </c>
      <c r="C280" s="1205" t="str">
        <f>CONCATENATE('CCR and CVA'!E101, " : ", 'CCR and CVA'!B102)</f>
        <v>Filled in consistent with flag settings : K_Reduced (assuming hedges are not recognised)</v>
      </c>
      <c r="D280" s="242"/>
      <c r="E280" s="242"/>
      <c r="F280" s="242"/>
      <c r="G280" s="242"/>
      <c r="H280" s="242"/>
      <c r="I280" s="1970"/>
      <c r="J280" s="261"/>
      <c r="K280" s="553" t="str">
        <f>'CCR and CVA'!E102</f>
        <v>Pass</v>
      </c>
      <c r="L280" s="261"/>
      <c r="M280" s="261"/>
      <c r="N280" s="259"/>
      <c r="O280" s="477"/>
      <c r="P280" s="477"/>
      <c r="Q280" s="477"/>
      <c r="R280" s="477"/>
      <c r="S280" s="477"/>
      <c r="T280" s="477"/>
      <c r="U280" s="477"/>
      <c r="V280" s="477"/>
      <c r="X280" s="477"/>
      <c r="Y280" s="477"/>
      <c r="Z280" s="477"/>
      <c r="AA280" s="477"/>
      <c r="AB280" s="477"/>
      <c r="AC280" s="477"/>
      <c r="AD280" s="477"/>
      <c r="AE280" s="477"/>
      <c r="AF280" s="477"/>
      <c r="AG280" s="477"/>
      <c r="AH280" s="477"/>
      <c r="AI280" s="477"/>
      <c r="AJ280" s="477"/>
      <c r="AK280" s="477"/>
      <c r="AL280" s="477"/>
      <c r="AM280" s="477"/>
      <c r="AN280" s="477"/>
      <c r="AO280" s="477"/>
      <c r="AP280" s="544"/>
    </row>
    <row r="281" spans="1:42" ht="15" customHeight="1" x14ac:dyDescent="0.25">
      <c r="B281" s="266" t="s">
        <v>1059</v>
      </c>
      <c r="C281" s="1205" t="str">
        <f>CONCATENATE('CCR and CVA'!E104, ": ", 'CCR and CVA'!B105)</f>
        <v>Filled in consistent with flag settings: K_Reduced (assuming hedges are not recognised)</v>
      </c>
      <c r="D281" s="242"/>
      <c r="E281" s="242"/>
      <c r="F281" s="242"/>
      <c r="G281" s="242"/>
      <c r="H281" s="242"/>
      <c r="I281" s="1970"/>
      <c r="J281" s="261"/>
      <c r="K281" s="553" t="str">
        <f>'CCR and CVA'!E105</f>
        <v>Pass</v>
      </c>
      <c r="L281" s="261"/>
      <c r="M281" s="261"/>
      <c r="N281" s="259"/>
      <c r="O281" s="477"/>
      <c r="P281" s="477"/>
      <c r="Q281" s="477"/>
      <c r="R281" s="477"/>
      <c r="S281" s="477"/>
      <c r="T281" s="477"/>
      <c r="U281" s="477"/>
      <c r="V281" s="477"/>
      <c r="X281" s="477"/>
      <c r="Y281" s="477"/>
      <c r="Z281" s="477"/>
      <c r="AA281" s="477"/>
      <c r="AB281" s="477"/>
      <c r="AC281" s="477"/>
      <c r="AD281" s="477"/>
      <c r="AE281" s="477"/>
      <c r="AF281" s="477"/>
      <c r="AG281" s="477"/>
      <c r="AH281" s="477"/>
      <c r="AI281" s="477"/>
      <c r="AJ281" s="477"/>
      <c r="AK281" s="477"/>
      <c r="AL281" s="477"/>
      <c r="AM281" s="477"/>
      <c r="AN281" s="477"/>
      <c r="AO281" s="477"/>
      <c r="AP281" s="544"/>
    </row>
    <row r="282" spans="1:42" ht="15" customHeight="1" x14ac:dyDescent="0.25">
      <c r="B282" s="266" t="s">
        <v>1100</v>
      </c>
      <c r="C282" s="1205" t="str">
        <f>CONCATENATE('CCR and CVA'!$E$104, ": ", 'CCR and CVA'!B105)</f>
        <v>Filled in consistent with flag settings: K_Reduced (assuming hedges are not recognised)</v>
      </c>
      <c r="D282" s="242"/>
      <c r="E282" s="242"/>
      <c r="F282" s="242"/>
      <c r="G282" s="242"/>
      <c r="H282" s="242"/>
      <c r="I282" s="1970"/>
      <c r="J282" s="261"/>
      <c r="K282" s="553" t="str">
        <f>'CCR and CVA'!E105</f>
        <v>Pass</v>
      </c>
      <c r="L282" s="261"/>
      <c r="M282" s="261"/>
      <c r="N282" s="259"/>
      <c r="O282" s="477"/>
      <c r="P282" s="477"/>
      <c r="Q282" s="477"/>
      <c r="R282" s="477"/>
      <c r="S282" s="477"/>
      <c r="T282" s="477"/>
      <c r="U282" s="477"/>
      <c r="V282" s="477"/>
      <c r="X282" s="477"/>
      <c r="Y282" s="477"/>
      <c r="Z282" s="477"/>
      <c r="AA282" s="477"/>
      <c r="AB282" s="477"/>
      <c r="AC282" s="477"/>
      <c r="AD282" s="477"/>
      <c r="AE282" s="477"/>
      <c r="AF282" s="477"/>
      <c r="AG282" s="477"/>
      <c r="AH282" s="477"/>
      <c r="AI282" s="477"/>
      <c r="AJ282" s="477"/>
      <c r="AK282" s="477"/>
      <c r="AL282" s="477"/>
      <c r="AM282" s="477"/>
      <c r="AN282" s="477"/>
      <c r="AO282" s="477"/>
      <c r="AP282" s="544"/>
    </row>
    <row r="283" spans="1:42" ht="15" customHeight="1" x14ac:dyDescent="0.25">
      <c r="B283" s="266" t="s">
        <v>1100</v>
      </c>
      <c r="C283" s="1205" t="str">
        <f>CONCATENATE('CCR and CVA'!$E$104, ": ", 'CCR and CVA'!B106)</f>
        <v>Filled in consistent with flag settings: K_Hedged (assuming recognition of all eligible hedges)</v>
      </c>
      <c r="D283" s="242"/>
      <c r="E283" s="242"/>
      <c r="F283" s="242"/>
      <c r="G283" s="242"/>
      <c r="H283" s="242"/>
      <c r="I283" s="1970"/>
      <c r="J283" s="261"/>
      <c r="K283" s="553" t="str">
        <f>'CCR and CVA'!E106</f>
        <v>Pass</v>
      </c>
      <c r="L283" s="261"/>
      <c r="M283" s="261"/>
      <c r="N283" s="259"/>
      <c r="O283" s="477"/>
      <c r="P283" s="477"/>
      <c r="Q283" s="477"/>
      <c r="R283" s="477"/>
      <c r="S283" s="477"/>
      <c r="T283" s="477"/>
      <c r="U283" s="477"/>
      <c r="V283" s="477"/>
      <c r="X283" s="477"/>
      <c r="Y283" s="477"/>
      <c r="Z283" s="477"/>
      <c r="AA283" s="477"/>
      <c r="AB283" s="477"/>
      <c r="AC283" s="477"/>
      <c r="AD283" s="477"/>
      <c r="AE283" s="477"/>
      <c r="AF283" s="477"/>
      <c r="AG283" s="477"/>
      <c r="AH283" s="477"/>
      <c r="AI283" s="477"/>
      <c r="AJ283" s="477"/>
      <c r="AK283" s="477"/>
      <c r="AL283" s="477"/>
      <c r="AM283" s="477"/>
      <c r="AN283" s="477"/>
      <c r="AO283" s="477"/>
      <c r="AP283" s="544"/>
    </row>
    <row r="284" spans="1:42" ht="15" customHeight="1" x14ac:dyDescent="0.25">
      <c r="B284" s="254" t="s">
        <v>1100</v>
      </c>
      <c r="C284" s="1968" t="str">
        <f>'CCR and CVA'!F104</f>
        <v>Check: K_reduced and K_hedged in panel 3c3 should be larger than 0 and not equal</v>
      </c>
      <c r="D284" s="250"/>
      <c r="E284" s="250"/>
      <c r="F284" s="250"/>
      <c r="G284" s="250"/>
      <c r="H284" s="250"/>
      <c r="I284" s="1971"/>
      <c r="J284" s="355"/>
      <c r="K284" s="355"/>
      <c r="L284" s="555" t="str">
        <f>'CCR and CVA'!F106</f>
        <v/>
      </c>
      <c r="M284" s="355"/>
      <c r="N284" s="356"/>
      <c r="O284" s="477"/>
      <c r="P284" s="477"/>
      <c r="Q284" s="477"/>
      <c r="R284" s="477"/>
      <c r="S284" s="477"/>
      <c r="T284" s="477"/>
      <c r="U284" s="477"/>
      <c r="V284" s="477"/>
      <c r="X284" s="477"/>
      <c r="Y284" s="477"/>
      <c r="Z284" s="477"/>
      <c r="AA284" s="477"/>
      <c r="AB284" s="477"/>
      <c r="AC284" s="477"/>
      <c r="AD284" s="477"/>
      <c r="AE284" s="477"/>
      <c r="AF284" s="477"/>
      <c r="AG284" s="477"/>
      <c r="AH284" s="477"/>
      <c r="AI284" s="477"/>
      <c r="AJ284" s="477"/>
      <c r="AK284" s="477"/>
      <c r="AL284" s="477"/>
      <c r="AM284" s="477"/>
      <c r="AN284" s="477"/>
      <c r="AO284" s="477"/>
      <c r="AP284" s="544"/>
    </row>
    <row r="285" spans="1:42" ht="15" customHeight="1" x14ac:dyDescent="0.25">
      <c r="D285" s="477"/>
      <c r="E285" s="477"/>
      <c r="F285" s="477"/>
      <c r="G285" s="477"/>
      <c r="H285" s="477"/>
      <c r="I285" s="477"/>
      <c r="J285" s="477"/>
      <c r="K285" s="477"/>
      <c r="L285" s="549"/>
      <c r="M285" s="549"/>
      <c r="N285" s="549"/>
      <c r="O285" s="477"/>
      <c r="P285" s="477"/>
      <c r="Q285" s="477"/>
      <c r="R285" s="477"/>
      <c r="S285" s="477"/>
      <c r="T285" s="477"/>
      <c r="U285" s="477"/>
      <c r="V285" s="477"/>
      <c r="W285" s="548"/>
      <c r="X285" s="177"/>
      <c r="Y285" s="177"/>
      <c r="Z285" s="177"/>
      <c r="AA285" s="177"/>
      <c r="AB285" s="177"/>
      <c r="AC285" s="177"/>
      <c r="AD285" s="177"/>
      <c r="AE285" s="177"/>
      <c r="AF285" s="177"/>
      <c r="AG285" s="177"/>
      <c r="AH285" s="177"/>
      <c r="AI285" s="177"/>
      <c r="AJ285" s="177"/>
      <c r="AK285" s="177"/>
      <c r="AL285" s="177"/>
      <c r="AM285" s="177"/>
      <c r="AN285" s="177"/>
      <c r="AO285" s="177"/>
      <c r="AP285" s="546"/>
    </row>
    <row r="286" spans="1:42" ht="45" customHeight="1" x14ac:dyDescent="0.25">
      <c r="A286" s="784" t="s">
        <v>2113</v>
      </c>
      <c r="B286" s="1105"/>
      <c r="C286" s="1105"/>
      <c r="D286" s="1105"/>
      <c r="E286" s="1105"/>
      <c r="F286" s="1105"/>
      <c r="G286" s="1105"/>
      <c r="H286" s="1105"/>
      <c r="I286" s="1105"/>
      <c r="J286" s="1105"/>
      <c r="K286" s="1105"/>
      <c r="L286" s="1105"/>
      <c r="M286" s="1105"/>
      <c r="N286" s="1105"/>
      <c r="O286" s="1105"/>
      <c r="P286" s="1105"/>
      <c r="Q286" s="1105"/>
      <c r="R286" s="1105"/>
      <c r="S286" s="1105"/>
      <c r="T286" s="1105"/>
      <c r="U286" s="1105"/>
      <c r="V286" s="1105"/>
      <c r="X286" s="1105"/>
      <c r="Y286" s="1105"/>
      <c r="Z286" s="1105"/>
      <c r="AA286" s="1105"/>
      <c r="AB286" s="1105"/>
      <c r="AC286" s="1105"/>
      <c r="AD286" s="1105"/>
      <c r="AE286" s="1105"/>
      <c r="AF286" s="1105"/>
      <c r="AG286" s="1105"/>
      <c r="AH286" s="1105"/>
      <c r="AI286" s="1105"/>
      <c r="AJ286" s="1105"/>
      <c r="AK286" s="1105"/>
      <c r="AL286" s="1105"/>
      <c r="AM286" s="1105"/>
      <c r="AN286" s="1105"/>
      <c r="AO286" s="1105"/>
      <c r="AP286" s="785"/>
    </row>
    <row r="287" spans="1:42" ht="15" customHeight="1" x14ac:dyDescent="0.25">
      <c r="B287" s="772" t="s">
        <v>633</v>
      </c>
      <c r="C287" s="1341" t="s">
        <v>13</v>
      </c>
      <c r="D287" s="1393"/>
      <c r="E287" s="1393"/>
      <c r="F287" s="1077"/>
      <c r="G287" s="1077"/>
      <c r="H287" s="1077"/>
      <c r="I287" s="1077"/>
      <c r="J287" s="2312" t="str">
        <f>CONCATENATE("Col ", LEFT(ADDRESS(ROW(TB!F49),COLUMN(TB!F49),4), 1))</f>
        <v>Col F</v>
      </c>
      <c r="K287" s="2311" t="str">
        <f>CONCATENATE("Col ", LEFT(ADDRESS(ROW(TB!G49),COLUMN(TB!G49),4), 1))</f>
        <v>Col G</v>
      </c>
      <c r="L287" s="477"/>
      <c r="M287" s="477"/>
      <c r="N287" s="477"/>
      <c r="O287" s="477"/>
      <c r="P287" s="477"/>
      <c r="Q287" s="477"/>
      <c r="R287" s="477"/>
      <c r="S287" s="477"/>
      <c r="T287" s="477"/>
      <c r="U287" s="477"/>
      <c r="V287" s="477"/>
      <c r="X287" s="477"/>
      <c r="Y287" s="477"/>
      <c r="Z287" s="477"/>
      <c r="AA287" s="477"/>
      <c r="AB287" s="477"/>
      <c r="AC287" s="477"/>
      <c r="AD287" s="477"/>
      <c r="AE287" s="477"/>
      <c r="AF287" s="477"/>
      <c r="AG287" s="477"/>
      <c r="AH287" s="477"/>
      <c r="AI287" s="477"/>
      <c r="AJ287" s="477"/>
      <c r="AK287" s="477"/>
      <c r="AL287" s="477"/>
      <c r="AM287" s="477"/>
      <c r="AN287" s="477"/>
      <c r="AO287" s="477"/>
      <c r="AP287" s="546"/>
    </row>
    <row r="288" spans="1:42" ht="15" customHeight="1" x14ac:dyDescent="0.25">
      <c r="B288" s="769" t="s">
        <v>637</v>
      </c>
      <c r="C288" s="1974" t="str">
        <f>TB!B49</f>
        <v>Check: positive VaR capital requirement requires VaR which is positive but smaller than the capital requirement</v>
      </c>
      <c r="D288" s="986"/>
      <c r="E288" s="986"/>
      <c r="F288" s="702"/>
      <c r="G288" s="702"/>
      <c r="H288" s="702"/>
      <c r="I288" s="702"/>
      <c r="J288" s="730" t="str">
        <f>TB!F49</f>
        <v/>
      </c>
      <c r="K288" s="771" t="str">
        <f>TB!G49</f>
        <v/>
      </c>
      <c r="L288" s="477"/>
      <c r="M288" s="477"/>
      <c r="N288" s="477"/>
      <c r="O288" s="477"/>
      <c r="P288" s="477"/>
      <c r="Q288" s="477"/>
      <c r="R288" s="477"/>
      <c r="S288" s="477"/>
      <c r="T288" s="477"/>
      <c r="U288" s="477"/>
      <c r="V288" s="477"/>
      <c r="X288" s="477"/>
      <c r="Y288" s="477"/>
      <c r="Z288" s="477"/>
      <c r="AA288" s="477"/>
      <c r="AB288" s="477"/>
      <c r="AC288" s="477"/>
      <c r="AD288" s="477"/>
      <c r="AE288" s="477"/>
      <c r="AF288" s="477"/>
      <c r="AG288" s="477"/>
      <c r="AH288" s="477"/>
      <c r="AI288" s="477"/>
      <c r="AJ288" s="477"/>
      <c r="AK288" s="477"/>
      <c r="AL288" s="477"/>
      <c r="AM288" s="477"/>
      <c r="AN288" s="477"/>
      <c r="AO288" s="477"/>
      <c r="AP288" s="546"/>
    </row>
    <row r="289" spans="1:42" ht="15" customHeight="1" x14ac:dyDescent="0.25">
      <c r="B289" s="254" t="s">
        <v>637</v>
      </c>
      <c r="C289" s="1975" t="str">
        <f>TB!B51</f>
        <v>Check: positive Basel 2.5 VaR requires positive Basel 2.5 stressed VaR and vice versa</v>
      </c>
      <c r="D289" s="250"/>
      <c r="E289" s="250"/>
      <c r="F289" s="249"/>
      <c r="G289" s="249"/>
      <c r="H289" s="249"/>
      <c r="I289" s="249"/>
      <c r="J289" s="561" t="str">
        <f>TB!F51</f>
        <v/>
      </c>
      <c r="K289" s="554" t="str">
        <f>TB!G51</f>
        <v/>
      </c>
      <c r="L289" s="477"/>
      <c r="M289" s="477"/>
      <c r="N289" s="477"/>
      <c r="O289" s="477"/>
      <c r="P289" s="477"/>
      <c r="Q289" s="477"/>
      <c r="R289" s="477"/>
      <c r="S289" s="477"/>
      <c r="T289" s="477"/>
      <c r="U289" s="477"/>
      <c r="V289" s="477"/>
      <c r="X289" s="477"/>
      <c r="Y289" s="477"/>
      <c r="Z289" s="477"/>
      <c r="AA289" s="477"/>
      <c r="AB289" s="477"/>
      <c r="AC289" s="477"/>
      <c r="AD289" s="477"/>
      <c r="AE289" s="477"/>
      <c r="AF289" s="477"/>
      <c r="AG289" s="477"/>
      <c r="AH289" s="477"/>
      <c r="AI289" s="477"/>
      <c r="AJ289" s="477"/>
      <c r="AK289" s="477"/>
      <c r="AL289" s="477"/>
      <c r="AM289" s="477"/>
      <c r="AN289" s="477"/>
      <c r="AO289" s="477"/>
      <c r="AP289" s="546"/>
    </row>
    <row r="290" spans="1:42" ht="15" customHeight="1" x14ac:dyDescent="0.25">
      <c r="D290" s="477"/>
      <c r="E290" s="477"/>
      <c r="F290" s="477"/>
      <c r="G290" s="477"/>
      <c r="H290" s="477"/>
      <c r="I290" s="477"/>
      <c r="J290" s="477"/>
      <c r="K290" s="477"/>
      <c r="L290" s="549"/>
      <c r="M290" s="549"/>
      <c r="N290" s="549"/>
      <c r="O290" s="477"/>
      <c r="P290" s="477"/>
      <c r="Q290" s="477"/>
      <c r="R290" s="477"/>
      <c r="S290" s="477"/>
      <c r="T290" s="477"/>
      <c r="U290" s="477"/>
      <c r="V290" s="477"/>
      <c r="W290" s="548"/>
      <c r="X290" s="177"/>
      <c r="Y290" s="177"/>
      <c r="Z290" s="177"/>
      <c r="AA290" s="177"/>
      <c r="AB290" s="177"/>
      <c r="AC290" s="177"/>
      <c r="AD290" s="177"/>
      <c r="AE290" s="177"/>
      <c r="AF290" s="177"/>
      <c r="AG290" s="177"/>
      <c r="AH290" s="177"/>
      <c r="AI290" s="177"/>
      <c r="AJ290" s="177"/>
      <c r="AK290" s="177"/>
      <c r="AL290" s="177"/>
      <c r="AM290" s="177"/>
      <c r="AN290" s="177"/>
      <c r="AO290" s="177"/>
      <c r="AP290" s="546"/>
    </row>
    <row r="291" spans="1:42" ht="45" customHeight="1" x14ac:dyDescent="0.25">
      <c r="A291" s="784" t="s">
        <v>2114</v>
      </c>
      <c r="B291" s="1105"/>
      <c r="C291" s="1105"/>
      <c r="D291" s="1105"/>
      <c r="E291" s="1105"/>
      <c r="F291" s="1105"/>
      <c r="G291" s="1105"/>
      <c r="H291" s="1105"/>
      <c r="I291" s="1105"/>
      <c r="J291" s="1105"/>
      <c r="K291" s="1105"/>
      <c r="L291" s="1105"/>
      <c r="M291" s="1105"/>
      <c r="N291" s="1105"/>
      <c r="O291" s="1105"/>
      <c r="P291" s="1105"/>
      <c r="Q291" s="1105"/>
      <c r="R291" s="1105"/>
      <c r="S291" s="1105"/>
      <c r="T291" s="1105"/>
      <c r="U291" s="1105"/>
      <c r="V291" s="1105"/>
      <c r="X291" s="1105"/>
      <c r="Y291" s="1105"/>
      <c r="Z291" s="1105"/>
      <c r="AA291" s="1105"/>
      <c r="AB291" s="1105"/>
      <c r="AC291" s="1105"/>
      <c r="AD291" s="1105"/>
      <c r="AE291" s="1105"/>
      <c r="AF291" s="1105"/>
      <c r="AG291" s="1105"/>
      <c r="AH291" s="1105"/>
      <c r="AI291" s="1105"/>
      <c r="AJ291" s="1105"/>
      <c r="AK291" s="1105"/>
      <c r="AL291" s="1105"/>
      <c r="AM291" s="1105"/>
      <c r="AN291" s="1105"/>
      <c r="AO291" s="1105"/>
      <c r="AP291" s="785"/>
    </row>
    <row r="292" spans="1:42" ht="15" customHeight="1" x14ac:dyDescent="0.25">
      <c r="B292" s="772" t="s">
        <v>633</v>
      </c>
      <c r="C292" s="1341" t="s">
        <v>13</v>
      </c>
      <c r="D292" s="1393"/>
      <c r="E292" s="1393"/>
      <c r="F292" s="1393"/>
      <c r="G292" s="1393"/>
      <c r="H292" s="1393"/>
      <c r="I292" s="1393"/>
      <c r="J292" s="2312" t="str">
        <f>CONCATENATE("Col ", LEFT(ADDRESS(ROW(OpRisk!E2),COLUMN(OpRisk!E3),4), 1))</f>
        <v>Col E</v>
      </c>
      <c r="K292" s="2312" t="str">
        <f>CONCATENATE("Col ", LEFT(ADDRESS(ROW(OpRisk!F2),COLUMN(OpRisk!F3),4), 1))</f>
        <v>Col F</v>
      </c>
      <c r="L292" s="2312" t="str">
        <f>CONCATENATE("Col ", LEFT(ADDRESS(ROW(OpRisk!G2),COLUMN(OpRisk!G3),4), 1))</f>
        <v>Col G</v>
      </c>
      <c r="M292" s="2312" t="str">
        <f>CONCATENATE("Col ", LEFT(ADDRESS(ROW(OpRisk!H2),COLUMN(OpRisk!H3),4), 1))</f>
        <v>Col H</v>
      </c>
      <c r="N292" s="2312" t="str">
        <f>CONCATENATE("Col ", LEFT(ADDRESS(ROW(OpRisk!I2),COLUMN(OpRisk!I3),4), 1))</f>
        <v>Col I</v>
      </c>
      <c r="O292" s="2312" t="str">
        <f>CONCATENATE("Col ", LEFT(ADDRESS(ROW(OpRisk!J2),COLUMN(OpRisk!J3),4), 1))</f>
        <v>Col J</v>
      </c>
      <c r="P292" s="2312" t="str">
        <f>CONCATENATE("Col ", LEFT(ADDRESS(ROW(OpRisk!K2),COLUMN(OpRisk!K3),4), 1))</f>
        <v>Col K</v>
      </c>
      <c r="Q292" s="2312" t="str">
        <f>CONCATENATE("Col ", LEFT(ADDRESS(ROW(OpRisk!L2),COLUMN(OpRisk!L3),4), 1))</f>
        <v>Col L</v>
      </c>
      <c r="R292" s="2312" t="str">
        <f>CONCATENATE("Col ", LEFT(ADDRESS(ROW(OpRisk!M2),COLUMN(OpRisk!M3),4), 1))</f>
        <v>Col M</v>
      </c>
      <c r="S292" s="2311" t="str">
        <f>CONCATENATE("Col ", LEFT(ADDRESS(ROW(OpRisk!N2),COLUMN(OpRisk!N3),4), 1))</f>
        <v>Col N</v>
      </c>
      <c r="T292" s="477"/>
      <c r="U292" s="477"/>
      <c r="V292" s="477"/>
      <c r="W292" s="177"/>
      <c r="X292" s="177"/>
      <c r="Y292" s="177"/>
      <c r="Z292" s="177"/>
      <c r="AA292" s="177"/>
      <c r="AB292" s="177"/>
      <c r="AC292" s="177"/>
      <c r="AD292" s="177"/>
      <c r="AE292" s="177"/>
      <c r="AF292" s="177"/>
      <c r="AG292" s="177"/>
      <c r="AH292" s="177"/>
      <c r="AI292" s="177"/>
      <c r="AJ292" s="177"/>
      <c r="AK292" s="177"/>
      <c r="AL292" s="177"/>
      <c r="AM292" s="177"/>
      <c r="AN292" s="177"/>
      <c r="AO292" s="177"/>
      <c r="AP292" s="546"/>
    </row>
    <row r="293" spans="1:42" ht="15" customHeight="1" x14ac:dyDescent="0.25">
      <c r="B293" s="465" t="s">
        <v>640</v>
      </c>
      <c r="C293" s="1947" t="str">
        <f>OpRisk!B8</f>
        <v>Check: row 7 ≤ row 6</v>
      </c>
      <c r="D293" s="986"/>
      <c r="E293" s="986"/>
      <c r="F293" s="986"/>
      <c r="G293" s="986"/>
      <c r="H293" s="986"/>
      <c r="I293" s="986"/>
      <c r="J293" s="633"/>
      <c r="K293" s="562"/>
      <c r="L293" s="562"/>
      <c r="M293" s="562"/>
      <c r="N293" s="562"/>
      <c r="O293" s="556" t="str">
        <f>OpRisk!J8</f>
        <v/>
      </c>
      <c r="P293" s="556" t="str">
        <f>OpRisk!K8</f>
        <v/>
      </c>
      <c r="Q293" s="556" t="str">
        <f>OpRisk!L8</f>
        <v/>
      </c>
      <c r="R293" s="556" t="str">
        <f>OpRisk!M8</f>
        <v/>
      </c>
      <c r="S293" s="556" t="str">
        <f>OpRisk!N8</f>
        <v/>
      </c>
      <c r="T293" s="477"/>
      <c r="U293" s="477"/>
      <c r="V293" s="477"/>
      <c r="W293" s="177"/>
      <c r="X293" s="177"/>
      <c r="Y293" s="177"/>
      <c r="Z293" s="177"/>
      <c r="AA293" s="177"/>
      <c r="AB293" s="177"/>
      <c r="AC293" s="177"/>
      <c r="AD293" s="177"/>
      <c r="AE293" s="177"/>
      <c r="AF293" s="177"/>
      <c r="AG293" s="177"/>
      <c r="AH293" s="177"/>
      <c r="AI293" s="177"/>
      <c r="AJ293" s="177"/>
      <c r="AK293" s="177"/>
      <c r="AL293" s="177"/>
      <c r="AM293" s="177"/>
      <c r="AN293" s="177"/>
      <c r="AO293" s="177"/>
      <c r="AP293" s="546"/>
    </row>
    <row r="294" spans="1:42" ht="15" customHeight="1" x14ac:dyDescent="0.25">
      <c r="B294" s="266" t="s">
        <v>640</v>
      </c>
      <c r="C294" s="1205" t="str">
        <f>OpRisk!B34</f>
        <v>Check: row 33 ≤ row 32</v>
      </c>
      <c r="D294" s="242"/>
      <c r="E294" s="242"/>
      <c r="F294" s="242"/>
      <c r="G294" s="242"/>
      <c r="H294" s="242"/>
      <c r="I294" s="242"/>
      <c r="J294" s="634" t="str">
        <f>OpRisk!E34</f>
        <v/>
      </c>
      <c r="K294" s="558" t="str">
        <f>OpRisk!F34</f>
        <v/>
      </c>
      <c r="L294" s="558" t="str">
        <f>OpRisk!G34</f>
        <v/>
      </c>
      <c r="M294" s="558" t="str">
        <f>OpRisk!H34</f>
        <v/>
      </c>
      <c r="N294" s="558" t="str">
        <f>OpRisk!I34</f>
        <v/>
      </c>
      <c r="O294" s="558" t="str">
        <f>OpRisk!J34</f>
        <v/>
      </c>
      <c r="P294" s="558" t="str">
        <f>OpRisk!K34</f>
        <v/>
      </c>
      <c r="Q294" s="558" t="str">
        <f>OpRisk!L34</f>
        <v/>
      </c>
      <c r="R294" s="558" t="str">
        <f>OpRisk!M34</f>
        <v/>
      </c>
      <c r="S294" s="558" t="str">
        <f>OpRisk!N34</f>
        <v/>
      </c>
      <c r="T294" s="477"/>
      <c r="U294" s="477"/>
      <c r="V294" s="477"/>
      <c r="W294" s="177"/>
      <c r="X294" s="177"/>
      <c r="Y294" s="177"/>
      <c r="Z294" s="177"/>
      <c r="AA294" s="177"/>
      <c r="AB294" s="177"/>
      <c r="AC294" s="177"/>
      <c r="AD294" s="177"/>
      <c r="AE294" s="177"/>
      <c r="AF294" s="177"/>
      <c r="AG294" s="177"/>
      <c r="AH294" s="177"/>
      <c r="AI294" s="177"/>
      <c r="AJ294" s="177"/>
      <c r="AK294" s="177"/>
      <c r="AL294" s="177"/>
      <c r="AM294" s="177"/>
      <c r="AN294" s="177"/>
      <c r="AO294" s="177"/>
      <c r="AP294" s="546"/>
    </row>
    <row r="295" spans="1:42" ht="15" customHeight="1" x14ac:dyDescent="0.25">
      <c r="B295" s="266" t="s">
        <v>640</v>
      </c>
      <c r="C295" s="1205" t="str">
        <f>OpRisk!B37</f>
        <v>Check: row 31 &gt; 0 ↔ row 36 &gt; 0</v>
      </c>
      <c r="D295" s="242"/>
      <c r="E295" s="242"/>
      <c r="F295" s="242"/>
      <c r="G295" s="242"/>
      <c r="H295" s="242"/>
      <c r="I295" s="242"/>
      <c r="J295" s="634" t="str">
        <f>OpRisk!E37</f>
        <v/>
      </c>
      <c r="K295" s="558" t="str">
        <f>OpRisk!F37</f>
        <v/>
      </c>
      <c r="L295" s="558" t="str">
        <f>OpRisk!G37</f>
        <v/>
      </c>
      <c r="M295" s="558" t="str">
        <f>OpRisk!H37</f>
        <v/>
      </c>
      <c r="N295" s="558" t="str">
        <f>OpRisk!I37</f>
        <v/>
      </c>
      <c r="O295" s="558" t="str">
        <f>OpRisk!J37</f>
        <v/>
      </c>
      <c r="P295" s="558" t="str">
        <f>OpRisk!K37</f>
        <v/>
      </c>
      <c r="Q295" s="558" t="str">
        <f>OpRisk!L37</f>
        <v/>
      </c>
      <c r="R295" s="558" t="str">
        <f>OpRisk!M37</f>
        <v/>
      </c>
      <c r="S295" s="558" t="str">
        <f>OpRisk!N37</f>
        <v/>
      </c>
      <c r="T295" s="477"/>
      <c r="U295" s="477"/>
      <c r="V295" s="477"/>
      <c r="W295" s="177"/>
      <c r="X295" s="177"/>
      <c r="Y295" s="177"/>
      <c r="Z295" s="177"/>
      <c r="AA295" s="177"/>
      <c r="AB295" s="177"/>
      <c r="AC295" s="177"/>
      <c r="AD295" s="177"/>
      <c r="AE295" s="177"/>
      <c r="AF295" s="177"/>
      <c r="AG295" s="177"/>
      <c r="AH295" s="177"/>
      <c r="AI295" s="177"/>
      <c r="AJ295" s="177"/>
      <c r="AK295" s="177"/>
      <c r="AL295" s="177"/>
      <c r="AM295" s="177"/>
      <c r="AN295" s="177"/>
      <c r="AO295" s="177"/>
      <c r="AP295" s="546"/>
    </row>
    <row r="296" spans="1:42" ht="15" customHeight="1" x14ac:dyDescent="0.25">
      <c r="B296" s="266" t="s">
        <v>640</v>
      </c>
      <c r="C296" s="1205" t="str">
        <f ca="1">OpRisk!B39</f>
        <v>Check: sum(row 36) ≥ $E$38 ≥ max(row 36)</v>
      </c>
      <c r="D296" s="242"/>
      <c r="E296" s="242"/>
      <c r="F296" s="242"/>
      <c r="G296" s="242"/>
      <c r="H296" s="242"/>
      <c r="I296" s="242"/>
      <c r="J296" s="2589" t="str">
        <f>OpRisk!E39</f>
        <v>Pass</v>
      </c>
      <c r="K296" s="2589"/>
      <c r="L296" s="2589"/>
      <c r="M296" s="2589"/>
      <c r="N296" s="2589"/>
      <c r="O296" s="2589"/>
      <c r="P296" s="2589"/>
      <c r="Q296" s="2589"/>
      <c r="R296" s="2589"/>
      <c r="S296" s="2589"/>
      <c r="T296" s="477"/>
      <c r="U296" s="477"/>
      <c r="V296" s="477"/>
      <c r="W296" s="177"/>
      <c r="X296" s="177"/>
      <c r="Y296" s="177"/>
      <c r="Z296" s="177"/>
      <c r="AA296" s="177"/>
      <c r="AB296" s="177"/>
      <c r="AC296" s="177"/>
      <c r="AD296" s="177"/>
      <c r="AE296" s="177"/>
      <c r="AF296" s="177"/>
      <c r="AG296" s="177"/>
      <c r="AH296" s="177"/>
      <c r="AI296" s="177"/>
      <c r="AJ296" s="177"/>
      <c r="AK296" s="177"/>
      <c r="AL296" s="177"/>
      <c r="AM296" s="177"/>
      <c r="AN296" s="177"/>
      <c r="AO296" s="177"/>
      <c r="AP296" s="546"/>
    </row>
    <row r="297" spans="1:42" ht="15" customHeight="1" x14ac:dyDescent="0.25">
      <c r="B297" s="266" t="s">
        <v>640</v>
      </c>
      <c r="C297" s="1205" t="str">
        <f ca="1">OpRisk!B40</f>
        <v>Check: sum(row 35)/$E$38 ≥ EUR 20,000 or $E$38 = 0</v>
      </c>
      <c r="D297" s="242"/>
      <c r="E297" s="242"/>
      <c r="F297" s="242"/>
      <c r="G297" s="242"/>
      <c r="H297" s="242"/>
      <c r="I297" s="242"/>
      <c r="J297" s="2589" t="str">
        <f>OpRisk!E40</f>
        <v>Pass</v>
      </c>
      <c r="K297" s="2589"/>
      <c r="L297" s="2589"/>
      <c r="M297" s="2589"/>
      <c r="N297" s="2589"/>
      <c r="O297" s="2589"/>
      <c r="P297" s="2589"/>
      <c r="Q297" s="2589"/>
      <c r="R297" s="2589"/>
      <c r="S297" s="2589"/>
      <c r="T297" s="477"/>
      <c r="U297" s="477"/>
      <c r="V297" s="477"/>
      <c r="W297" s="177"/>
      <c r="X297" s="177"/>
      <c r="Y297" s="177"/>
      <c r="Z297" s="177"/>
      <c r="AA297" s="177"/>
      <c r="AB297" s="177"/>
      <c r="AC297" s="177"/>
      <c r="AD297" s="177"/>
      <c r="AE297" s="177"/>
      <c r="AF297" s="177"/>
      <c r="AG297" s="177"/>
      <c r="AH297" s="177"/>
      <c r="AI297" s="177"/>
      <c r="AJ297" s="177"/>
      <c r="AK297" s="177"/>
      <c r="AL297" s="177"/>
      <c r="AM297" s="177"/>
      <c r="AN297" s="177"/>
      <c r="AO297" s="177"/>
      <c r="AP297" s="546"/>
    </row>
    <row r="298" spans="1:42" ht="15" customHeight="1" x14ac:dyDescent="0.25">
      <c r="B298" s="266" t="s">
        <v>640</v>
      </c>
      <c r="C298" s="1205" t="str">
        <f ca="1">OpRisk!B44</f>
        <v>Check: $E$38 ≥ $E$43 ≥ 0</v>
      </c>
      <c r="D298" s="242"/>
      <c r="E298" s="242"/>
      <c r="F298" s="242"/>
      <c r="G298" s="242"/>
      <c r="H298" s="242"/>
      <c r="I298" s="242"/>
      <c r="J298" s="2307" t="str">
        <f>OpRisk!E44</f>
        <v/>
      </c>
      <c r="K298" s="2307"/>
      <c r="L298" s="2307"/>
      <c r="M298" s="2307"/>
      <c r="N298" s="2307"/>
      <c r="O298" s="2307"/>
      <c r="P298" s="2307"/>
      <c r="Q298" s="2307"/>
      <c r="R298" s="2307"/>
      <c r="S298" s="2307"/>
      <c r="T298" s="477"/>
      <c r="U298" s="477"/>
      <c r="V298" s="477"/>
      <c r="W298" s="177"/>
      <c r="X298" s="177"/>
      <c r="Y298" s="177"/>
      <c r="Z298" s="177"/>
      <c r="AA298" s="177"/>
      <c r="AB298" s="177"/>
      <c r="AC298" s="177"/>
      <c r="AD298" s="177"/>
      <c r="AE298" s="177"/>
      <c r="AF298" s="177"/>
      <c r="AG298" s="177"/>
      <c r="AH298" s="177"/>
      <c r="AI298" s="177"/>
      <c r="AJ298" s="177"/>
      <c r="AK298" s="177"/>
      <c r="AL298" s="177"/>
      <c r="AM298" s="177"/>
      <c r="AN298" s="177"/>
      <c r="AO298" s="177"/>
      <c r="AP298" s="546"/>
    </row>
    <row r="299" spans="1:42" ht="15" customHeight="1" x14ac:dyDescent="0.25">
      <c r="B299" s="266" t="s">
        <v>640</v>
      </c>
      <c r="C299" s="1205" t="str">
        <f ca="1">OpRisk!B45</f>
        <v>Check: sum(row 42)/($E$38 - $E$43) ≥ EUR 20,000 or $E$38 - $E$43 = 0</v>
      </c>
      <c r="D299" s="242"/>
      <c r="E299" s="242"/>
      <c r="F299" s="242"/>
      <c r="G299" s="242"/>
      <c r="H299" s="242"/>
      <c r="I299" s="242"/>
      <c r="J299" s="2589" t="str">
        <f>OpRisk!E45</f>
        <v>Pass</v>
      </c>
      <c r="K299" s="2589"/>
      <c r="L299" s="2589"/>
      <c r="M299" s="2589"/>
      <c r="N299" s="2589"/>
      <c r="O299" s="2589"/>
      <c r="P299" s="2589"/>
      <c r="Q299" s="2589"/>
      <c r="R299" s="2589"/>
      <c r="S299" s="2589"/>
      <c r="T299" s="477"/>
      <c r="U299" s="477"/>
      <c r="V299" s="477"/>
      <c r="W299" s="177"/>
      <c r="X299" s="177"/>
      <c r="Y299" s="177"/>
      <c r="Z299" s="177"/>
      <c r="AA299" s="177"/>
      <c r="AB299" s="177"/>
      <c r="AC299" s="177"/>
      <c r="AD299" s="177"/>
      <c r="AE299" s="177"/>
      <c r="AF299" s="177"/>
      <c r="AG299" s="177"/>
      <c r="AH299" s="177"/>
      <c r="AI299" s="177"/>
      <c r="AJ299" s="177"/>
      <c r="AK299" s="177"/>
      <c r="AL299" s="177"/>
      <c r="AM299" s="177"/>
      <c r="AN299" s="177"/>
      <c r="AO299" s="177"/>
      <c r="AP299" s="546"/>
    </row>
    <row r="300" spans="1:42" ht="15" customHeight="1" x14ac:dyDescent="0.25">
      <c r="B300" s="266" t="s">
        <v>640</v>
      </c>
      <c r="C300" s="1205" t="str">
        <f>OpRisk!B50</f>
        <v>Check: row 49 ≤ row 48</v>
      </c>
      <c r="D300" s="242"/>
      <c r="E300" s="242"/>
      <c r="F300" s="242"/>
      <c r="G300" s="242"/>
      <c r="H300" s="242"/>
      <c r="I300" s="242"/>
      <c r="J300" s="2317" t="str">
        <f>OpRisk!E50</f>
        <v/>
      </c>
      <c r="K300" s="701" t="str">
        <f>OpRisk!F50</f>
        <v/>
      </c>
      <c r="L300" s="701" t="str">
        <f>OpRisk!G50</f>
        <v/>
      </c>
      <c r="M300" s="701" t="str">
        <f>OpRisk!H50</f>
        <v/>
      </c>
      <c r="N300" s="701" t="str">
        <f>OpRisk!I50</f>
        <v/>
      </c>
      <c r="O300" s="701" t="str">
        <f>OpRisk!J50</f>
        <v/>
      </c>
      <c r="P300" s="701" t="str">
        <f>OpRisk!K50</f>
        <v/>
      </c>
      <c r="Q300" s="701" t="str">
        <f>OpRisk!L50</f>
        <v/>
      </c>
      <c r="R300" s="701" t="str">
        <f>OpRisk!M50</f>
        <v/>
      </c>
      <c r="S300" s="701" t="str">
        <f>OpRisk!N50</f>
        <v/>
      </c>
      <c r="T300" s="477"/>
      <c r="U300" s="477"/>
      <c r="V300" s="477"/>
      <c r="W300" s="177"/>
      <c r="X300" s="177"/>
      <c r="Y300" s="177"/>
      <c r="Z300" s="177"/>
      <c r="AA300" s="177"/>
      <c r="AB300" s="177"/>
      <c r="AC300" s="177"/>
      <c r="AD300" s="177"/>
      <c r="AE300" s="177"/>
      <c r="AF300" s="177"/>
      <c r="AG300" s="177"/>
      <c r="AH300" s="177"/>
      <c r="AI300" s="177"/>
      <c r="AJ300" s="177"/>
      <c r="AK300" s="177"/>
      <c r="AL300" s="177"/>
      <c r="AM300" s="177"/>
      <c r="AN300" s="177"/>
      <c r="AO300" s="177"/>
      <c r="AP300" s="546"/>
    </row>
    <row r="301" spans="1:42" ht="15" customHeight="1" x14ac:dyDescent="0.25">
      <c r="B301" s="266" t="s">
        <v>640</v>
      </c>
      <c r="C301" s="1205" t="str">
        <f>OpRisk!B53</f>
        <v>Check: row 47 &gt; 0 ↔ row 52 &gt; 0</v>
      </c>
      <c r="D301" s="242"/>
      <c r="E301" s="242"/>
      <c r="F301" s="242"/>
      <c r="G301" s="242"/>
      <c r="H301" s="242"/>
      <c r="I301" s="242"/>
      <c r="J301" s="2317" t="str">
        <f>OpRisk!E53</f>
        <v/>
      </c>
      <c r="K301" s="701" t="str">
        <f>OpRisk!F53</f>
        <v/>
      </c>
      <c r="L301" s="701" t="str">
        <f>OpRisk!G53</f>
        <v/>
      </c>
      <c r="M301" s="701" t="str">
        <f>OpRisk!H53</f>
        <v/>
      </c>
      <c r="N301" s="701" t="str">
        <f>OpRisk!I53</f>
        <v/>
      </c>
      <c r="O301" s="701" t="str">
        <f>OpRisk!J53</f>
        <v/>
      </c>
      <c r="P301" s="701" t="str">
        <f>OpRisk!K53</f>
        <v/>
      </c>
      <c r="Q301" s="701" t="str">
        <f>OpRisk!L53</f>
        <v/>
      </c>
      <c r="R301" s="701" t="str">
        <f>OpRisk!M53</f>
        <v/>
      </c>
      <c r="S301" s="701" t="str">
        <f>OpRisk!N53</f>
        <v/>
      </c>
      <c r="T301" s="477"/>
      <c r="U301" s="477"/>
      <c r="V301" s="477"/>
      <c r="W301" s="177"/>
      <c r="X301" s="177"/>
      <c r="Y301" s="177"/>
      <c r="Z301" s="177"/>
      <c r="AA301" s="177"/>
      <c r="AB301" s="177"/>
      <c r="AC301" s="177"/>
      <c r="AD301" s="177"/>
      <c r="AE301" s="177"/>
      <c r="AF301" s="177"/>
      <c r="AG301" s="177"/>
      <c r="AH301" s="177"/>
      <c r="AI301" s="177"/>
      <c r="AJ301" s="177"/>
      <c r="AK301" s="177"/>
      <c r="AL301" s="177"/>
      <c r="AM301" s="177"/>
      <c r="AN301" s="177"/>
      <c r="AO301" s="177"/>
      <c r="AP301" s="546"/>
    </row>
    <row r="302" spans="1:42" ht="15" customHeight="1" x14ac:dyDescent="0.25">
      <c r="B302" s="266" t="s">
        <v>640</v>
      </c>
      <c r="C302" s="1205" t="str">
        <f ca="1">OpRisk!B55</f>
        <v>Check: sum(row 52) ≥ $E$54 ≥ max(row 52)</v>
      </c>
      <c r="D302" s="242"/>
      <c r="E302" s="242"/>
      <c r="F302" s="242"/>
      <c r="G302" s="242"/>
      <c r="H302" s="242"/>
      <c r="I302" s="242"/>
      <c r="J302" s="2589" t="str">
        <f>OpRisk!E55</f>
        <v>Pass</v>
      </c>
      <c r="K302" s="2589"/>
      <c r="L302" s="2589"/>
      <c r="M302" s="2589"/>
      <c r="N302" s="2589"/>
      <c r="O302" s="2589"/>
      <c r="P302" s="2589"/>
      <c r="Q302" s="2589"/>
      <c r="R302" s="2589"/>
      <c r="S302" s="2589"/>
      <c r="T302" s="477"/>
      <c r="U302" s="477"/>
      <c r="V302" s="477"/>
      <c r="W302" s="177"/>
      <c r="X302" s="177"/>
      <c r="Y302" s="177"/>
      <c r="Z302" s="177"/>
      <c r="AA302" s="177"/>
      <c r="AB302" s="177"/>
      <c r="AC302" s="177"/>
      <c r="AD302" s="177"/>
      <c r="AE302" s="177"/>
      <c r="AF302" s="177"/>
      <c r="AG302" s="177"/>
      <c r="AH302" s="177"/>
      <c r="AI302" s="177"/>
      <c r="AJ302" s="177"/>
      <c r="AK302" s="177"/>
      <c r="AL302" s="177"/>
      <c r="AM302" s="177"/>
      <c r="AN302" s="177"/>
      <c r="AO302" s="177"/>
      <c r="AP302" s="546"/>
    </row>
    <row r="303" spans="1:42" ht="15" customHeight="1" x14ac:dyDescent="0.25">
      <c r="B303" s="266" t="s">
        <v>640</v>
      </c>
      <c r="C303" s="1205" t="str">
        <f ca="1">OpRisk!B56</f>
        <v>Check: sum(row 51)/$E$54 ≥ EUR 100,000 or $E$54 = 0</v>
      </c>
      <c r="D303" s="242"/>
      <c r="E303" s="242"/>
      <c r="F303" s="242"/>
      <c r="G303" s="242"/>
      <c r="H303" s="242"/>
      <c r="I303" s="242"/>
      <c r="J303" s="2589" t="str">
        <f>OpRisk!E56</f>
        <v>Pass</v>
      </c>
      <c r="K303" s="2589"/>
      <c r="L303" s="2589"/>
      <c r="M303" s="2589"/>
      <c r="N303" s="2589"/>
      <c r="O303" s="2589"/>
      <c r="P303" s="2589"/>
      <c r="Q303" s="2589"/>
      <c r="R303" s="2589"/>
      <c r="S303" s="2589"/>
      <c r="T303" s="477"/>
      <c r="U303" s="477"/>
      <c r="V303" s="477"/>
      <c r="W303" s="177"/>
      <c r="X303" s="177"/>
      <c r="Y303" s="177"/>
      <c r="Z303" s="177"/>
      <c r="AA303" s="177"/>
      <c r="AB303" s="177"/>
      <c r="AC303" s="177"/>
      <c r="AD303" s="177"/>
      <c r="AE303" s="177"/>
      <c r="AF303" s="177"/>
      <c r="AG303" s="177"/>
      <c r="AH303" s="177"/>
      <c r="AI303" s="177"/>
      <c r="AJ303" s="177"/>
      <c r="AK303" s="177"/>
      <c r="AL303" s="177"/>
      <c r="AM303" s="177"/>
      <c r="AN303" s="177"/>
      <c r="AO303" s="177"/>
      <c r="AP303" s="546"/>
    </row>
    <row r="304" spans="1:42" ht="15" customHeight="1" x14ac:dyDescent="0.25">
      <c r="B304" s="266" t="s">
        <v>640</v>
      </c>
      <c r="C304" s="1205" t="str">
        <f ca="1">OpRisk!B60</f>
        <v>Check: $E$54 ≥ $E$59 ≥ 0</v>
      </c>
      <c r="D304" s="242"/>
      <c r="E304" s="242"/>
      <c r="F304" s="242"/>
      <c r="G304" s="242"/>
      <c r="H304" s="242"/>
      <c r="I304" s="242"/>
      <c r="J304" s="2307" t="str">
        <f>OpRisk!E60</f>
        <v/>
      </c>
      <c r="K304" s="2307"/>
      <c r="L304" s="2307"/>
      <c r="M304" s="2307"/>
      <c r="N304" s="2307"/>
      <c r="O304" s="2307"/>
      <c r="P304" s="2307"/>
      <c r="Q304" s="2307"/>
      <c r="R304" s="2307"/>
      <c r="S304" s="2307"/>
      <c r="T304" s="477"/>
      <c r="U304" s="477"/>
      <c r="V304" s="477"/>
      <c r="W304" s="177"/>
      <c r="X304" s="177"/>
      <c r="Y304" s="177"/>
      <c r="Z304" s="177"/>
      <c r="AA304" s="177"/>
      <c r="AB304" s="177"/>
      <c r="AC304" s="177"/>
      <c r="AD304" s="177"/>
      <c r="AE304" s="177"/>
      <c r="AF304" s="177"/>
      <c r="AG304" s="177"/>
      <c r="AH304" s="177"/>
      <c r="AI304" s="177"/>
      <c r="AJ304" s="177"/>
      <c r="AK304" s="177"/>
      <c r="AL304" s="177"/>
      <c r="AM304" s="177"/>
      <c r="AN304" s="177"/>
      <c r="AO304" s="177"/>
      <c r="AP304" s="546"/>
    </row>
    <row r="305" spans="1:42" ht="15" customHeight="1" x14ac:dyDescent="0.25">
      <c r="B305" s="266" t="s">
        <v>640</v>
      </c>
      <c r="C305" s="1205" t="str">
        <f ca="1">OpRisk!B61</f>
        <v>Check: sum(row 58)/($E$54 - $E$59) ≥ EUR 100,000 or $E$54 - $E$59 = 0</v>
      </c>
      <c r="D305" s="242"/>
      <c r="E305" s="242"/>
      <c r="F305" s="242"/>
      <c r="G305" s="242"/>
      <c r="H305" s="242"/>
      <c r="I305" s="242"/>
      <c r="J305" s="2589" t="str">
        <f>OpRisk!E61</f>
        <v>Pass</v>
      </c>
      <c r="K305" s="2589"/>
      <c r="L305" s="2589"/>
      <c r="M305" s="2589"/>
      <c r="N305" s="2589"/>
      <c r="O305" s="2589"/>
      <c r="P305" s="2589"/>
      <c r="Q305" s="2589"/>
      <c r="R305" s="2589"/>
      <c r="S305" s="2589"/>
      <c r="T305" s="477"/>
      <c r="U305" s="477"/>
      <c r="V305" s="477"/>
      <c r="W305" s="177"/>
      <c r="X305" s="177"/>
      <c r="Y305" s="177"/>
      <c r="Z305" s="177"/>
      <c r="AA305" s="177"/>
      <c r="AB305" s="177"/>
      <c r="AC305" s="177"/>
      <c r="AD305" s="177"/>
      <c r="AE305" s="177"/>
      <c r="AF305" s="177"/>
      <c r="AG305" s="177"/>
      <c r="AH305" s="177"/>
      <c r="AI305" s="177"/>
      <c r="AJ305" s="177"/>
      <c r="AK305" s="177"/>
      <c r="AL305" s="177"/>
      <c r="AM305" s="177"/>
      <c r="AN305" s="177"/>
      <c r="AO305" s="177"/>
      <c r="AP305" s="546"/>
    </row>
    <row r="306" spans="1:42" ht="15" customHeight="1" x14ac:dyDescent="0.25">
      <c r="B306" s="550" t="s">
        <v>640</v>
      </c>
      <c r="C306" s="2370" t="str">
        <f>OpRisk!B62</f>
        <v>Check: row 31 ≥ row 47 &amp; row 32 ≥ row 48 &amp; row 33 ≥ row 49 &amp; row 36 ≥ row 52</v>
      </c>
      <c r="D306" s="1392"/>
      <c r="E306" s="1392"/>
      <c r="F306" s="1392"/>
      <c r="G306" s="1392"/>
      <c r="H306" s="1392"/>
      <c r="I306" s="1392"/>
      <c r="J306" s="634" t="str">
        <f>OpRisk!E62</f>
        <v>Pass</v>
      </c>
      <c r="K306" s="558" t="str">
        <f>OpRisk!F62</f>
        <v>Pass</v>
      </c>
      <c r="L306" s="558" t="str">
        <f>OpRisk!G62</f>
        <v>Pass</v>
      </c>
      <c r="M306" s="558" t="str">
        <f>OpRisk!H62</f>
        <v>Pass</v>
      </c>
      <c r="N306" s="558" t="str">
        <f>OpRisk!I62</f>
        <v>Pass</v>
      </c>
      <c r="O306" s="558" t="str">
        <f>OpRisk!J62</f>
        <v>Pass</v>
      </c>
      <c r="P306" s="558" t="str">
        <f>OpRisk!K62</f>
        <v>Pass</v>
      </c>
      <c r="Q306" s="558" t="str">
        <f>OpRisk!L62</f>
        <v>Pass</v>
      </c>
      <c r="R306" s="558" t="str">
        <f>OpRisk!M62</f>
        <v>Pass</v>
      </c>
      <c r="S306" s="558" t="str">
        <f>OpRisk!N62</f>
        <v>Pass</v>
      </c>
      <c r="T306" s="477"/>
      <c r="U306" s="477"/>
      <c r="V306" s="477"/>
      <c r="W306" s="177"/>
      <c r="X306" s="177"/>
      <c r="Y306" s="177"/>
      <c r="Z306" s="177"/>
      <c r="AA306" s="177"/>
      <c r="AB306" s="177"/>
      <c r="AC306" s="177"/>
      <c r="AD306" s="177"/>
      <c r="AE306" s="177"/>
      <c r="AF306" s="177"/>
      <c r="AG306" s="177"/>
      <c r="AH306" s="177"/>
      <c r="AI306" s="177"/>
      <c r="AJ306" s="177"/>
      <c r="AK306" s="177"/>
      <c r="AL306" s="177"/>
      <c r="AM306" s="177"/>
      <c r="AN306" s="177"/>
      <c r="AO306" s="177"/>
      <c r="AP306" s="546"/>
    </row>
    <row r="307" spans="1:42" ht="15" customHeight="1" x14ac:dyDescent="0.25">
      <c r="B307" s="1946" t="s">
        <v>2045</v>
      </c>
      <c r="C307" s="1205" t="str">
        <f>OpRisk!B95</f>
        <v>Check: new SA should generally not be combined with other approaches</v>
      </c>
      <c r="D307" s="242"/>
      <c r="E307" s="242"/>
      <c r="F307" s="242"/>
      <c r="G307" s="242"/>
      <c r="H307" s="242"/>
      <c r="I307" s="242"/>
      <c r="J307" s="263"/>
      <c r="K307" s="261"/>
      <c r="L307" s="261"/>
      <c r="M307" s="261"/>
      <c r="N307" s="261"/>
      <c r="O307" s="261"/>
      <c r="P307" s="261"/>
      <c r="Q307" s="553" t="str">
        <f>OpRisk!L95</f>
        <v/>
      </c>
      <c r="R307" s="553" t="str">
        <f>OpRisk!M95</f>
        <v/>
      </c>
      <c r="S307" s="701" t="str">
        <f>OpRisk!N95</f>
        <v/>
      </c>
      <c r="T307" s="477"/>
      <c r="U307" s="477"/>
      <c r="V307" s="477"/>
      <c r="W307" s="177"/>
      <c r="X307" s="177"/>
      <c r="Y307" s="177"/>
      <c r="Z307" s="177"/>
      <c r="AA307" s="177"/>
      <c r="AB307" s="177"/>
      <c r="AC307" s="177"/>
      <c r="AD307" s="177"/>
      <c r="AE307" s="177"/>
      <c r="AF307" s="177"/>
      <c r="AG307" s="177"/>
      <c r="AH307" s="177"/>
      <c r="AI307" s="177"/>
      <c r="AJ307" s="177"/>
      <c r="AK307" s="177"/>
      <c r="AL307" s="177"/>
      <c r="AM307" s="177"/>
      <c r="AN307" s="177"/>
      <c r="AO307" s="177"/>
      <c r="AP307" s="546"/>
    </row>
    <row r="308" spans="1:42" ht="15" customHeight="1" x14ac:dyDescent="0.25">
      <c r="B308" s="280" t="s">
        <v>2045</v>
      </c>
      <c r="C308" s="1968" t="str">
        <f>OpRisk!B103</f>
        <v>Check: new SA add-ons should generally not be combined with other approaches</v>
      </c>
      <c r="D308" s="250"/>
      <c r="E308" s="250"/>
      <c r="F308" s="250"/>
      <c r="G308" s="250"/>
      <c r="H308" s="250"/>
      <c r="I308" s="250"/>
      <c r="J308" s="265"/>
      <c r="K308" s="355"/>
      <c r="L308" s="355"/>
      <c r="M308" s="355"/>
      <c r="N308" s="355"/>
      <c r="O308" s="355"/>
      <c r="P308" s="355"/>
      <c r="Q308" s="555" t="str">
        <f>OpRisk!L103</f>
        <v xml:space="preserve"> </v>
      </c>
      <c r="R308" s="555" t="str">
        <f>OpRisk!M103</f>
        <v xml:space="preserve"> </v>
      </c>
      <c r="S308" s="554" t="str">
        <f>OpRisk!N103</f>
        <v xml:space="preserve"> </v>
      </c>
      <c r="T308" s="477"/>
      <c r="U308" s="477"/>
      <c r="V308" s="477"/>
      <c r="W308" s="177"/>
      <c r="X308" s="177"/>
      <c r="Y308" s="177"/>
      <c r="Z308" s="177"/>
      <c r="AA308" s="177"/>
      <c r="AB308" s="177"/>
      <c r="AC308" s="177"/>
      <c r="AD308" s="177"/>
      <c r="AE308" s="177"/>
      <c r="AF308" s="177"/>
      <c r="AG308" s="177"/>
      <c r="AH308" s="177"/>
      <c r="AI308" s="177"/>
      <c r="AJ308" s="177"/>
      <c r="AK308" s="177"/>
      <c r="AL308" s="177"/>
      <c r="AM308" s="177"/>
      <c r="AN308" s="177"/>
      <c r="AO308" s="177"/>
      <c r="AP308" s="546"/>
    </row>
    <row r="309" spans="1:42" ht="15" customHeight="1" x14ac:dyDescent="0.25">
      <c r="A309" s="1036"/>
      <c r="B309" s="549"/>
      <c r="C309" s="549"/>
      <c r="D309" s="549"/>
      <c r="E309" s="549"/>
      <c r="F309" s="549"/>
      <c r="G309" s="549"/>
      <c r="H309" s="549"/>
      <c r="I309" s="549"/>
      <c r="J309" s="549"/>
      <c r="K309" s="549"/>
      <c r="L309" s="549"/>
      <c r="M309" s="549"/>
      <c r="N309" s="549"/>
      <c r="O309" s="549"/>
      <c r="P309" s="549"/>
      <c r="Q309" s="549"/>
      <c r="R309" s="549"/>
      <c r="S309" s="549"/>
      <c r="T309" s="549"/>
      <c r="U309" s="549"/>
      <c r="V309" s="549"/>
      <c r="W309" s="548"/>
      <c r="X309" s="548"/>
      <c r="Y309" s="548"/>
      <c r="Z309" s="548"/>
      <c r="AA309" s="548"/>
      <c r="AB309" s="548"/>
      <c r="AC309" s="548"/>
      <c r="AD309" s="548"/>
      <c r="AE309" s="548"/>
      <c r="AF309" s="548"/>
      <c r="AG309" s="548"/>
      <c r="AH309" s="548"/>
      <c r="AI309" s="548"/>
      <c r="AJ309" s="548"/>
      <c r="AK309" s="548"/>
      <c r="AL309" s="548"/>
      <c r="AM309" s="548"/>
      <c r="AN309" s="548"/>
      <c r="AO309" s="548"/>
      <c r="AP309" s="2017"/>
    </row>
  </sheetData>
  <mergeCells count="85">
    <mergeCell ref="D210:E210"/>
    <mergeCell ref="D211:E211"/>
    <mergeCell ref="D212:E212"/>
    <mergeCell ref="D204:E204"/>
    <mergeCell ref="D205:E205"/>
    <mergeCell ref="D206:E206"/>
    <mergeCell ref="D207:E207"/>
    <mergeCell ref="D208:E208"/>
    <mergeCell ref="D197:E197"/>
    <mergeCell ref="D198:E198"/>
    <mergeCell ref="D200:E200"/>
    <mergeCell ref="D201:E201"/>
    <mergeCell ref="D209:E209"/>
    <mergeCell ref="D192:E192"/>
    <mergeCell ref="D193:E193"/>
    <mergeCell ref="D194:E194"/>
    <mergeCell ref="D195:E195"/>
    <mergeCell ref="D196:E196"/>
    <mergeCell ref="D167:E167"/>
    <mergeCell ref="D168:E168"/>
    <mergeCell ref="D169:E169"/>
    <mergeCell ref="D170:E170"/>
    <mergeCell ref="D171:E171"/>
    <mergeCell ref="J305:S305"/>
    <mergeCell ref="D172:E172"/>
    <mergeCell ref="D173:E173"/>
    <mergeCell ref="D174:E174"/>
    <mergeCell ref="D176:E176"/>
    <mergeCell ref="D177:E177"/>
    <mergeCell ref="D179:E179"/>
    <mergeCell ref="D180:E180"/>
    <mergeCell ref="D182:E182"/>
    <mergeCell ref="D183:E183"/>
    <mergeCell ref="D185:E185"/>
    <mergeCell ref="D186:E186"/>
    <mergeCell ref="D188:E188"/>
    <mergeCell ref="D189:E189"/>
    <mergeCell ref="D190:E190"/>
    <mergeCell ref="D191:E191"/>
    <mergeCell ref="J296:S296"/>
    <mergeCell ref="J297:S297"/>
    <mergeCell ref="J299:S299"/>
    <mergeCell ref="J302:S302"/>
    <mergeCell ref="J303:S303"/>
    <mergeCell ref="F173:G173"/>
    <mergeCell ref="F174:G174"/>
    <mergeCell ref="F176:G176"/>
    <mergeCell ref="F177:G177"/>
    <mergeCell ref="F167:G167"/>
    <mergeCell ref="F168:G168"/>
    <mergeCell ref="F169:G169"/>
    <mergeCell ref="F170:G170"/>
    <mergeCell ref="F171:G171"/>
    <mergeCell ref="B167:B168"/>
    <mergeCell ref="F206:G206"/>
    <mergeCell ref="F207:G207"/>
    <mergeCell ref="F208:G208"/>
    <mergeCell ref="F209:G209"/>
    <mergeCell ref="F197:G197"/>
    <mergeCell ref="F198:G198"/>
    <mergeCell ref="F200:G200"/>
    <mergeCell ref="F201:G201"/>
    <mergeCell ref="F205:G205"/>
    <mergeCell ref="F192:G192"/>
    <mergeCell ref="F193:G193"/>
    <mergeCell ref="F194:G194"/>
    <mergeCell ref="F195:G195"/>
    <mergeCell ref="F196:G196"/>
    <mergeCell ref="F186:G186"/>
    <mergeCell ref="C254:E254"/>
    <mergeCell ref="F211:G211"/>
    <mergeCell ref="F212:G212"/>
    <mergeCell ref="F204:G204"/>
    <mergeCell ref="C167:C168"/>
    <mergeCell ref="F210:G210"/>
    <mergeCell ref="F188:G188"/>
    <mergeCell ref="F189:G189"/>
    <mergeCell ref="F190:G190"/>
    <mergeCell ref="F191:G191"/>
    <mergeCell ref="F179:G179"/>
    <mergeCell ref="F180:G180"/>
    <mergeCell ref="F182:G182"/>
    <mergeCell ref="F183:G183"/>
    <mergeCell ref="F185:G185"/>
    <mergeCell ref="F172:G172"/>
  </mergeCells>
  <conditionalFormatting sqref="A56:K56 M56:AP56 A57:AP1048576 A1:AP55">
    <cfRule type="cellIs" dxfId="1667" priority="21" stopIfTrue="1" operator="equal">
      <formula>"Pass"</formula>
    </cfRule>
    <cfRule type="cellIs" dxfId="1666" priority="22" stopIfTrue="1" operator="equal">
      <formula>"No"</formula>
    </cfRule>
    <cfRule type="cellIs" dxfId="1665" priority="23" stopIfTrue="1" operator="equal">
      <formula>"Fail"</formula>
    </cfRule>
    <cfRule type="cellIs" dxfId="1664" priority="24" stopIfTrue="1" operator="equal">
      <formula>"please check"</formula>
    </cfRule>
  </conditionalFormatting>
  <conditionalFormatting sqref="L56">
    <cfRule type="cellIs" dxfId="1663" priority="1" stopIfTrue="1" operator="equal">
      <formula>"Pass"</formula>
    </cfRule>
    <cfRule type="cellIs" dxfId="1662" priority="2" stopIfTrue="1" operator="equal">
      <formula>"No"</formula>
    </cfRule>
    <cfRule type="cellIs" dxfId="1661" priority="3" stopIfTrue="1" operator="equal">
      <formula>"Fail"</formula>
    </cfRule>
    <cfRule type="cellIs" dxfId="1660"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5" max="19" man="1"/>
    <brk id="53" max="19" man="1"/>
    <brk id="60" max="19" man="1"/>
    <brk id="103" max="19" man="1"/>
    <brk id="195" max="41" man="1"/>
    <brk id="228" max="34" man="1"/>
    <brk id="259" max="21" man="1"/>
    <brk id="290" max="21" man="1"/>
  </rowBreaks>
  <ignoredErrors>
    <ignoredError sqref="C30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pane ySplit="4" topLeftCell="A5" activePane="bottomLeft" state="frozen"/>
      <selection pane="bottomLeft"/>
    </sheetView>
  </sheetViews>
  <sheetFormatPr defaultColWidth="0" defaultRowHeight="15" customHeight="1" zeroHeight="1" x14ac:dyDescent="0.25"/>
  <cols>
    <col min="1" max="1" width="1.7109375" style="109" customWidth="1"/>
    <col min="2" max="2" width="85.7109375" style="109" customWidth="1"/>
    <col min="3" max="4" width="20.7109375" style="109" customWidth="1"/>
    <col min="5" max="5" width="20.7109375" style="182" customWidth="1"/>
    <col min="6" max="13" width="20.7109375" style="183" customWidth="1"/>
    <col min="14" max="14" width="20.7109375" style="182" customWidth="1"/>
    <col min="15" max="15" width="1.7109375" style="185" customWidth="1"/>
    <col min="16" max="16384" width="16.85546875" hidden="1"/>
  </cols>
  <sheetData>
    <row r="1" spans="1:15" ht="30" customHeight="1" x14ac:dyDescent="0.55000000000000004">
      <c r="A1" s="1238" t="s">
        <v>269</v>
      </c>
      <c r="B1" s="1099"/>
      <c r="C1" s="1099"/>
      <c r="D1" s="1099"/>
      <c r="E1" s="1062" t="str">
        <f>CONCATENATE("Reporting unit: ", 'General Info'!$C$7, " ", 'General Info'!$C$5)</f>
        <v xml:space="preserve">Reporting unit: 1 </v>
      </c>
      <c r="F1" s="1099"/>
      <c r="G1" s="1099"/>
      <c r="H1" s="1099"/>
      <c r="I1" s="1099"/>
      <c r="J1" s="1099"/>
      <c r="K1" s="1099"/>
      <c r="L1" s="1099"/>
      <c r="M1" s="1099"/>
      <c r="N1" s="1099"/>
      <c r="O1" s="1239"/>
    </row>
    <row r="2" spans="1:15" ht="15" customHeight="1" x14ac:dyDescent="0.25">
      <c r="A2" s="1533"/>
      <c r="B2" s="185"/>
      <c r="C2" s="185"/>
      <c r="D2" s="185"/>
      <c r="E2" s="185"/>
      <c r="F2" s="185"/>
      <c r="G2" s="185"/>
      <c r="H2" s="185"/>
      <c r="I2" s="185"/>
      <c r="J2" s="185"/>
      <c r="K2" s="185"/>
      <c r="L2" s="185"/>
      <c r="M2" s="185"/>
      <c r="N2" s="185"/>
      <c r="O2" s="438"/>
    </row>
    <row r="3" spans="1:15" ht="15" customHeight="1" x14ac:dyDescent="0.25">
      <c r="A3" s="1533"/>
      <c r="B3" s="1378" t="s">
        <v>1032</v>
      </c>
      <c r="C3" s="1379">
        <f t="shared" ref="C3:L3" si="0">D3-1</f>
        <v>2011</v>
      </c>
      <c r="D3" s="1379">
        <f t="shared" si="0"/>
        <v>2012</v>
      </c>
      <c r="E3" s="1379">
        <f t="shared" si="0"/>
        <v>2013</v>
      </c>
      <c r="F3" s="1379">
        <f t="shared" si="0"/>
        <v>2014</v>
      </c>
      <c r="G3" s="1379">
        <f t="shared" si="0"/>
        <v>2015</v>
      </c>
      <c r="H3" s="1379">
        <f t="shared" si="0"/>
        <v>2016</v>
      </c>
      <c r="I3" s="1379">
        <f t="shared" si="0"/>
        <v>2017</v>
      </c>
      <c r="J3" s="1379">
        <f t="shared" si="0"/>
        <v>2018</v>
      </c>
      <c r="K3" s="1379">
        <f t="shared" si="0"/>
        <v>2019</v>
      </c>
      <c r="L3" s="1379">
        <f t="shared" si="0"/>
        <v>2020</v>
      </c>
      <c r="M3" s="1379">
        <f>N3-1</f>
        <v>2021</v>
      </c>
      <c r="N3" s="1219">
        <v>2022</v>
      </c>
      <c r="O3" s="438"/>
    </row>
    <row r="4" spans="1:15" ht="15" customHeight="1" x14ac:dyDescent="0.25">
      <c r="A4" s="1533"/>
      <c r="B4" s="1221"/>
      <c r="C4" s="1221"/>
      <c r="D4" s="1221"/>
      <c r="E4" s="1221"/>
      <c r="F4" s="1221"/>
      <c r="G4" s="1221"/>
      <c r="H4" s="1221"/>
      <c r="I4" s="1221"/>
      <c r="J4" s="1221"/>
      <c r="K4" s="1221"/>
      <c r="L4" s="1221"/>
      <c r="M4" s="1221"/>
      <c r="N4" s="1221"/>
      <c r="O4" s="438"/>
    </row>
    <row r="5" spans="1:15" ht="45" customHeight="1" x14ac:dyDescent="0.25">
      <c r="A5" s="412" t="s">
        <v>2227</v>
      </c>
      <c r="B5" s="104"/>
      <c r="C5" s="104"/>
      <c r="D5" s="104"/>
      <c r="E5" s="325"/>
      <c r="F5" s="325"/>
      <c r="G5" s="325"/>
      <c r="H5" s="325"/>
      <c r="I5" s="325"/>
      <c r="J5" s="325"/>
      <c r="K5" s="325"/>
      <c r="L5" s="325"/>
      <c r="M5" s="325"/>
      <c r="N5" s="325"/>
      <c r="O5" s="441"/>
    </row>
    <row r="6" spans="1:15" ht="15" customHeight="1" x14ac:dyDescent="0.25">
      <c r="A6" s="1533"/>
      <c r="B6" s="721" t="s">
        <v>289</v>
      </c>
      <c r="C6" s="725"/>
      <c r="D6" s="725"/>
      <c r="E6" s="725"/>
      <c r="F6" s="1237"/>
      <c r="G6" s="1237"/>
      <c r="H6" s="1237"/>
      <c r="I6" s="1237"/>
      <c r="J6" s="1034"/>
      <c r="K6" s="1034"/>
      <c r="L6" s="1240"/>
      <c r="M6" s="1240"/>
      <c r="N6" s="1236"/>
      <c r="O6" s="438"/>
    </row>
    <row r="7" spans="1:15" ht="15" customHeight="1" x14ac:dyDescent="0.25">
      <c r="A7" s="1533"/>
      <c r="B7" s="565" t="s">
        <v>521</v>
      </c>
      <c r="C7" s="683"/>
      <c r="D7" s="683"/>
      <c r="E7" s="683"/>
      <c r="F7" s="18"/>
      <c r="G7" s="18"/>
      <c r="H7" s="18"/>
      <c r="I7" s="18"/>
      <c r="J7" s="15"/>
      <c r="K7" s="15"/>
      <c r="L7" s="25"/>
      <c r="M7" s="25"/>
      <c r="N7" s="36"/>
      <c r="O7" s="438"/>
    </row>
    <row r="8" spans="1:15" ht="15" customHeight="1" x14ac:dyDescent="0.25">
      <c r="A8" s="1533"/>
      <c r="B8" s="566" t="str">
        <f>CONCATENATE("Check: row ", ROW(E7), " ≤ row ", ROW(E6))</f>
        <v>Check: row 7 ≤ row 6</v>
      </c>
      <c r="C8" s="23"/>
      <c r="D8" s="23"/>
      <c r="E8" s="23"/>
      <c r="F8" s="19"/>
      <c r="G8" s="19"/>
      <c r="H8" s="19"/>
      <c r="I8" s="19"/>
      <c r="J8" s="554" t="str">
        <f t="shared" ref="J8:K8" si="1">IF(AND(ISNUMBER(J6), ISNUMBER(J7)), IF(AND(J7&lt;=J6), "Pass", "Fail"), "")</f>
        <v/>
      </c>
      <c r="K8" s="554" t="str">
        <f t="shared" si="1"/>
        <v/>
      </c>
      <c r="L8" s="554" t="str">
        <f t="shared" ref="L8:N8" si="2">IF(AND(ISNUMBER(L6), ISNUMBER(L7)), IF(AND(L7&lt;=L6), "Pass", "Fail"), "")</f>
        <v/>
      </c>
      <c r="M8" s="554" t="str">
        <f t="shared" si="2"/>
        <v/>
      </c>
      <c r="N8" s="554" t="str">
        <f t="shared" si="2"/>
        <v/>
      </c>
      <c r="O8" s="438"/>
    </row>
    <row r="9" spans="1:15" ht="15" customHeight="1" x14ac:dyDescent="0.25">
      <c r="A9" s="1533"/>
      <c r="B9" s="185"/>
      <c r="C9" s="185"/>
      <c r="D9" s="185"/>
      <c r="E9" s="185"/>
      <c r="F9" s="185"/>
      <c r="G9" s="185"/>
      <c r="H9" s="185"/>
      <c r="I9" s="185"/>
      <c r="J9" s="185"/>
      <c r="K9" s="185"/>
      <c r="L9" s="185"/>
      <c r="M9" s="185"/>
      <c r="N9" s="185"/>
      <c r="O9" s="438"/>
    </row>
    <row r="10" spans="1:15" ht="45" customHeight="1" x14ac:dyDescent="0.25">
      <c r="A10" s="964" t="s">
        <v>2228</v>
      </c>
      <c r="B10" s="1220"/>
      <c r="C10" s="1207"/>
      <c r="D10" s="1207"/>
      <c r="E10" s="1207"/>
      <c r="F10" s="1207"/>
      <c r="G10" s="1207"/>
      <c r="H10" s="1207"/>
      <c r="I10" s="1207"/>
      <c r="J10" s="1207"/>
      <c r="K10" s="1207"/>
      <c r="L10" s="1207"/>
      <c r="M10" s="1207"/>
      <c r="N10" s="1207"/>
      <c r="O10" s="1241"/>
    </row>
    <row r="11" spans="1:15" ht="15" customHeight="1" x14ac:dyDescent="0.25">
      <c r="A11" s="1533"/>
      <c r="B11" s="970" t="s">
        <v>290</v>
      </c>
      <c r="C11" s="725"/>
      <c r="D11" s="725"/>
      <c r="E11" s="725"/>
      <c r="F11" s="1237"/>
      <c r="G11" s="1237"/>
      <c r="H11" s="1237"/>
      <c r="I11" s="969"/>
      <c r="J11" s="963" t="str">
        <f>IF(AND(ISNUMBER(J12), ISNUMBER(J14), ISNUMBER(J17), ISNUMBER(J18), ISNUMBER(J19), ISNUMBER(J20), ISNUMBER(J22)), J12-J14+J17+J18-J19+J20+J22+ IF(ISNUMBER(J23), J23, 0), "")</f>
        <v/>
      </c>
      <c r="K11" s="963" t="str">
        <f>IF(AND(ISNUMBER(K12), ISNUMBER(K14), ISNUMBER(K17), ISNUMBER(K18), ISNUMBER(K19), ISNUMBER(K20), ISNUMBER(K22)), K12-K14+K17+K18-K19+K20+K22+ IF(ISNUMBER(K23), K23, 0), "")</f>
        <v/>
      </c>
      <c r="L11" s="963" t="str">
        <f>IF(AND(ISNUMBER(L12), ISNUMBER(L14), ISNUMBER(L17), ISNUMBER(L18), ISNUMBER(L19), ISNUMBER(L20), ISNUMBER(L22)), L12-L14+L17+L18-L19+L20+L22+ IF(ISNUMBER(L23), L23, 0), "")</f>
        <v/>
      </c>
      <c r="M11" s="963" t="str">
        <f>IF(AND(ISNUMBER(M12), ISNUMBER(M14), ISNUMBER(M17), ISNUMBER(M18), ISNUMBER(M19), ISNUMBER(M20), ISNUMBER(M22)), M12-M14+M17+M18-M19+M20+M22+ IF(ISNUMBER(M23), M23, 0), "")</f>
        <v/>
      </c>
      <c r="N11" s="1033" t="str">
        <f>IF(AND(ISNUMBER(N12), ISNUMBER(N14), ISNUMBER(N17), ISNUMBER(N18), ISNUMBER(N19), ISNUMBER(N20), ISNUMBER(N22)), N12-N14+N17+N18-N19+N20+N22+ IF(ISNUMBER(N23), N23, 0), "")</f>
        <v/>
      </c>
      <c r="O11" s="438"/>
    </row>
    <row r="12" spans="1:15" ht="15" customHeight="1" x14ac:dyDescent="0.25">
      <c r="A12" s="1533"/>
      <c r="B12" s="869" t="s">
        <v>987</v>
      </c>
      <c r="C12" s="683"/>
      <c r="D12" s="683"/>
      <c r="E12" s="683"/>
      <c r="F12" s="18"/>
      <c r="G12" s="18"/>
      <c r="H12" s="18"/>
      <c r="I12" s="18"/>
      <c r="J12" s="253"/>
      <c r="K12" s="253"/>
      <c r="L12" s="12"/>
      <c r="M12" s="12"/>
      <c r="N12" s="91"/>
      <c r="O12" s="438"/>
    </row>
    <row r="13" spans="1:15" ht="15" customHeight="1" x14ac:dyDescent="0.25">
      <c r="A13" s="1533"/>
      <c r="B13" s="565" t="s">
        <v>988</v>
      </c>
      <c r="C13" s="683"/>
      <c r="D13" s="683"/>
      <c r="E13" s="683"/>
      <c r="F13" s="18"/>
      <c r="G13" s="18"/>
      <c r="H13" s="18"/>
      <c r="I13" s="18"/>
      <c r="J13" s="253"/>
      <c r="K13" s="253"/>
      <c r="L13" s="253"/>
      <c r="M13" s="253"/>
      <c r="N13" s="202"/>
      <c r="O13" s="438"/>
    </row>
    <row r="14" spans="1:15" ht="15" customHeight="1" x14ac:dyDescent="0.25">
      <c r="A14" s="1533"/>
      <c r="B14" s="869" t="s">
        <v>986</v>
      </c>
      <c r="C14" s="683"/>
      <c r="D14" s="683"/>
      <c r="E14" s="683"/>
      <c r="F14" s="18"/>
      <c r="G14" s="18"/>
      <c r="H14" s="18"/>
      <c r="I14" s="18"/>
      <c r="J14" s="253"/>
      <c r="K14" s="253"/>
      <c r="L14" s="31"/>
      <c r="M14" s="31"/>
      <c r="N14" s="62"/>
      <c r="O14" s="438"/>
    </row>
    <row r="15" spans="1:15" ht="15" customHeight="1" x14ac:dyDescent="0.25">
      <c r="A15" s="1533"/>
      <c r="B15" s="565" t="s">
        <v>989</v>
      </c>
      <c r="C15" s="683"/>
      <c r="D15" s="683"/>
      <c r="E15" s="683"/>
      <c r="F15" s="18"/>
      <c r="G15" s="18"/>
      <c r="H15" s="18"/>
      <c r="I15" s="81"/>
      <c r="J15" s="252"/>
      <c r="K15" s="253"/>
      <c r="L15" s="253"/>
      <c r="M15" s="253"/>
      <c r="N15" s="202"/>
      <c r="O15" s="438"/>
    </row>
    <row r="16" spans="1:15" ht="15" customHeight="1" x14ac:dyDescent="0.25">
      <c r="A16" s="1533"/>
      <c r="B16" s="869" t="s">
        <v>763</v>
      </c>
      <c r="C16" s="683"/>
      <c r="D16" s="683"/>
      <c r="E16" s="683"/>
      <c r="F16" s="18"/>
      <c r="G16" s="18"/>
      <c r="H16" s="18"/>
      <c r="I16" s="81"/>
      <c r="J16" s="32" t="str">
        <f t="shared" ref="J16:K16" si="3">IF(AND(ISNUMBER(J12), ISNUMBER(J14)), ABS(J12-J14), "")</f>
        <v/>
      </c>
      <c r="K16" s="32" t="str">
        <f t="shared" si="3"/>
        <v/>
      </c>
      <c r="L16" s="32" t="str">
        <f t="shared" ref="L16:N16" si="4">IF(AND(ISNUMBER(L12), ISNUMBER(L14)), ABS(L12-L14), "")</f>
        <v/>
      </c>
      <c r="M16" s="32" t="str">
        <f t="shared" si="4"/>
        <v/>
      </c>
      <c r="N16" s="9" t="str">
        <f t="shared" si="4"/>
        <v/>
      </c>
      <c r="O16" s="438"/>
    </row>
    <row r="17" spans="1:15" ht="15" customHeight="1" x14ac:dyDescent="0.25">
      <c r="A17" s="1533"/>
      <c r="B17" s="869" t="s">
        <v>295</v>
      </c>
      <c r="C17" s="683"/>
      <c r="D17" s="683"/>
      <c r="E17" s="683"/>
      <c r="F17" s="18"/>
      <c r="G17" s="18"/>
      <c r="H17" s="18"/>
      <c r="I17" s="18"/>
      <c r="J17" s="253"/>
      <c r="K17" s="253"/>
      <c r="L17" s="12"/>
      <c r="M17" s="12"/>
      <c r="N17" s="91"/>
      <c r="O17" s="438"/>
    </row>
    <row r="18" spans="1:15" ht="15" customHeight="1" x14ac:dyDescent="0.25">
      <c r="A18" s="1533"/>
      <c r="B18" s="869" t="s">
        <v>291</v>
      </c>
      <c r="C18" s="683"/>
      <c r="D18" s="683"/>
      <c r="E18" s="683"/>
      <c r="F18" s="18"/>
      <c r="G18" s="18"/>
      <c r="H18" s="18"/>
      <c r="I18" s="18"/>
      <c r="J18" s="253"/>
      <c r="K18" s="253"/>
      <c r="L18" s="25"/>
      <c r="M18" s="25"/>
      <c r="N18" s="36"/>
      <c r="O18" s="438"/>
    </row>
    <row r="19" spans="1:15" ht="15" customHeight="1" x14ac:dyDescent="0.25">
      <c r="A19" s="1533"/>
      <c r="B19" s="869" t="s">
        <v>292</v>
      </c>
      <c r="C19" s="683"/>
      <c r="D19" s="683"/>
      <c r="E19" s="683"/>
      <c r="F19" s="18"/>
      <c r="G19" s="18"/>
      <c r="H19" s="18"/>
      <c r="I19" s="18"/>
      <c r="J19" s="253"/>
      <c r="K19" s="253"/>
      <c r="L19" s="25"/>
      <c r="M19" s="25"/>
      <c r="N19" s="36"/>
      <c r="O19" s="438"/>
    </row>
    <row r="20" spans="1:15" ht="15" customHeight="1" x14ac:dyDescent="0.25">
      <c r="A20" s="1533"/>
      <c r="B20" s="329" t="s">
        <v>293</v>
      </c>
      <c r="C20" s="683"/>
      <c r="D20" s="683"/>
      <c r="E20" s="683"/>
      <c r="F20" s="18"/>
      <c r="G20" s="18"/>
      <c r="H20" s="18"/>
      <c r="I20" s="18"/>
      <c r="J20" s="253"/>
      <c r="K20" s="253"/>
      <c r="L20" s="25"/>
      <c r="M20" s="25"/>
      <c r="N20" s="36"/>
      <c r="O20" s="438"/>
    </row>
    <row r="21" spans="1:15" ht="15" customHeight="1" x14ac:dyDescent="0.25">
      <c r="A21" s="1533"/>
      <c r="B21" s="329" t="s">
        <v>294</v>
      </c>
      <c r="C21" s="683"/>
      <c r="D21" s="683"/>
      <c r="E21" s="683"/>
      <c r="F21" s="18"/>
      <c r="G21" s="18"/>
      <c r="H21" s="18"/>
      <c r="I21" s="18"/>
      <c r="J21" s="253"/>
      <c r="K21" s="253"/>
      <c r="L21" s="25"/>
      <c r="M21" s="25"/>
      <c r="N21" s="36"/>
      <c r="O21" s="438"/>
    </row>
    <row r="22" spans="1:15" ht="15" customHeight="1" x14ac:dyDescent="0.25">
      <c r="A22" s="1533"/>
      <c r="B22" s="869" t="s">
        <v>738</v>
      </c>
      <c r="C22" s="683"/>
      <c r="D22" s="683"/>
      <c r="E22" s="683"/>
      <c r="F22" s="18"/>
      <c r="G22" s="18"/>
      <c r="H22" s="18"/>
      <c r="I22" s="18"/>
      <c r="J22" s="253"/>
      <c r="K22" s="253"/>
      <c r="L22" s="25"/>
      <c r="M22" s="25"/>
      <c r="N22" s="36"/>
      <c r="O22" s="438"/>
    </row>
    <row r="23" spans="1:15" ht="15" customHeight="1" x14ac:dyDescent="0.25">
      <c r="A23" s="545"/>
      <c r="B23" s="636" t="s">
        <v>996</v>
      </c>
      <c r="C23" s="684"/>
      <c r="D23" s="684"/>
      <c r="E23" s="684"/>
      <c r="F23" s="184"/>
      <c r="G23" s="184"/>
      <c r="H23" s="184"/>
      <c r="I23" s="184"/>
      <c r="J23" s="253"/>
      <c r="K23" s="253"/>
      <c r="L23" s="253"/>
      <c r="M23" s="253"/>
      <c r="N23" s="202"/>
      <c r="O23" s="438"/>
    </row>
    <row r="24" spans="1:15" ht="15" customHeight="1" x14ac:dyDescent="0.25">
      <c r="A24" s="1533"/>
      <c r="B24" s="330" t="s">
        <v>739</v>
      </c>
      <c r="C24" s="23"/>
      <c r="D24" s="23"/>
      <c r="E24" s="23"/>
      <c r="F24" s="19"/>
      <c r="G24" s="19"/>
      <c r="H24" s="19"/>
      <c r="I24" s="19"/>
      <c r="J24" s="26"/>
      <c r="K24" s="26"/>
      <c r="L24" s="20"/>
      <c r="M24" s="20"/>
      <c r="N24" s="90"/>
      <c r="O24" s="438"/>
    </row>
    <row r="25" spans="1:15" ht="15" customHeight="1" x14ac:dyDescent="0.25">
      <c r="A25" s="1533"/>
      <c r="B25" s="185"/>
      <c r="C25" s="185"/>
      <c r="D25" s="185"/>
      <c r="E25" s="185"/>
      <c r="F25" s="185"/>
      <c r="G25" s="185"/>
      <c r="H25" s="185"/>
      <c r="I25" s="185"/>
      <c r="J25" s="185"/>
      <c r="K25" s="185"/>
      <c r="L25" s="185"/>
      <c r="M25" s="185"/>
      <c r="N25" s="185"/>
      <c r="O25" s="438"/>
    </row>
    <row r="26" spans="1:15" ht="45" customHeight="1" x14ac:dyDescent="0.25">
      <c r="A26" s="964" t="s">
        <v>2229</v>
      </c>
      <c r="B26" s="1220"/>
      <c r="C26" s="1220"/>
      <c r="D26" s="1220"/>
      <c r="E26" s="1207"/>
      <c r="F26" s="1207"/>
      <c r="G26" s="1207"/>
      <c r="H26" s="1207"/>
      <c r="I26" s="1207"/>
      <c r="J26" s="1207"/>
      <c r="K26" s="1207"/>
      <c r="L26" s="1207"/>
      <c r="M26" s="1207"/>
      <c r="N26" s="1207"/>
      <c r="O26" s="1241"/>
    </row>
    <row r="27" spans="1:15" ht="30" customHeight="1" x14ac:dyDescent="0.25">
      <c r="A27" s="412"/>
      <c r="B27" s="1220"/>
      <c r="C27" s="3185" t="str">
        <f>CONCATENATE("Memo (of loss window ",C28,"–",D28+9, ")")</f>
        <v>Memo (of loss window 2011–2021)</v>
      </c>
      <c r="D27" s="3185"/>
      <c r="E27" s="3186" t="str">
        <f>"10-year Basel III monitoring loss window (" &amp; $N$3-9 &amp; "–" &amp; $N$3 &amp; ")"</f>
        <v>10-year Basel III monitoring loss window (2013–2022)</v>
      </c>
      <c r="F27" s="2812"/>
      <c r="G27" s="2812"/>
      <c r="H27" s="2812"/>
      <c r="I27" s="2812"/>
      <c r="J27" s="2812"/>
      <c r="K27" s="2812"/>
      <c r="L27" s="2812"/>
      <c r="M27" s="2812"/>
      <c r="N27" s="2812"/>
      <c r="O27" s="441"/>
    </row>
    <row r="28" spans="1:15" ht="15" customHeight="1" x14ac:dyDescent="0.25">
      <c r="A28" s="1533"/>
      <c r="B28" s="1235"/>
      <c r="C28" s="1233">
        <f t="shared" ref="C28:N28" si="5">C$3</f>
        <v>2011</v>
      </c>
      <c r="D28" s="1234">
        <f t="shared" si="5"/>
        <v>2012</v>
      </c>
      <c r="E28" s="1233">
        <f t="shared" si="5"/>
        <v>2013</v>
      </c>
      <c r="F28" s="1233">
        <f t="shared" si="5"/>
        <v>2014</v>
      </c>
      <c r="G28" s="1233">
        <f t="shared" si="5"/>
        <v>2015</v>
      </c>
      <c r="H28" s="1233">
        <f t="shared" si="5"/>
        <v>2016</v>
      </c>
      <c r="I28" s="1233">
        <f t="shared" si="5"/>
        <v>2017</v>
      </c>
      <c r="J28" s="1233">
        <f t="shared" si="5"/>
        <v>2018</v>
      </c>
      <c r="K28" s="1233">
        <f t="shared" si="5"/>
        <v>2019</v>
      </c>
      <c r="L28" s="1233">
        <f t="shared" si="5"/>
        <v>2020</v>
      </c>
      <c r="M28" s="1233">
        <f t="shared" si="5"/>
        <v>2021</v>
      </c>
      <c r="N28" s="1380">
        <f t="shared" si="5"/>
        <v>2022</v>
      </c>
      <c r="O28" s="438"/>
    </row>
    <row r="29" spans="1:15" ht="30" customHeight="1" x14ac:dyDescent="0.25">
      <c r="A29" s="1533"/>
      <c r="B29" s="2093" t="s">
        <v>1687</v>
      </c>
      <c r="C29" s="2097" t="s">
        <v>43</v>
      </c>
      <c r="D29" s="2098" t="s">
        <v>43</v>
      </c>
      <c r="E29" s="2096" t="s">
        <v>1685</v>
      </c>
      <c r="F29" s="2096" t="s">
        <v>1685</v>
      </c>
      <c r="G29" s="2096" t="s">
        <v>1685</v>
      </c>
      <c r="H29" s="2096" t="s">
        <v>1685</v>
      </c>
      <c r="I29" s="2096" t="s">
        <v>1685</v>
      </c>
      <c r="J29" s="2096" t="s">
        <v>1685</v>
      </c>
      <c r="K29" s="2096" t="s">
        <v>1685</v>
      </c>
      <c r="L29" s="2096" t="s">
        <v>1685</v>
      </c>
      <c r="M29" s="2096" t="s">
        <v>1685</v>
      </c>
      <c r="N29" s="1447" t="s">
        <v>1685</v>
      </c>
      <c r="O29" s="438"/>
    </row>
    <row r="30" spans="1:15" ht="15" customHeight="1" x14ac:dyDescent="0.25">
      <c r="A30" s="1533"/>
      <c r="B30" s="722" t="s">
        <v>740</v>
      </c>
      <c r="C30" s="2094"/>
      <c r="D30" s="2095"/>
      <c r="E30" s="2094"/>
      <c r="F30" s="2027"/>
      <c r="G30" s="2027"/>
      <c r="H30" s="2027"/>
      <c r="I30" s="2027"/>
      <c r="J30" s="2027"/>
      <c r="K30" s="2027"/>
      <c r="L30" s="2027"/>
      <c r="M30" s="2027"/>
      <c r="N30" s="2028"/>
      <c r="O30" s="438"/>
    </row>
    <row r="31" spans="1:15" ht="15" customHeight="1" x14ac:dyDescent="0.25">
      <c r="A31" s="1533"/>
      <c r="B31" s="567" t="s">
        <v>557</v>
      </c>
      <c r="C31" s="253"/>
      <c r="D31" s="1224"/>
      <c r="E31" s="255"/>
      <c r="F31" s="25"/>
      <c r="G31" s="25"/>
      <c r="H31" s="25"/>
      <c r="I31" s="25"/>
      <c r="J31" s="25"/>
      <c r="K31" s="25"/>
      <c r="L31" s="25"/>
      <c r="M31" s="25"/>
      <c r="N31" s="36"/>
      <c r="O31" s="438"/>
    </row>
    <row r="32" spans="1:15" ht="15" customHeight="1" x14ac:dyDescent="0.25">
      <c r="A32" s="1533"/>
      <c r="B32" s="567" t="s">
        <v>741</v>
      </c>
      <c r="C32" s="253"/>
      <c r="D32" s="1224"/>
      <c r="E32" s="255"/>
      <c r="F32" s="25"/>
      <c r="G32" s="25"/>
      <c r="H32" s="25"/>
      <c r="I32" s="25"/>
      <c r="J32" s="25"/>
      <c r="K32" s="25"/>
      <c r="L32" s="25"/>
      <c r="M32" s="25"/>
      <c r="N32" s="36"/>
      <c r="O32" s="438"/>
    </row>
    <row r="33" spans="1:15" ht="15" customHeight="1" x14ac:dyDescent="0.25">
      <c r="A33" s="1533"/>
      <c r="B33" s="2375" t="s">
        <v>2052</v>
      </c>
      <c r="C33" s="253"/>
      <c r="D33" s="1224"/>
      <c r="E33" s="255"/>
      <c r="F33" s="25"/>
      <c r="G33" s="25"/>
      <c r="H33" s="25"/>
      <c r="I33" s="25"/>
      <c r="J33" s="25"/>
      <c r="K33" s="25"/>
      <c r="L33" s="25"/>
      <c r="M33" s="25"/>
      <c r="N33" s="36"/>
      <c r="O33" s="438"/>
    </row>
    <row r="34" spans="1:15" ht="15" customHeight="1" x14ac:dyDescent="0.25">
      <c r="A34" s="1533"/>
      <c r="B34" s="568" t="str">
        <f>CONCATENATE("Check: row ", ROW(B33), " ≤ row ", ROW(B32))</f>
        <v>Check: row 33 ≤ row 32</v>
      </c>
      <c r="C34" s="253"/>
      <c r="D34" s="1224"/>
      <c r="E34" s="726" t="str">
        <f>IF(AND(ISNUMBER(E32), ISNUMBER(E33)), IF(E33&lt;=E32, "Pass", "Fail"), "")</f>
        <v/>
      </c>
      <c r="F34" s="570" t="str">
        <f t="shared" ref="F34:N34" si="6">IF(AND(ISNUMBER(F32), ISNUMBER(F33)), IF(F33&lt;=F32, "Pass", "Fail"), "")</f>
        <v/>
      </c>
      <c r="G34" s="570" t="str">
        <f t="shared" si="6"/>
        <v/>
      </c>
      <c r="H34" s="570" t="str">
        <f t="shared" si="6"/>
        <v/>
      </c>
      <c r="I34" s="570" t="str">
        <f t="shared" si="6"/>
        <v/>
      </c>
      <c r="J34" s="570" t="str">
        <f t="shared" si="6"/>
        <v/>
      </c>
      <c r="K34" s="570" t="str">
        <f t="shared" si="6"/>
        <v/>
      </c>
      <c r="L34" s="570" t="str">
        <f t="shared" si="6"/>
        <v/>
      </c>
      <c r="M34" s="570" t="str">
        <f t="shared" si="6"/>
        <v/>
      </c>
      <c r="N34" s="571" t="str">
        <f t="shared" si="6"/>
        <v/>
      </c>
      <c r="O34" s="438"/>
    </row>
    <row r="35" spans="1:15" ht="15" customHeight="1" x14ac:dyDescent="0.25">
      <c r="A35" s="1533"/>
      <c r="B35" s="567" t="s">
        <v>995</v>
      </c>
      <c r="C35" s="161" t="str">
        <f>IF(AND(ISNUMBER(C31), ISNUMBER(C32)), C31-C32, "")</f>
        <v/>
      </c>
      <c r="D35" s="1225" t="str">
        <f>IF(AND(ISNUMBER(D31), ISNUMBER(D32)), D31-D32, "")</f>
        <v/>
      </c>
      <c r="E35" s="161" t="str">
        <f>IF(AND(ISNUMBER(E31), ISNUMBER(E32)), E31-E32, "")</f>
        <v/>
      </c>
      <c r="F35" s="32" t="str">
        <f t="shared" ref="F35:N35" si="7">IF(AND(ISNUMBER(F31), ISNUMBER(F32)), F31-F32, "")</f>
        <v/>
      </c>
      <c r="G35" s="32" t="str">
        <f t="shared" si="7"/>
        <v/>
      </c>
      <c r="H35" s="32" t="str">
        <f t="shared" si="7"/>
        <v/>
      </c>
      <c r="I35" s="32" t="str">
        <f t="shared" si="7"/>
        <v/>
      </c>
      <c r="J35" s="32" t="str">
        <f t="shared" si="7"/>
        <v/>
      </c>
      <c r="K35" s="32" t="str">
        <f t="shared" si="7"/>
        <v/>
      </c>
      <c r="L35" s="32" t="str">
        <f t="shared" si="7"/>
        <v/>
      </c>
      <c r="M35" s="32" t="str">
        <f t="shared" si="7"/>
        <v/>
      </c>
      <c r="N35" s="9" t="str">
        <f t="shared" si="7"/>
        <v/>
      </c>
      <c r="O35" s="438"/>
    </row>
    <row r="36" spans="1:15" ht="15" customHeight="1" x14ac:dyDescent="0.25">
      <c r="A36" s="1533"/>
      <c r="B36" s="567" t="s">
        <v>742</v>
      </c>
      <c r="C36" s="253"/>
      <c r="D36" s="1224"/>
      <c r="E36" s="608"/>
      <c r="F36" s="12"/>
      <c r="G36" s="12"/>
      <c r="H36" s="12"/>
      <c r="I36" s="12"/>
      <c r="J36" s="12"/>
      <c r="K36" s="12"/>
      <c r="L36" s="12"/>
      <c r="M36" s="12"/>
      <c r="N36" s="91"/>
      <c r="O36" s="438"/>
    </row>
    <row r="37" spans="1:15" ht="15" customHeight="1" x14ac:dyDescent="0.25">
      <c r="A37" s="1533"/>
      <c r="B37" s="568" t="str">
        <f>CONCATENATE("Check: row ", ROW(B31), " &gt; 0 ↔ row ", ROW(B36)," &gt; 0")</f>
        <v>Check: row 31 &gt; 0 ↔ row 36 &gt; 0</v>
      </c>
      <c r="C37" s="560" t="str">
        <f t="shared" ref="C37:N37" si="8">IF(AND(ISNUMBER(C31), ISNUMBER(C36)), IF(C36&gt;0, IF(C31&gt;0, "Pass", "Fail"), IF(C31=0, "Pass", "Fail")), "")</f>
        <v/>
      </c>
      <c r="D37" s="1226" t="str">
        <f t="shared" si="8"/>
        <v/>
      </c>
      <c r="E37" s="560" t="str">
        <f t="shared" si="8"/>
        <v/>
      </c>
      <c r="F37" s="560" t="str">
        <f t="shared" si="8"/>
        <v/>
      </c>
      <c r="G37" s="560" t="str">
        <f t="shared" si="8"/>
        <v/>
      </c>
      <c r="H37" s="560" t="str">
        <f t="shared" si="8"/>
        <v/>
      </c>
      <c r="I37" s="560" t="str">
        <f t="shared" si="8"/>
        <v/>
      </c>
      <c r="J37" s="560" t="str">
        <f t="shared" si="8"/>
        <v/>
      </c>
      <c r="K37" s="560" t="str">
        <f t="shared" si="8"/>
        <v/>
      </c>
      <c r="L37" s="560" t="str">
        <f t="shared" si="8"/>
        <v/>
      </c>
      <c r="M37" s="560" t="str">
        <f t="shared" si="8"/>
        <v/>
      </c>
      <c r="N37" s="1381" t="str">
        <f t="shared" si="8"/>
        <v/>
      </c>
      <c r="O37" s="438"/>
    </row>
    <row r="38" spans="1:15" ht="15" customHeight="1" x14ac:dyDescent="0.25">
      <c r="A38" s="1533"/>
      <c r="B38" s="567" t="s">
        <v>743</v>
      </c>
      <c r="C38" s="683"/>
      <c r="D38" s="1223"/>
      <c r="E38" s="3188"/>
      <c r="F38" s="3188"/>
      <c r="G38" s="3188"/>
      <c r="H38" s="3188"/>
      <c r="I38" s="3188"/>
      <c r="J38" s="3188"/>
      <c r="K38" s="3188"/>
      <c r="L38" s="3188"/>
      <c r="M38" s="3188"/>
      <c r="N38" s="3188"/>
      <c r="O38" s="438"/>
    </row>
    <row r="39" spans="1:15" ht="15" customHeight="1" x14ac:dyDescent="0.25">
      <c r="A39" s="1533"/>
      <c r="B39" s="568" t="str">
        <f ca="1">CONCATENATE("Check: sum(row ", ROW(B36), ") ≥ ",CELL("address",E38)," ≥ max(row ",ROW(B36),")")</f>
        <v>Check: sum(row 36) ≥ $E$38 ≥ max(row 36)</v>
      </c>
      <c r="C39" s="683"/>
      <c r="D39" s="1223"/>
      <c r="E39" s="3187" t="str">
        <f>IF(AND(SUM(E36:N36)&gt;=E38,E38&gt;=MAX(E36:N36)), "Pass", "Fail")</f>
        <v>Pass</v>
      </c>
      <c r="F39" s="3187"/>
      <c r="G39" s="3187"/>
      <c r="H39" s="3187"/>
      <c r="I39" s="3187"/>
      <c r="J39" s="3187"/>
      <c r="K39" s="3187"/>
      <c r="L39" s="3187"/>
      <c r="M39" s="3187"/>
      <c r="N39" s="3187"/>
      <c r="O39" s="438"/>
    </row>
    <row r="40" spans="1:15" ht="15" customHeight="1" x14ac:dyDescent="0.25">
      <c r="A40" s="1533"/>
      <c r="B40" s="568" t="str">
        <f ca="1">CONCATENATE("Check: sum(row ",ROW(B35),")/",CELL("address",E38)," ≥ EUR 20,000 or ",CELL("address",E38)," = 0")</f>
        <v>Check: sum(row 35)/$E$38 ≥ EUR 20,000 or $E$38 = 0</v>
      </c>
      <c r="C40" s="683"/>
      <c r="D40" s="1223"/>
      <c r="E40" s="3187" t="str">
        <f>IF(E38=0,"Pass",IF(SUM(E35:N35)/E38&gt;=20000/'Supervisory information'!D15,"Pass","Fail"))</f>
        <v>Pass</v>
      </c>
      <c r="F40" s="3187"/>
      <c r="G40" s="3187"/>
      <c r="H40" s="3187"/>
      <c r="I40" s="3187"/>
      <c r="J40" s="3187"/>
      <c r="K40" s="3187"/>
      <c r="L40" s="3187"/>
      <c r="M40" s="3187"/>
      <c r="N40" s="3187"/>
      <c r="O40" s="438"/>
    </row>
    <row r="41" spans="1:15" ht="15" customHeight="1" x14ac:dyDescent="0.25">
      <c r="A41" s="1533"/>
      <c r="B41" s="567" t="s">
        <v>744</v>
      </c>
      <c r="C41" s="253"/>
      <c r="D41" s="1224"/>
      <c r="E41" s="255"/>
      <c r="F41" s="255"/>
      <c r="G41" s="255"/>
      <c r="H41" s="255"/>
      <c r="I41" s="255"/>
      <c r="J41" s="255"/>
      <c r="K41" s="255"/>
      <c r="L41" s="255"/>
      <c r="M41" s="255"/>
      <c r="N41" s="204"/>
      <c r="O41" s="438"/>
    </row>
    <row r="42" spans="1:15" ht="15" customHeight="1" x14ac:dyDescent="0.25">
      <c r="A42" s="1533"/>
      <c r="B42" s="567" t="s">
        <v>745</v>
      </c>
      <c r="C42" s="161" t="str">
        <f>IF(AND(ISNUMBER(C35), ISNUMBER(C41)), C35-C41, "")</f>
        <v/>
      </c>
      <c r="D42" s="1225" t="str">
        <f>IF(AND(ISNUMBER(D35), ISNUMBER(D41)), D35-D41, "")</f>
        <v/>
      </c>
      <c r="E42" s="161" t="str">
        <f>IF(AND(ISNUMBER(E35), ISNUMBER(E41)), E35-E41, "")</f>
        <v/>
      </c>
      <c r="F42" s="161" t="str">
        <f t="shared" ref="F42:N42" si="9">IF(AND(ISNUMBER(F35), ISNUMBER(F41)), F35-F41, "")</f>
        <v/>
      </c>
      <c r="G42" s="161" t="str">
        <f t="shared" si="9"/>
        <v/>
      </c>
      <c r="H42" s="161" t="str">
        <f t="shared" si="9"/>
        <v/>
      </c>
      <c r="I42" s="161" t="str">
        <f t="shared" si="9"/>
        <v/>
      </c>
      <c r="J42" s="161" t="str">
        <f t="shared" si="9"/>
        <v/>
      </c>
      <c r="K42" s="161" t="str">
        <f t="shared" si="9"/>
        <v/>
      </c>
      <c r="L42" s="161" t="str">
        <f t="shared" si="9"/>
        <v/>
      </c>
      <c r="M42" s="161" t="str">
        <f t="shared" si="9"/>
        <v/>
      </c>
      <c r="N42" s="9" t="str">
        <f t="shared" si="9"/>
        <v/>
      </c>
      <c r="O42" s="438"/>
    </row>
    <row r="43" spans="1:15" ht="15" customHeight="1" x14ac:dyDescent="0.25">
      <c r="A43" s="1533"/>
      <c r="B43" s="567" t="s">
        <v>2053</v>
      </c>
      <c r="C43" s="683"/>
      <c r="D43" s="1223"/>
      <c r="E43" s="3188"/>
      <c r="F43" s="3188"/>
      <c r="G43" s="3188"/>
      <c r="H43" s="3188"/>
      <c r="I43" s="3188"/>
      <c r="J43" s="3188"/>
      <c r="K43" s="3188"/>
      <c r="L43" s="3188"/>
      <c r="M43" s="3188"/>
      <c r="N43" s="3188"/>
      <c r="O43" s="438"/>
    </row>
    <row r="44" spans="1:15" ht="15" customHeight="1" x14ac:dyDescent="0.25">
      <c r="A44" s="1533"/>
      <c r="B44" s="568" t="str">
        <f ca="1">CONCATENATE("Check: ",CELL("address",E38)," ≥ ",CELL("address",E43)," ≥ 0")</f>
        <v>Check: $E$38 ≥ $E$43 ≥ 0</v>
      </c>
      <c r="C44" s="684"/>
      <c r="D44" s="1227"/>
      <c r="E44" s="3187" t="str">
        <f>IF(AND(ISNUMBER(E38), ISNUMBER(E43)), IF(AND(E38&gt;=E43, E43&gt;=0), "Pass", "Fail"), "")</f>
        <v/>
      </c>
      <c r="F44" s="3187"/>
      <c r="G44" s="3187"/>
      <c r="H44" s="3187"/>
      <c r="I44" s="3187"/>
      <c r="J44" s="3187"/>
      <c r="K44" s="3187"/>
      <c r="L44" s="3187"/>
      <c r="M44" s="3187"/>
      <c r="N44" s="3187"/>
      <c r="O44" s="438"/>
    </row>
    <row r="45" spans="1:15" ht="15" customHeight="1" x14ac:dyDescent="0.25">
      <c r="A45" s="1533"/>
      <c r="B45" s="568" t="str">
        <f ca="1">CONCATENATE("Check: sum(row ",ROW(B42),")/(",CELL("address",E38)," - ",CELL("address",E43),") ≥ EUR 20,000 or ",CELL("address",E38)," - ",CELL("address",E43)," = 0")</f>
        <v>Check: sum(row 42)/($E$38 - $E$43) ≥ EUR 20,000 or $E$38 - $E$43 = 0</v>
      </c>
      <c r="C45" s="23"/>
      <c r="D45" s="1228"/>
      <c r="E45" s="3187" t="str">
        <f>IF(E38-E43=0,"Pass",IF(SUM(E42:N42)/(E38-E43)&gt;=20000/'Supervisory information'!D15, "Pass", "Fail"))</f>
        <v>Pass</v>
      </c>
      <c r="F45" s="3187"/>
      <c r="G45" s="3187"/>
      <c r="H45" s="3187"/>
      <c r="I45" s="3187"/>
      <c r="J45" s="3187"/>
      <c r="K45" s="3187"/>
      <c r="L45" s="3187"/>
      <c r="M45" s="3187"/>
      <c r="N45" s="3187"/>
      <c r="O45" s="438"/>
    </row>
    <row r="46" spans="1:15" ht="15" customHeight="1" x14ac:dyDescent="0.25">
      <c r="A46" s="1533"/>
      <c r="B46" s="722" t="s">
        <v>746</v>
      </c>
      <c r="C46" s="683"/>
      <c r="D46" s="1223"/>
      <c r="E46" s="725"/>
      <c r="F46" s="1237"/>
      <c r="G46" s="1237"/>
      <c r="H46" s="1237"/>
      <c r="I46" s="1237"/>
      <c r="J46" s="1237"/>
      <c r="K46" s="1237"/>
      <c r="L46" s="1237"/>
      <c r="M46" s="1237"/>
      <c r="N46" s="969"/>
      <c r="O46" s="438"/>
    </row>
    <row r="47" spans="1:15" ht="15" customHeight="1" x14ac:dyDescent="0.25">
      <c r="A47" s="1533"/>
      <c r="B47" s="567" t="s">
        <v>557</v>
      </c>
      <c r="C47" s="253"/>
      <c r="D47" s="1224"/>
      <c r="E47" s="608"/>
      <c r="F47" s="12"/>
      <c r="G47" s="12"/>
      <c r="H47" s="12"/>
      <c r="I47" s="12"/>
      <c r="J47" s="12"/>
      <c r="K47" s="12"/>
      <c r="L47" s="12"/>
      <c r="M47" s="12"/>
      <c r="N47" s="91"/>
      <c r="O47" s="438"/>
    </row>
    <row r="48" spans="1:15" ht="15" customHeight="1" x14ac:dyDescent="0.25">
      <c r="A48" s="1533"/>
      <c r="B48" s="567" t="s">
        <v>741</v>
      </c>
      <c r="C48" s="253"/>
      <c r="D48" s="1224"/>
      <c r="E48" s="255"/>
      <c r="F48" s="25"/>
      <c r="G48" s="25"/>
      <c r="H48" s="25"/>
      <c r="I48" s="25"/>
      <c r="J48" s="25"/>
      <c r="K48" s="25"/>
      <c r="L48" s="25"/>
      <c r="M48" s="25"/>
      <c r="N48" s="36"/>
      <c r="O48" s="438"/>
    </row>
    <row r="49" spans="1:15" ht="15" customHeight="1" x14ac:dyDescent="0.25">
      <c r="A49" s="1533"/>
      <c r="B49" s="2375" t="s">
        <v>2054</v>
      </c>
      <c r="C49" s="253"/>
      <c r="D49" s="1224"/>
      <c r="E49" s="255"/>
      <c r="F49" s="25"/>
      <c r="G49" s="25"/>
      <c r="H49" s="25"/>
      <c r="I49" s="25"/>
      <c r="J49" s="25"/>
      <c r="K49" s="25"/>
      <c r="L49" s="25"/>
      <c r="M49" s="25"/>
      <c r="N49" s="36"/>
      <c r="O49" s="438"/>
    </row>
    <row r="50" spans="1:15" ht="15" customHeight="1" x14ac:dyDescent="0.25">
      <c r="A50" s="1533"/>
      <c r="B50" s="568" t="str">
        <f>CONCATENATE("Check: row ", ROW(B49), " ≤ row ", ROW(B48))</f>
        <v>Check: row 49 ≤ row 48</v>
      </c>
      <c r="C50" s="253"/>
      <c r="D50" s="1224"/>
      <c r="E50" s="726" t="str">
        <f>IF(AND(ISNUMBER(E48), ISNUMBER(E49)), IF(E49&lt;=E48, "Pass", "Fail"), "")</f>
        <v/>
      </c>
      <c r="F50" s="570" t="str">
        <f t="shared" ref="F50" si="10">IF(AND(ISNUMBER(F48), ISNUMBER(F49)), IF(F49&lt;=F48, "Pass", "Fail"), "")</f>
        <v/>
      </c>
      <c r="G50" s="570" t="str">
        <f t="shared" ref="G50" si="11">IF(AND(ISNUMBER(G48), ISNUMBER(G49)), IF(G49&lt;=G48, "Pass", "Fail"), "")</f>
        <v/>
      </c>
      <c r="H50" s="570" t="str">
        <f t="shared" ref="H50" si="12">IF(AND(ISNUMBER(H48), ISNUMBER(H49)), IF(H49&lt;=H48, "Pass", "Fail"), "")</f>
        <v/>
      </c>
      <c r="I50" s="570" t="str">
        <f t="shared" ref="I50" si="13">IF(AND(ISNUMBER(I48), ISNUMBER(I49)), IF(I49&lt;=I48, "Pass", "Fail"), "")</f>
        <v/>
      </c>
      <c r="J50" s="570" t="str">
        <f t="shared" ref="J50" si="14">IF(AND(ISNUMBER(J48), ISNUMBER(J49)), IF(J49&lt;=J48, "Pass", "Fail"), "")</f>
        <v/>
      </c>
      <c r="K50" s="570" t="str">
        <f t="shared" ref="K50" si="15">IF(AND(ISNUMBER(K48), ISNUMBER(K49)), IF(K49&lt;=K48, "Pass", "Fail"), "")</f>
        <v/>
      </c>
      <c r="L50" s="570" t="str">
        <f t="shared" ref="L50" si="16">IF(AND(ISNUMBER(L48), ISNUMBER(L49)), IF(L49&lt;=L48, "Pass", "Fail"), "")</f>
        <v/>
      </c>
      <c r="M50" s="570" t="str">
        <f t="shared" ref="M50" si="17">IF(AND(ISNUMBER(M48), ISNUMBER(M49)), IF(M49&lt;=M48, "Pass", "Fail"), "")</f>
        <v/>
      </c>
      <c r="N50" s="571" t="str">
        <f t="shared" ref="N50" si="18">IF(AND(ISNUMBER(N48), ISNUMBER(N49)), IF(N49&lt;=N48, "Pass", "Fail"), "")</f>
        <v/>
      </c>
      <c r="O50" s="438"/>
    </row>
    <row r="51" spans="1:15" ht="15" customHeight="1" x14ac:dyDescent="0.25">
      <c r="A51" s="1533"/>
      <c r="B51" s="567" t="s">
        <v>995</v>
      </c>
      <c r="C51" s="161" t="str">
        <f>IF(AND(ISNUMBER(C47), ISNUMBER(C48)), C47-C48, "")</f>
        <v/>
      </c>
      <c r="D51" s="1225" t="str">
        <f>IF(AND(ISNUMBER(D47), ISNUMBER(D48)), D47-D48, "")</f>
        <v/>
      </c>
      <c r="E51" s="161" t="str">
        <f>IF(AND(ISNUMBER(E47), ISNUMBER(E48)), E47-E48, "")</f>
        <v/>
      </c>
      <c r="F51" s="32" t="str">
        <f t="shared" ref="F51:N51" si="19">IF(AND(ISNUMBER(F47), ISNUMBER(F48)), F47-F48, "")</f>
        <v/>
      </c>
      <c r="G51" s="32" t="str">
        <f t="shared" si="19"/>
        <v/>
      </c>
      <c r="H51" s="32" t="str">
        <f t="shared" si="19"/>
        <v/>
      </c>
      <c r="I51" s="32" t="str">
        <f t="shared" si="19"/>
        <v/>
      </c>
      <c r="J51" s="32" t="str">
        <f t="shared" si="19"/>
        <v/>
      </c>
      <c r="K51" s="32" t="str">
        <f t="shared" si="19"/>
        <v/>
      </c>
      <c r="L51" s="32" t="str">
        <f t="shared" si="19"/>
        <v/>
      </c>
      <c r="M51" s="32" t="str">
        <f t="shared" si="19"/>
        <v/>
      </c>
      <c r="N51" s="9" t="str">
        <f t="shared" si="19"/>
        <v/>
      </c>
      <c r="O51" s="438"/>
    </row>
    <row r="52" spans="1:15" ht="15" customHeight="1" x14ac:dyDescent="0.25">
      <c r="A52" s="1533"/>
      <c r="B52" s="567" t="s">
        <v>742</v>
      </c>
      <c r="C52" s="253"/>
      <c r="D52" s="1224"/>
      <c r="E52" s="255"/>
      <c r="F52" s="25"/>
      <c r="G52" s="25"/>
      <c r="H52" s="25"/>
      <c r="I52" s="25"/>
      <c r="J52" s="25"/>
      <c r="K52" s="25"/>
      <c r="L52" s="25"/>
      <c r="M52" s="25"/>
      <c r="N52" s="36"/>
      <c r="O52" s="438"/>
    </row>
    <row r="53" spans="1:15" ht="15" customHeight="1" x14ac:dyDescent="0.25">
      <c r="A53" s="1533"/>
      <c r="B53" s="568" t="str">
        <f>CONCATENATE("Check: row ", ROW(B47), " &gt; 0 ↔ row ", ROW(B52)," &gt; 0")</f>
        <v>Check: row 47 &gt; 0 ↔ row 52 &gt; 0</v>
      </c>
      <c r="C53" s="560" t="str">
        <f t="shared" ref="C53:D53" si="20">IF(AND(ISNUMBER(C47), ISNUMBER(C52)), IF(C52&gt;0, IF(C47&gt;0, "Pass", "Fail"), IF(C47=0, "Pass", "Fail")), "")</f>
        <v/>
      </c>
      <c r="D53" s="1226" t="str">
        <f t="shared" si="20"/>
        <v/>
      </c>
      <c r="E53" s="560" t="str">
        <f>IF(AND(ISNUMBER(E47), ISNUMBER(E52)), IF(E52&gt;0, IF(E47&gt;0, "Pass", "Fail"), IF(E47=0, "Pass", "Fail")), "")</f>
        <v/>
      </c>
      <c r="F53" s="560" t="str">
        <f t="shared" ref="F53:N53" si="21">IF(AND(ISNUMBER(F47), ISNUMBER(F52)), IF(F52&gt;0, IF(F47&gt;0, "Pass", "Fail"), IF(F47=0, "Pass", "Fail")), "")</f>
        <v/>
      </c>
      <c r="G53" s="560" t="str">
        <f t="shared" si="21"/>
        <v/>
      </c>
      <c r="H53" s="560" t="str">
        <f t="shared" si="21"/>
        <v/>
      </c>
      <c r="I53" s="560" t="str">
        <f t="shared" si="21"/>
        <v/>
      </c>
      <c r="J53" s="560" t="str">
        <f t="shared" si="21"/>
        <v/>
      </c>
      <c r="K53" s="560" t="str">
        <f t="shared" si="21"/>
        <v/>
      </c>
      <c r="L53" s="560" t="str">
        <f t="shared" si="21"/>
        <v/>
      </c>
      <c r="M53" s="560" t="str">
        <f t="shared" si="21"/>
        <v/>
      </c>
      <c r="N53" s="1381" t="str">
        <f t="shared" si="21"/>
        <v/>
      </c>
      <c r="O53" s="438"/>
    </row>
    <row r="54" spans="1:15" ht="15" customHeight="1" x14ac:dyDescent="0.25">
      <c r="A54" s="1533"/>
      <c r="B54" s="567" t="s">
        <v>743</v>
      </c>
      <c r="C54" s="683"/>
      <c r="D54" s="1223"/>
      <c r="E54" s="3188"/>
      <c r="F54" s="3188"/>
      <c r="G54" s="3188"/>
      <c r="H54" s="3188"/>
      <c r="I54" s="3188"/>
      <c r="J54" s="3188"/>
      <c r="K54" s="3188"/>
      <c r="L54" s="3188"/>
      <c r="M54" s="3188"/>
      <c r="N54" s="3188"/>
      <c r="O54" s="438"/>
    </row>
    <row r="55" spans="1:15" ht="15" customHeight="1" x14ac:dyDescent="0.25">
      <c r="A55" s="1533"/>
      <c r="B55" s="568" t="str">
        <f ca="1">CONCATENATE("Check: sum(row ", ROW(B52), ") ≥ ",CELL("address",E54)," ≥ max(row ",ROW(B52),")")</f>
        <v>Check: sum(row 52) ≥ $E$54 ≥ max(row 52)</v>
      </c>
      <c r="C55" s="683"/>
      <c r="D55" s="1223"/>
      <c r="E55" s="3187" t="str">
        <f>IF(AND(SUM(E52:N52)&gt;=E54,E54&gt;=MAX(E52:N52)), "Pass", "Fail")</f>
        <v>Pass</v>
      </c>
      <c r="F55" s="3187"/>
      <c r="G55" s="3187"/>
      <c r="H55" s="3187"/>
      <c r="I55" s="3187"/>
      <c r="J55" s="3187"/>
      <c r="K55" s="3187"/>
      <c r="L55" s="3187"/>
      <c r="M55" s="3187"/>
      <c r="N55" s="3187"/>
      <c r="O55" s="438"/>
    </row>
    <row r="56" spans="1:15" ht="15" customHeight="1" x14ac:dyDescent="0.25">
      <c r="A56" s="1533"/>
      <c r="B56" s="568" t="str">
        <f ca="1">CONCATENATE("Check: sum(row ",ROW(B51),")/",CELL("address",E54)," ≥ EUR 100,000 or ",CELL("address",E54)," = 0")</f>
        <v>Check: sum(row 51)/$E$54 ≥ EUR 100,000 or $E$54 = 0</v>
      </c>
      <c r="C56" s="683"/>
      <c r="D56" s="1223"/>
      <c r="E56" s="3187" t="str">
        <f>IF(E54=0,"Pass",IF(SUM(E51:N51)/E54&gt;=100000/'Supervisory information'!D15,"Pass","Fail"))</f>
        <v>Pass</v>
      </c>
      <c r="F56" s="3187"/>
      <c r="G56" s="3187"/>
      <c r="H56" s="3187"/>
      <c r="I56" s="3187"/>
      <c r="J56" s="3187"/>
      <c r="K56" s="3187"/>
      <c r="L56" s="3187"/>
      <c r="M56" s="3187"/>
      <c r="N56" s="3187"/>
      <c r="O56" s="438"/>
    </row>
    <row r="57" spans="1:15" ht="15" customHeight="1" x14ac:dyDescent="0.25">
      <c r="A57" s="1533"/>
      <c r="B57" s="567" t="s">
        <v>744</v>
      </c>
      <c r="C57" s="253"/>
      <c r="D57" s="1224"/>
      <c r="E57" s="255"/>
      <c r="F57" s="255"/>
      <c r="G57" s="255"/>
      <c r="H57" s="255"/>
      <c r="I57" s="255"/>
      <c r="J57" s="255"/>
      <c r="K57" s="255"/>
      <c r="L57" s="255"/>
      <c r="M57" s="255"/>
      <c r="N57" s="204"/>
      <c r="O57" s="438"/>
    </row>
    <row r="58" spans="1:15" ht="15" customHeight="1" x14ac:dyDescent="0.25">
      <c r="A58" s="1533"/>
      <c r="B58" s="567" t="s">
        <v>745</v>
      </c>
      <c r="C58" s="161" t="str">
        <f>IF(AND(ISNUMBER(C51), ISNUMBER(C57)), C51-C57, "")</f>
        <v/>
      </c>
      <c r="D58" s="1225" t="str">
        <f>IF(AND(ISNUMBER(D51), ISNUMBER(D57)), D51-D57, "")</f>
        <v/>
      </c>
      <c r="E58" s="161" t="str">
        <f>IF(AND(ISNUMBER(E51), ISNUMBER(E57)), E51-E57, "")</f>
        <v/>
      </c>
      <c r="F58" s="161" t="str">
        <f t="shared" ref="F58:N58" si="22">IF(AND(ISNUMBER(F51), ISNUMBER(F57)), F51-F57, "")</f>
        <v/>
      </c>
      <c r="G58" s="161" t="str">
        <f t="shared" si="22"/>
        <v/>
      </c>
      <c r="H58" s="161" t="str">
        <f t="shared" si="22"/>
        <v/>
      </c>
      <c r="I58" s="161" t="str">
        <f t="shared" si="22"/>
        <v/>
      </c>
      <c r="J58" s="161" t="str">
        <f t="shared" si="22"/>
        <v/>
      </c>
      <c r="K58" s="161" t="str">
        <f t="shared" si="22"/>
        <v/>
      </c>
      <c r="L58" s="161" t="str">
        <f t="shared" si="22"/>
        <v/>
      </c>
      <c r="M58" s="161" t="str">
        <f t="shared" si="22"/>
        <v/>
      </c>
      <c r="N58" s="9" t="str">
        <f t="shared" si="22"/>
        <v/>
      </c>
      <c r="O58" s="438"/>
    </row>
    <row r="59" spans="1:15" ht="15" customHeight="1" x14ac:dyDescent="0.25">
      <c r="A59" s="1533"/>
      <c r="B59" s="567" t="s">
        <v>2053</v>
      </c>
      <c r="C59" s="683"/>
      <c r="D59" s="1223"/>
      <c r="E59" s="3188"/>
      <c r="F59" s="3188"/>
      <c r="G59" s="3188"/>
      <c r="H59" s="3188"/>
      <c r="I59" s="3188"/>
      <c r="J59" s="3188"/>
      <c r="K59" s="3188"/>
      <c r="L59" s="3188"/>
      <c r="M59" s="3188"/>
      <c r="N59" s="3188"/>
      <c r="O59" s="438"/>
    </row>
    <row r="60" spans="1:15" ht="15" customHeight="1" x14ac:dyDescent="0.25">
      <c r="A60" s="1533"/>
      <c r="B60" s="568" t="str">
        <f ca="1">CONCATENATE("Check: ",CELL("address",E54)," ≥ ",CELL("address",E59)," ≥ 0")</f>
        <v>Check: $E$54 ≥ $E$59 ≥ 0</v>
      </c>
      <c r="C60" s="684"/>
      <c r="D60" s="1227"/>
      <c r="E60" s="3187" t="str">
        <f>IF(AND(ISNUMBER(E54), ISNUMBER(E59)), IF(AND(E54&gt;=E59, E59&gt;=0), "Pass", "Fail"), "")</f>
        <v/>
      </c>
      <c r="F60" s="3187"/>
      <c r="G60" s="3187"/>
      <c r="H60" s="3187"/>
      <c r="I60" s="3187"/>
      <c r="J60" s="3187"/>
      <c r="K60" s="3187"/>
      <c r="L60" s="3187"/>
      <c r="M60" s="3187"/>
      <c r="N60" s="3187"/>
      <c r="O60" s="438"/>
    </row>
    <row r="61" spans="1:15" ht="15" customHeight="1" x14ac:dyDescent="0.25">
      <c r="A61" s="1533"/>
      <c r="B61" s="568" t="str">
        <f ca="1">CONCATENATE("Check: sum(row ",ROW(B58),")/(",CELL("address",E54)," - ",CELL("address",E59),") ≥ EUR 100,000 or ",CELL("address",E54)," - ",CELL("address",E59)," = 0")</f>
        <v>Check: sum(row 58)/($E$54 - $E$59) ≥ EUR 100,000 or $E$54 - $E$59 = 0</v>
      </c>
      <c r="C61" s="684"/>
      <c r="D61" s="1227"/>
      <c r="E61" s="3187" t="str">
        <f>IF(E54-E59=0,"Pass",IF(SUM(E58:N58)/(E54-E59)&gt;=100000/'Supervisory information'!D15, "Pass", "Fail"))</f>
        <v>Pass</v>
      </c>
      <c r="F61" s="3187"/>
      <c r="G61" s="3187"/>
      <c r="H61" s="3187"/>
      <c r="I61" s="3187"/>
      <c r="J61" s="3187"/>
      <c r="K61" s="3187"/>
      <c r="L61" s="3187"/>
      <c r="M61" s="3187"/>
      <c r="N61" s="3187"/>
      <c r="O61" s="438"/>
    </row>
    <row r="62" spans="1:15" ht="15" customHeight="1" x14ac:dyDescent="0.25">
      <c r="A62" s="1533"/>
      <c r="B62" s="572" t="str">
        <f>CONCATENATE("Check: row ",ROW(B31)," ≥ row ",ROW(B47)," &amp; row ",ROW(B32)," ≥ row ",ROW(B48)," &amp; row ",ROW(B33)," ≥ row ",ROW(B49)," &amp; row ",ROW(B36)," ≥ row ",ROW(B52))</f>
        <v>Check: row 31 ≥ row 47 &amp; row 32 ≥ row 48 &amp; row 33 ≥ row 49 &amp; row 36 ≥ row 52</v>
      </c>
      <c r="C62" s="561" t="str">
        <f t="shared" ref="C62:N62" si="23">IF(AND(C31&gt;=C47,C32&gt;=C48,C33&gt;=C49,C36&gt;=C52),"Pass","Fail")</f>
        <v>Pass</v>
      </c>
      <c r="D62" s="1229" t="str">
        <f t="shared" si="23"/>
        <v>Pass</v>
      </c>
      <c r="E62" s="561" t="str">
        <f t="shared" si="23"/>
        <v>Pass</v>
      </c>
      <c r="F62" s="555" t="str">
        <f t="shared" si="23"/>
        <v>Pass</v>
      </c>
      <c r="G62" s="555" t="str">
        <f t="shared" si="23"/>
        <v>Pass</v>
      </c>
      <c r="H62" s="555" t="str">
        <f t="shared" si="23"/>
        <v>Pass</v>
      </c>
      <c r="I62" s="555" t="str">
        <f t="shared" si="23"/>
        <v>Pass</v>
      </c>
      <c r="J62" s="555" t="str">
        <f t="shared" si="23"/>
        <v>Pass</v>
      </c>
      <c r="K62" s="555" t="str">
        <f t="shared" si="23"/>
        <v>Pass</v>
      </c>
      <c r="L62" s="555" t="str">
        <f t="shared" si="23"/>
        <v>Pass</v>
      </c>
      <c r="M62" s="555" t="str">
        <f t="shared" si="23"/>
        <v>Pass</v>
      </c>
      <c r="N62" s="554" t="str">
        <f t="shared" si="23"/>
        <v>Pass</v>
      </c>
      <c r="O62" s="438"/>
    </row>
    <row r="63" spans="1:15" ht="15" customHeight="1" x14ac:dyDescent="0.25">
      <c r="A63" s="1533"/>
      <c r="B63" s="185"/>
      <c r="C63" s="185"/>
      <c r="D63" s="185"/>
      <c r="E63" s="185"/>
      <c r="F63" s="185"/>
      <c r="G63" s="185"/>
      <c r="H63" s="185"/>
      <c r="I63" s="185"/>
      <c r="J63" s="185"/>
      <c r="K63" s="185"/>
      <c r="L63" s="185"/>
      <c r="M63" s="185"/>
      <c r="N63" s="185"/>
      <c r="O63" s="438"/>
    </row>
    <row r="64" spans="1:15" ht="45" customHeight="1" x14ac:dyDescent="0.25">
      <c r="A64" s="964" t="s">
        <v>2230</v>
      </c>
      <c r="B64" s="1220"/>
      <c r="C64" s="1220"/>
      <c r="D64" s="1220"/>
      <c r="E64" s="1207"/>
      <c r="F64" s="1207"/>
      <c r="G64" s="1207"/>
      <c r="H64" s="1207"/>
      <c r="I64" s="1207"/>
      <c r="J64" s="1207"/>
      <c r="K64" s="1207"/>
      <c r="L64" s="1207"/>
      <c r="M64" s="1207"/>
      <c r="N64" s="1207"/>
      <c r="O64" s="1241"/>
    </row>
    <row r="65" spans="1:15" ht="30" customHeight="1" x14ac:dyDescent="0.25">
      <c r="A65" s="2567"/>
      <c r="B65" s="1220"/>
      <c r="C65" s="1897"/>
      <c r="D65" s="1897"/>
      <c r="E65" s="1897"/>
      <c r="F65" s="1897"/>
      <c r="G65" s="1897"/>
      <c r="H65" s="1379" t="str">
        <f>IF(ISNUMBER(L3), L3 &amp; " based on corrected BI/LC", "")</f>
        <v>2020 based on corrected BI/LC</v>
      </c>
      <c r="I65" s="1379" t="str">
        <f>IF(ISNUMBER(M3), M3 &amp; " based on corrected BI/LC", "")</f>
        <v>2021 based on corrected BI/LC</v>
      </c>
      <c r="J65" s="1379" t="str">
        <f>IF(ISNUMBER(N3), N3 &amp; " based on corrected BI/LC", "")</f>
        <v>2022 based on corrected BI/LC</v>
      </c>
      <c r="K65" s="1897"/>
      <c r="L65" s="1379">
        <f>IF(ISNUMBER(L3), L3, "")</f>
        <v>2020</v>
      </c>
      <c r="M65" s="1379">
        <f>IF(ISNUMBER(M3), M3, "")</f>
        <v>2021</v>
      </c>
      <c r="N65" s="1380">
        <f>IF(ISNUMBER(N3), N3, "")</f>
        <v>2022</v>
      </c>
      <c r="O65" s="441"/>
    </row>
    <row r="66" spans="1:15" ht="15" customHeight="1" x14ac:dyDescent="0.25">
      <c r="A66" s="1533"/>
      <c r="B66" s="723" t="s">
        <v>747</v>
      </c>
      <c r="C66" s="725"/>
      <c r="D66" s="725"/>
      <c r="E66" s="725"/>
      <c r="F66" s="1237"/>
      <c r="G66" s="1237"/>
      <c r="H66" s="1237"/>
      <c r="I66" s="1237"/>
      <c r="J66" s="1237"/>
      <c r="K66" s="969"/>
      <c r="L66" s="963" t="str">
        <f>IF(AND(ISNUMBER(J7), ISNUMBER(K7), ISNUMBER(L7), ISNUMBER(J16), ISNUMBER(K16), ISNUMBER(L16), ISNUMBER(J17), ISNUMBER(K17), ISNUMBER(L17)), MIN(AVERAGE(J16:L16), 0.0225*AVERAGE(J7:L7)) + AVERAGE(J17:L17), "")</f>
        <v/>
      </c>
      <c r="M66" s="963" t="str">
        <f>IF(AND(ISNUMBER(K7), ISNUMBER(L7), ISNUMBER(M7), ISNUMBER(K16), ISNUMBER(L16), ISNUMBER(M16), ISNUMBER(K17), ISNUMBER(L17), ISNUMBER(M17)), MIN(AVERAGE(K16:M16), 0.0225*AVERAGE(K7:M7)) + AVERAGE(K17:M17), "")</f>
        <v/>
      </c>
      <c r="N66" s="1033" t="str">
        <f>IF(AND(ISNUMBER(L7), ISNUMBER(M7), ISNUMBER(N7), ISNUMBER(L16), ISNUMBER(M16), ISNUMBER(N16), ISNUMBER(L17), ISNUMBER(M17), ISNUMBER(N17)), MIN(AVERAGE(L16:N16), 0.0225*AVERAGE(L7:N7)) + AVERAGE(L17:N17), "")</f>
        <v/>
      </c>
      <c r="O66" s="438"/>
    </row>
    <row r="67" spans="1:15" ht="15" customHeight="1" x14ac:dyDescent="0.25">
      <c r="A67" s="1533"/>
      <c r="B67" s="596" t="s">
        <v>2055</v>
      </c>
      <c r="C67" s="683"/>
      <c r="D67" s="683"/>
      <c r="E67" s="683"/>
      <c r="F67" s="18"/>
      <c r="G67" s="18"/>
      <c r="H67" s="18"/>
      <c r="I67" s="18"/>
      <c r="J67" s="18"/>
      <c r="K67" s="1962"/>
      <c r="L67" s="32" t="str">
        <f>IF(AND(ISNUMBER(J18), ISNUMBER(K18), ISNUMBER(L18), ISNUMBER(J19), ISNUMBER(K19), ISNUMBER(L19), ISNUMBER(J22), ISNUMBER(K22), ISNUMBER(L22), ISNUMBER(J24), ISNUMBER(K24), ISNUMBER(L24)), MAX(AVERAGE(J22:L22), AVERAGE(J24:L24)) + MAX(AVERAGE(J18:L18), AVERAGE(J19:L19)), "")</f>
        <v/>
      </c>
      <c r="M67" s="32" t="str">
        <f>IF(AND(ISNUMBER(K18), ISNUMBER(L18), ISNUMBER(M18), ISNUMBER(K19), ISNUMBER(L19), ISNUMBER(M19), ISNUMBER(K22), ISNUMBER(L22), ISNUMBER(M22), ISNUMBER(K24), ISNUMBER(L24), ISNUMBER(M24)), MAX(AVERAGE(K22:M22), AVERAGE(K24:M24)) + MAX(AVERAGE(K18:M18), AVERAGE(K19:M19)), "")</f>
        <v/>
      </c>
      <c r="N67" s="9" t="str">
        <f>IF(AND(ISNUMBER(L18), ISNUMBER(M18), ISNUMBER(N18), ISNUMBER(L19), ISNUMBER(M19), ISNUMBER(N19), ISNUMBER(L22), ISNUMBER(M22), ISNUMBER(N22), ISNUMBER(L24), ISNUMBER(M24), ISNUMBER(N24)), MAX(AVERAGE(L22:N22), AVERAGE(L24:N24)) + MAX(AVERAGE(L18:N18), AVERAGE(L19:N19)), "")</f>
        <v/>
      </c>
      <c r="O67" s="438"/>
    </row>
    <row r="68" spans="1:15" ht="15" customHeight="1" x14ac:dyDescent="0.25">
      <c r="A68" s="1533"/>
      <c r="B68" s="596" t="s">
        <v>2056</v>
      </c>
      <c r="C68" s="683"/>
      <c r="D68" s="683"/>
      <c r="E68" s="683"/>
      <c r="F68" s="18"/>
      <c r="G68" s="18"/>
      <c r="H68" s="184"/>
      <c r="I68" s="184"/>
      <c r="J68" s="184"/>
      <c r="K68" s="1962"/>
      <c r="L68" s="32" t="str">
        <f>IF(AND(ISNUMBER(J20), ISNUMBER(K20), ISNUMBER(L20), ISNUMBER(J21), ISNUMBER(K21), ISNUMBER(L21)), AVERAGE(ABS(J20), ABS(K20), ABS(L20))+AVERAGE(ABS(J21), ABS(K21), ABS(L21)), "")</f>
        <v/>
      </c>
      <c r="M68" s="32" t="str">
        <f>IF(AND(ISNUMBER(K20), ISNUMBER(L20), ISNUMBER(M20), ISNUMBER(K21), ISNUMBER(L21), ISNUMBER(M21)), AVERAGE(ABS(K20), ABS(L20), ABS(M20))+AVERAGE(ABS(K21), ABS(L21), ABS(M21)), "")</f>
        <v/>
      </c>
      <c r="N68" s="9" t="str">
        <f>IF(AND(ISNUMBER(L20), ISNUMBER(M20), ISNUMBER(N20), ISNUMBER(L21), ISNUMBER(M21), ISNUMBER(N21)), AVERAGE(ABS(L20), ABS(M20), ABS(N20))+AVERAGE(ABS(L21), ABS(M21), ABS(N21)), "")</f>
        <v/>
      </c>
      <c r="O68" s="438"/>
    </row>
    <row r="69" spans="1:15" ht="15" customHeight="1" x14ac:dyDescent="0.25">
      <c r="A69" s="1533"/>
      <c r="B69" s="596" t="s">
        <v>748</v>
      </c>
      <c r="C69" s="683"/>
      <c r="D69" s="683"/>
      <c r="E69" s="683"/>
      <c r="F69" s="18"/>
      <c r="G69" s="2382"/>
      <c r="H69" s="32" t="str">
        <f>IF(ISNUMBER(L72), L72, "")</f>
        <v/>
      </c>
      <c r="I69" s="32" t="str">
        <f>IF(ISNUMBER(M72), M72, "")</f>
        <v/>
      </c>
      <c r="J69" s="32" t="str">
        <f>IF(ISNUMBER(N72), N72, "")</f>
        <v/>
      </c>
      <c r="K69" s="552"/>
      <c r="L69" s="32" t="str">
        <f>IF(AND(ISNUMBER(L66), ISNUMBER(L67), ISNUMBER(L68)), SUM(L66:L68), "")</f>
        <v/>
      </c>
      <c r="M69" s="32" t="str">
        <f>IF(AND(ISNUMBER(M66), ISNUMBER(M67), ISNUMBER(M68)), SUM(M66:M68), "")</f>
        <v/>
      </c>
      <c r="N69" s="9" t="str">
        <f>IF(AND(ISNUMBER(N66), ISNUMBER(N67), ISNUMBER(N68)), SUM(N66:N68), "")</f>
        <v/>
      </c>
      <c r="O69" s="438"/>
    </row>
    <row r="70" spans="1:15" ht="15" customHeight="1" x14ac:dyDescent="0.25">
      <c r="A70" s="1533"/>
      <c r="B70" s="237" t="s">
        <v>1496</v>
      </c>
      <c r="C70" s="683"/>
      <c r="D70" s="683"/>
      <c r="E70" s="683"/>
      <c r="F70" s="1961"/>
      <c r="G70" s="1961"/>
      <c r="H70" s="1565" t="str">
        <f>IF(ISNUMBER(H69), IF(H69*'Supervisory information'!$D$15&lt;=1000000000, 1, IF(H69*'Supervisory information'!$D$15 &lt;= 30000000000, 2, 3)), "")</f>
        <v/>
      </c>
      <c r="I70" s="1565" t="str">
        <f>IF(ISNUMBER(I69), IF(I69*'Supervisory information'!$D$15&lt;=1000000000, 1, IF(I69*'Supervisory information'!$D$15 &lt;= 30000000000, 2, 3)), "")</f>
        <v/>
      </c>
      <c r="J70" s="1565" t="str">
        <f>IF(ISNUMBER(J69), IF(J69*'Supervisory information'!$D$15&lt;=1000000000, 1, IF(J69*'Supervisory information'!$D$15 &lt;= 30000000000, 2, 3)), "")</f>
        <v/>
      </c>
      <c r="K70" s="1962"/>
      <c r="L70" s="32" t="str">
        <f>IF(ISNUMBER(L69), IF(L69*'Supervisory information'!$D$15&lt;=1000000000, 1, IF(L69*'Supervisory information'!$D$15 &lt;= 30000000000, 2, 3)), "")</f>
        <v/>
      </c>
      <c r="M70" s="32" t="str">
        <f>IF(ISNUMBER(M69), IF(M69*'Supervisory information'!$D$15&lt;=1000000000, 1, IF(M69*'Supervisory information'!$D$15 &lt;= 30000000000, 2, 3)), "")</f>
        <v/>
      </c>
      <c r="N70" s="9" t="str">
        <f>IF(ISNUMBER(N69), IF(N69*'Supervisory information'!$D$15&lt;=1000000000, 1, IF(N69*'Supervisory information'!$D$15 &lt;= 30000000000, 2, 3)), "")</f>
        <v/>
      </c>
      <c r="O70" s="438"/>
    </row>
    <row r="71" spans="1:15" ht="15" customHeight="1" x14ac:dyDescent="0.25">
      <c r="A71" s="1533"/>
      <c r="B71" s="596" t="s">
        <v>749</v>
      </c>
      <c r="C71" s="683"/>
      <c r="D71" s="683"/>
      <c r="E71" s="683"/>
      <c r="F71" s="18"/>
      <c r="G71" s="18"/>
      <c r="H71" s="32"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32"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32"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1962"/>
      <c r="L71" s="32"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32"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9"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438"/>
    </row>
    <row r="72" spans="1:15" ht="15" customHeight="1" x14ac:dyDescent="0.25">
      <c r="A72" s="1533"/>
      <c r="B72" s="596" t="s">
        <v>2044</v>
      </c>
      <c r="C72" s="683"/>
      <c r="D72" s="683"/>
      <c r="E72" s="683"/>
      <c r="F72" s="18"/>
      <c r="G72" s="18"/>
      <c r="H72" s="18"/>
      <c r="I72" s="18"/>
      <c r="J72" s="18"/>
      <c r="K72" s="1962"/>
      <c r="L72" s="15"/>
      <c r="M72" s="15"/>
      <c r="N72" s="36"/>
      <c r="O72" s="438"/>
    </row>
    <row r="73" spans="1:15" ht="15" customHeight="1" x14ac:dyDescent="0.25">
      <c r="A73" s="1533"/>
      <c r="B73" s="596" t="s">
        <v>750</v>
      </c>
      <c r="C73" s="683"/>
      <c r="D73" s="683"/>
      <c r="E73" s="683"/>
      <c r="F73" s="18"/>
      <c r="G73" s="18"/>
      <c r="H73" s="18"/>
      <c r="I73" s="18"/>
      <c r="J73" s="18"/>
      <c r="K73" s="1962"/>
      <c r="L73" s="32" t="str">
        <f>IF(AND(ISNUMBER(L69), ISNUMBER(L72)), L72-L69, "")</f>
        <v/>
      </c>
      <c r="M73" s="32" t="str">
        <f>IF(AND(ISNUMBER(M69), ISNUMBER(M72)), M72-M69, "")</f>
        <v/>
      </c>
      <c r="N73" s="9" t="str">
        <f>IF(AND(ISNUMBER(N69), ISNUMBER(N72)), N72-N69, "")</f>
        <v/>
      </c>
      <c r="O73" s="438"/>
    </row>
    <row r="74" spans="1:15" ht="15" customHeight="1" x14ac:dyDescent="0.25">
      <c r="A74" s="1533"/>
      <c r="B74" s="596" t="s">
        <v>751</v>
      </c>
      <c r="C74" s="683"/>
      <c r="D74" s="683"/>
      <c r="E74" s="683"/>
      <c r="F74" s="18"/>
      <c r="G74" s="18"/>
      <c r="H74" s="184"/>
      <c r="I74" s="184"/>
      <c r="J74" s="184"/>
      <c r="K74" s="1962"/>
      <c r="L74" s="1961"/>
      <c r="M74" s="1961"/>
      <c r="N74" s="1962"/>
      <c r="O74" s="438"/>
    </row>
    <row r="75" spans="1:15" ht="15" customHeight="1" x14ac:dyDescent="0.25">
      <c r="A75" s="1533"/>
      <c r="B75" s="564" t="s">
        <v>752</v>
      </c>
      <c r="C75" s="683"/>
      <c r="D75" s="683"/>
      <c r="E75" s="683"/>
      <c r="F75" s="18"/>
      <c r="G75" s="2382"/>
      <c r="H75" s="32" t="str" cm="1">
        <f t="array" ref="H75">IF(SUMPRODUCT(ISNUMBER(C41:L41)*1)&gt;0, AVERAGE(C41:L41)*15, "")</f>
        <v/>
      </c>
      <c r="I75" s="32" t="str" cm="1">
        <f t="array" ref="I75">IF(SUMPRODUCT(ISNUMBER(D41:M41)*1)&gt;0, AVERAGE(D41:M41)*15, "")</f>
        <v/>
      </c>
      <c r="J75" s="32" t="str" cm="1">
        <f t="array" ref="J75">IF(SUMPRODUCT(ISNUMBER(E41:N41)*1)&gt;0, AVERAGE(E41:N41)*15, "")</f>
        <v/>
      </c>
      <c r="K75" s="552"/>
      <c r="L75" s="32" t="str">
        <f>IF(SUMPRODUCT(ISNUMBER(C35:L35)*1)&gt;0, AVERAGE(C35:L35)*15, "")</f>
        <v/>
      </c>
      <c r="M75" s="32" t="str">
        <f>IF(SUMPRODUCT(ISNUMBER(D35:M35)*1)&gt;0, AVERAGE(D35:M35)*15, "")</f>
        <v/>
      </c>
      <c r="N75" s="9" t="str">
        <f>IF(SUMPRODUCT(ISNUMBER(E35:N35)*1)&gt;0, AVERAGE(E35:N35)*15, "")</f>
        <v/>
      </c>
      <c r="O75" s="438"/>
    </row>
    <row r="76" spans="1:15" ht="15" customHeight="1" x14ac:dyDescent="0.25">
      <c r="A76" s="1533"/>
      <c r="B76" s="564" t="s">
        <v>753</v>
      </c>
      <c r="C76" s="683"/>
      <c r="D76" s="683"/>
      <c r="E76" s="683"/>
      <c r="F76" s="18"/>
      <c r="G76" s="2382"/>
      <c r="H76" s="32" t="str" cm="1">
        <f t="array" ref="H76">IF(SUMPRODUCT(ISNUMBER(C57:L57)*1)&gt;0, AVERAGE(C57:L57)*15, "")</f>
        <v/>
      </c>
      <c r="I76" s="32" t="str" cm="1">
        <f t="array" ref="I76">IF(SUMPRODUCT(ISNUMBER(D57:M57)*1)&gt;0, AVERAGE(D57:M57)*15, "")</f>
        <v/>
      </c>
      <c r="J76" s="32" t="str" cm="1">
        <f t="array" ref="J76">IF(SUMPRODUCT(ISNUMBER(E57:N57)*1)&gt;0, AVERAGE(E57:N57)*15, "")</f>
        <v/>
      </c>
      <c r="K76" s="552"/>
      <c r="L76" s="32" t="str">
        <f>IF(SUMPRODUCT(ISNUMBER(C51:L51)*1)&gt;0, AVERAGE(C51:L51)*15, "")</f>
        <v/>
      </c>
      <c r="M76" s="32" t="str">
        <f>IF(SUMPRODUCT(ISNUMBER(D51:M51)*1)&gt;0, AVERAGE(D51:M51)*15, "")</f>
        <v/>
      </c>
      <c r="N76" s="9" t="str">
        <f>IF(SUMPRODUCT(ISNUMBER(E51:N51)*1)&gt;0, AVERAGE(E51:N51)*15, "")</f>
        <v/>
      </c>
      <c r="O76" s="438"/>
    </row>
    <row r="77" spans="1:15" ht="15" customHeight="1" x14ac:dyDescent="0.25">
      <c r="A77" s="1533"/>
      <c r="B77" s="596" t="s">
        <v>754</v>
      </c>
      <c r="C77" s="683"/>
      <c r="D77" s="683"/>
      <c r="E77" s="683"/>
      <c r="F77" s="18"/>
      <c r="G77" s="18"/>
      <c r="H77" s="2027"/>
      <c r="I77" s="2027"/>
      <c r="J77" s="2027"/>
      <c r="K77" s="1962"/>
      <c r="L77" s="184"/>
      <c r="M77" s="184"/>
      <c r="N77" s="563"/>
      <c r="O77" s="438"/>
    </row>
    <row r="78" spans="1:15" ht="15" customHeight="1" x14ac:dyDescent="0.25">
      <c r="A78" s="1533"/>
      <c r="B78" s="564" t="s">
        <v>2057</v>
      </c>
      <c r="C78" s="683"/>
      <c r="D78" s="683"/>
      <c r="E78" s="683"/>
      <c r="F78" s="18"/>
      <c r="G78" s="18"/>
      <c r="H78" s="2030" t="str">
        <f>IF(AND(ISNUMBER(H71), ISNUMBER(H75)), (LN(EXP(1)-1+(H75/H71)^0.8)), "")</f>
        <v/>
      </c>
      <c r="I78" s="2030" t="str">
        <f>IF(AND(ISNUMBER(I71), ISNUMBER(I75)), (LN(EXP(1)-1+(I75/I71)^0.8)), "")</f>
        <v/>
      </c>
      <c r="J78" s="2030" t="str">
        <f>IF(AND(ISNUMBER(J71), ISNUMBER(J75)), (LN(EXP(1)-1+(J75/J71)^0.8)), "")</f>
        <v/>
      </c>
      <c r="K78" s="1962"/>
      <c r="L78" s="2029" t="str">
        <f>IF(AND(ISNUMBER(L71), ISNUMBER(L75)), (LN(EXP(1)-1+(L75/L71)^0.8)), "")</f>
        <v/>
      </c>
      <c r="M78" s="2029" t="str">
        <f>IF(AND(ISNUMBER(M71), ISNUMBER(M75)), (LN(EXP(1)-1+(M75/M71)^0.8)), "")</f>
        <v/>
      </c>
      <c r="N78" s="2030" t="str">
        <f>IF(AND(ISNUMBER(N71), ISNUMBER(N75)), (LN(EXP(1)-1+(N75/N71)^0.8)), "")</f>
        <v/>
      </c>
      <c r="O78" s="438"/>
    </row>
    <row r="79" spans="1:15" ht="15" customHeight="1" x14ac:dyDescent="0.25">
      <c r="A79" s="1533"/>
      <c r="B79" s="564" t="s">
        <v>755</v>
      </c>
      <c r="C79" s="683"/>
      <c r="D79" s="683"/>
      <c r="E79" s="683"/>
      <c r="F79" s="18"/>
      <c r="G79" s="18"/>
      <c r="H79" s="2030" t="str">
        <f>IF(AND(ISNUMBER(H71), ISNUMBER(H76)), (LN(EXP(1)-1+(H76/H71)^0.8)), "")</f>
        <v/>
      </c>
      <c r="I79" s="2030" t="str">
        <f>IF(AND(ISNUMBER(I71), ISNUMBER(I76)), (LN(EXP(1)-1+(I76/I71)^0.8)), "")</f>
        <v/>
      </c>
      <c r="J79" s="2030" t="str">
        <f>IF(AND(ISNUMBER(J71), ISNUMBER(J76)), (LN(EXP(1)-1+(J76/J71)^0.8)), "")</f>
        <v/>
      </c>
      <c r="K79" s="1962"/>
      <c r="L79" s="2029" t="str">
        <f>IF(AND(ISNUMBER(L71), ISNUMBER(L76)), (LN(EXP(1)-1+(L76/L71)^0.8)), "")</f>
        <v/>
      </c>
      <c r="M79" s="2029" t="str">
        <f>IF(AND(ISNUMBER(M71), ISNUMBER(M76)), (LN(EXP(1)-1+(M76/M71)^0.8)), "")</f>
        <v/>
      </c>
      <c r="N79" s="2030" t="str">
        <f>IF(AND(ISNUMBER(N71), ISNUMBER(N76)), (LN(EXP(1)-1+(N76/N71)^0.8)), "")</f>
        <v/>
      </c>
      <c r="O79" s="438"/>
    </row>
    <row r="80" spans="1:15" ht="15" customHeight="1" x14ac:dyDescent="0.25">
      <c r="A80" s="1533"/>
      <c r="B80" s="237" t="s">
        <v>978</v>
      </c>
      <c r="C80" s="683"/>
      <c r="D80" s="683"/>
      <c r="E80" s="683"/>
      <c r="F80" s="18"/>
      <c r="G80" s="18"/>
      <c r="H80" s="18"/>
      <c r="I80" s="18"/>
      <c r="J80" s="18"/>
      <c r="K80" s="1962"/>
      <c r="L80" s="2027"/>
      <c r="M80" s="2027"/>
      <c r="N80" s="2028"/>
      <c r="O80" s="438"/>
    </row>
    <row r="81" spans="1:15" ht="15" customHeight="1" x14ac:dyDescent="0.25">
      <c r="A81" s="1533"/>
      <c r="B81" s="564" t="s">
        <v>752</v>
      </c>
      <c r="C81" s="683"/>
      <c r="D81" s="683"/>
      <c r="E81" s="683"/>
      <c r="F81" s="18"/>
      <c r="G81" s="18"/>
      <c r="H81" s="9" t="str">
        <f>IF(AND(ISNUMBER(H71), ISNUMBER(H78)), H71*H78, "")</f>
        <v/>
      </c>
      <c r="I81" s="9" t="str">
        <f>IF(AND(ISNUMBER(I71), ISNUMBER(I78)), I71*I78, "")</f>
        <v/>
      </c>
      <c r="J81" s="32" t="str">
        <f>IF(AND(ISNUMBER(J71), ISNUMBER(J78)), J71*J78, "")</f>
        <v/>
      </c>
      <c r="K81" s="1962"/>
      <c r="L81" s="32" t="str">
        <f>IF(AND(ISNUMBER(L71), ISNUMBER(L78)), L71*L78, "")</f>
        <v/>
      </c>
      <c r="M81" s="32" t="str">
        <f>IF(AND(ISNUMBER(M71), ISNUMBER(M78)), M71*M78, "")</f>
        <v/>
      </c>
      <c r="N81" s="9" t="str">
        <f>IF(AND(ISNUMBER(N71), ISNUMBER(N78)), N71*N78, "")</f>
        <v/>
      </c>
      <c r="O81" s="438"/>
    </row>
    <row r="82" spans="1:15" ht="15" customHeight="1" x14ac:dyDescent="0.25">
      <c r="A82" s="1533"/>
      <c r="B82" s="564" t="s">
        <v>753</v>
      </c>
      <c r="C82" s="683"/>
      <c r="D82" s="683"/>
      <c r="E82" s="683"/>
      <c r="F82" s="18"/>
      <c r="G82" s="18"/>
      <c r="H82" s="9" t="str">
        <f>IF(AND(ISNUMBER(H71), ISNUMBER(H79)), H71*H79, "")</f>
        <v/>
      </c>
      <c r="I82" s="9" t="str">
        <f>IF(AND(ISNUMBER(I71), ISNUMBER(I79)), I71*I79, "")</f>
        <v/>
      </c>
      <c r="J82" s="32" t="str">
        <f>IF(AND(ISNUMBER(J71), ISNUMBER(J79)), J71*J79, "")</f>
        <v/>
      </c>
      <c r="K82" s="1962"/>
      <c r="L82" s="32" t="str">
        <f>IF(AND(ISNUMBER(L71), ISNUMBER(L79)), L71*L79, "")</f>
        <v/>
      </c>
      <c r="M82" s="32" t="str">
        <f>IF(AND(ISNUMBER(M71), ISNUMBER(M79)), M71*M79, "")</f>
        <v/>
      </c>
      <c r="N82" s="9" t="str">
        <f>IF(AND(ISNUMBER(N71), ISNUMBER(N79)), N71*N79, "")</f>
        <v/>
      </c>
      <c r="O82" s="438"/>
    </row>
    <row r="83" spans="1:15" ht="15" customHeight="1" x14ac:dyDescent="0.25">
      <c r="A83" s="1533"/>
      <c r="B83" s="564" t="s">
        <v>756</v>
      </c>
      <c r="C83" s="683"/>
      <c r="D83" s="683"/>
      <c r="E83" s="683"/>
      <c r="F83" s="18"/>
      <c r="G83" s="18"/>
      <c r="H83" s="9" t="str">
        <f>IF(ISNUMBER(H71), H71, "")</f>
        <v/>
      </c>
      <c r="I83" s="9" t="str">
        <f>IF(ISNUMBER(I71), I71, "")</f>
        <v/>
      </c>
      <c r="J83" s="32" t="str">
        <f>IF(ISNUMBER(J71), J71, "")</f>
        <v/>
      </c>
      <c r="K83" s="1962"/>
      <c r="L83" s="151" t="str">
        <f>IF(ISNUMBER(L71), L71, "")</f>
        <v/>
      </c>
      <c r="M83" s="151" t="str">
        <f>IF(ISNUMBER(M71), M71, "")</f>
        <v/>
      </c>
      <c r="N83" s="37" t="str">
        <f>IF(ISNUMBER(N71), N71, "")</f>
        <v/>
      </c>
      <c r="O83" s="438"/>
    </row>
    <row r="84" spans="1:15" ht="15" customHeight="1" x14ac:dyDescent="0.25">
      <c r="A84" s="1533"/>
      <c r="B84" s="249" t="s">
        <v>761</v>
      </c>
      <c r="C84" s="23"/>
      <c r="D84" s="23"/>
      <c r="E84" s="23"/>
      <c r="F84" s="19"/>
      <c r="G84" s="19"/>
      <c r="H84" s="2383"/>
      <c r="I84" s="2383"/>
      <c r="J84" s="2383"/>
      <c r="K84" s="19"/>
      <c r="L84" s="1015" t="str">
        <f>IF(OR(L70&gt;1, NOT(ISNUMBER(L70))), Parameters!$F$399, IF(Parameters!$F$400="Yes", Parameters!$D$430, Parameters!$D$432))</f>
        <v>EUR 20,000</v>
      </c>
      <c r="M84" s="1015" t="str">
        <f>IF(OR(M70&gt;1, NOT(ISNUMBER(M70))), Parameters!$F$399, IF(Parameters!$F$400="Yes", Parameters!$D$430, Parameters!$D$432))</f>
        <v>EUR 20,000</v>
      </c>
      <c r="N84" s="1015" t="str">
        <f>IF(OR(N70&gt;1, NOT(ISNUMBER(N70))), Parameters!$F$399, IF(Parameters!$F$400="Yes", Parameters!$D$430, Parameters!$D$432))</f>
        <v>EUR 20,000</v>
      </c>
      <c r="O84" s="438"/>
    </row>
    <row r="85" spans="1:15" ht="15" customHeight="1" x14ac:dyDescent="0.25">
      <c r="A85" s="1533"/>
      <c r="B85" s="185"/>
      <c r="C85" s="185"/>
      <c r="D85" s="185"/>
      <c r="E85" s="185"/>
      <c r="F85" s="185"/>
      <c r="G85" s="185"/>
      <c r="H85" s="185"/>
      <c r="I85" s="185"/>
      <c r="J85" s="185"/>
      <c r="K85" s="185"/>
      <c r="L85" s="185"/>
      <c r="M85" s="185"/>
      <c r="N85" s="185"/>
      <c r="O85" s="438"/>
    </row>
    <row r="86" spans="1:15" ht="45" customHeight="1" x14ac:dyDescent="0.25">
      <c r="A86" s="964" t="s">
        <v>2231</v>
      </c>
      <c r="B86" s="1220"/>
      <c r="C86" s="1220"/>
      <c r="D86" s="1220"/>
      <c r="E86" s="1207"/>
      <c r="F86" s="1207"/>
      <c r="G86" s="1207"/>
      <c r="H86" s="1207"/>
      <c r="I86" s="1207"/>
      <c r="J86" s="1207"/>
      <c r="K86" s="1207"/>
      <c r="L86" s="1207"/>
      <c r="M86" s="1207"/>
      <c r="N86" s="1207"/>
      <c r="O86" s="1241"/>
    </row>
    <row r="87" spans="1:15" ht="45" customHeight="1" x14ac:dyDescent="0.25">
      <c r="A87" s="412" t="s">
        <v>2232</v>
      </c>
      <c r="B87" s="104"/>
      <c r="C87" s="104"/>
      <c r="D87" s="104"/>
      <c r="E87" s="325"/>
      <c r="F87" s="325"/>
      <c r="G87" s="325"/>
      <c r="H87" s="325"/>
      <c r="I87" s="325"/>
      <c r="J87" s="325"/>
      <c r="K87" s="325"/>
      <c r="L87" s="325"/>
      <c r="M87" s="325"/>
      <c r="N87" s="325"/>
      <c r="O87" s="441"/>
    </row>
    <row r="88" spans="1:15" ht="45" customHeight="1" x14ac:dyDescent="0.25">
      <c r="A88" s="412"/>
      <c r="B88" s="1265"/>
      <c r="C88" s="1896"/>
      <c r="D88" s="1897"/>
      <c r="E88" s="1897"/>
      <c r="F88" s="1897"/>
      <c r="G88" s="1897"/>
      <c r="H88" s="1897"/>
      <c r="I88" s="1897"/>
      <c r="J88" s="1897"/>
      <c r="K88" s="1897"/>
      <c r="L88" s="1895" t="str">
        <f>IF(M88="", "", EDATE(M88,-12))</f>
        <v/>
      </c>
      <c r="M88" s="1895" t="str">
        <f>IF(N88="", "", EDATE(N88,-12))</f>
        <v/>
      </c>
      <c r="N88" s="1895" t="str">
        <f>IF(ISBLANK('General Info'!$C$4), "", 'General Info'!$C$4)</f>
        <v/>
      </c>
      <c r="O88" s="441"/>
    </row>
    <row r="89" spans="1:15" ht="30" customHeight="1" x14ac:dyDescent="0.25">
      <c r="A89" s="1533"/>
      <c r="B89" s="2364" t="s">
        <v>506</v>
      </c>
      <c r="C89" s="725"/>
      <c r="D89" s="725"/>
      <c r="E89" s="725"/>
      <c r="F89" s="1237"/>
      <c r="G89" s="1237"/>
      <c r="H89" s="1237"/>
      <c r="I89" s="1237"/>
      <c r="J89" s="969"/>
      <c r="K89" s="969"/>
      <c r="L89" s="1033" t="str">
        <f>IF(COUNT(L90:L94)=ROWS(L90:L94), SUM(L90:L94), "")</f>
        <v/>
      </c>
      <c r="M89" s="1033" t="str">
        <f>IF(COUNT(M90:M94)=ROWS(M90:M94), SUM(M90:M94), "")</f>
        <v/>
      </c>
      <c r="N89" s="1033" t="str">
        <f>IF(COUNT(N90:N94)=ROWS(N90:N94), SUM(N90:N94), "")</f>
        <v/>
      </c>
      <c r="O89" s="438"/>
    </row>
    <row r="90" spans="1:15" ht="15" customHeight="1" x14ac:dyDescent="0.25">
      <c r="A90" s="1533"/>
      <c r="B90" s="564" t="s">
        <v>296</v>
      </c>
      <c r="C90" s="683"/>
      <c r="D90" s="683"/>
      <c r="E90" s="683"/>
      <c r="F90" s="2366"/>
      <c r="G90" s="2366"/>
      <c r="H90" s="2366"/>
      <c r="I90" s="2366"/>
      <c r="J90" s="2366"/>
      <c r="K90" s="2366"/>
      <c r="L90" s="15"/>
      <c r="M90" s="15"/>
      <c r="N90" s="36"/>
      <c r="O90" s="438"/>
    </row>
    <row r="91" spans="1:15" ht="15" customHeight="1" x14ac:dyDescent="0.25">
      <c r="A91" s="1533"/>
      <c r="B91" s="564" t="s">
        <v>297</v>
      </c>
      <c r="C91" s="683"/>
      <c r="D91" s="683"/>
      <c r="E91" s="683"/>
      <c r="F91" s="2366"/>
      <c r="G91" s="2366"/>
      <c r="H91" s="2366"/>
      <c r="I91" s="2366"/>
      <c r="J91" s="2366"/>
      <c r="K91" s="2366"/>
      <c r="L91" s="15"/>
      <c r="M91" s="15"/>
      <c r="N91" s="36"/>
      <c r="O91" s="438"/>
    </row>
    <row r="92" spans="1:15" ht="15" customHeight="1" x14ac:dyDescent="0.25">
      <c r="A92" s="1533"/>
      <c r="B92" s="564" t="s">
        <v>298</v>
      </c>
      <c r="C92" s="683"/>
      <c r="D92" s="683"/>
      <c r="E92" s="683"/>
      <c r="F92" s="2366"/>
      <c r="G92" s="2366"/>
      <c r="H92" s="2366"/>
      <c r="I92" s="2366"/>
      <c r="J92" s="2366"/>
      <c r="K92" s="2366"/>
      <c r="L92" s="15"/>
      <c r="M92" s="15"/>
      <c r="N92" s="36"/>
      <c r="O92" s="438"/>
    </row>
    <row r="93" spans="1:15" ht="15" customHeight="1" x14ac:dyDescent="0.25">
      <c r="A93" s="1533"/>
      <c r="B93" s="565" t="s">
        <v>504</v>
      </c>
      <c r="C93" s="683"/>
      <c r="D93" s="683"/>
      <c r="E93" s="683"/>
      <c r="F93" s="2366"/>
      <c r="G93" s="2366"/>
      <c r="H93" s="2366"/>
      <c r="I93" s="2366"/>
      <c r="J93" s="2366"/>
      <c r="K93" s="2366"/>
      <c r="L93" s="15"/>
      <c r="M93" s="15"/>
      <c r="N93" s="36"/>
      <c r="O93" s="438"/>
    </row>
    <row r="94" spans="1:15" ht="15" customHeight="1" x14ac:dyDescent="0.25">
      <c r="A94" s="1533"/>
      <c r="B94" s="565" t="s">
        <v>2048</v>
      </c>
      <c r="C94" s="683"/>
      <c r="D94" s="683"/>
      <c r="E94" s="683"/>
      <c r="F94" s="2366"/>
      <c r="G94" s="2366"/>
      <c r="H94" s="2366"/>
      <c r="I94" s="2366"/>
      <c r="J94" s="2366"/>
      <c r="K94" s="2366"/>
      <c r="L94" s="187"/>
      <c r="M94" s="187"/>
      <c r="N94" s="36"/>
      <c r="O94" s="438"/>
    </row>
    <row r="95" spans="1:15" ht="15" customHeight="1" x14ac:dyDescent="0.25">
      <c r="A95" s="1533"/>
      <c r="B95" s="568" t="s">
        <v>2047</v>
      </c>
      <c r="C95" s="683"/>
      <c r="D95" s="683"/>
      <c r="E95" s="683"/>
      <c r="F95" s="2366"/>
      <c r="G95" s="2366"/>
      <c r="H95" s="2366"/>
      <c r="I95" s="2366"/>
      <c r="J95" s="2366"/>
      <c r="K95" s="2366"/>
      <c r="L95" s="560" t="str">
        <f>IF(COUNT(L90:L94)=ROWS(L90:L94), IF(OR(L94=0, AND(L94&gt;0, SUM(L90:L93)=0)), "Pass", "Fail"), "")</f>
        <v/>
      </c>
      <c r="M95" s="560" t="str">
        <f>IF(COUNT(M90:M94)=ROWS(M90:M94), IF(OR(M94=0, AND(M94&gt;0, SUM(M90:M93)=0)), "Pass", "Fail"), "")</f>
        <v/>
      </c>
      <c r="N95" s="2365" t="str">
        <f>IF(COUNT(N90:N94)=ROWS(N90:N94), IF(OR(N94=0, AND(N94&gt;0, SUM(N90:N93)=0)), "Pass", "Fail"), "")</f>
        <v/>
      </c>
      <c r="O95" s="438"/>
    </row>
    <row r="96" spans="1:15" ht="15" customHeight="1" x14ac:dyDescent="0.25">
      <c r="A96" s="1533"/>
      <c r="B96" s="2363" t="s">
        <v>507</v>
      </c>
      <c r="C96" s="683"/>
      <c r="D96" s="683"/>
      <c r="E96" s="683"/>
      <c r="F96" s="2366"/>
      <c r="G96" s="2366"/>
      <c r="H96" s="2366"/>
      <c r="I96" s="2366"/>
      <c r="J96" s="2366"/>
      <c r="K96" s="2366"/>
      <c r="L96" s="9" t="str">
        <f>IF(COUNT(L97:L102)=ROWS(L97:L102), SUM(L97:L102), "")</f>
        <v/>
      </c>
      <c r="M96" s="9" t="str">
        <f>IF(COUNT(M97:M102)=ROWS(M97:M102), SUM(M97:M102), "")</f>
        <v/>
      </c>
      <c r="N96" s="9" t="str">
        <f>IF(COUNT(N97:N102)=ROWS(N97:N102), SUM(N97:N102), "")</f>
        <v/>
      </c>
      <c r="O96" s="438"/>
    </row>
    <row r="97" spans="1:15" ht="15" customHeight="1" x14ac:dyDescent="0.25">
      <c r="A97" s="1533"/>
      <c r="B97" s="564" t="s">
        <v>296</v>
      </c>
      <c r="C97" s="683"/>
      <c r="D97" s="683"/>
      <c r="E97" s="683"/>
      <c r="F97" s="2366"/>
      <c r="G97" s="2366"/>
      <c r="H97" s="2366"/>
      <c r="I97" s="2366"/>
      <c r="J97" s="2366"/>
      <c r="K97" s="2366"/>
      <c r="L97" s="15"/>
      <c r="M97" s="15"/>
      <c r="N97" s="36"/>
      <c r="O97" s="438"/>
    </row>
    <row r="98" spans="1:15" ht="15" customHeight="1" x14ac:dyDescent="0.25">
      <c r="A98" s="1533"/>
      <c r="B98" s="564" t="s">
        <v>297</v>
      </c>
      <c r="C98" s="683"/>
      <c r="D98" s="683"/>
      <c r="E98" s="683"/>
      <c r="F98" s="2366"/>
      <c r="G98" s="2366"/>
      <c r="H98" s="2366"/>
      <c r="I98" s="2366"/>
      <c r="J98" s="2366"/>
      <c r="K98" s="2366"/>
      <c r="L98" s="15"/>
      <c r="M98" s="15"/>
      <c r="N98" s="36"/>
      <c r="O98" s="438"/>
    </row>
    <row r="99" spans="1:15" ht="15" customHeight="1" x14ac:dyDescent="0.25">
      <c r="A99" s="1533"/>
      <c r="B99" s="564" t="s">
        <v>298</v>
      </c>
      <c r="C99" s="683"/>
      <c r="D99" s="683"/>
      <c r="E99" s="683"/>
      <c r="F99" s="2366"/>
      <c r="G99" s="2366"/>
      <c r="H99" s="2366"/>
      <c r="I99" s="2366"/>
      <c r="J99" s="2366"/>
      <c r="K99" s="2366"/>
      <c r="L99" s="15"/>
      <c r="M99" s="15"/>
      <c r="N99" s="36"/>
      <c r="O99" s="438"/>
    </row>
    <row r="100" spans="1:15" ht="15" customHeight="1" x14ac:dyDescent="0.25">
      <c r="A100" s="1533"/>
      <c r="B100" s="564" t="s">
        <v>504</v>
      </c>
      <c r="C100" s="683"/>
      <c r="D100" s="683"/>
      <c r="E100" s="683"/>
      <c r="F100" s="2366"/>
      <c r="G100" s="2366"/>
      <c r="H100" s="2366"/>
      <c r="I100" s="2366"/>
      <c r="J100" s="2366"/>
      <c r="K100" s="2366"/>
      <c r="L100" s="15"/>
      <c r="M100" s="15"/>
      <c r="N100" s="36"/>
      <c r="O100" s="438"/>
    </row>
    <row r="101" spans="1:15" ht="15" customHeight="1" x14ac:dyDescent="0.25">
      <c r="A101" s="1533"/>
      <c r="B101" s="565" t="s">
        <v>2048</v>
      </c>
      <c r="C101" s="683"/>
      <c r="D101" s="683"/>
      <c r="E101" s="683"/>
      <c r="F101" s="2366"/>
      <c r="G101" s="2366"/>
      <c r="H101" s="2366"/>
      <c r="I101" s="2366"/>
      <c r="J101" s="2366"/>
      <c r="K101" s="2366"/>
      <c r="L101" s="15"/>
      <c r="M101" s="15"/>
      <c r="N101" s="36"/>
      <c r="O101" s="438"/>
    </row>
    <row r="102" spans="1:15" ht="15" customHeight="1" x14ac:dyDescent="0.25">
      <c r="A102" s="1533"/>
      <c r="B102" s="565" t="s">
        <v>522</v>
      </c>
      <c r="C102" s="683"/>
      <c r="D102" s="683"/>
      <c r="E102" s="683"/>
      <c r="F102" s="2366"/>
      <c r="G102" s="2366"/>
      <c r="H102" s="2366"/>
      <c r="I102" s="2366"/>
      <c r="J102" s="2366"/>
      <c r="K102" s="2366"/>
      <c r="L102" s="15"/>
      <c r="M102" s="15"/>
      <c r="N102" s="36"/>
      <c r="O102" s="438"/>
    </row>
    <row r="103" spans="1:15" ht="15" customHeight="1" x14ac:dyDescent="0.25">
      <c r="A103" s="1533"/>
      <c r="B103" s="572" t="s">
        <v>2046</v>
      </c>
      <c r="C103" s="23"/>
      <c r="D103" s="23"/>
      <c r="E103" s="23"/>
      <c r="F103" s="19"/>
      <c r="G103" s="19"/>
      <c r="H103" s="19"/>
      <c r="I103" s="19"/>
      <c r="J103" s="19"/>
      <c r="K103" s="19"/>
      <c r="L103" s="561" t="str">
        <f>IF(COUNT(L97:L102)=ROWS(L97:L102), IF(OR(L101=0, AND(L101&gt;0, SUM(L97:L100)=0)), "Pass", "Fail")," ")</f>
        <v xml:space="preserve"> </v>
      </c>
      <c r="M103" s="561" t="str">
        <f>IF(COUNT(M97:M102)=ROWS(M97:M102), IF(OR(M101=0, AND(M101&gt;0, SUM(M97:M100)=0)), "Pass", "Fail")," ")</f>
        <v xml:space="preserve"> </v>
      </c>
      <c r="N103" s="559" t="str">
        <f>IF(COUNT(N97:N102)=ROWS(N97:N102), IF(OR(N101=0, AND(N101&gt;0, SUM(N97:N100)=0)), "Pass", "Fail")," ")</f>
        <v xml:space="preserve"> </v>
      </c>
      <c r="O103" s="438"/>
    </row>
    <row r="104" spans="1:15" ht="45" customHeight="1" x14ac:dyDescent="0.25">
      <c r="A104" s="412" t="s">
        <v>2233</v>
      </c>
      <c r="B104" s="104"/>
      <c r="C104" s="325"/>
      <c r="D104" s="325"/>
      <c r="E104" s="325"/>
      <c r="F104" s="325"/>
      <c r="G104" s="325"/>
      <c r="H104" s="325"/>
      <c r="I104" s="325"/>
      <c r="J104" s="325"/>
      <c r="K104" s="325"/>
      <c r="L104" s="325"/>
      <c r="M104" s="325"/>
      <c r="N104" s="325"/>
      <c r="O104" s="441"/>
    </row>
    <row r="105" spans="1:15" ht="15" customHeight="1" x14ac:dyDescent="0.25">
      <c r="A105" s="412"/>
      <c r="B105" s="1265"/>
      <c r="C105" s="1896"/>
      <c r="D105" s="1897"/>
      <c r="E105" s="1897"/>
      <c r="F105" s="1897"/>
      <c r="G105" s="1897"/>
      <c r="H105" s="1897"/>
      <c r="I105" s="1897"/>
      <c r="J105" s="1897"/>
      <c r="K105" s="1897"/>
      <c r="L105" s="1895" t="str">
        <f>IF(M105="", "", EDATE(M105,-12))</f>
        <v/>
      </c>
      <c r="M105" s="1895" t="str">
        <f>IF(N105="", "", EDATE(N105,-12))</f>
        <v/>
      </c>
      <c r="N105" s="1895" t="str">
        <f>IF(ISBLANK('General Info'!$C$4), "", 'General Info'!$C$4)</f>
        <v/>
      </c>
      <c r="O105" s="441"/>
    </row>
    <row r="106" spans="1:15" ht="15" customHeight="1" x14ac:dyDescent="0.25">
      <c r="A106" s="1533"/>
      <c r="B106" s="724" t="s">
        <v>979</v>
      </c>
      <c r="C106" s="725"/>
      <c r="D106" s="725"/>
      <c r="E106" s="725"/>
      <c r="F106" s="1237"/>
      <c r="G106" s="1237"/>
      <c r="H106" s="1237"/>
      <c r="I106" s="1237"/>
      <c r="J106" s="1237"/>
      <c r="K106" s="1237"/>
      <c r="L106" s="1033" t="str">
        <f>IF(L84=Parameters!$D$430, IF(ISNUMBER(L81), L81*12.5, ""), IF(L84=Parameters!$D$431, IF(ISNUMBER(L82), L82*12.5, ""), IF(L84=Parameters!$D$432, IF(ISNUMBER(L83), L83*12.5, ""), "")))</f>
        <v/>
      </c>
      <c r="M106" s="1033" t="str">
        <f>IF(M84=Parameters!$D$430, IF(ISNUMBER(M81), M81*12.5, ""), IF(M84=Parameters!$D$431, IF(ISNUMBER(M82), M82*12.5, ""), IF(M84=Parameters!$D$432, IF(ISNUMBER(M83), M83*12.5, ""), "")))</f>
        <v/>
      </c>
      <c r="N106" s="1033" t="str">
        <f>IF(N84=Parameters!$D$430, IF(ISNUMBER(N81), N81*12.5, ""), IF(N84=Parameters!$D$431, IF(ISNUMBER(N82), N82*12.5, ""), IF(N84=Parameters!$D$432, IF(ISNUMBER(N83), N83*12.5, ""), "")))</f>
        <v/>
      </c>
      <c r="O106" s="438"/>
    </row>
    <row r="107" spans="1:15" ht="15" customHeight="1" x14ac:dyDescent="0.25">
      <c r="A107" s="1533"/>
      <c r="B107" s="330" t="s">
        <v>762</v>
      </c>
      <c r="C107" s="23"/>
      <c r="D107" s="23"/>
      <c r="E107" s="23"/>
      <c r="F107" s="19"/>
      <c r="G107" s="19"/>
      <c r="H107" s="19"/>
      <c r="I107" s="19"/>
      <c r="J107" s="19"/>
      <c r="K107" s="19"/>
      <c r="L107" s="26"/>
      <c r="M107" s="26"/>
      <c r="N107" s="2369"/>
      <c r="O107" s="438"/>
    </row>
    <row r="108" spans="1:15" ht="15" customHeight="1" x14ac:dyDescent="0.25">
      <c r="A108" s="1242"/>
      <c r="B108" s="1222"/>
      <c r="C108" s="1222"/>
      <c r="D108" s="1222"/>
      <c r="E108" s="1222"/>
      <c r="F108" s="1222"/>
      <c r="G108" s="1222"/>
      <c r="H108" s="1222"/>
      <c r="I108" s="1222"/>
      <c r="J108" s="1222"/>
      <c r="K108" s="1222"/>
      <c r="L108" s="1222"/>
      <c r="M108" s="1222"/>
      <c r="N108" s="1222"/>
      <c r="O108" s="1243"/>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9" priority="53" stopIfTrue="1" operator="lessThan">
      <formula>0</formula>
    </cfRule>
  </conditionalFormatting>
  <conditionalFormatting sqref="A1:O1048576">
    <cfRule type="cellIs" dxfId="8" priority="51" stopIfTrue="1" operator="equal">
      <formula>"Pass"</formula>
    </cfRule>
    <cfRule type="cellIs" dxfId="7" priority="52" stopIfTrue="1" operator="equal">
      <formula>"Fail"</formula>
    </cfRule>
  </conditionalFormatting>
  <dataValidations disablePrompts="1" count="1">
    <dataValidation type="list" showInputMessage="1" showErrorMessage="1" sqref="C29:N29" xr:uid="{00000000-0002-0000-11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32"/>
  <sheetViews>
    <sheetView zoomScale="75" zoomScaleNormal="75" workbookViewId="0">
      <pane ySplit="1" topLeftCell="A2" activePane="bottomLeft" state="frozen"/>
      <selection pane="bottomLeft" activeCell="E5" sqref="E5"/>
    </sheetView>
  </sheetViews>
  <sheetFormatPr defaultColWidth="0" defaultRowHeight="0" customHeight="1" zeroHeight="1" x14ac:dyDescent="0.25"/>
  <cols>
    <col min="1" max="1" width="1.7109375" style="1533" customWidth="1"/>
    <col min="2" max="2" width="60.7109375" style="1487" customWidth="1"/>
    <col min="3" max="8" width="18.7109375" style="1487" customWidth="1"/>
    <col min="9" max="9" width="40.7109375" style="1487" customWidth="1"/>
    <col min="10" max="10" width="1.7109375" style="438" customWidth="1"/>
    <col min="11" max="16384" width="11.42578125" hidden="1"/>
  </cols>
  <sheetData>
    <row r="1" spans="1:10" ht="30" customHeight="1" x14ac:dyDescent="0.55000000000000004">
      <c r="A1" s="1305" t="s">
        <v>49</v>
      </c>
      <c r="B1" s="1254"/>
      <c r="C1" s="1254"/>
      <c r="D1" s="1254"/>
      <c r="E1" s="1254"/>
      <c r="F1" s="1254"/>
      <c r="G1" s="1254"/>
      <c r="H1" s="1254"/>
      <c r="I1" s="1254"/>
      <c r="J1" s="1851"/>
    </row>
    <row r="2" spans="1:10" ht="30" customHeight="1" x14ac:dyDescent="0.3">
      <c r="A2" s="1852" t="s">
        <v>2238</v>
      </c>
      <c r="B2" s="1523"/>
      <c r="C2" s="1523"/>
      <c r="D2" s="1523"/>
      <c r="E2" s="1523"/>
      <c r="F2" s="1523"/>
      <c r="G2" s="1523"/>
      <c r="H2" s="1523"/>
      <c r="I2" s="1523"/>
      <c r="J2" s="526"/>
    </row>
    <row r="3" spans="1:10" ht="15" customHeight="1" x14ac:dyDescent="0.25">
      <c r="A3" s="415"/>
      <c r="B3" s="1523"/>
      <c r="C3" s="1523"/>
      <c r="D3" s="1523"/>
      <c r="E3" s="1523"/>
      <c r="F3" s="1523"/>
      <c r="G3" s="1523"/>
      <c r="H3" s="1523"/>
      <c r="I3" s="1523"/>
      <c r="J3" s="526"/>
    </row>
    <row r="4" spans="1:10" ht="15" customHeight="1" x14ac:dyDescent="0.25">
      <c r="A4" s="415"/>
      <c r="B4" s="987" t="s">
        <v>39</v>
      </c>
      <c r="C4" s="1853">
        <v>4</v>
      </c>
      <c r="D4" s="1853">
        <v>6</v>
      </c>
      <c r="E4" s="2525" t="s">
        <v>2299</v>
      </c>
      <c r="F4" s="2526">
        <v>0</v>
      </c>
      <c r="G4" s="1523"/>
      <c r="H4" s="2578" t="s">
        <v>2297</v>
      </c>
      <c r="I4" s="1523"/>
      <c r="J4" s="1854"/>
    </row>
    <row r="5" spans="1:10" ht="15" customHeight="1" x14ac:dyDescent="0.25">
      <c r="A5" s="415"/>
      <c r="B5" s="1523"/>
      <c r="C5" s="1523"/>
      <c r="D5" s="1523"/>
      <c r="E5" s="1523"/>
      <c r="F5" s="1523"/>
      <c r="G5" s="1523"/>
      <c r="H5" s="1523"/>
      <c r="I5" s="1523"/>
      <c r="J5" s="526"/>
    </row>
    <row r="6" spans="1:10" ht="45" customHeight="1" x14ac:dyDescent="0.3">
      <c r="A6" s="1855" t="s">
        <v>2239</v>
      </c>
      <c r="B6" s="1856"/>
      <c r="C6" s="1259"/>
      <c r="D6" s="1259"/>
      <c r="E6" s="1259"/>
      <c r="F6" s="1259"/>
      <c r="G6" s="1259"/>
      <c r="H6" s="1259"/>
      <c r="I6" s="1259"/>
      <c r="J6" s="1857"/>
    </row>
    <row r="7" spans="1:10" ht="45" customHeight="1" x14ac:dyDescent="0.25">
      <c r="A7" s="412" t="s">
        <v>2240</v>
      </c>
      <c r="B7" s="146"/>
      <c r="C7" s="146"/>
      <c r="D7" s="69"/>
      <c r="E7" s="69"/>
      <c r="F7" s="147"/>
      <c r="G7" s="325"/>
      <c r="H7" s="325"/>
      <c r="I7" s="325"/>
      <c r="J7" s="441"/>
    </row>
    <row r="8" spans="1:10" ht="15" customHeight="1" x14ac:dyDescent="0.25">
      <c r="A8" s="389"/>
      <c r="B8" s="855" t="s">
        <v>279</v>
      </c>
      <c r="C8" s="705"/>
      <c r="D8" s="705"/>
      <c r="E8" s="705"/>
      <c r="F8" s="719" t="s">
        <v>42</v>
      </c>
      <c r="G8" s="1484"/>
      <c r="H8" s="1484"/>
      <c r="I8" s="1484"/>
      <c r="J8" s="457"/>
    </row>
    <row r="9" spans="1:10" ht="15" customHeight="1" x14ac:dyDescent="0.25">
      <c r="A9" s="389"/>
      <c r="B9" s="1958" t="s">
        <v>280</v>
      </c>
      <c r="C9" s="141"/>
      <c r="D9" s="141"/>
      <c r="E9" s="141"/>
      <c r="F9" s="720" t="s">
        <v>42</v>
      </c>
      <c r="G9" s="1484"/>
      <c r="H9" s="1484"/>
      <c r="I9" s="1484"/>
      <c r="J9" s="457"/>
    </row>
    <row r="10" spans="1:10" ht="45" customHeight="1" x14ac:dyDescent="0.25">
      <c r="A10" s="412" t="s">
        <v>2241</v>
      </c>
      <c r="B10" s="964"/>
      <c r="C10" s="1858"/>
      <c r="D10" s="1859"/>
      <c r="E10" s="1859"/>
      <c r="F10" s="1860"/>
      <c r="G10" s="325"/>
      <c r="H10" s="325"/>
      <c r="I10" s="325"/>
      <c r="J10" s="441"/>
    </row>
    <row r="11" spans="1:10" ht="30" customHeight="1" x14ac:dyDescent="0.25">
      <c r="A11" s="389"/>
      <c r="B11" s="3189" t="s">
        <v>601</v>
      </c>
      <c r="C11" s="3189"/>
      <c r="D11" s="3189"/>
      <c r="E11" s="3190"/>
      <c r="F11" s="719" t="s">
        <v>42</v>
      </c>
      <c r="G11" s="1484"/>
      <c r="H11" s="1484"/>
      <c r="I11" s="1484"/>
      <c r="J11" s="457"/>
    </row>
    <row r="12" spans="1:10" ht="30" customHeight="1" x14ac:dyDescent="0.25">
      <c r="A12" s="389"/>
      <c r="B12" s="3191" t="s">
        <v>600</v>
      </c>
      <c r="C12" s="3191"/>
      <c r="D12" s="3191"/>
      <c r="E12" s="3192"/>
      <c r="F12" s="2527" t="s">
        <v>42</v>
      </c>
      <c r="G12" s="1484"/>
      <c r="H12" s="1484"/>
      <c r="I12" s="1484"/>
      <c r="J12" s="457"/>
    </row>
    <row r="13" spans="1:10" ht="30" customHeight="1" x14ac:dyDescent="0.25">
      <c r="A13" s="389"/>
      <c r="B13" s="411" t="s">
        <v>599</v>
      </c>
      <c r="C13" s="141"/>
      <c r="D13" s="141"/>
      <c r="E13" s="141"/>
      <c r="F13" s="720" t="s">
        <v>598</v>
      </c>
      <c r="G13" s="1484"/>
      <c r="H13" s="1484"/>
      <c r="I13" s="1484"/>
      <c r="J13" s="457"/>
    </row>
    <row r="14" spans="1:10" ht="15" customHeight="1" x14ac:dyDescent="0.3">
      <c r="A14" s="1861"/>
      <c r="B14" s="1862"/>
      <c r="C14" s="1863"/>
      <c r="D14" s="1863"/>
      <c r="E14" s="1863"/>
      <c r="F14" s="1863"/>
      <c r="G14" s="573"/>
      <c r="H14" s="573"/>
      <c r="I14" s="573"/>
      <c r="J14" s="1864"/>
    </row>
    <row r="15" spans="1:10" ht="45" customHeight="1" x14ac:dyDescent="0.3">
      <c r="A15" s="393" t="s">
        <v>2242</v>
      </c>
      <c r="B15" s="390"/>
      <c r="C15" s="391"/>
      <c r="D15" s="391"/>
      <c r="E15" s="391"/>
      <c r="F15" s="391"/>
      <c r="G15" s="391"/>
      <c r="H15" s="391"/>
      <c r="I15" s="391"/>
      <c r="J15" s="1865"/>
    </row>
    <row r="16" spans="1:10" ht="45" customHeight="1" x14ac:dyDescent="0.25">
      <c r="A16" s="2327" t="s">
        <v>2243</v>
      </c>
      <c r="B16" s="2328"/>
      <c r="C16" s="2328"/>
      <c r="D16" s="2329"/>
      <c r="E16" s="2529"/>
      <c r="F16" s="2330"/>
      <c r="G16" s="2326"/>
      <c r="H16" s="2326"/>
      <c r="I16" s="2326"/>
      <c r="J16" s="439"/>
    </row>
    <row r="17" spans="1:10" ht="15" customHeight="1" x14ac:dyDescent="0.25">
      <c r="A17" s="2323"/>
      <c r="B17" s="3200"/>
      <c r="C17" s="3200"/>
      <c r="D17" s="3200"/>
      <c r="E17" s="3200"/>
      <c r="F17" s="3205" t="s">
        <v>163</v>
      </c>
      <c r="G17" s="3205"/>
      <c r="H17" s="3205"/>
      <c r="I17" s="2331"/>
      <c r="J17" s="439"/>
    </row>
    <row r="18" spans="1:10" ht="30" customHeight="1" x14ac:dyDescent="0.25">
      <c r="A18" s="2323"/>
      <c r="B18" s="3201"/>
      <c r="C18" s="3201"/>
      <c r="D18" s="3201"/>
      <c r="E18" s="3201"/>
      <c r="F18" s="707" t="s">
        <v>161</v>
      </c>
      <c r="G18" s="1332" t="s">
        <v>170</v>
      </c>
      <c r="H18" s="1324" t="s">
        <v>162</v>
      </c>
      <c r="I18" s="2215"/>
      <c r="J18" s="439"/>
    </row>
    <row r="19" spans="1:10" ht="15" customHeight="1" x14ac:dyDescent="0.25">
      <c r="A19" s="2323"/>
      <c r="B19" s="2517" t="str">
        <f>NSFR!B53</f>
        <v>RSF from central bank assets; of which:</v>
      </c>
      <c r="C19" s="2493"/>
      <c r="D19" s="2493"/>
      <c r="E19" s="2493"/>
      <c r="F19" s="710"/>
      <c r="G19" s="711"/>
      <c r="H19" s="712"/>
      <c r="I19" s="2215"/>
      <c r="J19" s="439"/>
    </row>
    <row r="20" spans="1:10" ht="15" customHeight="1" x14ac:dyDescent="0.25">
      <c r="A20" s="2324"/>
      <c r="B20" s="153" t="str">
        <f>NSFR!B54</f>
        <v>Coins and banknotes</v>
      </c>
      <c r="C20" s="39"/>
      <c r="D20" s="39"/>
      <c r="E20" s="39"/>
      <c r="F20" s="713">
        <v>0</v>
      </c>
      <c r="G20" s="16"/>
      <c r="H20" s="1297"/>
      <c r="I20" s="2325"/>
      <c r="J20" s="439"/>
    </row>
    <row r="21" spans="1:10" ht="15" customHeight="1" x14ac:dyDescent="0.25">
      <c r="A21" s="2324"/>
      <c r="B21" s="153" t="str">
        <f>NSFR!B55</f>
        <v>Total central bank reserves</v>
      </c>
      <c r="C21" s="2333"/>
      <c r="D21" s="2333"/>
      <c r="E21" s="2333"/>
      <c r="F21" s="713">
        <v>0</v>
      </c>
      <c r="G21" s="713">
        <v>0</v>
      </c>
      <c r="H21" s="708">
        <v>0</v>
      </c>
      <c r="I21" s="2325"/>
      <c r="J21" s="439"/>
    </row>
    <row r="22" spans="1:10" ht="15" customHeight="1" x14ac:dyDescent="0.25">
      <c r="A22" s="2324"/>
      <c r="B22" s="152" t="str">
        <f>NSFR!B56</f>
        <v xml:space="preserve">Of which are required central bank reserves </v>
      </c>
      <c r="C22" s="2333"/>
      <c r="D22" s="2333"/>
      <c r="E22" s="2333"/>
      <c r="F22" s="713">
        <v>0</v>
      </c>
      <c r="G22" s="713">
        <v>0</v>
      </c>
      <c r="H22" s="708">
        <v>0</v>
      </c>
      <c r="I22" s="2325"/>
      <c r="J22" s="439"/>
    </row>
    <row r="23" spans="1:10" ht="15" hidden="1" customHeight="1" x14ac:dyDescent="0.25">
      <c r="A23" s="2324"/>
      <c r="B23" s="92"/>
      <c r="C23" s="92"/>
      <c r="D23" s="92"/>
      <c r="E23" s="92"/>
      <c r="F23" s="279"/>
      <c r="G23" s="16"/>
      <c r="H23" s="1297"/>
      <c r="I23" s="2325"/>
      <c r="J23" s="439"/>
    </row>
    <row r="24" spans="1:10" ht="15" hidden="1" customHeight="1" x14ac:dyDescent="0.25">
      <c r="A24" s="2324"/>
      <c r="B24" s="92"/>
      <c r="C24" s="92"/>
      <c r="D24" s="92"/>
      <c r="E24" s="92"/>
      <c r="F24" s="279"/>
      <c r="G24" s="16"/>
      <c r="H24" s="1297"/>
      <c r="I24" s="2325"/>
      <c r="J24" s="439"/>
    </row>
    <row r="25" spans="1:10" ht="45" customHeight="1" x14ac:dyDescent="0.25">
      <c r="A25" s="2324"/>
      <c r="B25" s="2989"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5" s="2989"/>
      <c r="D25" s="2989"/>
      <c r="E25" s="2989"/>
      <c r="F25" s="279"/>
      <c r="G25" s="16"/>
      <c r="H25" s="1297"/>
      <c r="I25" s="2325"/>
      <c r="J25" s="439"/>
    </row>
    <row r="26" spans="1:10" ht="15" customHeight="1" x14ac:dyDescent="0.25">
      <c r="A26" s="2324"/>
      <c r="B26" s="2492" t="str">
        <f>NSFR!B60</f>
        <v>Unencumbered</v>
      </c>
      <c r="C26" s="2333"/>
      <c r="D26" s="2333"/>
      <c r="E26" s="2333"/>
      <c r="F26" s="713">
        <v>0</v>
      </c>
      <c r="G26" s="713">
        <v>0</v>
      </c>
      <c r="H26" s="708">
        <v>0</v>
      </c>
      <c r="I26" s="2325"/>
      <c r="J26" s="439"/>
    </row>
    <row r="27" spans="1:10" ht="15" customHeight="1" x14ac:dyDescent="0.25">
      <c r="A27" s="2324"/>
      <c r="B27" s="2492" t="str">
        <f>NSFR!B61</f>
        <v>Remaining period of encumbrance &lt; 6 months</v>
      </c>
      <c r="C27" s="2333"/>
      <c r="D27" s="2333"/>
      <c r="E27" s="2333"/>
      <c r="F27" s="713">
        <v>0</v>
      </c>
      <c r="G27" s="713">
        <v>0</v>
      </c>
      <c r="H27" s="708">
        <v>0</v>
      </c>
      <c r="I27" s="2325"/>
      <c r="J27" s="439"/>
    </row>
    <row r="28" spans="1:10" ht="15" customHeight="1" x14ac:dyDescent="0.25">
      <c r="A28" s="2324"/>
      <c r="B28" s="2492" t="str">
        <f>NSFR!B62</f>
        <v>Remaining period of encumbrance ≥ 6 months to &lt; 1 year</v>
      </c>
      <c r="C28" s="2333"/>
      <c r="D28" s="2333"/>
      <c r="E28" s="2333"/>
      <c r="F28" s="713">
        <v>0</v>
      </c>
      <c r="G28" s="713">
        <v>0</v>
      </c>
      <c r="H28" s="708">
        <v>0</v>
      </c>
      <c r="I28" s="2325"/>
      <c r="J28" s="439"/>
    </row>
    <row r="29" spans="1:10" ht="15" customHeight="1" x14ac:dyDescent="0.25">
      <c r="A29" s="2324"/>
      <c r="B29" s="2492" t="str">
        <f>NSFR!B63</f>
        <v>Remaining period of encumbrance ≥ 1 year</v>
      </c>
      <c r="C29" s="2333"/>
      <c r="D29" s="2333"/>
      <c r="E29" s="2333"/>
      <c r="F29" s="713">
        <v>0</v>
      </c>
      <c r="G29" s="713">
        <v>0</v>
      </c>
      <c r="H29" s="708">
        <v>0</v>
      </c>
      <c r="I29" s="2325"/>
      <c r="J29" s="439"/>
    </row>
    <row r="30" spans="1:10" ht="15" customHeight="1" x14ac:dyDescent="0.25">
      <c r="A30" s="2324"/>
      <c r="B30" s="2339" t="str">
        <f>NSFR!B64</f>
        <v>Encumbered for exceptional CB liquidity operations, ≥ 6 months to &lt; 1 year</v>
      </c>
      <c r="C30" s="2333"/>
      <c r="D30" s="2333"/>
      <c r="E30" s="2333"/>
      <c r="F30" s="713"/>
      <c r="G30" s="713"/>
      <c r="H30" s="708"/>
      <c r="I30" s="2325"/>
      <c r="J30" s="439"/>
    </row>
    <row r="31" spans="1:10" ht="15" customHeight="1" x14ac:dyDescent="0.25">
      <c r="A31" s="2324"/>
      <c r="B31" s="2339" t="str">
        <f>NSFR!B65</f>
        <v>Encumbered for exceptional CB liquidity operations, ≥ 1 year</v>
      </c>
      <c r="C31" s="2333"/>
      <c r="D31" s="2333"/>
      <c r="E31" s="2333"/>
      <c r="F31" s="713"/>
      <c r="G31" s="713"/>
      <c r="H31" s="708"/>
      <c r="I31" s="2325"/>
      <c r="J31" s="439"/>
    </row>
    <row r="32" spans="1:10" ht="15" hidden="1" customHeight="1" x14ac:dyDescent="0.25">
      <c r="A32" s="2324"/>
      <c r="B32" s="92"/>
      <c r="C32" s="92"/>
      <c r="D32" s="92"/>
      <c r="E32" s="92"/>
      <c r="F32" s="279"/>
      <c r="G32" s="16"/>
      <c r="H32" s="1297"/>
      <c r="I32" s="2325"/>
      <c r="J32" s="439"/>
    </row>
    <row r="33" spans="1:10" ht="15" hidden="1" customHeight="1" x14ac:dyDescent="0.25">
      <c r="A33" s="2324"/>
      <c r="B33" s="92"/>
      <c r="C33" s="92"/>
      <c r="D33" s="92"/>
      <c r="E33" s="92"/>
      <c r="F33" s="279"/>
      <c r="G33" s="16"/>
      <c r="H33" s="1297"/>
      <c r="I33" s="2325"/>
      <c r="J33" s="439"/>
    </row>
    <row r="34" spans="1:10" ht="30" customHeight="1" x14ac:dyDescent="0.25">
      <c r="A34" s="2324"/>
      <c r="B34" s="2989" t="str">
        <f>NSFR!B68</f>
        <v>Deposits held at other banks which are members of the same cooperative network of banks and which are subject to national discretion according to NSF30.14FN7</v>
      </c>
      <c r="C34" s="2989"/>
      <c r="D34" s="2989"/>
      <c r="E34" s="2989"/>
      <c r="F34" s="713"/>
      <c r="G34" s="713"/>
      <c r="H34" s="708">
        <v>1</v>
      </c>
      <c r="I34" s="2325"/>
      <c r="J34" s="439"/>
    </row>
    <row r="35" spans="1:10" ht="15" hidden="1" customHeight="1" x14ac:dyDescent="0.25">
      <c r="A35" s="2324"/>
      <c r="B35" s="16"/>
      <c r="C35" s="92"/>
      <c r="D35" s="92"/>
      <c r="E35" s="92"/>
      <c r="F35" s="279"/>
      <c r="G35" s="16"/>
      <c r="H35" s="1297"/>
      <c r="I35" s="2325"/>
      <c r="J35" s="439"/>
    </row>
    <row r="36" spans="1:10" ht="15" customHeight="1" x14ac:dyDescent="0.25">
      <c r="A36" s="2324"/>
      <c r="B36" s="2531" t="str">
        <f>NSFR!B69</f>
        <v>Other deposits at other banks which are members of the same cooperative network of banks; of which:</v>
      </c>
      <c r="C36" s="2333"/>
      <c r="D36" s="2333"/>
      <c r="E36" s="2333"/>
      <c r="F36" s="279"/>
      <c r="G36" s="16"/>
      <c r="H36" s="1297"/>
      <c r="I36" s="2325"/>
      <c r="J36" s="439"/>
    </row>
    <row r="37" spans="1:10" ht="15" customHeight="1" x14ac:dyDescent="0.25">
      <c r="A37" s="2324"/>
      <c r="B37" s="2492" t="str">
        <f>NSFR!B70</f>
        <v>Unencumbered</v>
      </c>
      <c r="C37" s="2333"/>
      <c r="D37" s="2333"/>
      <c r="E37" s="2333"/>
      <c r="F37" s="713">
        <v>0.15</v>
      </c>
      <c r="G37" s="713">
        <v>0.5</v>
      </c>
      <c r="H37" s="708">
        <v>1</v>
      </c>
      <c r="I37" s="2325"/>
      <c r="J37" s="439"/>
    </row>
    <row r="38" spans="1:10" ht="15" customHeight="1" x14ac:dyDescent="0.25">
      <c r="A38" s="2324"/>
      <c r="B38" s="2489" t="str">
        <f>NSFR!B71</f>
        <v>Remaining period of encumbrance &lt; 6 months</v>
      </c>
      <c r="C38" s="2333"/>
      <c r="D38" s="2333"/>
      <c r="E38" s="2333"/>
      <c r="F38" s="713">
        <v>0.15</v>
      </c>
      <c r="G38" s="713">
        <v>0.5</v>
      </c>
      <c r="H38" s="708">
        <v>1</v>
      </c>
      <c r="I38" s="2325"/>
      <c r="J38" s="439"/>
    </row>
    <row r="39" spans="1:10" ht="15" customHeight="1" x14ac:dyDescent="0.25">
      <c r="A39" s="2324"/>
      <c r="B39" s="2489" t="str">
        <f>NSFR!B72</f>
        <v>Remaining period of encumbrance ≥ 6 months to &lt; 1 year</v>
      </c>
      <c r="C39" s="2333"/>
      <c r="D39" s="2333"/>
      <c r="E39" s="2333"/>
      <c r="F39" s="713">
        <v>0.5</v>
      </c>
      <c r="G39" s="713">
        <v>0.5</v>
      </c>
      <c r="H39" s="708">
        <v>1</v>
      </c>
      <c r="I39" s="2325"/>
      <c r="J39" s="439"/>
    </row>
    <row r="40" spans="1:10" ht="15" customHeight="1" x14ac:dyDescent="0.25">
      <c r="A40" s="2324"/>
      <c r="B40" s="2489" t="str">
        <f>NSFR!B73</f>
        <v>Remaining period of encumbrance ≥ 1 year</v>
      </c>
      <c r="C40" s="2333"/>
      <c r="D40" s="2333"/>
      <c r="E40" s="2333"/>
      <c r="F40" s="713">
        <v>1</v>
      </c>
      <c r="G40" s="713">
        <v>1</v>
      </c>
      <c r="H40" s="708">
        <v>1</v>
      </c>
      <c r="I40" s="2325"/>
      <c r="J40" s="439"/>
    </row>
    <row r="41" spans="1:10" ht="15" hidden="1" customHeight="1" x14ac:dyDescent="0.25">
      <c r="A41" s="2324"/>
      <c r="B41" s="92"/>
      <c r="C41" s="92"/>
      <c r="D41" s="92"/>
      <c r="E41" s="92"/>
      <c r="F41" s="279"/>
      <c r="G41" s="16"/>
      <c r="H41" s="1297"/>
      <c r="I41" s="2325"/>
      <c r="J41" s="439"/>
    </row>
    <row r="42" spans="1:10" ht="15" hidden="1" customHeight="1" x14ac:dyDescent="0.25">
      <c r="A42" s="2324"/>
      <c r="B42" s="92"/>
      <c r="C42" s="92"/>
      <c r="D42" s="92"/>
      <c r="E42" s="92"/>
      <c r="F42" s="279"/>
      <c r="G42" s="16"/>
      <c r="H42" s="1297"/>
      <c r="I42" s="2325"/>
      <c r="J42" s="439"/>
    </row>
    <row r="43" spans="1:10" ht="15" customHeight="1" x14ac:dyDescent="0.25">
      <c r="A43" s="2324"/>
      <c r="B43" s="2332" t="str">
        <f>NSFR!B76</f>
        <v>Loans to financial institutions, of which:</v>
      </c>
      <c r="C43" s="2333"/>
      <c r="D43" s="2333"/>
      <c r="E43" s="2333"/>
      <c r="F43" s="279"/>
      <c r="G43" s="16"/>
      <c r="H43" s="1297"/>
      <c r="I43" s="2325"/>
      <c r="J43" s="439"/>
    </row>
    <row r="44" spans="1:10" ht="15" customHeight="1" x14ac:dyDescent="0.25">
      <c r="A44" s="2324"/>
      <c r="B44" s="2686" t="str">
        <f>NSFR!B77</f>
        <v>Loans to financial institutions secured by Level 1 collateral and where the bank has the ability to freely rehypothecate the received collateral for the life of the loan; of which:</v>
      </c>
      <c r="C44" s="2686"/>
      <c r="D44" s="2686"/>
      <c r="E44" s="2687"/>
      <c r="F44" s="279"/>
      <c r="G44" s="16"/>
      <c r="H44" s="1297"/>
      <c r="I44" s="2325"/>
      <c r="J44" s="439"/>
    </row>
    <row r="45" spans="1:10" ht="15" customHeight="1" x14ac:dyDescent="0.25">
      <c r="A45" s="2324"/>
      <c r="B45" s="2489" t="str">
        <f>NSFR!B78</f>
        <v>Unencumbered</v>
      </c>
      <c r="C45" s="2333"/>
      <c r="D45" s="2333"/>
      <c r="E45" s="2333"/>
      <c r="F45" s="713">
        <v>0.1</v>
      </c>
      <c r="G45" s="713">
        <v>0.5</v>
      </c>
      <c r="H45" s="708">
        <v>1</v>
      </c>
      <c r="I45" s="2325"/>
      <c r="J45" s="439"/>
    </row>
    <row r="46" spans="1:10" ht="15" customHeight="1" x14ac:dyDescent="0.25">
      <c r="A46" s="2324"/>
      <c r="B46" s="2489" t="str">
        <f>NSFR!B79</f>
        <v>Remaining period of encumbrance &lt; 6 months</v>
      </c>
      <c r="C46" s="2333"/>
      <c r="D46" s="2333"/>
      <c r="E46" s="2333"/>
      <c r="F46" s="713">
        <v>0.1</v>
      </c>
      <c r="G46" s="713">
        <v>0.5</v>
      </c>
      <c r="H46" s="708">
        <v>1</v>
      </c>
      <c r="I46" s="2325"/>
      <c r="J46" s="439"/>
    </row>
    <row r="47" spans="1:10" ht="15" customHeight="1" x14ac:dyDescent="0.25">
      <c r="A47" s="2324"/>
      <c r="B47" s="2489" t="str">
        <f>NSFR!B80</f>
        <v>Remaining period of encumbrance ≥ 6 months to &lt; 1 year</v>
      </c>
      <c r="C47" s="2333"/>
      <c r="D47" s="2333"/>
      <c r="E47" s="2333"/>
      <c r="F47" s="713">
        <v>0.5</v>
      </c>
      <c r="G47" s="713">
        <v>0.5</v>
      </c>
      <c r="H47" s="708">
        <v>1</v>
      </c>
      <c r="I47" s="2325"/>
      <c r="J47" s="439"/>
    </row>
    <row r="48" spans="1:10" ht="15" customHeight="1" x14ac:dyDescent="0.25">
      <c r="A48" s="2324"/>
      <c r="B48" s="2489" t="str">
        <f>NSFR!B81</f>
        <v>Remaining period of encumbrance ≥ 1 year</v>
      </c>
      <c r="C48" s="2333"/>
      <c r="D48" s="2333"/>
      <c r="E48" s="2333"/>
      <c r="F48" s="713">
        <v>1</v>
      </c>
      <c r="G48" s="713">
        <v>1</v>
      </c>
      <c r="H48" s="708">
        <v>1</v>
      </c>
      <c r="I48" s="2325"/>
      <c r="J48" s="439"/>
    </row>
    <row r="49" spans="1:10" ht="15" customHeight="1" x14ac:dyDescent="0.25">
      <c r="A49" s="2324"/>
      <c r="B49" s="2530" t="str">
        <f>NSFR!B82</f>
        <v>Encumbered for exceptional CB liquidity operations, ≥ 6 months to &lt; 1 year</v>
      </c>
      <c r="C49" s="2333"/>
      <c r="D49" s="2333"/>
      <c r="E49" s="2333"/>
      <c r="F49" s="713"/>
      <c r="G49" s="713"/>
      <c r="H49" s="708"/>
      <c r="I49" s="2325"/>
      <c r="J49" s="439"/>
    </row>
    <row r="50" spans="1:10" ht="15" customHeight="1" x14ac:dyDescent="0.25">
      <c r="A50" s="2324"/>
      <c r="B50" s="2530" t="str">
        <f>NSFR!B83</f>
        <v>Encumbered for exceptional CB liquidity operations, ≥ 1 year</v>
      </c>
      <c r="C50" s="2333"/>
      <c r="D50" s="2333"/>
      <c r="E50" s="2333"/>
      <c r="F50" s="713"/>
      <c r="G50" s="713"/>
      <c r="H50" s="708"/>
      <c r="I50" s="2325"/>
      <c r="J50" s="439"/>
    </row>
    <row r="51" spans="1:10" ht="15" hidden="1" customHeight="1" x14ac:dyDescent="0.25">
      <c r="A51" s="2324"/>
      <c r="B51" s="92"/>
      <c r="C51" s="92"/>
      <c r="D51" s="92"/>
      <c r="E51" s="92"/>
      <c r="F51" s="279"/>
      <c r="G51" s="16"/>
      <c r="H51" s="1297"/>
      <c r="I51" s="2325"/>
      <c r="J51" s="439"/>
    </row>
    <row r="52" spans="1:10" ht="15" hidden="1" customHeight="1" x14ac:dyDescent="0.25">
      <c r="A52" s="2324"/>
      <c r="B52" s="92"/>
      <c r="C52" s="92"/>
      <c r="D52" s="92"/>
      <c r="E52" s="92"/>
      <c r="F52" s="279"/>
      <c r="G52" s="16"/>
      <c r="H52" s="1297"/>
      <c r="I52" s="2325"/>
      <c r="J52" s="439"/>
    </row>
    <row r="53" spans="1:10" ht="15" customHeight="1" x14ac:dyDescent="0.25">
      <c r="A53" s="2324"/>
      <c r="B53" s="2686" t="str">
        <f>NSFR!B86</f>
        <v>All other secured loans to financial institutions, of which:</v>
      </c>
      <c r="C53" s="2686"/>
      <c r="D53" s="2686"/>
      <c r="E53" s="2687"/>
      <c r="F53" s="279"/>
      <c r="G53" s="16"/>
      <c r="H53" s="1297"/>
      <c r="I53" s="2325"/>
      <c r="J53" s="439"/>
    </row>
    <row r="54" spans="1:10" ht="15" customHeight="1" x14ac:dyDescent="0.25">
      <c r="A54" s="2324"/>
      <c r="B54" s="2489" t="str">
        <f>NSFR!B87</f>
        <v>Unencumbered</v>
      </c>
      <c r="C54" s="2333"/>
      <c r="D54" s="2333"/>
      <c r="E54" s="2333"/>
      <c r="F54" s="713">
        <v>0.15</v>
      </c>
      <c r="G54" s="713">
        <v>0.5</v>
      </c>
      <c r="H54" s="708">
        <v>1</v>
      </c>
      <c r="I54" s="2325"/>
      <c r="J54" s="439"/>
    </row>
    <row r="55" spans="1:10" ht="15" customHeight="1" x14ac:dyDescent="0.25">
      <c r="A55" s="2324"/>
      <c r="B55" s="2489" t="str">
        <f>NSFR!B88</f>
        <v>Remaining period of encumbrance &lt; 6 months</v>
      </c>
      <c r="C55" s="2333"/>
      <c r="D55" s="2333"/>
      <c r="E55" s="2333"/>
      <c r="F55" s="713">
        <v>0.15</v>
      </c>
      <c r="G55" s="713">
        <v>0.5</v>
      </c>
      <c r="H55" s="708">
        <v>1</v>
      </c>
      <c r="I55" s="2325"/>
      <c r="J55" s="439"/>
    </row>
    <row r="56" spans="1:10" ht="15" customHeight="1" x14ac:dyDescent="0.25">
      <c r="A56" s="2324"/>
      <c r="B56" s="2489" t="str">
        <f>NSFR!B89</f>
        <v>Remaining period of encumbrance ≥ 6 months to &lt; 1 year</v>
      </c>
      <c r="C56" s="2333"/>
      <c r="D56" s="2333"/>
      <c r="E56" s="2333"/>
      <c r="F56" s="713">
        <v>0.5</v>
      </c>
      <c r="G56" s="713">
        <v>0.5</v>
      </c>
      <c r="H56" s="708">
        <v>1</v>
      </c>
      <c r="I56" s="2325"/>
      <c r="J56" s="439"/>
    </row>
    <row r="57" spans="1:10" ht="15" customHeight="1" x14ac:dyDescent="0.25">
      <c r="A57" s="2324"/>
      <c r="B57" s="2489" t="str">
        <f>NSFR!B90</f>
        <v>Remaining period of encumbrance ≥ 1 year</v>
      </c>
      <c r="C57" s="2333"/>
      <c r="D57" s="2333"/>
      <c r="E57" s="2333"/>
      <c r="F57" s="713">
        <v>1</v>
      </c>
      <c r="G57" s="713">
        <v>1</v>
      </c>
      <c r="H57" s="708">
        <v>1</v>
      </c>
      <c r="I57" s="2325"/>
      <c r="J57" s="439"/>
    </row>
    <row r="58" spans="1:10" ht="15" customHeight="1" x14ac:dyDescent="0.25">
      <c r="A58" s="2324"/>
      <c r="B58" s="2530" t="str">
        <f>NSFR!B91</f>
        <v>Encumbered for exceptional CB liquidity operations, ≥ 6 months to &lt; 1 year</v>
      </c>
      <c r="C58" s="2333"/>
      <c r="D58" s="2333"/>
      <c r="E58" s="2333"/>
      <c r="F58" s="713"/>
      <c r="G58" s="713"/>
      <c r="H58" s="708"/>
      <c r="I58" s="2325"/>
      <c r="J58" s="439"/>
    </row>
    <row r="59" spans="1:10" ht="15" customHeight="1" x14ac:dyDescent="0.25">
      <c r="A59" s="2324"/>
      <c r="B59" s="2530" t="str">
        <f>NSFR!B92</f>
        <v>Encumbered for exceptional CB liquidity operations, ≥ 1 year</v>
      </c>
      <c r="C59" s="2333"/>
      <c r="D59" s="2333"/>
      <c r="E59" s="2333"/>
      <c r="F59" s="713"/>
      <c r="G59" s="713"/>
      <c r="H59" s="708"/>
      <c r="I59" s="2325"/>
      <c r="J59" s="439"/>
    </row>
    <row r="60" spans="1:10" ht="15" hidden="1" customHeight="1" x14ac:dyDescent="0.25">
      <c r="A60" s="2324"/>
      <c r="B60" s="92"/>
      <c r="C60" s="92"/>
      <c r="D60" s="92"/>
      <c r="E60" s="92"/>
      <c r="F60" s="279"/>
      <c r="G60" s="16"/>
      <c r="H60" s="1297"/>
      <c r="I60" s="2325"/>
      <c r="J60" s="439"/>
    </row>
    <row r="61" spans="1:10" ht="15" hidden="1" customHeight="1" x14ac:dyDescent="0.25">
      <c r="A61" s="2324"/>
      <c r="B61" s="92"/>
      <c r="C61" s="92"/>
      <c r="D61" s="92"/>
      <c r="E61" s="92"/>
      <c r="F61" s="279"/>
      <c r="G61" s="16"/>
      <c r="H61" s="1297"/>
      <c r="I61" s="2325"/>
      <c r="J61" s="439"/>
    </row>
    <row r="62" spans="1:10" ht="15" customHeight="1" x14ac:dyDescent="0.25">
      <c r="A62" s="2324"/>
      <c r="B62" s="2686" t="str">
        <f>NSFR!B95</f>
        <v>Unsecured loans to financial institutions, of which:</v>
      </c>
      <c r="C62" s="2686"/>
      <c r="D62" s="2686"/>
      <c r="E62" s="2687"/>
      <c r="F62" s="279"/>
      <c r="G62" s="16"/>
      <c r="H62" s="1297"/>
      <c r="I62" s="2325"/>
      <c r="J62" s="439"/>
    </row>
    <row r="63" spans="1:10" ht="15" customHeight="1" x14ac:dyDescent="0.25">
      <c r="A63" s="2324"/>
      <c r="B63" s="2489" t="str">
        <f>NSFR!B96</f>
        <v>Unencumbered</v>
      </c>
      <c r="C63" s="2333"/>
      <c r="D63" s="2333"/>
      <c r="E63" s="2333"/>
      <c r="F63" s="713">
        <v>0.15</v>
      </c>
      <c r="G63" s="713">
        <v>0.5</v>
      </c>
      <c r="H63" s="708">
        <v>1</v>
      </c>
      <c r="I63" s="2325"/>
      <c r="J63" s="439"/>
    </row>
    <row r="64" spans="1:10" ht="15" customHeight="1" x14ac:dyDescent="0.25">
      <c r="A64" s="2324"/>
      <c r="B64" s="2489" t="str">
        <f>NSFR!B97</f>
        <v>Remaining period of encumbrance &lt; 6 months</v>
      </c>
      <c r="C64" s="2333"/>
      <c r="D64" s="2333"/>
      <c r="E64" s="2333"/>
      <c r="F64" s="713">
        <v>0.15</v>
      </c>
      <c r="G64" s="713">
        <v>0.5</v>
      </c>
      <c r="H64" s="708">
        <v>1</v>
      </c>
      <c r="I64" s="2325"/>
      <c r="J64" s="439"/>
    </row>
    <row r="65" spans="1:10" ht="15" customHeight="1" x14ac:dyDescent="0.25">
      <c r="A65" s="2324"/>
      <c r="B65" s="2489" t="str">
        <f>NSFR!B98</f>
        <v>Remaining period of encumbrance ≥ 6 months to &lt; 1 year</v>
      </c>
      <c r="C65" s="2333"/>
      <c r="D65" s="2333"/>
      <c r="E65" s="2333"/>
      <c r="F65" s="713">
        <v>0.5</v>
      </c>
      <c r="G65" s="713">
        <v>0.5</v>
      </c>
      <c r="H65" s="708">
        <v>1</v>
      </c>
      <c r="I65" s="2325"/>
      <c r="J65" s="439"/>
    </row>
    <row r="66" spans="1:10" ht="15" customHeight="1" x14ac:dyDescent="0.25">
      <c r="A66" s="2324"/>
      <c r="B66" s="2489" t="str">
        <f>NSFR!B99</f>
        <v>Remaining period of encumbrance ≥ 1 year</v>
      </c>
      <c r="C66" s="2333"/>
      <c r="D66" s="2333"/>
      <c r="E66" s="2333"/>
      <c r="F66" s="713">
        <v>1</v>
      </c>
      <c r="G66" s="713">
        <v>1</v>
      </c>
      <c r="H66" s="708">
        <v>1</v>
      </c>
      <c r="I66" s="2325"/>
      <c r="J66" s="439"/>
    </row>
    <row r="67" spans="1:10" ht="15" customHeight="1" x14ac:dyDescent="0.25">
      <c r="A67" s="2324"/>
      <c r="B67" s="2530" t="str">
        <f>NSFR!B100</f>
        <v>Encumbered for exceptional CB liquidity operations, ≥ 6 months to &lt; 1 year</v>
      </c>
      <c r="C67" s="2333"/>
      <c r="D67" s="2333"/>
      <c r="E67" s="2333"/>
      <c r="F67" s="713"/>
      <c r="G67" s="713"/>
      <c r="H67" s="708"/>
      <c r="I67" s="2325"/>
      <c r="J67" s="439"/>
    </row>
    <row r="68" spans="1:10" ht="15" customHeight="1" x14ac:dyDescent="0.25">
      <c r="A68" s="2324"/>
      <c r="B68" s="2530" t="str">
        <f>NSFR!B101</f>
        <v>Encumbered for exceptional CB liquidity operations, ≥ 1 year</v>
      </c>
      <c r="C68" s="2333"/>
      <c r="D68" s="2333"/>
      <c r="E68" s="2333"/>
      <c r="F68" s="713"/>
      <c r="G68" s="713"/>
      <c r="H68" s="708"/>
      <c r="I68" s="2325"/>
      <c r="J68" s="439"/>
    </row>
    <row r="69" spans="1:10" ht="15" hidden="1" customHeight="1" x14ac:dyDescent="0.25">
      <c r="A69" s="2324"/>
      <c r="B69" s="92"/>
      <c r="C69" s="92"/>
      <c r="D69" s="92"/>
      <c r="E69" s="92"/>
      <c r="F69" s="279"/>
      <c r="G69" s="16"/>
      <c r="H69" s="1297"/>
      <c r="I69" s="2325"/>
      <c r="J69" s="439"/>
    </row>
    <row r="70" spans="1:10" ht="15" hidden="1" customHeight="1" x14ac:dyDescent="0.25">
      <c r="A70" s="2324"/>
      <c r="B70" s="92"/>
      <c r="C70" s="92"/>
      <c r="D70" s="92"/>
      <c r="E70" s="92"/>
      <c r="F70" s="279"/>
      <c r="G70" s="16"/>
      <c r="H70" s="1297"/>
      <c r="I70" s="2325"/>
      <c r="J70" s="439"/>
    </row>
    <row r="71" spans="1:10" ht="15" hidden="1" customHeight="1" x14ac:dyDescent="0.25">
      <c r="A71" s="2324"/>
      <c r="B71" s="92"/>
      <c r="C71" s="92"/>
      <c r="D71" s="92"/>
      <c r="E71" s="92"/>
      <c r="F71" s="279"/>
      <c r="G71" s="16"/>
      <c r="H71" s="1297"/>
      <c r="I71" s="2325"/>
      <c r="J71" s="439"/>
    </row>
    <row r="72" spans="1:10" ht="15" hidden="1" customHeight="1" x14ac:dyDescent="0.25">
      <c r="A72" s="2324"/>
      <c r="B72" s="92"/>
      <c r="C72" s="92"/>
      <c r="D72" s="92"/>
      <c r="E72" s="92"/>
      <c r="F72" s="279"/>
      <c r="G72" s="16"/>
      <c r="H72" s="1297"/>
      <c r="I72" s="2325"/>
      <c r="J72" s="439"/>
    </row>
    <row r="73" spans="1:10" ht="15" hidden="1" customHeight="1" x14ac:dyDescent="0.25">
      <c r="A73" s="2324"/>
      <c r="B73" s="92"/>
      <c r="C73" s="92"/>
      <c r="D73" s="92"/>
      <c r="E73" s="92"/>
      <c r="F73" s="279"/>
      <c r="G73" s="16"/>
      <c r="H73" s="1297"/>
      <c r="I73" s="2325"/>
      <c r="J73" s="439"/>
    </row>
    <row r="74" spans="1:10" ht="15" hidden="1" customHeight="1" x14ac:dyDescent="0.25">
      <c r="A74" s="2324"/>
      <c r="B74" s="92"/>
      <c r="C74" s="92"/>
      <c r="D74" s="92"/>
      <c r="E74" s="92"/>
      <c r="F74" s="279"/>
      <c r="G74" s="16"/>
      <c r="H74" s="1297"/>
      <c r="I74" s="2325"/>
      <c r="J74" s="439"/>
    </row>
    <row r="75" spans="1:10" ht="15" hidden="1" customHeight="1" x14ac:dyDescent="0.25">
      <c r="A75" s="2324"/>
      <c r="B75" s="92"/>
      <c r="C75" s="92"/>
      <c r="D75" s="92"/>
      <c r="E75" s="92"/>
      <c r="F75" s="279"/>
      <c r="G75" s="16"/>
      <c r="H75" s="1297"/>
      <c r="I75" s="2325"/>
      <c r="J75" s="439"/>
    </row>
    <row r="76" spans="1:10" ht="15" hidden="1" customHeight="1" x14ac:dyDescent="0.25">
      <c r="A76" s="2324"/>
      <c r="B76" s="92"/>
      <c r="C76" s="92"/>
      <c r="D76" s="92"/>
      <c r="E76" s="92"/>
      <c r="F76" s="279"/>
      <c r="G76" s="16"/>
      <c r="H76" s="1297"/>
      <c r="I76" s="2325"/>
      <c r="J76" s="439"/>
    </row>
    <row r="77" spans="1:10" ht="15" hidden="1" customHeight="1" x14ac:dyDescent="0.25">
      <c r="A77" s="2324"/>
      <c r="B77" s="92"/>
      <c r="C77" s="92"/>
      <c r="D77" s="92"/>
      <c r="E77" s="92"/>
      <c r="F77" s="279"/>
      <c r="G77" s="16"/>
      <c r="H77" s="1297"/>
      <c r="I77" s="2325"/>
      <c r="J77" s="439"/>
    </row>
    <row r="78" spans="1:10" ht="15" hidden="1" customHeight="1" x14ac:dyDescent="0.25">
      <c r="A78" s="2324"/>
      <c r="B78" s="92"/>
      <c r="C78" s="92"/>
      <c r="D78" s="92"/>
      <c r="E78" s="92"/>
      <c r="F78" s="279"/>
      <c r="G78" s="16"/>
      <c r="H78" s="1297"/>
      <c r="I78" s="2325"/>
      <c r="J78" s="439"/>
    </row>
    <row r="79" spans="1:10" ht="15" hidden="1" customHeight="1" x14ac:dyDescent="0.25">
      <c r="A79" s="2324"/>
      <c r="B79" s="92"/>
      <c r="C79" s="92"/>
      <c r="D79" s="92"/>
      <c r="E79" s="92"/>
      <c r="F79" s="279"/>
      <c r="G79" s="16"/>
      <c r="H79" s="1297"/>
      <c r="I79" s="2325"/>
      <c r="J79" s="439"/>
    </row>
    <row r="80" spans="1:10" ht="15" customHeight="1" x14ac:dyDescent="0.25">
      <c r="A80" s="2324"/>
      <c r="B80" s="2332" t="str">
        <f>NSFR!B113</f>
        <v>Securities eligible as HQLA; of which:</v>
      </c>
      <c r="C80" s="2333"/>
      <c r="D80" s="2333"/>
      <c r="E80" s="2333"/>
      <c r="F80" s="279"/>
      <c r="G80" s="16"/>
      <c r="H80" s="1297"/>
      <c r="I80" s="2325"/>
      <c r="J80" s="439"/>
    </row>
    <row r="81" spans="1:10" ht="15" customHeight="1" x14ac:dyDescent="0.25">
      <c r="A81" s="2324"/>
      <c r="B81" s="2492" t="str">
        <f>NSFR!B114</f>
        <v>Securities eligible as Level 1 HQLA for the LCR, of which:</v>
      </c>
      <c r="C81" s="2333"/>
      <c r="D81" s="2333"/>
      <c r="E81" s="2333"/>
      <c r="F81" s="279"/>
      <c r="G81" s="16"/>
      <c r="H81" s="1297"/>
      <c r="I81" s="2325"/>
      <c r="J81" s="439"/>
    </row>
    <row r="82" spans="1:10" ht="15" customHeight="1" x14ac:dyDescent="0.25">
      <c r="A82" s="2324"/>
      <c r="B82" s="2489" t="str">
        <f>NSFR!B115</f>
        <v>Unencumbered</v>
      </c>
      <c r="C82" s="2333"/>
      <c r="D82" s="2333"/>
      <c r="E82" s="2333"/>
      <c r="F82" s="713">
        <v>0.05</v>
      </c>
      <c r="G82" s="713">
        <v>0.05</v>
      </c>
      <c r="H82" s="708">
        <v>0.05</v>
      </c>
      <c r="I82" s="2325"/>
      <c r="J82" s="439"/>
    </row>
    <row r="83" spans="1:10" ht="15" customHeight="1" x14ac:dyDescent="0.25">
      <c r="A83" s="2324"/>
      <c r="B83" s="2489" t="str">
        <f>NSFR!B116</f>
        <v>Remaining period of encumbrance &lt; 6 months</v>
      </c>
      <c r="C83" s="2333"/>
      <c r="D83" s="2333"/>
      <c r="E83" s="2333"/>
      <c r="F83" s="713">
        <v>0.05</v>
      </c>
      <c r="G83" s="713">
        <v>0.05</v>
      </c>
      <c r="H83" s="708">
        <v>0.05</v>
      </c>
      <c r="I83" s="2325"/>
      <c r="J83" s="439"/>
    </row>
    <row r="84" spans="1:10" ht="15" customHeight="1" x14ac:dyDescent="0.25">
      <c r="A84" s="2324"/>
      <c r="B84" s="2489" t="str">
        <f>NSFR!B117</f>
        <v>Remaining period of encumbrance ≥ 6 months to &lt; 1 year</v>
      </c>
      <c r="C84" s="2333"/>
      <c r="D84" s="2333"/>
      <c r="E84" s="2333"/>
      <c r="F84" s="713">
        <v>0.5</v>
      </c>
      <c r="G84" s="713">
        <v>0.5</v>
      </c>
      <c r="H84" s="708">
        <v>0.5</v>
      </c>
      <c r="I84" s="2325"/>
      <c r="J84" s="439"/>
    </row>
    <row r="85" spans="1:10" ht="15" customHeight="1" x14ac:dyDescent="0.25">
      <c r="A85" s="2324"/>
      <c r="B85" s="2489" t="str">
        <f>NSFR!B118</f>
        <v>Remaining period of encumbrance ≥ 1 year</v>
      </c>
      <c r="C85" s="2333"/>
      <c r="D85" s="2333"/>
      <c r="E85" s="2333"/>
      <c r="F85" s="713">
        <v>1</v>
      </c>
      <c r="G85" s="713">
        <v>1</v>
      </c>
      <c r="H85" s="708">
        <v>1</v>
      </c>
      <c r="I85" s="2325"/>
      <c r="J85" s="439"/>
    </row>
    <row r="86" spans="1:10" ht="15" customHeight="1" x14ac:dyDescent="0.25">
      <c r="A86" s="2324"/>
      <c r="B86" s="2530" t="str">
        <f>NSFR!B119</f>
        <v>Encumbered for exceptional CB liquidity operations, ≥ 6 months to &lt; 1 year</v>
      </c>
      <c r="C86" s="2333"/>
      <c r="D86" s="2333"/>
      <c r="E86" s="2333"/>
      <c r="F86" s="713"/>
      <c r="G86" s="713"/>
      <c r="H86" s="708"/>
      <c r="I86" s="2325"/>
      <c r="J86" s="439"/>
    </row>
    <row r="87" spans="1:10" ht="15" customHeight="1" x14ac:dyDescent="0.25">
      <c r="A87" s="2324"/>
      <c r="B87" s="2530" t="str">
        <f>NSFR!B120</f>
        <v>Encumbered for exceptional CB liquidity operations, ≥ 1 year</v>
      </c>
      <c r="C87" s="2333"/>
      <c r="D87" s="2333"/>
      <c r="E87" s="2333"/>
      <c r="F87" s="713"/>
      <c r="G87" s="713"/>
      <c r="H87" s="708"/>
      <c r="I87" s="2325"/>
      <c r="J87" s="439"/>
    </row>
    <row r="88" spans="1:10" ht="15" hidden="1" customHeight="1" x14ac:dyDescent="0.25">
      <c r="A88" s="2324"/>
      <c r="B88" s="92"/>
      <c r="C88" s="92"/>
      <c r="D88" s="92"/>
      <c r="E88" s="92"/>
      <c r="F88" s="279"/>
      <c r="G88" s="16"/>
      <c r="H88" s="1297"/>
      <c r="I88" s="2325"/>
      <c r="J88" s="439"/>
    </row>
    <row r="89" spans="1:10" ht="15" hidden="1" customHeight="1" x14ac:dyDescent="0.25">
      <c r="A89" s="2324"/>
      <c r="B89" s="92"/>
      <c r="C89" s="92"/>
      <c r="D89" s="92"/>
      <c r="E89" s="92"/>
      <c r="F89" s="279"/>
      <c r="G89" s="16"/>
      <c r="H89" s="1297"/>
      <c r="I89" s="2325"/>
      <c r="J89" s="439"/>
    </row>
    <row r="90" spans="1:10" ht="15" customHeight="1" x14ac:dyDescent="0.25">
      <c r="A90" s="2324"/>
      <c r="B90" s="2492" t="str">
        <f>NSFR!B123</f>
        <v>Securities eligible for Level 2A HQLA for the LCR, of which:</v>
      </c>
      <c r="C90" s="2333"/>
      <c r="D90" s="2333"/>
      <c r="E90" s="2333"/>
      <c r="F90" s="279"/>
      <c r="G90" s="16"/>
      <c r="H90" s="1297"/>
      <c r="I90" s="2325"/>
      <c r="J90" s="439"/>
    </row>
    <row r="91" spans="1:10" ht="15" customHeight="1" x14ac:dyDescent="0.25">
      <c r="A91" s="2324"/>
      <c r="B91" s="2489" t="str">
        <f>NSFR!B124</f>
        <v>Unencumbered</v>
      </c>
      <c r="C91" s="2333"/>
      <c r="D91" s="2333"/>
      <c r="E91" s="2333"/>
      <c r="F91" s="713">
        <v>0.15</v>
      </c>
      <c r="G91" s="713">
        <v>0.15</v>
      </c>
      <c r="H91" s="708">
        <v>0.15</v>
      </c>
      <c r="I91" s="2325"/>
      <c r="J91" s="439"/>
    </row>
    <row r="92" spans="1:10" ht="15" customHeight="1" x14ac:dyDescent="0.25">
      <c r="A92" s="2324"/>
      <c r="B92" s="2342" t="str">
        <f>NSFR!B125</f>
        <v>Remaining period of encumbrance &lt; 6 months</v>
      </c>
      <c r="C92" s="2333"/>
      <c r="D92" s="2333"/>
      <c r="E92" s="2333"/>
      <c r="F92" s="713">
        <v>0.15</v>
      </c>
      <c r="G92" s="713">
        <v>0.15</v>
      </c>
      <c r="H92" s="708">
        <v>0.15</v>
      </c>
      <c r="I92" s="2325"/>
      <c r="J92" s="439"/>
    </row>
    <row r="93" spans="1:10" ht="15" customHeight="1" x14ac:dyDescent="0.25">
      <c r="A93" s="2324"/>
      <c r="B93" s="2342" t="str">
        <f>NSFR!B126</f>
        <v>Remaining period of encumbrance ≥ 6 months to &lt; 1 year</v>
      </c>
      <c r="C93" s="2333"/>
      <c r="D93" s="2333"/>
      <c r="E93" s="2333"/>
      <c r="F93" s="713">
        <v>0.5</v>
      </c>
      <c r="G93" s="713">
        <v>0.5</v>
      </c>
      <c r="H93" s="708">
        <v>0.5</v>
      </c>
      <c r="I93" s="2325"/>
      <c r="J93" s="439"/>
    </row>
    <row r="94" spans="1:10" ht="15" customHeight="1" x14ac:dyDescent="0.25">
      <c r="A94" s="2324"/>
      <c r="B94" s="2530" t="str">
        <f>NSFR!B127</f>
        <v>Remaining period of encumbrance ≥ 1 year</v>
      </c>
      <c r="C94" s="2333"/>
      <c r="D94" s="2333"/>
      <c r="E94" s="2333"/>
      <c r="F94" s="713">
        <v>1</v>
      </c>
      <c r="G94" s="713">
        <v>1</v>
      </c>
      <c r="H94" s="708">
        <v>1</v>
      </c>
      <c r="I94" s="2325"/>
      <c r="J94" s="439"/>
    </row>
    <row r="95" spans="1:10" ht="15" customHeight="1" x14ac:dyDescent="0.25">
      <c r="A95" s="2324"/>
      <c r="B95" s="2530" t="str">
        <f>NSFR!B128</f>
        <v>Encumbered for exceptional CB liquidity operations, ≥ 6 months to &lt; 1 year</v>
      </c>
      <c r="C95" s="2333"/>
      <c r="D95" s="2333"/>
      <c r="E95" s="2333"/>
      <c r="F95" s="713"/>
      <c r="G95" s="713"/>
      <c r="H95" s="708"/>
      <c r="I95" s="2325"/>
      <c r="J95" s="439"/>
    </row>
    <row r="96" spans="1:10" ht="15" customHeight="1" x14ac:dyDescent="0.25">
      <c r="A96" s="2324"/>
      <c r="B96" s="2530" t="str">
        <f>NSFR!B129</f>
        <v>Encumbered for exceptional CB liquidity operations, ≥ 1 year</v>
      </c>
      <c r="C96" s="2333"/>
      <c r="D96" s="2333"/>
      <c r="E96" s="2333"/>
      <c r="F96" s="713"/>
      <c r="G96" s="713"/>
      <c r="H96" s="708"/>
      <c r="I96" s="2325"/>
      <c r="J96" s="439"/>
    </row>
    <row r="97" spans="1:10" ht="15" hidden="1" customHeight="1" x14ac:dyDescent="0.25">
      <c r="A97" s="2324"/>
      <c r="B97" s="92"/>
      <c r="C97" s="92"/>
      <c r="D97" s="92"/>
      <c r="E97" s="92"/>
      <c r="F97" s="279"/>
      <c r="G97" s="16"/>
      <c r="H97" s="1297"/>
      <c r="I97" s="2325"/>
      <c r="J97" s="439"/>
    </row>
    <row r="98" spans="1:10" ht="15" hidden="1" customHeight="1" x14ac:dyDescent="0.25">
      <c r="A98" s="2324"/>
      <c r="B98" s="92"/>
      <c r="C98" s="92"/>
      <c r="D98" s="92"/>
      <c r="E98" s="92"/>
      <c r="F98" s="279"/>
      <c r="G98" s="16"/>
      <c r="H98" s="1297"/>
      <c r="I98" s="2325"/>
      <c r="J98" s="439"/>
    </row>
    <row r="99" spans="1:10" ht="15" customHeight="1" x14ac:dyDescent="0.25">
      <c r="A99" s="2324"/>
      <c r="B99" s="2492" t="str">
        <f>NSFR!B132</f>
        <v xml:space="preserve">Securities eligible for Level 2B HQLA for the LCR, of which: </v>
      </c>
      <c r="C99" s="2333"/>
      <c r="D99" s="2333"/>
      <c r="E99" s="2333"/>
      <c r="F99" s="279"/>
      <c r="G99" s="16"/>
      <c r="H99" s="1297"/>
      <c r="I99" s="2325"/>
      <c r="J99" s="439"/>
    </row>
    <row r="100" spans="1:10" ht="15" customHeight="1" x14ac:dyDescent="0.25">
      <c r="A100" s="2324"/>
      <c r="B100" s="2489" t="str">
        <f>NSFR!B133</f>
        <v>Unencumbered</v>
      </c>
      <c r="C100" s="2333"/>
      <c r="D100" s="2333"/>
      <c r="E100" s="2333"/>
      <c r="F100" s="713">
        <v>0.5</v>
      </c>
      <c r="G100" s="713">
        <v>0.5</v>
      </c>
      <c r="H100" s="708">
        <v>0.5</v>
      </c>
      <c r="I100" s="2325"/>
      <c r="J100" s="439"/>
    </row>
    <row r="101" spans="1:10" ht="15" customHeight="1" x14ac:dyDescent="0.25">
      <c r="A101" s="2324"/>
      <c r="B101" s="2342" t="str">
        <f>NSFR!B134</f>
        <v>Remaining period of encumbrance &lt; 6 months</v>
      </c>
      <c r="C101" s="2333"/>
      <c r="D101" s="2333"/>
      <c r="E101" s="2333"/>
      <c r="F101" s="713">
        <v>0.5</v>
      </c>
      <c r="G101" s="713">
        <v>0.5</v>
      </c>
      <c r="H101" s="708">
        <v>0.5</v>
      </c>
      <c r="I101" s="2325"/>
      <c r="J101" s="439"/>
    </row>
    <row r="102" spans="1:10" ht="15" customHeight="1" x14ac:dyDescent="0.25">
      <c r="A102" s="2324"/>
      <c r="B102" s="2342" t="str">
        <f>NSFR!B135</f>
        <v>Remaining period of encumbrance ≥ 6 months to &lt; 1 year</v>
      </c>
      <c r="C102" s="2333"/>
      <c r="D102" s="2333"/>
      <c r="E102" s="2333"/>
      <c r="F102" s="713">
        <v>0.5</v>
      </c>
      <c r="G102" s="713">
        <v>0.5</v>
      </c>
      <c r="H102" s="708">
        <v>0.5</v>
      </c>
      <c r="I102" s="2325"/>
      <c r="J102" s="439"/>
    </row>
    <row r="103" spans="1:10" ht="15" customHeight="1" x14ac:dyDescent="0.25">
      <c r="A103" s="2324"/>
      <c r="B103" s="2342" t="str">
        <f>NSFR!B136</f>
        <v>Remaining period of encumbrance ≥ 1 year</v>
      </c>
      <c r="C103" s="2333"/>
      <c r="D103" s="2333"/>
      <c r="E103" s="2333"/>
      <c r="F103" s="713">
        <v>1</v>
      </c>
      <c r="G103" s="713">
        <v>1</v>
      </c>
      <c r="H103" s="708">
        <v>1</v>
      </c>
      <c r="I103" s="2325"/>
      <c r="J103" s="439"/>
    </row>
    <row r="104" spans="1:10" ht="15" customHeight="1" x14ac:dyDescent="0.25">
      <c r="A104" s="2324"/>
      <c r="B104" s="2530" t="str">
        <f>NSFR!B137</f>
        <v>Encumbered for exceptional CB liquidity operations, ≥ 6 months to &lt; 1 year</v>
      </c>
      <c r="C104" s="2333"/>
      <c r="D104" s="2333"/>
      <c r="E104" s="2333"/>
      <c r="F104" s="713"/>
      <c r="G104" s="713"/>
      <c r="H104" s="708"/>
      <c r="I104" s="2325"/>
      <c r="J104" s="439"/>
    </row>
    <row r="105" spans="1:10" ht="15" customHeight="1" x14ac:dyDescent="0.25">
      <c r="A105" s="2324"/>
      <c r="B105" s="2530" t="str">
        <f>NSFR!B138</f>
        <v>Encumbered for exceptional CB liquidity operations, ≥ 1 year</v>
      </c>
      <c r="C105" s="2333"/>
      <c r="D105" s="2333"/>
      <c r="E105" s="2333"/>
      <c r="F105" s="713"/>
      <c r="G105" s="713"/>
      <c r="H105" s="708"/>
      <c r="I105" s="2325"/>
      <c r="J105" s="439"/>
    </row>
    <row r="106" spans="1:10" ht="15" hidden="1" customHeight="1" x14ac:dyDescent="0.25">
      <c r="A106" s="2324"/>
      <c r="B106" s="92"/>
      <c r="C106" s="92"/>
      <c r="D106" s="92"/>
      <c r="E106" s="92"/>
      <c r="F106" s="279"/>
      <c r="G106" s="16"/>
      <c r="H106" s="1297"/>
      <c r="I106" s="2325"/>
      <c r="J106" s="439"/>
    </row>
    <row r="107" spans="1:10" ht="15" hidden="1" customHeight="1" x14ac:dyDescent="0.25">
      <c r="A107" s="2324"/>
      <c r="B107" s="92"/>
      <c r="C107" s="92"/>
      <c r="D107" s="92"/>
      <c r="E107" s="92"/>
      <c r="F107" s="279"/>
      <c r="G107" s="16"/>
      <c r="H107" s="1297"/>
      <c r="I107" s="2325"/>
      <c r="J107" s="439"/>
    </row>
    <row r="108" spans="1:10" ht="15" hidden="1" customHeight="1" x14ac:dyDescent="0.25">
      <c r="A108" s="2324"/>
      <c r="B108" s="92"/>
      <c r="C108" s="92"/>
      <c r="D108" s="92"/>
      <c r="E108" s="92"/>
      <c r="F108" s="279"/>
      <c r="G108" s="16"/>
      <c r="H108" s="1297"/>
      <c r="I108" s="2325"/>
      <c r="J108" s="439"/>
    </row>
    <row r="109" spans="1:10" ht="15" hidden="1" customHeight="1" x14ac:dyDescent="0.25">
      <c r="A109" s="2324"/>
      <c r="B109" s="92"/>
      <c r="C109" s="92"/>
      <c r="D109" s="92"/>
      <c r="E109" s="92"/>
      <c r="F109" s="279"/>
      <c r="G109" s="16"/>
      <c r="H109" s="1297"/>
      <c r="I109" s="2325"/>
      <c r="J109" s="439"/>
    </row>
    <row r="110" spans="1:10" ht="15" hidden="1" customHeight="1" x14ac:dyDescent="0.25">
      <c r="A110" s="2324"/>
      <c r="B110" s="92"/>
      <c r="C110" s="92"/>
      <c r="D110" s="92"/>
      <c r="E110" s="92"/>
      <c r="F110" s="279"/>
      <c r="G110" s="16"/>
      <c r="H110" s="1297"/>
      <c r="I110" s="2325"/>
      <c r="J110" s="439"/>
    </row>
    <row r="111" spans="1:10" ht="15" hidden="1" customHeight="1" x14ac:dyDescent="0.25">
      <c r="A111" s="2324"/>
      <c r="B111" s="92"/>
      <c r="C111" s="92"/>
      <c r="D111" s="92"/>
      <c r="E111" s="92"/>
      <c r="F111" s="279"/>
      <c r="G111" s="16"/>
      <c r="H111" s="1297"/>
      <c r="I111" s="2325"/>
      <c r="J111" s="439"/>
    </row>
    <row r="112" spans="1:10" ht="15" hidden="1" customHeight="1" x14ac:dyDescent="0.25">
      <c r="A112" s="2324"/>
      <c r="B112" s="92"/>
      <c r="C112" s="92"/>
      <c r="D112" s="92"/>
      <c r="E112" s="92"/>
      <c r="F112" s="279"/>
      <c r="G112" s="16"/>
      <c r="H112" s="1297"/>
      <c r="I112" s="2325"/>
      <c r="J112" s="439"/>
    </row>
    <row r="113" spans="1:10" ht="15" hidden="1" customHeight="1" x14ac:dyDescent="0.25">
      <c r="A113" s="2324"/>
      <c r="B113" s="92"/>
      <c r="C113" s="92"/>
      <c r="D113" s="92"/>
      <c r="E113" s="92"/>
      <c r="F113" s="279"/>
      <c r="G113" s="16"/>
      <c r="H113" s="1297"/>
      <c r="I113" s="2325"/>
      <c r="J113" s="439"/>
    </row>
    <row r="114" spans="1:10" ht="15" hidden="1" customHeight="1" x14ac:dyDescent="0.25">
      <c r="A114" s="2324"/>
      <c r="B114" s="92"/>
      <c r="C114" s="92"/>
      <c r="D114" s="92"/>
      <c r="E114" s="92"/>
      <c r="F114" s="279"/>
      <c r="G114" s="16"/>
      <c r="H114" s="1297"/>
      <c r="I114" s="2325"/>
      <c r="J114" s="439"/>
    </row>
    <row r="115" spans="1:10" ht="15" hidden="1" customHeight="1" x14ac:dyDescent="0.25">
      <c r="A115" s="2324"/>
      <c r="B115" s="92"/>
      <c r="C115" s="92"/>
      <c r="D115" s="92"/>
      <c r="E115" s="92"/>
      <c r="F115" s="279"/>
      <c r="G115" s="16"/>
      <c r="H115" s="1297"/>
      <c r="I115" s="2325"/>
      <c r="J115" s="439"/>
    </row>
    <row r="116" spans="1:10" ht="15" hidden="1" customHeight="1" x14ac:dyDescent="0.25">
      <c r="A116" s="2324"/>
      <c r="B116" s="92"/>
      <c r="C116" s="92"/>
      <c r="D116" s="92"/>
      <c r="E116" s="92"/>
      <c r="F116" s="279"/>
      <c r="G116" s="16"/>
      <c r="H116" s="1297"/>
      <c r="I116" s="2325"/>
      <c r="J116" s="439"/>
    </row>
    <row r="117" spans="1:10" ht="15" customHeight="1" x14ac:dyDescent="0.25">
      <c r="A117" s="2324"/>
      <c r="B117" s="3196" t="str">
        <f>NSFR!B150</f>
        <v>Deposits held at financial institutions for operational purposes; of which:</v>
      </c>
      <c r="C117" s="3196"/>
      <c r="D117" s="3196"/>
      <c r="E117" s="3197"/>
      <c r="F117" s="279"/>
      <c r="G117" s="16"/>
      <c r="H117" s="1297"/>
      <c r="I117" s="2325"/>
      <c r="J117" s="439"/>
    </row>
    <row r="118" spans="1:10" ht="15" customHeight="1" x14ac:dyDescent="0.25">
      <c r="A118" s="2324"/>
      <c r="B118" s="2492" t="str">
        <f>NSFR!B151</f>
        <v>Unencumbered</v>
      </c>
      <c r="C118" s="2532"/>
      <c r="D118" s="2532"/>
      <c r="E118" s="2532"/>
      <c r="F118" s="713">
        <v>0.5</v>
      </c>
      <c r="G118" s="713">
        <v>0.5</v>
      </c>
      <c r="H118" s="708">
        <v>1</v>
      </c>
      <c r="I118" s="2325"/>
      <c r="J118" s="439"/>
    </row>
    <row r="119" spans="1:10" ht="15" customHeight="1" x14ac:dyDescent="0.25">
      <c r="A119" s="2324"/>
      <c r="B119" s="2492" t="str">
        <f>NSFR!B152</f>
        <v>Remaining period of encumbrance &lt; 6 months</v>
      </c>
      <c r="C119" s="2333"/>
      <c r="D119" s="2333"/>
      <c r="E119" s="2333"/>
      <c r="F119" s="713">
        <v>0.5</v>
      </c>
      <c r="G119" s="713">
        <v>0.5</v>
      </c>
      <c r="H119" s="708">
        <v>1</v>
      </c>
      <c r="I119" s="2325"/>
      <c r="J119" s="439"/>
    </row>
    <row r="120" spans="1:10" ht="15" customHeight="1" x14ac:dyDescent="0.25">
      <c r="A120" s="2324"/>
      <c r="B120" s="2492" t="str">
        <f>NSFR!B153</f>
        <v>Remaining period of encumbrance ≥ 6 months to &lt; 1 year</v>
      </c>
      <c r="C120" s="2333"/>
      <c r="D120" s="2333"/>
      <c r="E120" s="2333"/>
      <c r="F120" s="713">
        <v>0.5</v>
      </c>
      <c r="G120" s="713">
        <v>0.5</v>
      </c>
      <c r="H120" s="708">
        <v>1</v>
      </c>
      <c r="I120" s="2325"/>
      <c r="J120" s="439"/>
    </row>
    <row r="121" spans="1:10" ht="15" customHeight="1" x14ac:dyDescent="0.25">
      <c r="A121" s="2324"/>
      <c r="B121" s="2492" t="str">
        <f>NSFR!B154</f>
        <v>Remaining period of encumbrance ≥ 1 year</v>
      </c>
      <c r="C121" s="2333"/>
      <c r="D121" s="2333"/>
      <c r="E121" s="2333"/>
      <c r="F121" s="713">
        <v>1</v>
      </c>
      <c r="G121" s="713">
        <v>1</v>
      </c>
      <c r="H121" s="708">
        <v>1</v>
      </c>
      <c r="I121" s="2325"/>
      <c r="J121" s="439"/>
    </row>
    <row r="122" spans="1:10" ht="15" customHeight="1" x14ac:dyDescent="0.25">
      <c r="A122" s="2324"/>
      <c r="B122" s="2339" t="str">
        <f>NSFR!B155</f>
        <v>Encumbered for exceptional CB liquidity operations, ≥ 6 months to &lt; 1 year</v>
      </c>
      <c r="C122" s="2333"/>
      <c r="D122" s="2333"/>
      <c r="E122" s="2333"/>
      <c r="F122" s="713"/>
      <c r="G122" s="713"/>
      <c r="H122" s="708"/>
      <c r="I122" s="2325"/>
      <c r="J122" s="439"/>
    </row>
    <row r="123" spans="1:10" ht="15" customHeight="1" x14ac:dyDescent="0.25">
      <c r="A123" s="2324"/>
      <c r="B123" s="2339" t="str">
        <f>NSFR!B156</f>
        <v>Encumbered for exceptional CB liquidity operations, ≥ 1 year</v>
      </c>
      <c r="C123" s="2333"/>
      <c r="D123" s="2333"/>
      <c r="E123" s="2333"/>
      <c r="F123" s="713"/>
      <c r="G123" s="713"/>
      <c r="H123" s="708"/>
      <c r="I123" s="2325"/>
      <c r="J123" s="439"/>
    </row>
    <row r="124" spans="1:10" ht="15" hidden="1" customHeight="1" x14ac:dyDescent="0.25">
      <c r="A124" s="2324"/>
      <c r="B124" s="92"/>
      <c r="C124" s="92"/>
      <c r="D124" s="92"/>
      <c r="E124" s="92"/>
      <c r="F124" s="279"/>
      <c r="G124" s="16"/>
      <c r="H124" s="1297"/>
      <c r="I124" s="2325"/>
      <c r="J124" s="439"/>
    </row>
    <row r="125" spans="1:10" ht="15" hidden="1" customHeight="1" x14ac:dyDescent="0.25">
      <c r="A125" s="2324"/>
      <c r="B125" s="92"/>
      <c r="C125" s="92"/>
      <c r="D125" s="92"/>
      <c r="E125" s="92"/>
      <c r="F125" s="279"/>
      <c r="G125" s="16"/>
      <c r="H125" s="1297"/>
      <c r="I125" s="2325"/>
      <c r="J125" s="439"/>
    </row>
    <row r="126" spans="1:10" ht="15" customHeight="1" x14ac:dyDescent="0.25">
      <c r="A126" s="2324"/>
      <c r="B126" s="2989" t="str">
        <f>NSFR!B159</f>
        <v>Loans, of which:</v>
      </c>
      <c r="C126" s="2989"/>
      <c r="D126" s="2989"/>
      <c r="E126" s="3204"/>
      <c r="F126" s="279"/>
      <c r="G126" s="16"/>
      <c r="H126" s="1297"/>
      <c r="I126" s="2325"/>
      <c r="J126" s="439"/>
    </row>
    <row r="127" spans="1:10" ht="15" customHeight="1" x14ac:dyDescent="0.25">
      <c r="A127" s="2324"/>
      <c r="B127" s="2686" t="str">
        <f>NSFR!B160</f>
        <v>Loans to non-financial corporate clients; of which:</v>
      </c>
      <c r="C127" s="2686"/>
      <c r="D127" s="2686"/>
      <c r="E127" s="2687"/>
      <c r="F127" s="279"/>
      <c r="G127" s="16"/>
      <c r="H127" s="1297"/>
      <c r="I127" s="2325"/>
      <c r="J127" s="439"/>
    </row>
    <row r="128" spans="1:10" ht="15" customHeight="1" x14ac:dyDescent="0.25">
      <c r="A128" s="2324"/>
      <c r="B128" s="2489" t="str">
        <f>NSFR!B161</f>
        <v>Unencumbered</v>
      </c>
      <c r="C128" s="2333"/>
      <c r="D128" s="2333"/>
      <c r="E128" s="2333"/>
      <c r="F128" s="713">
        <v>0.5</v>
      </c>
      <c r="G128" s="713">
        <v>0.5</v>
      </c>
      <c r="H128" s="708"/>
      <c r="I128" s="2325"/>
      <c r="J128" s="439"/>
    </row>
    <row r="129" spans="1:10" ht="15" customHeight="1" x14ac:dyDescent="0.25">
      <c r="A129" s="2324"/>
      <c r="B129" s="2342" t="str">
        <f>NSFR!B162</f>
        <v>Remaining period of encumbrance &lt; 6 months</v>
      </c>
      <c r="C129" s="2333"/>
      <c r="D129" s="2333"/>
      <c r="E129" s="2333"/>
      <c r="F129" s="713">
        <v>0.5</v>
      </c>
      <c r="G129" s="713">
        <v>0.5</v>
      </c>
      <c r="H129" s="708"/>
      <c r="I129" s="2325"/>
      <c r="J129" s="439"/>
    </row>
    <row r="130" spans="1:10" ht="15" customHeight="1" x14ac:dyDescent="0.25">
      <c r="A130" s="2324"/>
      <c r="B130" s="2342" t="str">
        <f>NSFR!B163</f>
        <v>Remaining period of encumbrance ≥ 6 months to &lt; 1 year</v>
      </c>
      <c r="C130" s="2333"/>
      <c r="D130" s="2333"/>
      <c r="E130" s="2333"/>
      <c r="F130" s="713">
        <v>0.5</v>
      </c>
      <c r="G130" s="713">
        <v>0.5</v>
      </c>
      <c r="H130" s="708"/>
      <c r="I130" s="2325"/>
      <c r="J130" s="439"/>
    </row>
    <row r="131" spans="1:10" ht="15" customHeight="1" x14ac:dyDescent="0.25">
      <c r="A131" s="2324"/>
      <c r="B131" s="2342" t="str">
        <f>NSFR!B164</f>
        <v>Remaining period of encumbrance ≥ 1 year</v>
      </c>
      <c r="C131" s="2333"/>
      <c r="D131" s="2333"/>
      <c r="E131" s="2333"/>
      <c r="F131" s="713">
        <v>1</v>
      </c>
      <c r="G131" s="713">
        <v>1</v>
      </c>
      <c r="H131" s="708"/>
      <c r="I131" s="2325"/>
      <c r="J131" s="439"/>
    </row>
    <row r="132" spans="1:10" ht="15" customHeight="1" x14ac:dyDescent="0.25">
      <c r="A132" s="2324"/>
      <c r="B132" s="2530" t="str">
        <f>NSFR!B165</f>
        <v>Encumbered for exceptional CB liquidity operations, ≥ 6 months to &lt; 1 year</v>
      </c>
      <c r="C132" s="2333"/>
      <c r="D132" s="2333"/>
      <c r="E132" s="2333"/>
      <c r="F132" s="713"/>
      <c r="G132" s="713"/>
      <c r="H132" s="708"/>
      <c r="I132" s="2325"/>
      <c r="J132" s="439"/>
    </row>
    <row r="133" spans="1:10" ht="15" customHeight="1" x14ac:dyDescent="0.25">
      <c r="A133" s="2324"/>
      <c r="B133" s="2530" t="str">
        <f>NSFR!B166</f>
        <v>Encumbered for exceptional CB liquidity operations, ≥ 1 year</v>
      </c>
      <c r="C133" s="2333"/>
      <c r="D133" s="2333"/>
      <c r="E133" s="2333"/>
      <c r="F133" s="713"/>
      <c r="G133" s="713"/>
      <c r="H133" s="708"/>
      <c r="I133" s="2325"/>
      <c r="J133" s="439"/>
    </row>
    <row r="134" spans="1:10" ht="15" hidden="1" customHeight="1" x14ac:dyDescent="0.25">
      <c r="A134" s="2324"/>
      <c r="B134" s="92"/>
      <c r="C134" s="92"/>
      <c r="D134" s="92"/>
      <c r="E134" s="92"/>
      <c r="F134" s="279"/>
      <c r="G134" s="16"/>
      <c r="H134" s="1297"/>
      <c r="I134" s="2325"/>
      <c r="J134" s="439"/>
    </row>
    <row r="135" spans="1:10" ht="15" hidden="1" customHeight="1" x14ac:dyDescent="0.25">
      <c r="A135" s="2324"/>
      <c r="B135" s="92"/>
      <c r="C135" s="92"/>
      <c r="D135" s="92"/>
      <c r="E135" s="92"/>
      <c r="F135" s="279"/>
      <c r="G135" s="16"/>
      <c r="H135" s="1297"/>
      <c r="I135" s="2325"/>
      <c r="J135" s="439"/>
    </row>
    <row r="136" spans="1:10" ht="15" customHeight="1" x14ac:dyDescent="0.25">
      <c r="A136" s="2324"/>
      <c r="B136" s="2686" t="str">
        <f>NSFR!B169</f>
        <v>Loans to central banks with a residual maturity of less than one year; of which:</v>
      </c>
      <c r="C136" s="2686"/>
      <c r="D136" s="2686"/>
      <c r="E136" s="2687"/>
      <c r="F136" s="279"/>
      <c r="G136" s="16"/>
      <c r="H136" s="1297"/>
      <c r="I136" s="2325"/>
      <c r="J136" s="439"/>
    </row>
    <row r="137" spans="1:10" ht="15" customHeight="1" x14ac:dyDescent="0.25">
      <c r="A137" s="2324"/>
      <c r="B137" s="2489" t="str">
        <f>NSFR!B170</f>
        <v>Unencumbered</v>
      </c>
      <c r="C137" s="2333"/>
      <c r="D137" s="2333"/>
      <c r="E137" s="2333"/>
      <c r="F137" s="713">
        <v>0</v>
      </c>
      <c r="G137" s="713">
        <v>0.5</v>
      </c>
      <c r="H137" s="1297"/>
      <c r="I137" s="2325"/>
      <c r="J137" s="439"/>
    </row>
    <row r="138" spans="1:10" ht="15" customHeight="1" x14ac:dyDescent="0.25">
      <c r="A138" s="2324"/>
      <c r="B138" s="2342" t="str">
        <f>NSFR!B171</f>
        <v>Remaining period of encumbrance &lt; 6 months</v>
      </c>
      <c r="C138" s="2333"/>
      <c r="D138" s="2333"/>
      <c r="E138" s="2333"/>
      <c r="F138" s="713">
        <v>0</v>
      </c>
      <c r="G138" s="713">
        <v>0.5</v>
      </c>
      <c r="H138" s="1297"/>
      <c r="I138" s="2325"/>
      <c r="J138" s="439"/>
    </row>
    <row r="139" spans="1:10" ht="15" customHeight="1" x14ac:dyDescent="0.25">
      <c r="A139" s="2324"/>
      <c r="B139" s="2342" t="str">
        <f>NSFR!B172</f>
        <v>Remaining period of encumbrance ≥ 6 months to &lt; 1 year</v>
      </c>
      <c r="C139" s="2333"/>
      <c r="D139" s="2333"/>
      <c r="E139" s="2333"/>
      <c r="F139" s="713">
        <v>0.5</v>
      </c>
      <c r="G139" s="713">
        <v>0.5</v>
      </c>
      <c r="H139" s="1297"/>
      <c r="I139" s="2325"/>
      <c r="J139" s="439"/>
    </row>
    <row r="140" spans="1:10" ht="15" customHeight="1" x14ac:dyDescent="0.25">
      <c r="A140" s="2324"/>
      <c r="B140" s="2342" t="str">
        <f>NSFR!B173</f>
        <v>Remaining period of encumbrance ≥ 1 year</v>
      </c>
      <c r="C140" s="2333"/>
      <c r="D140" s="2333"/>
      <c r="E140" s="2333"/>
      <c r="F140" s="713">
        <v>1</v>
      </c>
      <c r="G140" s="713">
        <v>1</v>
      </c>
      <c r="H140" s="1297"/>
      <c r="I140" s="2325"/>
      <c r="J140" s="439"/>
    </row>
    <row r="141" spans="1:10" ht="15" customHeight="1" x14ac:dyDescent="0.25">
      <c r="A141" s="2324"/>
      <c r="B141" s="2530" t="str">
        <f>NSFR!B174</f>
        <v>Encumbered for exceptional CB liquidity operations, ≥ 6 months to &lt; 1 year</v>
      </c>
      <c r="C141" s="2333"/>
      <c r="D141" s="2333"/>
      <c r="E141" s="2333"/>
      <c r="F141" s="713"/>
      <c r="G141" s="713"/>
      <c r="H141" s="1297"/>
      <c r="I141" s="2325"/>
      <c r="J141" s="439"/>
    </row>
    <row r="142" spans="1:10" ht="15" customHeight="1" x14ac:dyDescent="0.25">
      <c r="A142" s="2324"/>
      <c r="B142" s="2530" t="str">
        <f>NSFR!B175</f>
        <v>Encumbered for exceptional CB liquidity operations, ≥ 1 year</v>
      </c>
      <c r="C142" s="2333"/>
      <c r="D142" s="2333"/>
      <c r="E142" s="2333"/>
      <c r="F142" s="713"/>
      <c r="G142" s="713"/>
      <c r="H142" s="1297"/>
      <c r="I142" s="2325"/>
      <c r="J142" s="439"/>
    </row>
    <row r="143" spans="1:10" ht="15" hidden="1" customHeight="1" x14ac:dyDescent="0.25">
      <c r="A143" s="2324"/>
      <c r="B143" s="92"/>
      <c r="C143" s="92"/>
      <c r="D143" s="92"/>
      <c r="E143" s="92"/>
      <c r="F143" s="279"/>
      <c r="G143" s="16"/>
      <c r="H143" s="1297"/>
      <c r="I143" s="2325"/>
      <c r="J143" s="439"/>
    </row>
    <row r="144" spans="1:10" ht="15" hidden="1" customHeight="1" x14ac:dyDescent="0.25">
      <c r="A144" s="2324"/>
      <c r="B144" s="92"/>
      <c r="C144" s="92"/>
      <c r="D144" s="92"/>
      <c r="E144" s="92"/>
      <c r="F144" s="279"/>
      <c r="G144" s="16"/>
      <c r="H144" s="1297"/>
      <c r="I144" s="2325"/>
      <c r="J144" s="439"/>
    </row>
    <row r="145" spans="1:10" ht="15" customHeight="1" x14ac:dyDescent="0.25">
      <c r="A145" s="2324"/>
      <c r="B145" s="2686" t="str">
        <f>NSFR!B178</f>
        <v>Loans to sovereigns, PSEs, MDBs and NDBs with a residual maturity of less than one year; of which:</v>
      </c>
      <c r="C145" s="2686"/>
      <c r="D145" s="2686"/>
      <c r="E145" s="2687"/>
      <c r="F145" s="279"/>
      <c r="G145" s="16"/>
      <c r="H145" s="1297"/>
      <c r="I145" s="2325"/>
      <c r="J145" s="439"/>
    </row>
    <row r="146" spans="1:10" ht="15" customHeight="1" x14ac:dyDescent="0.25">
      <c r="A146" s="2324"/>
      <c r="B146" s="2489" t="str">
        <f>NSFR!B179</f>
        <v>Unencumbered</v>
      </c>
      <c r="C146" s="2333"/>
      <c r="D146" s="2333"/>
      <c r="E146" s="2333"/>
      <c r="F146" s="713">
        <v>0.5</v>
      </c>
      <c r="G146" s="713">
        <v>0.5</v>
      </c>
      <c r="H146" s="1297"/>
      <c r="I146" s="2325"/>
      <c r="J146" s="439"/>
    </row>
    <row r="147" spans="1:10" ht="15" customHeight="1" x14ac:dyDescent="0.25">
      <c r="A147" s="2324"/>
      <c r="B147" s="2342" t="str">
        <f>NSFR!B180</f>
        <v>Remaining period of encumbrance &lt; 6 months</v>
      </c>
      <c r="C147" s="2333"/>
      <c r="D147" s="2333"/>
      <c r="E147" s="2333"/>
      <c r="F147" s="713">
        <v>0.5</v>
      </c>
      <c r="G147" s="713">
        <v>0.5</v>
      </c>
      <c r="H147" s="1297"/>
      <c r="I147" s="2325"/>
      <c r="J147" s="439"/>
    </row>
    <row r="148" spans="1:10" ht="15" customHeight="1" x14ac:dyDescent="0.25">
      <c r="A148" s="2324"/>
      <c r="B148" s="2342" t="str">
        <f>NSFR!B181</f>
        <v>Remaining period of encumbrance ≥ 6 months to &lt; 1 year</v>
      </c>
      <c r="C148" s="2333"/>
      <c r="D148" s="2333"/>
      <c r="E148" s="2333"/>
      <c r="F148" s="713">
        <v>0.5</v>
      </c>
      <c r="G148" s="713">
        <v>0.5</v>
      </c>
      <c r="H148" s="1297"/>
      <c r="I148" s="2325"/>
      <c r="J148" s="439"/>
    </row>
    <row r="149" spans="1:10" ht="15" customHeight="1" x14ac:dyDescent="0.25">
      <c r="A149" s="2324"/>
      <c r="B149" s="2342" t="str">
        <f>NSFR!B182</f>
        <v>Remaining period of encumbrance ≥ 1 year</v>
      </c>
      <c r="C149" s="2333"/>
      <c r="D149" s="2333"/>
      <c r="E149" s="2333"/>
      <c r="F149" s="713">
        <v>1</v>
      </c>
      <c r="G149" s="713">
        <v>1</v>
      </c>
      <c r="H149" s="1297"/>
      <c r="I149" s="2325"/>
      <c r="J149" s="439"/>
    </row>
    <row r="150" spans="1:10" ht="15" customHeight="1" x14ac:dyDescent="0.25">
      <c r="A150" s="2324"/>
      <c r="B150" s="2530" t="str">
        <f>NSFR!B183</f>
        <v>Encumbered for exceptional CB liquidity operations, ≥ 6 months to &lt; 1 year</v>
      </c>
      <c r="C150" s="2333"/>
      <c r="D150" s="2333"/>
      <c r="E150" s="2333"/>
      <c r="F150" s="713"/>
      <c r="G150" s="713"/>
      <c r="H150" s="1297"/>
      <c r="I150" s="2325"/>
      <c r="J150" s="439"/>
    </row>
    <row r="151" spans="1:10" ht="15" customHeight="1" x14ac:dyDescent="0.25">
      <c r="A151" s="2324"/>
      <c r="B151" s="2530" t="str">
        <f>NSFR!B184</f>
        <v>Encumbered for exceptional CB liquidity operations, ≥ 1 year</v>
      </c>
      <c r="C151" s="2333"/>
      <c r="D151" s="2333"/>
      <c r="E151" s="2333"/>
      <c r="F151" s="713"/>
      <c r="G151" s="713"/>
      <c r="H151" s="1297"/>
      <c r="I151" s="2325"/>
      <c r="J151" s="439"/>
    </row>
    <row r="152" spans="1:10" ht="15" hidden="1" customHeight="1" x14ac:dyDescent="0.25">
      <c r="A152" s="2324"/>
      <c r="B152" s="92"/>
      <c r="C152" s="92"/>
      <c r="D152" s="92"/>
      <c r="E152" s="92"/>
      <c r="F152" s="279"/>
      <c r="G152" s="16"/>
      <c r="H152" s="1297"/>
      <c r="I152" s="2325"/>
      <c r="J152" s="439"/>
    </row>
    <row r="153" spans="1:10" ht="15" hidden="1" customHeight="1" x14ac:dyDescent="0.25">
      <c r="A153" s="2324"/>
      <c r="B153" s="92"/>
      <c r="C153" s="92"/>
      <c r="D153" s="92"/>
      <c r="E153" s="92"/>
      <c r="F153" s="279"/>
      <c r="G153" s="16"/>
      <c r="H153" s="1297"/>
      <c r="I153" s="2325"/>
      <c r="J153" s="439"/>
    </row>
    <row r="154" spans="1:10" ht="30" customHeight="1" x14ac:dyDescent="0.25">
      <c r="A154" s="2324"/>
      <c r="B154" s="3202" t="str">
        <f>NSFR!B187</f>
        <v>Residential mortgages of any maturity that would qualify for the 35% or lower risk weight under the Basel II standardised approach for credit risk; of which:</v>
      </c>
      <c r="C154" s="3202"/>
      <c r="D154" s="3202"/>
      <c r="E154" s="3203"/>
      <c r="F154" s="279"/>
      <c r="G154" s="16"/>
      <c r="H154" s="1297"/>
      <c r="I154" s="2325"/>
      <c r="J154" s="439"/>
    </row>
    <row r="155" spans="1:10" ht="15" customHeight="1" x14ac:dyDescent="0.25">
      <c r="A155" s="2324"/>
      <c r="B155" s="2489" t="str">
        <f>NSFR!B188</f>
        <v>Unencumbered</v>
      </c>
      <c r="C155" s="2333"/>
      <c r="D155" s="2333"/>
      <c r="E155" s="2333"/>
      <c r="F155" s="713">
        <v>0.5</v>
      </c>
      <c r="G155" s="713">
        <v>0.5</v>
      </c>
      <c r="H155" s="708">
        <v>0.65</v>
      </c>
      <c r="I155" s="2325"/>
      <c r="J155" s="439"/>
    </row>
    <row r="156" spans="1:10" ht="15" customHeight="1" x14ac:dyDescent="0.25">
      <c r="A156" s="2324"/>
      <c r="B156" s="2342" t="str">
        <f>NSFR!B189</f>
        <v>Remaining period of encumbrance &lt; 6 months</v>
      </c>
      <c r="C156" s="2333"/>
      <c r="D156" s="2333"/>
      <c r="E156" s="2333"/>
      <c r="F156" s="713">
        <v>0.5</v>
      </c>
      <c r="G156" s="713">
        <v>0.5</v>
      </c>
      <c r="H156" s="708">
        <v>0.65</v>
      </c>
      <c r="I156" s="2325"/>
      <c r="J156" s="439"/>
    </row>
    <row r="157" spans="1:10" ht="15" customHeight="1" x14ac:dyDescent="0.25">
      <c r="A157" s="2324"/>
      <c r="B157" s="2342" t="str">
        <f>NSFR!B190</f>
        <v>Remaining period of encumbrance ≥ 6 months to &lt; 1 year</v>
      </c>
      <c r="C157" s="2333"/>
      <c r="D157" s="2333"/>
      <c r="E157" s="2333"/>
      <c r="F157" s="713">
        <v>0.5</v>
      </c>
      <c r="G157" s="713">
        <v>0.5</v>
      </c>
      <c r="H157" s="708">
        <v>0.65</v>
      </c>
      <c r="I157" s="2325"/>
      <c r="J157" s="439"/>
    </row>
    <row r="158" spans="1:10" ht="15" customHeight="1" x14ac:dyDescent="0.25">
      <c r="A158" s="2324"/>
      <c r="B158" s="2342" t="str">
        <f>NSFR!B191</f>
        <v>Remaining period of encumbrance ≥ 1 year</v>
      </c>
      <c r="C158" s="2333"/>
      <c r="D158" s="2333"/>
      <c r="E158" s="2333"/>
      <c r="F158" s="713">
        <v>1</v>
      </c>
      <c r="G158" s="713">
        <v>1</v>
      </c>
      <c r="H158" s="708">
        <v>1</v>
      </c>
      <c r="I158" s="2325"/>
      <c r="J158" s="439"/>
    </row>
    <row r="159" spans="1:10" ht="15" customHeight="1" x14ac:dyDescent="0.25">
      <c r="A159" s="2324"/>
      <c r="B159" s="2530" t="str">
        <f>NSFR!B192</f>
        <v>Encumbered for exceptional CB liquidity operations, ≥ 6 months to &lt; 1 year</v>
      </c>
      <c r="C159" s="2333"/>
      <c r="D159" s="2333"/>
      <c r="E159" s="2333"/>
      <c r="F159" s="713"/>
      <c r="G159" s="713"/>
      <c r="H159" s="713"/>
      <c r="I159" s="2325"/>
      <c r="J159" s="439"/>
    </row>
    <row r="160" spans="1:10" ht="15" customHeight="1" x14ac:dyDescent="0.25">
      <c r="A160" s="2324"/>
      <c r="B160" s="2530" t="str">
        <f>NSFR!B193</f>
        <v>Encumbered for exceptional CB liquidity operations, ≥ 1 year</v>
      </c>
      <c r="C160" s="2333"/>
      <c r="D160" s="2333"/>
      <c r="E160" s="2333"/>
      <c r="F160" s="713"/>
      <c r="G160" s="713"/>
      <c r="H160" s="713"/>
      <c r="I160" s="2325"/>
      <c r="J160" s="439"/>
    </row>
    <row r="161" spans="1:10" ht="15" hidden="1" customHeight="1" x14ac:dyDescent="0.25">
      <c r="A161" s="2324"/>
      <c r="B161" s="92"/>
      <c r="C161" s="92"/>
      <c r="D161" s="92"/>
      <c r="E161" s="92"/>
      <c r="F161" s="279"/>
      <c r="G161" s="16"/>
      <c r="H161" s="1297"/>
      <c r="I161" s="2325"/>
      <c r="J161" s="439"/>
    </row>
    <row r="162" spans="1:10" ht="15" hidden="1" customHeight="1" x14ac:dyDescent="0.25">
      <c r="A162" s="2324"/>
      <c r="B162" s="92"/>
      <c r="C162" s="92"/>
      <c r="D162" s="92"/>
      <c r="E162" s="92"/>
      <c r="F162" s="279"/>
      <c r="G162" s="16"/>
      <c r="H162" s="1297"/>
      <c r="I162" s="2325"/>
      <c r="J162" s="439"/>
    </row>
    <row r="163" spans="1:10" ht="30" customHeight="1" x14ac:dyDescent="0.25">
      <c r="A163" s="2324"/>
      <c r="B163" s="2686" t="str">
        <f>NSFR!B196</f>
        <v>Other loans, excluding loans to financial institutions, with a residual maturity of one year or greater that would qualify for the 35% or lower risk weight under the standardised approach for credit risk; of which:</v>
      </c>
      <c r="C163" s="2686"/>
      <c r="D163" s="2686"/>
      <c r="E163" s="2687"/>
      <c r="F163" s="279"/>
      <c r="G163" s="16"/>
      <c r="H163" s="1297"/>
      <c r="I163" s="2325"/>
      <c r="J163" s="439"/>
    </row>
    <row r="164" spans="1:10" ht="15" customHeight="1" x14ac:dyDescent="0.25">
      <c r="A164" s="2324"/>
      <c r="B164" s="2489" t="str">
        <f>NSFR!B197</f>
        <v>Unencumbered</v>
      </c>
      <c r="C164" s="2333"/>
      <c r="D164" s="2333"/>
      <c r="E164" s="2333"/>
      <c r="F164" s="708">
        <v>0</v>
      </c>
      <c r="G164" s="708">
        <v>0</v>
      </c>
      <c r="H164" s="708">
        <v>0.65</v>
      </c>
      <c r="I164" s="2325"/>
      <c r="J164" s="439"/>
    </row>
    <row r="165" spans="1:10" ht="15" customHeight="1" x14ac:dyDescent="0.25">
      <c r="A165" s="2324"/>
      <c r="B165" s="2342" t="str">
        <f>NSFR!B198</f>
        <v>Remaining period of encumbrance &lt; 6 months</v>
      </c>
      <c r="C165" s="2333"/>
      <c r="D165" s="2333"/>
      <c r="E165" s="2333"/>
      <c r="F165" s="708">
        <v>0</v>
      </c>
      <c r="G165" s="708">
        <v>0</v>
      </c>
      <c r="H165" s="708">
        <v>0.65</v>
      </c>
      <c r="I165" s="2325"/>
      <c r="J165" s="439"/>
    </row>
    <row r="166" spans="1:10" ht="15" customHeight="1" x14ac:dyDescent="0.25">
      <c r="A166" s="2324"/>
      <c r="B166" s="2342" t="str">
        <f>NSFR!B199</f>
        <v>Remaining period of encumbrance ≥ 6 months to &lt; 1 year</v>
      </c>
      <c r="C166" s="2333"/>
      <c r="D166" s="2333"/>
      <c r="E166" s="2333"/>
      <c r="F166" s="708">
        <v>0</v>
      </c>
      <c r="G166" s="708">
        <v>0</v>
      </c>
      <c r="H166" s="708">
        <v>0.65</v>
      </c>
      <c r="I166" s="2325"/>
      <c r="J166" s="439"/>
    </row>
    <row r="167" spans="1:10" ht="15" customHeight="1" x14ac:dyDescent="0.25">
      <c r="A167" s="2324"/>
      <c r="B167" s="2342" t="str">
        <f>NSFR!B200</f>
        <v>Remaining period of encumbrance ≥ 1 year</v>
      </c>
      <c r="C167" s="2333"/>
      <c r="D167" s="2333"/>
      <c r="E167" s="2333"/>
      <c r="F167" s="708">
        <v>0</v>
      </c>
      <c r="G167" s="708">
        <v>0</v>
      </c>
      <c r="H167" s="708">
        <v>1</v>
      </c>
      <c r="I167" s="2325"/>
      <c r="J167" s="439"/>
    </row>
    <row r="168" spans="1:10" ht="15" customHeight="1" x14ac:dyDescent="0.25">
      <c r="A168" s="2324"/>
      <c r="B168" s="2530" t="str">
        <f>NSFR!B201</f>
        <v>Encumbered for exceptional CB liquidity operations, ≥ 6 months to &lt; 1 year</v>
      </c>
      <c r="C168" s="2333"/>
      <c r="D168" s="2333"/>
      <c r="E168" s="2333"/>
      <c r="F168" s="713"/>
      <c r="G168" s="713"/>
      <c r="H168" s="713"/>
      <c r="I168" s="2325"/>
      <c r="J168" s="439"/>
    </row>
    <row r="169" spans="1:10" ht="15" customHeight="1" x14ac:dyDescent="0.25">
      <c r="A169" s="2324"/>
      <c r="B169" s="2530" t="str">
        <f>NSFR!B202</f>
        <v>Encumbered for exceptional CB liquidity operations, ≥ 1 year</v>
      </c>
      <c r="C169" s="2333"/>
      <c r="D169" s="2333"/>
      <c r="E169" s="2333"/>
      <c r="F169" s="713"/>
      <c r="G169" s="713"/>
      <c r="H169" s="713"/>
      <c r="I169" s="2325"/>
      <c r="J169" s="439"/>
    </row>
    <row r="170" spans="1:10" ht="15" hidden="1" customHeight="1" x14ac:dyDescent="0.25">
      <c r="A170" s="2324"/>
      <c r="B170" s="92"/>
      <c r="C170" s="92"/>
      <c r="D170" s="92"/>
      <c r="E170" s="92"/>
      <c r="F170" s="279"/>
      <c r="G170" s="16"/>
      <c r="H170" s="1297"/>
      <c r="I170" s="2325"/>
      <c r="J170" s="439"/>
    </row>
    <row r="171" spans="1:10" ht="15" hidden="1" customHeight="1" x14ac:dyDescent="0.25">
      <c r="A171" s="2324"/>
      <c r="B171" s="92"/>
      <c r="C171" s="92"/>
      <c r="D171" s="92"/>
      <c r="E171" s="92"/>
      <c r="F171" s="279"/>
      <c r="G171" s="16"/>
      <c r="H171" s="1297"/>
      <c r="I171" s="2325"/>
      <c r="J171" s="439"/>
    </row>
    <row r="172" spans="1:10" ht="15" hidden="1" customHeight="1" x14ac:dyDescent="0.25">
      <c r="A172" s="2324"/>
      <c r="B172" s="92"/>
      <c r="C172" s="92"/>
      <c r="D172" s="92"/>
      <c r="E172" s="92"/>
      <c r="F172" s="279"/>
      <c r="G172" s="16"/>
      <c r="H172" s="1297"/>
      <c r="I172" s="2325"/>
      <c r="J172" s="439"/>
    </row>
    <row r="173" spans="1:10" ht="15" hidden="1" customHeight="1" x14ac:dyDescent="0.25">
      <c r="A173" s="2324"/>
      <c r="B173" s="92"/>
      <c r="C173" s="92"/>
      <c r="D173" s="92"/>
      <c r="E173" s="92"/>
      <c r="F173" s="279"/>
      <c r="G173" s="16"/>
      <c r="H173" s="1297"/>
      <c r="I173" s="2325"/>
      <c r="J173" s="439"/>
    </row>
    <row r="174" spans="1:10" ht="15" hidden="1" customHeight="1" x14ac:dyDescent="0.25">
      <c r="A174" s="2324"/>
      <c r="B174" s="92"/>
      <c r="C174" s="92"/>
      <c r="D174" s="92"/>
      <c r="E174" s="92"/>
      <c r="F174" s="279"/>
      <c r="G174" s="16"/>
      <c r="H174" s="1297"/>
      <c r="I174" s="2325"/>
      <c r="J174" s="439"/>
    </row>
    <row r="175" spans="1:10" ht="15" hidden="1" customHeight="1" x14ac:dyDescent="0.25">
      <c r="A175" s="2324"/>
      <c r="B175" s="92"/>
      <c r="C175" s="92"/>
      <c r="D175" s="92"/>
      <c r="E175" s="92"/>
      <c r="F175" s="279"/>
      <c r="G175" s="16"/>
      <c r="H175" s="1297"/>
      <c r="I175" s="2325"/>
      <c r="J175" s="439"/>
    </row>
    <row r="176" spans="1:10" ht="15" hidden="1" customHeight="1" x14ac:dyDescent="0.25">
      <c r="A176" s="2324"/>
      <c r="B176" s="92"/>
      <c r="C176" s="92"/>
      <c r="D176" s="92"/>
      <c r="E176" s="92"/>
      <c r="F176" s="279"/>
      <c r="G176" s="16"/>
      <c r="H176" s="1297"/>
      <c r="I176" s="2325"/>
      <c r="J176" s="439"/>
    </row>
    <row r="177" spans="1:10" ht="15" hidden="1" customHeight="1" x14ac:dyDescent="0.25">
      <c r="A177" s="2324"/>
      <c r="B177" s="92"/>
      <c r="C177" s="92"/>
      <c r="D177" s="92"/>
      <c r="E177" s="92"/>
      <c r="F177" s="279"/>
      <c r="G177" s="16"/>
      <c r="H177" s="1297"/>
      <c r="I177" s="2325"/>
      <c r="J177" s="439"/>
    </row>
    <row r="178" spans="1:10" ht="15" hidden="1" customHeight="1" x14ac:dyDescent="0.25">
      <c r="A178" s="2324"/>
      <c r="B178" s="92"/>
      <c r="C178" s="92"/>
      <c r="D178" s="92"/>
      <c r="E178" s="92"/>
      <c r="F178" s="279"/>
      <c r="G178" s="16"/>
      <c r="H178" s="1297"/>
      <c r="I178" s="2325"/>
      <c r="J178" s="439"/>
    </row>
    <row r="179" spans="1:10" ht="15" hidden="1" customHeight="1" x14ac:dyDescent="0.25">
      <c r="A179" s="2324"/>
      <c r="B179" s="92"/>
      <c r="C179" s="92"/>
      <c r="D179" s="92"/>
      <c r="E179" s="92"/>
      <c r="F179" s="279"/>
      <c r="G179" s="16"/>
      <c r="H179" s="1297"/>
      <c r="I179" s="2325"/>
      <c r="J179" s="439"/>
    </row>
    <row r="180" spans="1:10" ht="15" hidden="1" customHeight="1" x14ac:dyDescent="0.25">
      <c r="A180" s="2324"/>
      <c r="B180" s="92"/>
      <c r="C180" s="92"/>
      <c r="D180" s="92"/>
      <c r="E180" s="92"/>
      <c r="F180" s="279"/>
      <c r="G180" s="16"/>
      <c r="H180" s="1297"/>
      <c r="I180" s="2325"/>
      <c r="J180" s="439"/>
    </row>
    <row r="181" spans="1:10" ht="30" customHeight="1" x14ac:dyDescent="0.25">
      <c r="A181" s="2324"/>
      <c r="B181" s="3202" t="str">
        <f>NSFR!B214</f>
        <v>Loans to retail and small business customers (excluding residential mortgages reported above) with a residual maturity of less than one year; of which:</v>
      </c>
      <c r="C181" s="3202"/>
      <c r="D181" s="3202"/>
      <c r="E181" s="3203"/>
      <c r="F181" s="279"/>
      <c r="G181" s="16"/>
      <c r="H181" s="1297"/>
      <c r="I181" s="2325"/>
      <c r="J181" s="439"/>
    </row>
    <row r="182" spans="1:10" ht="15" customHeight="1" x14ac:dyDescent="0.25">
      <c r="A182" s="2324"/>
      <c r="B182" s="2489" t="str">
        <f>NSFR!B215</f>
        <v>Unencumbered</v>
      </c>
      <c r="C182" s="2333"/>
      <c r="D182" s="2333"/>
      <c r="E182" s="2333"/>
      <c r="F182" s="713">
        <v>0.5</v>
      </c>
      <c r="G182" s="713">
        <v>0.5</v>
      </c>
      <c r="H182" s="1297"/>
      <c r="I182" s="2325"/>
      <c r="J182" s="439"/>
    </row>
    <row r="183" spans="1:10" ht="15" customHeight="1" x14ac:dyDescent="0.25">
      <c r="A183" s="2324"/>
      <c r="B183" s="2342" t="str">
        <f>NSFR!B216</f>
        <v>Remaining period of encumbrance &lt; 6 months</v>
      </c>
      <c r="C183" s="2333"/>
      <c r="D183" s="2333"/>
      <c r="E183" s="2333"/>
      <c r="F183" s="713">
        <v>0.5</v>
      </c>
      <c r="G183" s="713">
        <v>0.5</v>
      </c>
      <c r="H183" s="1297"/>
      <c r="I183" s="2325"/>
      <c r="J183" s="439"/>
    </row>
    <row r="184" spans="1:10" ht="15" customHeight="1" x14ac:dyDescent="0.25">
      <c r="A184" s="2324"/>
      <c r="B184" s="2342" t="str">
        <f>NSFR!B217</f>
        <v>Remaining period of encumbrance ≥ 6 months to &lt; 1 year</v>
      </c>
      <c r="C184" s="2333"/>
      <c r="D184" s="2333"/>
      <c r="E184" s="2333"/>
      <c r="F184" s="713">
        <v>0.5</v>
      </c>
      <c r="G184" s="713">
        <v>0.5</v>
      </c>
      <c r="H184" s="1297"/>
      <c r="I184" s="2325"/>
      <c r="J184" s="439"/>
    </row>
    <row r="185" spans="1:10" ht="15" customHeight="1" x14ac:dyDescent="0.25">
      <c r="A185" s="2324"/>
      <c r="B185" s="2342" t="str">
        <f>NSFR!B218</f>
        <v>Remaining period of encumbrance ≥ 1 year</v>
      </c>
      <c r="C185" s="2333"/>
      <c r="D185" s="2333"/>
      <c r="E185" s="2333"/>
      <c r="F185" s="713">
        <v>1</v>
      </c>
      <c r="G185" s="713">
        <v>1</v>
      </c>
      <c r="H185" s="1297"/>
      <c r="I185" s="2325"/>
      <c r="J185" s="439"/>
    </row>
    <row r="186" spans="1:10" ht="15" customHeight="1" x14ac:dyDescent="0.25">
      <c r="A186" s="2324"/>
      <c r="B186" s="2530" t="str">
        <f>NSFR!B219</f>
        <v>Encumbered for exceptional CB liquidity operations, ≥ 6 months to &lt; 1 year</v>
      </c>
      <c r="C186" s="2333"/>
      <c r="D186" s="2333"/>
      <c r="E186" s="2333"/>
      <c r="F186" s="713"/>
      <c r="G186" s="713"/>
      <c r="H186" s="1297"/>
      <c r="I186" s="2325"/>
      <c r="J186" s="439"/>
    </row>
    <row r="187" spans="1:10" ht="15" customHeight="1" x14ac:dyDescent="0.25">
      <c r="A187" s="2324"/>
      <c r="B187" s="2530" t="str">
        <f>NSFR!B220</f>
        <v>Encumbered for exceptional CB liquidity operations, ≥ 1 year</v>
      </c>
      <c r="C187" s="2333"/>
      <c r="D187" s="2333"/>
      <c r="E187" s="2333"/>
      <c r="F187" s="713"/>
      <c r="G187" s="713"/>
      <c r="H187" s="1297"/>
      <c r="I187" s="2325"/>
      <c r="J187" s="439"/>
    </row>
    <row r="188" spans="1:10" ht="15" hidden="1" customHeight="1" x14ac:dyDescent="0.25">
      <c r="A188" s="2324"/>
      <c r="B188" s="92"/>
      <c r="C188" s="92"/>
      <c r="D188" s="92"/>
      <c r="E188" s="92"/>
      <c r="F188" s="279"/>
      <c r="G188" s="16"/>
      <c r="H188" s="1297"/>
      <c r="I188" s="2325"/>
      <c r="J188" s="439"/>
    </row>
    <row r="189" spans="1:10" ht="15" hidden="1" customHeight="1" x14ac:dyDescent="0.25">
      <c r="A189" s="2324"/>
      <c r="B189" s="92"/>
      <c r="C189" s="92"/>
      <c r="D189" s="92"/>
      <c r="E189" s="92"/>
      <c r="F189" s="279"/>
      <c r="G189" s="16"/>
      <c r="H189" s="1297"/>
      <c r="I189" s="2325"/>
      <c r="J189" s="439"/>
    </row>
    <row r="190" spans="1:10" ht="15" customHeight="1" x14ac:dyDescent="0.25">
      <c r="A190" s="2324"/>
      <c r="B190" s="3202" t="str">
        <f>NSFR!B223</f>
        <v>Performing loans (except loans to financial institutions and loans reported in above categories) with risk weights greater than 35% under the standardised approach for credit risk; of which:</v>
      </c>
      <c r="C190" s="3202"/>
      <c r="D190" s="3202"/>
      <c r="E190" s="3203"/>
      <c r="F190" s="279"/>
      <c r="G190" s="16"/>
      <c r="H190" s="1297"/>
      <c r="I190" s="2325"/>
      <c r="J190" s="439"/>
    </row>
    <row r="191" spans="1:10" ht="15" customHeight="1" x14ac:dyDescent="0.25">
      <c r="A191" s="2324"/>
      <c r="B191" s="2489" t="str">
        <f>NSFR!B224</f>
        <v>Unencumbered</v>
      </c>
      <c r="C191" s="2333"/>
      <c r="D191" s="2333"/>
      <c r="E191" s="2333"/>
      <c r="F191" s="713">
        <v>0.5</v>
      </c>
      <c r="G191" s="713">
        <v>0.5</v>
      </c>
      <c r="H191" s="708">
        <v>0.85</v>
      </c>
      <c r="I191" s="2325"/>
      <c r="J191" s="439"/>
    </row>
    <row r="192" spans="1:10" ht="15" customHeight="1" x14ac:dyDescent="0.25">
      <c r="A192" s="2324"/>
      <c r="B192" s="2342" t="str">
        <f>NSFR!B225</f>
        <v>Remaining period of encumbrance &lt; 6 months</v>
      </c>
      <c r="C192" s="2333"/>
      <c r="D192" s="2333"/>
      <c r="E192" s="2333"/>
      <c r="F192" s="713">
        <v>0.5</v>
      </c>
      <c r="G192" s="713">
        <v>0.5</v>
      </c>
      <c r="H192" s="708">
        <v>0.85</v>
      </c>
      <c r="I192" s="2325"/>
      <c r="J192" s="439"/>
    </row>
    <row r="193" spans="1:10" ht="15" customHeight="1" x14ac:dyDescent="0.25">
      <c r="A193" s="2324"/>
      <c r="B193" s="2342" t="str">
        <f>NSFR!B226</f>
        <v>Remaining period of encumbrance ≥ 6 months to &lt; 1 year</v>
      </c>
      <c r="C193" s="2333"/>
      <c r="D193" s="2333"/>
      <c r="E193" s="2333"/>
      <c r="F193" s="713">
        <v>0.5</v>
      </c>
      <c r="G193" s="713">
        <v>0.5</v>
      </c>
      <c r="H193" s="708">
        <v>0.85</v>
      </c>
      <c r="I193" s="2325"/>
      <c r="J193" s="439"/>
    </row>
    <row r="194" spans="1:10" ht="15" customHeight="1" x14ac:dyDescent="0.25">
      <c r="A194" s="2324"/>
      <c r="B194" s="2342" t="str">
        <f>NSFR!B227</f>
        <v>Remaining period of encumbrance ≥ 1 year</v>
      </c>
      <c r="C194" s="2333"/>
      <c r="D194" s="2333"/>
      <c r="E194" s="2333"/>
      <c r="F194" s="713">
        <v>1</v>
      </c>
      <c r="G194" s="713">
        <v>1</v>
      </c>
      <c r="H194" s="708">
        <v>1</v>
      </c>
      <c r="I194" s="2325"/>
      <c r="J194" s="439"/>
    </row>
    <row r="195" spans="1:10" ht="15" customHeight="1" x14ac:dyDescent="0.25">
      <c r="A195" s="2324"/>
      <c r="B195" s="2530" t="str">
        <f>NSFR!B228</f>
        <v>Encumbered for exceptional CB liquidity operations, ≥ 6 months to &lt; 1 year</v>
      </c>
      <c r="C195" s="2333"/>
      <c r="D195" s="2333"/>
      <c r="E195" s="2333"/>
      <c r="F195" s="713"/>
      <c r="G195" s="713"/>
      <c r="H195" s="713"/>
      <c r="I195" s="2325"/>
      <c r="J195" s="439"/>
    </row>
    <row r="196" spans="1:10" ht="15" customHeight="1" x14ac:dyDescent="0.25">
      <c r="A196" s="2324"/>
      <c r="B196" s="2530" t="str">
        <f>NSFR!B229</f>
        <v>Encumbered for exceptional CB liquidity operations, ≥ 1 year</v>
      </c>
      <c r="C196" s="2333"/>
      <c r="D196" s="2333"/>
      <c r="E196" s="2333"/>
      <c r="F196" s="713"/>
      <c r="G196" s="713"/>
      <c r="H196" s="713"/>
      <c r="I196" s="2325"/>
      <c r="J196" s="439"/>
    </row>
    <row r="197" spans="1:10" ht="15" hidden="1" customHeight="1" x14ac:dyDescent="0.25">
      <c r="A197" s="2324"/>
      <c r="B197" s="92"/>
      <c r="C197" s="92"/>
      <c r="D197" s="92"/>
      <c r="E197" s="92"/>
      <c r="F197" s="279"/>
      <c r="G197" s="16"/>
      <c r="H197" s="1297"/>
      <c r="I197" s="2325"/>
      <c r="J197" s="439"/>
    </row>
    <row r="198" spans="1:10" ht="15" hidden="1" customHeight="1" x14ac:dyDescent="0.25">
      <c r="A198" s="2324"/>
      <c r="B198" s="92"/>
      <c r="C198" s="92"/>
      <c r="D198" s="92"/>
      <c r="E198" s="92"/>
      <c r="F198" s="279"/>
      <c r="G198" s="16"/>
      <c r="H198" s="1297"/>
      <c r="I198" s="2325"/>
      <c r="J198" s="439"/>
    </row>
    <row r="199" spans="1:10" ht="15" hidden="1" customHeight="1" x14ac:dyDescent="0.25">
      <c r="A199" s="2324"/>
      <c r="B199" s="92"/>
      <c r="C199" s="92"/>
      <c r="D199" s="92"/>
      <c r="E199" s="92"/>
      <c r="F199" s="279"/>
      <c r="G199" s="16"/>
      <c r="H199" s="1297"/>
      <c r="I199" s="2325"/>
      <c r="J199" s="439"/>
    </row>
    <row r="200" spans="1:10" ht="15" hidden="1" customHeight="1" x14ac:dyDescent="0.25">
      <c r="A200" s="2324"/>
      <c r="B200" s="92"/>
      <c r="C200" s="92"/>
      <c r="D200" s="92"/>
      <c r="E200" s="92"/>
      <c r="F200" s="279"/>
      <c r="G200" s="16"/>
      <c r="H200" s="1297"/>
      <c r="I200" s="2325"/>
      <c r="J200" s="439"/>
    </row>
    <row r="201" spans="1:10" ht="15" hidden="1" customHeight="1" x14ac:dyDescent="0.25">
      <c r="A201" s="2324"/>
      <c r="B201" s="92"/>
      <c r="C201" s="92"/>
      <c r="D201" s="92"/>
      <c r="E201" s="92"/>
      <c r="F201" s="279"/>
      <c r="G201" s="16"/>
      <c r="H201" s="1297"/>
      <c r="I201" s="2325"/>
      <c r="J201" s="439"/>
    </row>
    <row r="202" spans="1:10" ht="15" hidden="1" customHeight="1" x14ac:dyDescent="0.25">
      <c r="A202" s="2324"/>
      <c r="B202" s="92"/>
      <c r="C202" s="92"/>
      <c r="D202" s="92"/>
      <c r="E202" s="92"/>
      <c r="F202" s="279"/>
      <c r="G202" s="16"/>
      <c r="H202" s="1297"/>
      <c r="I202" s="2325"/>
      <c r="J202" s="439"/>
    </row>
    <row r="203" spans="1:10" ht="15" hidden="1" customHeight="1" x14ac:dyDescent="0.25">
      <c r="A203" s="2324"/>
      <c r="B203" s="92"/>
      <c r="C203" s="92"/>
      <c r="D203" s="92"/>
      <c r="E203" s="92"/>
      <c r="F203" s="279"/>
      <c r="G203" s="16"/>
      <c r="H203" s="1297"/>
      <c r="I203" s="2325"/>
      <c r="J203" s="439"/>
    </row>
    <row r="204" spans="1:10" ht="15" hidden="1" customHeight="1" x14ac:dyDescent="0.25">
      <c r="A204" s="2324"/>
      <c r="B204" s="92"/>
      <c r="C204" s="92"/>
      <c r="D204" s="92"/>
      <c r="E204" s="92"/>
      <c r="F204" s="279"/>
      <c r="G204" s="16"/>
      <c r="H204" s="1297"/>
      <c r="I204" s="2325"/>
      <c r="J204" s="439"/>
    </row>
    <row r="205" spans="1:10" ht="15" hidden="1" customHeight="1" x14ac:dyDescent="0.25">
      <c r="A205" s="2324"/>
      <c r="B205" s="92"/>
      <c r="C205" s="92"/>
      <c r="D205" s="92"/>
      <c r="E205" s="92"/>
      <c r="F205" s="279"/>
      <c r="G205" s="16"/>
      <c r="H205" s="1297"/>
      <c r="I205" s="2325"/>
      <c r="J205" s="439"/>
    </row>
    <row r="206" spans="1:10" ht="15" hidden="1" customHeight="1" x14ac:dyDescent="0.25">
      <c r="A206" s="2324"/>
      <c r="B206" s="92"/>
      <c r="C206" s="92"/>
      <c r="D206" s="92"/>
      <c r="E206" s="92"/>
      <c r="F206" s="279"/>
      <c r="G206" s="16"/>
      <c r="H206" s="1297"/>
      <c r="I206" s="2325"/>
      <c r="J206" s="439"/>
    </row>
    <row r="207" spans="1:10" ht="15" hidden="1" customHeight="1" x14ac:dyDescent="0.25">
      <c r="A207" s="2324"/>
      <c r="B207" s="92"/>
      <c r="C207" s="92"/>
      <c r="D207" s="92"/>
      <c r="E207" s="92"/>
      <c r="F207" s="279"/>
      <c r="G207" s="16"/>
      <c r="H207" s="1297"/>
      <c r="I207" s="2325"/>
      <c r="J207" s="439"/>
    </row>
    <row r="208" spans="1:10" ht="15" customHeight="1" x14ac:dyDescent="0.25">
      <c r="A208" s="2324"/>
      <c r="B208" s="2332" t="str">
        <f>NSFR!B241</f>
        <v>Non-HQLA exchange traded equities; of which:</v>
      </c>
      <c r="C208" s="2333"/>
      <c r="D208" s="2333"/>
      <c r="E208" s="2333"/>
      <c r="F208" s="279"/>
      <c r="G208" s="16"/>
      <c r="H208" s="1297"/>
      <c r="I208" s="2325"/>
      <c r="J208" s="439"/>
    </row>
    <row r="209" spans="1:10" ht="15" customHeight="1" x14ac:dyDescent="0.25">
      <c r="A209" s="2324"/>
      <c r="B209" s="2343" t="str">
        <f>NSFR!B242</f>
        <v>Unencumbered</v>
      </c>
      <c r="C209" s="2333"/>
      <c r="D209" s="2333"/>
      <c r="E209" s="2333"/>
      <c r="F209" s="713"/>
      <c r="G209" s="713"/>
      <c r="H209" s="708">
        <v>0.85</v>
      </c>
      <c r="I209" s="2325"/>
      <c r="J209" s="439"/>
    </row>
    <row r="210" spans="1:10" ht="15" customHeight="1" x14ac:dyDescent="0.25">
      <c r="A210" s="2324"/>
      <c r="B210" s="2492" t="str">
        <f>NSFR!B243</f>
        <v>Remaining period of encumbrance &lt; 6 months</v>
      </c>
      <c r="C210" s="2333"/>
      <c r="D210" s="2333"/>
      <c r="E210" s="2333"/>
      <c r="F210" s="708">
        <v>0</v>
      </c>
      <c r="G210" s="708">
        <v>0</v>
      </c>
      <c r="H210" s="708">
        <v>0.85</v>
      </c>
      <c r="I210" s="2325"/>
      <c r="J210" s="439"/>
    </row>
    <row r="211" spans="1:10" ht="15" customHeight="1" x14ac:dyDescent="0.25">
      <c r="A211" s="2324"/>
      <c r="B211" s="2492" t="str">
        <f>NSFR!B244</f>
        <v>Remaining period of encumbrance ≥ 6 months to &lt; 1 year</v>
      </c>
      <c r="C211" s="2333"/>
      <c r="D211" s="2333"/>
      <c r="E211" s="2333"/>
      <c r="F211" s="708">
        <v>0</v>
      </c>
      <c r="G211" s="708">
        <v>0</v>
      </c>
      <c r="H211" s="708">
        <v>0.85</v>
      </c>
      <c r="I211" s="2325"/>
      <c r="J211" s="439"/>
    </row>
    <row r="212" spans="1:10" ht="15" customHeight="1" x14ac:dyDescent="0.25">
      <c r="A212" s="2324"/>
      <c r="B212" s="2492" t="str">
        <f>NSFR!B245</f>
        <v>Remaining period of encumbrance ≥ 1 year</v>
      </c>
      <c r="C212" s="2333"/>
      <c r="D212" s="2333"/>
      <c r="E212" s="2333"/>
      <c r="F212" s="708">
        <v>0</v>
      </c>
      <c r="G212" s="708">
        <v>0</v>
      </c>
      <c r="H212" s="708">
        <v>1</v>
      </c>
      <c r="I212" s="2325"/>
      <c r="J212" s="439"/>
    </row>
    <row r="213" spans="1:10" ht="15" customHeight="1" x14ac:dyDescent="0.25">
      <c r="A213" s="2324"/>
      <c r="B213" s="2339" t="str">
        <f>NSFR!B246</f>
        <v>Encumbered for exceptional CB liquidity operations, ≥ 6 months to &lt; 1 year</v>
      </c>
      <c r="C213" s="2333"/>
      <c r="D213" s="2333"/>
      <c r="E213" s="2333"/>
      <c r="F213" s="713"/>
      <c r="G213" s="713"/>
      <c r="H213" s="713"/>
      <c r="I213" s="2325"/>
      <c r="J213" s="439"/>
    </row>
    <row r="214" spans="1:10" ht="15" customHeight="1" x14ac:dyDescent="0.25">
      <c r="A214" s="2324"/>
      <c r="B214" s="2339" t="str">
        <f>NSFR!B247</f>
        <v>Encumbered for exceptional CB liquidity operations, ≥ 1 year</v>
      </c>
      <c r="C214" s="2333"/>
      <c r="D214" s="2333"/>
      <c r="E214" s="2333"/>
      <c r="F214" s="713"/>
      <c r="G214" s="713"/>
      <c r="H214" s="713"/>
      <c r="I214" s="2325"/>
      <c r="J214" s="439"/>
    </row>
    <row r="215" spans="1:10" ht="15" hidden="1" customHeight="1" x14ac:dyDescent="0.25">
      <c r="A215" s="2324"/>
      <c r="B215" s="92"/>
      <c r="C215" s="92"/>
      <c r="D215" s="92"/>
      <c r="E215" s="92"/>
      <c r="F215" s="279"/>
      <c r="G215" s="16"/>
      <c r="H215" s="1297"/>
      <c r="I215" s="2325"/>
      <c r="J215" s="439"/>
    </row>
    <row r="216" spans="1:10" ht="15" hidden="1" customHeight="1" x14ac:dyDescent="0.25">
      <c r="A216" s="2324"/>
      <c r="B216" s="92"/>
      <c r="C216" s="92"/>
      <c r="D216" s="92"/>
      <c r="E216" s="92"/>
      <c r="F216" s="279"/>
      <c r="G216" s="16"/>
      <c r="H216" s="1297"/>
      <c r="I216" s="2325"/>
      <c r="J216" s="439"/>
    </row>
    <row r="217" spans="1:10" ht="15" customHeight="1" x14ac:dyDescent="0.25">
      <c r="A217" s="2324"/>
      <c r="B217" s="2332" t="str">
        <f>NSFR!B250</f>
        <v>Non-HQLA securities not in default; of which:</v>
      </c>
      <c r="C217" s="2333"/>
      <c r="D217" s="2333"/>
      <c r="E217" s="2333"/>
      <c r="F217" s="279"/>
      <c r="G217" s="16"/>
      <c r="H217" s="1297"/>
      <c r="I217" s="2325"/>
      <c r="J217" s="439"/>
    </row>
    <row r="218" spans="1:10" ht="15" customHeight="1" x14ac:dyDescent="0.25">
      <c r="A218" s="2324"/>
      <c r="B218" s="2343" t="str">
        <f>NSFR!B251</f>
        <v>Unencumbered</v>
      </c>
      <c r="C218" s="2333"/>
      <c r="D218" s="2333"/>
      <c r="E218" s="2333"/>
      <c r="F218" s="713">
        <v>0.5</v>
      </c>
      <c r="G218" s="713">
        <v>0.5</v>
      </c>
      <c r="H218" s="708">
        <v>0.85</v>
      </c>
      <c r="I218" s="2325"/>
      <c r="J218" s="439"/>
    </row>
    <row r="219" spans="1:10" ht="15" customHeight="1" x14ac:dyDescent="0.25">
      <c r="A219" s="2324"/>
      <c r="B219" s="2492" t="str">
        <f>NSFR!B252</f>
        <v>Remaining period of encumbrance &lt; 6 months</v>
      </c>
      <c r="C219" s="2333"/>
      <c r="D219" s="2333"/>
      <c r="E219" s="2333"/>
      <c r="F219" s="713">
        <v>0.5</v>
      </c>
      <c r="G219" s="713">
        <v>0.5</v>
      </c>
      <c r="H219" s="708">
        <v>0.85</v>
      </c>
      <c r="I219" s="2325"/>
      <c r="J219" s="439"/>
    </row>
    <row r="220" spans="1:10" ht="15" customHeight="1" x14ac:dyDescent="0.25">
      <c r="A220" s="2324"/>
      <c r="B220" s="2492" t="str">
        <f>NSFR!B253</f>
        <v>Remaining period of encumbrance ≥ 6 months to &lt; 1 year</v>
      </c>
      <c r="C220" s="2333"/>
      <c r="D220" s="2333"/>
      <c r="E220" s="2333"/>
      <c r="F220" s="713">
        <v>0.5</v>
      </c>
      <c r="G220" s="713">
        <v>0.5</v>
      </c>
      <c r="H220" s="708">
        <v>0.85</v>
      </c>
      <c r="I220" s="2325"/>
      <c r="J220" s="439"/>
    </row>
    <row r="221" spans="1:10" ht="15" customHeight="1" x14ac:dyDescent="0.25">
      <c r="A221" s="2324"/>
      <c r="B221" s="2492" t="str">
        <f>NSFR!B254</f>
        <v>Remaining period of encumbrance ≥ 1 year</v>
      </c>
      <c r="C221" s="2333"/>
      <c r="D221" s="2333"/>
      <c r="E221" s="2333"/>
      <c r="F221" s="713">
        <v>1</v>
      </c>
      <c r="G221" s="713">
        <v>1</v>
      </c>
      <c r="H221" s="708">
        <v>1</v>
      </c>
      <c r="I221" s="2325"/>
      <c r="J221" s="439"/>
    </row>
    <row r="222" spans="1:10" ht="15" customHeight="1" x14ac:dyDescent="0.25">
      <c r="A222" s="2324"/>
      <c r="B222" s="2339" t="str">
        <f>NSFR!B255</f>
        <v>Encumbered for exceptional CB liquidity operations, ≥ 6 months to &lt; 1 year</v>
      </c>
      <c r="C222" s="2333"/>
      <c r="D222" s="2333"/>
      <c r="E222" s="2333"/>
      <c r="F222" s="713"/>
      <c r="G222" s="713"/>
      <c r="H222" s="713"/>
      <c r="I222" s="2325"/>
      <c r="J222" s="439"/>
    </row>
    <row r="223" spans="1:10" ht="15" customHeight="1" x14ac:dyDescent="0.25">
      <c r="A223" s="2324"/>
      <c r="B223" s="2339" t="str">
        <f>NSFR!B256</f>
        <v>Encumbered for exceptional CB liquidity operations, ≥ 1 year</v>
      </c>
      <c r="C223" s="2333"/>
      <c r="D223" s="2333"/>
      <c r="E223" s="2333"/>
      <c r="F223" s="713"/>
      <c r="G223" s="713"/>
      <c r="H223" s="713"/>
      <c r="I223" s="2325"/>
      <c r="J223" s="439"/>
    </row>
    <row r="224" spans="1:10" ht="15" hidden="1" customHeight="1" x14ac:dyDescent="0.25">
      <c r="A224" s="2324"/>
      <c r="B224" s="92"/>
      <c r="C224" s="92"/>
      <c r="D224" s="92"/>
      <c r="E224" s="92"/>
      <c r="F224" s="279"/>
      <c r="G224" s="16"/>
      <c r="H224" s="1297"/>
      <c r="I224" s="2325"/>
      <c r="J224" s="439"/>
    </row>
    <row r="225" spans="1:10" ht="15" hidden="1" customHeight="1" x14ac:dyDescent="0.25">
      <c r="A225" s="2324"/>
      <c r="B225" s="92"/>
      <c r="C225" s="92"/>
      <c r="D225" s="92"/>
      <c r="E225" s="92"/>
      <c r="F225" s="279"/>
      <c r="G225" s="16"/>
      <c r="H225" s="1297"/>
      <c r="I225" s="2325"/>
      <c r="J225" s="439"/>
    </row>
    <row r="226" spans="1:10" ht="15" customHeight="1" x14ac:dyDescent="0.25">
      <c r="A226" s="2324"/>
      <c r="B226" s="2332" t="str">
        <f>NSFR!B259</f>
        <v>Physical traded commodities including gold; of which:</v>
      </c>
      <c r="C226" s="2333"/>
      <c r="D226" s="2333"/>
      <c r="E226" s="2333"/>
      <c r="F226" s="279"/>
      <c r="G226" s="16"/>
      <c r="H226" s="1297"/>
      <c r="I226" s="2325"/>
      <c r="J226" s="439"/>
    </row>
    <row r="227" spans="1:10" ht="15" customHeight="1" x14ac:dyDescent="0.25">
      <c r="A227" s="2324"/>
      <c r="B227" s="2343" t="str">
        <f>NSFR!B260</f>
        <v>Unencumbered</v>
      </c>
      <c r="C227" s="2333"/>
      <c r="D227" s="2333"/>
      <c r="E227" s="2333"/>
      <c r="F227" s="279"/>
      <c r="G227" s="16"/>
      <c r="H227" s="708">
        <v>0.85</v>
      </c>
      <c r="I227" s="2325"/>
      <c r="J227" s="439"/>
    </row>
    <row r="228" spans="1:10" ht="15" customHeight="1" x14ac:dyDescent="0.25">
      <c r="A228" s="2324"/>
      <c r="B228" s="2492" t="str">
        <f>NSFR!B261</f>
        <v>Remaining period of encumbrance &lt; 6 months</v>
      </c>
      <c r="C228" s="2333"/>
      <c r="D228" s="2333"/>
      <c r="E228" s="2333"/>
      <c r="F228" s="279"/>
      <c r="G228" s="16"/>
      <c r="H228" s="708">
        <v>0.85</v>
      </c>
      <c r="I228" s="2325"/>
      <c r="J228" s="439"/>
    </row>
    <row r="229" spans="1:10" ht="15" customHeight="1" x14ac:dyDescent="0.25">
      <c r="A229" s="2324"/>
      <c r="B229" s="2492" t="str">
        <f>NSFR!B262</f>
        <v>Remaining period of encumbrance ≥ 6 months to &lt; 1 year</v>
      </c>
      <c r="C229" s="2333"/>
      <c r="D229" s="2333"/>
      <c r="E229" s="2333"/>
      <c r="F229" s="279"/>
      <c r="G229" s="16"/>
      <c r="H229" s="708">
        <v>0.85</v>
      </c>
      <c r="I229" s="2325"/>
      <c r="J229" s="439"/>
    </row>
    <row r="230" spans="1:10" ht="15" customHeight="1" x14ac:dyDescent="0.25">
      <c r="A230" s="2324"/>
      <c r="B230" s="2492" t="str">
        <f>NSFR!B263</f>
        <v>Remaining period of encumbrance ≥ 1 year</v>
      </c>
      <c r="C230" s="2333"/>
      <c r="D230" s="2333"/>
      <c r="E230" s="2333"/>
      <c r="F230" s="279"/>
      <c r="G230" s="16"/>
      <c r="H230" s="708">
        <v>1</v>
      </c>
      <c r="I230" s="2325"/>
      <c r="J230" s="439"/>
    </row>
    <row r="231" spans="1:10" ht="15" customHeight="1" x14ac:dyDescent="0.25">
      <c r="A231" s="2324"/>
      <c r="B231" s="2339" t="str">
        <f>NSFR!B264</f>
        <v>Encumbered for exceptional CB liquidity operations, ≥ 6 months to &lt; 1 year</v>
      </c>
      <c r="C231" s="2333"/>
      <c r="D231" s="2333"/>
      <c r="E231" s="2333"/>
      <c r="F231" s="279"/>
      <c r="G231" s="16"/>
      <c r="H231" s="713"/>
      <c r="I231" s="2325"/>
      <c r="J231" s="439"/>
    </row>
    <row r="232" spans="1:10" ht="15" customHeight="1" x14ac:dyDescent="0.25">
      <c r="A232" s="2324"/>
      <c r="B232" s="2339" t="str">
        <f>NSFR!B265</f>
        <v>Encumbered for exceptional CB liquidity operations, ≥ 1 year</v>
      </c>
      <c r="C232" s="2333"/>
      <c r="D232" s="2333"/>
      <c r="E232" s="2333"/>
      <c r="F232" s="279"/>
      <c r="G232" s="16"/>
      <c r="H232" s="713"/>
      <c r="I232" s="2325"/>
      <c r="J232" s="439"/>
    </row>
    <row r="233" spans="1:10" ht="15" hidden="1" customHeight="1" x14ac:dyDescent="0.25">
      <c r="A233" s="2324"/>
      <c r="B233" s="92"/>
      <c r="C233" s="92"/>
      <c r="D233" s="92"/>
      <c r="E233" s="92"/>
      <c r="F233" s="279"/>
      <c r="G233" s="16"/>
      <c r="H233" s="1297"/>
      <c r="I233" s="2325"/>
      <c r="J233" s="439"/>
    </row>
    <row r="234" spans="1:10" ht="15" hidden="1" customHeight="1" x14ac:dyDescent="0.25">
      <c r="A234" s="2324"/>
      <c r="B234" s="92"/>
      <c r="C234" s="92"/>
      <c r="D234" s="92"/>
      <c r="E234" s="92"/>
      <c r="F234" s="279"/>
      <c r="G234" s="16"/>
      <c r="H234" s="1297"/>
      <c r="I234" s="2325"/>
      <c r="J234" s="439"/>
    </row>
    <row r="235" spans="1:10" ht="15" customHeight="1" x14ac:dyDescent="0.25">
      <c r="A235" s="2324"/>
      <c r="B235" s="2989" t="str">
        <f>NSFR!B268</f>
        <v xml:space="preserve">Other short-term unsecured instruments and transactions with a residual maturity of less than one year, of which: </v>
      </c>
      <c r="C235" s="2989"/>
      <c r="D235" s="2989"/>
      <c r="E235" s="3204"/>
      <c r="F235" s="279"/>
      <c r="G235" s="16"/>
      <c r="H235" s="1297"/>
      <c r="I235" s="2325"/>
      <c r="J235" s="439"/>
    </row>
    <row r="236" spans="1:10" ht="15" customHeight="1" x14ac:dyDescent="0.25">
      <c r="A236" s="2324"/>
      <c r="B236" s="2343" t="str">
        <f>NSFR!B269</f>
        <v>Unencumbered</v>
      </c>
      <c r="C236" s="2333"/>
      <c r="D236" s="2333"/>
      <c r="E236" s="2333"/>
      <c r="F236" s="713">
        <v>0.5</v>
      </c>
      <c r="G236" s="713">
        <v>0.5</v>
      </c>
      <c r="H236" s="1297"/>
      <c r="I236" s="2325"/>
      <c r="J236" s="439"/>
    </row>
    <row r="237" spans="1:10" ht="15" customHeight="1" x14ac:dyDescent="0.25">
      <c r="A237" s="2324"/>
      <c r="B237" s="2492" t="str">
        <f>NSFR!B270</f>
        <v>Remaining period of encumbrance &lt; 6 months</v>
      </c>
      <c r="C237" s="2333"/>
      <c r="D237" s="2333"/>
      <c r="E237" s="2333"/>
      <c r="F237" s="713">
        <v>0.5</v>
      </c>
      <c r="G237" s="713">
        <v>0.5</v>
      </c>
      <c r="H237" s="1297"/>
      <c r="I237" s="2325"/>
      <c r="J237" s="439"/>
    </row>
    <row r="238" spans="1:10" ht="15" customHeight="1" x14ac:dyDescent="0.25">
      <c r="A238" s="2324"/>
      <c r="B238" s="2492" t="str">
        <f>NSFR!B271</f>
        <v>Remaining period of encumbrance ≥ 6 months to &lt; 1 year</v>
      </c>
      <c r="C238" s="2333"/>
      <c r="D238" s="2333"/>
      <c r="E238" s="2333"/>
      <c r="F238" s="713">
        <v>0.5</v>
      </c>
      <c r="G238" s="713">
        <v>0.5</v>
      </c>
      <c r="H238" s="1297"/>
      <c r="I238" s="2325"/>
      <c r="J238" s="439"/>
    </row>
    <row r="239" spans="1:10" ht="15" customHeight="1" x14ac:dyDescent="0.25">
      <c r="A239" s="2324"/>
      <c r="B239" s="2492" t="str">
        <f>NSFR!B272</f>
        <v>Remaining period of encumbrance ≥ 1 year</v>
      </c>
      <c r="C239" s="2333"/>
      <c r="D239" s="2333"/>
      <c r="E239" s="2333"/>
      <c r="F239" s="713">
        <v>1</v>
      </c>
      <c r="G239" s="713">
        <v>1</v>
      </c>
      <c r="H239" s="1297"/>
      <c r="I239" s="2325"/>
      <c r="J239" s="439"/>
    </row>
    <row r="240" spans="1:10" ht="15" customHeight="1" x14ac:dyDescent="0.25">
      <c r="A240" s="2324"/>
      <c r="B240" s="2339" t="str">
        <f>NSFR!B273</f>
        <v>Encumbered for exceptional CB liquidity operations, ≥ 6 months to &lt; 1 year</v>
      </c>
      <c r="C240" s="2333"/>
      <c r="D240" s="2333"/>
      <c r="E240" s="2333"/>
      <c r="F240" s="713"/>
      <c r="G240" s="713"/>
      <c r="H240" s="1297"/>
      <c r="I240" s="2325"/>
      <c r="J240" s="439"/>
    </row>
    <row r="241" spans="1:10" ht="15" customHeight="1" x14ac:dyDescent="0.25">
      <c r="A241" s="2324"/>
      <c r="B241" s="2339" t="str">
        <f>NSFR!B274</f>
        <v>Encumbered for exceptional CB liquidity operations, ≥ 1 year</v>
      </c>
      <c r="C241" s="2333"/>
      <c r="D241" s="2333"/>
      <c r="E241" s="2333"/>
      <c r="F241" s="713"/>
      <c r="G241" s="713"/>
      <c r="H241" s="1297"/>
      <c r="I241" s="2325"/>
      <c r="J241" s="439"/>
    </row>
    <row r="242" spans="1:10" ht="15" hidden="1" customHeight="1" x14ac:dyDescent="0.25">
      <c r="A242" s="2324"/>
      <c r="B242" s="92"/>
      <c r="C242" s="92"/>
      <c r="D242" s="92"/>
      <c r="E242" s="92"/>
      <c r="F242" s="279"/>
      <c r="G242" s="16"/>
      <c r="H242" s="1297"/>
      <c r="I242" s="2325"/>
      <c r="J242" s="439"/>
    </row>
    <row r="243" spans="1:10" ht="15" hidden="1" customHeight="1" x14ac:dyDescent="0.25">
      <c r="A243" s="2324"/>
      <c r="B243" s="92"/>
      <c r="C243" s="92"/>
      <c r="D243" s="92"/>
      <c r="E243" s="92"/>
      <c r="F243" s="279"/>
      <c r="G243" s="16"/>
      <c r="H243" s="1297"/>
      <c r="I243" s="2325"/>
      <c r="J243" s="439"/>
    </row>
    <row r="244" spans="1:10" ht="15" customHeight="1" x14ac:dyDescent="0.25">
      <c r="A244" s="2324"/>
      <c r="B244" s="2344" t="str">
        <f>NSFR!B277</f>
        <v>Defaulted securities and non-performing loans</v>
      </c>
      <c r="C244" s="2333"/>
      <c r="D244" s="2333"/>
      <c r="E244" s="2333"/>
      <c r="F244" s="713">
        <v>1</v>
      </c>
      <c r="G244" s="713">
        <v>1</v>
      </c>
      <c r="H244" s="708">
        <v>1</v>
      </c>
      <c r="I244" s="2325"/>
      <c r="J244" s="439"/>
    </row>
    <row r="245" spans="1:10" ht="15" customHeight="1" x14ac:dyDescent="0.25">
      <c r="A245" s="2324"/>
      <c r="B245" s="3196" t="str">
        <f>NSFR!B278</f>
        <v>NSFR net derivative assets</v>
      </c>
      <c r="C245" s="3196"/>
      <c r="D245" s="3196"/>
      <c r="E245" s="3197"/>
      <c r="F245" s="279"/>
      <c r="G245" s="16"/>
      <c r="H245" s="708">
        <v>1</v>
      </c>
      <c r="I245" s="2325"/>
      <c r="J245" s="439"/>
    </row>
    <row r="246" spans="1:10" ht="15" customHeight="1" x14ac:dyDescent="0.25">
      <c r="A246" s="2324"/>
      <c r="B246" s="2491" t="str">
        <f>NSFR!B279</f>
        <v>Required stable funding associated with derivative liabilities</v>
      </c>
      <c r="C246" s="2333"/>
      <c r="D246" s="2333"/>
      <c r="E246" s="2333"/>
      <c r="F246" s="279"/>
      <c r="G246" s="16"/>
      <c r="H246" s="708">
        <v>0.2</v>
      </c>
      <c r="I246" s="2325"/>
      <c r="J246" s="439"/>
    </row>
    <row r="247" spans="1:10" ht="15" customHeight="1" x14ac:dyDescent="0.25">
      <c r="A247" s="2324"/>
      <c r="B247" s="3196" t="str">
        <f>NSFR!B280</f>
        <v>Required stable funding associated with initial margin posted and cash or other assets provided to contribute to the default fund of a CCP</v>
      </c>
      <c r="C247" s="3196"/>
      <c r="D247" s="3196"/>
      <c r="E247" s="3197"/>
      <c r="F247" s="713"/>
      <c r="G247" s="713"/>
      <c r="H247" s="708">
        <v>0.85</v>
      </c>
      <c r="I247" s="2325"/>
      <c r="J247" s="439"/>
    </row>
    <row r="248" spans="1:10" ht="15" customHeight="1" x14ac:dyDescent="0.25">
      <c r="A248" s="2324"/>
      <c r="B248" s="2344" t="str">
        <f>NSFR!B281</f>
        <v>Items deducted from regulatory capital</v>
      </c>
      <c r="C248" s="2333"/>
      <c r="D248" s="2333"/>
      <c r="E248" s="2333"/>
      <c r="F248" s="713">
        <v>1</v>
      </c>
      <c r="G248" s="713">
        <v>1</v>
      </c>
      <c r="H248" s="708">
        <v>1</v>
      </c>
      <c r="I248" s="2325"/>
      <c r="J248" s="439"/>
    </row>
    <row r="249" spans="1:10" ht="15" customHeight="1" x14ac:dyDescent="0.25">
      <c r="A249" s="2324"/>
      <c r="B249" s="2344" t="str">
        <f>NSFR!B282</f>
        <v>Trade date receivables</v>
      </c>
      <c r="C249" s="2333"/>
      <c r="D249" s="2333"/>
      <c r="E249" s="2333"/>
      <c r="F249" s="16"/>
      <c r="G249" s="16"/>
      <c r="H249" s="713">
        <v>0</v>
      </c>
      <c r="I249" s="2325"/>
      <c r="J249" s="439"/>
    </row>
    <row r="250" spans="1:10" ht="15" customHeight="1" x14ac:dyDescent="0.25">
      <c r="A250" s="2324"/>
      <c r="B250" s="2344" t="str">
        <f>NSFR!B283</f>
        <v>Interdependent assets</v>
      </c>
      <c r="C250" s="2333"/>
      <c r="D250" s="2333"/>
      <c r="E250" s="2333"/>
      <c r="F250" s="713">
        <v>0</v>
      </c>
      <c r="G250" s="713">
        <v>0</v>
      </c>
      <c r="H250" s="708">
        <v>0</v>
      </c>
      <c r="I250" s="2325"/>
      <c r="J250" s="439"/>
    </row>
    <row r="251" spans="1:10" ht="15" hidden="1" customHeight="1" x14ac:dyDescent="0.25">
      <c r="A251" s="2324"/>
      <c r="B251" s="706"/>
      <c r="C251" s="2336"/>
      <c r="D251" s="2336"/>
      <c r="E251" s="2336"/>
      <c r="F251" s="1250"/>
      <c r="G251" s="1251"/>
      <c r="H251" s="1251"/>
      <c r="I251" s="2325"/>
      <c r="J251" s="439"/>
    </row>
    <row r="252" spans="1:10" ht="15" customHeight="1" x14ac:dyDescent="0.25">
      <c r="A252" s="2324"/>
      <c r="B252" s="3198" t="str">
        <f>NSFR!B285</f>
        <v>All other assets not included in above categories that qualify for 100% treatment</v>
      </c>
      <c r="C252" s="3198"/>
      <c r="D252" s="3198"/>
      <c r="E252" s="3199"/>
      <c r="F252" s="714">
        <v>1</v>
      </c>
      <c r="G252" s="714">
        <v>1</v>
      </c>
      <c r="H252" s="709">
        <v>1</v>
      </c>
      <c r="I252" s="2325"/>
      <c r="J252" s="439"/>
    </row>
    <row r="253" spans="1:10" ht="45" customHeight="1" x14ac:dyDescent="0.25">
      <c r="A253" s="2327" t="s">
        <v>2244</v>
      </c>
      <c r="B253" s="2328"/>
      <c r="C253" s="2328"/>
      <c r="D253" s="2329"/>
      <c r="E253" s="2529"/>
      <c r="F253" s="2330"/>
      <c r="G253" s="2326"/>
      <c r="H253" s="2326"/>
      <c r="I253" s="2326"/>
      <c r="J253" s="439"/>
    </row>
    <row r="254" spans="1:10" ht="15" customHeight="1" x14ac:dyDescent="0.25">
      <c r="A254" s="2323"/>
      <c r="B254" s="3195"/>
      <c r="C254" s="3195"/>
      <c r="D254" s="3195"/>
      <c r="E254" s="3195"/>
      <c r="F254" s="2490" t="s">
        <v>163</v>
      </c>
      <c r="G254" s="2326"/>
      <c r="H254" s="2326"/>
      <c r="I254" s="2326"/>
      <c r="J254" s="439"/>
    </row>
    <row r="255" spans="1:10" ht="15" customHeight="1" x14ac:dyDescent="0.25">
      <c r="A255" s="2324"/>
      <c r="B255" s="1876" t="str">
        <f>NSFR!B291</f>
        <v>Irrevocable or conditionally revocable liquidity facilities</v>
      </c>
      <c r="C255" s="2337"/>
      <c r="D255" s="2337"/>
      <c r="E255" s="2337"/>
      <c r="F255" s="2345">
        <v>0.05</v>
      </c>
      <c r="G255" s="2325"/>
      <c r="H255" s="2325"/>
      <c r="I255" s="2325"/>
      <c r="J255" s="439"/>
    </row>
    <row r="256" spans="1:10" ht="15" customHeight="1" x14ac:dyDescent="0.25">
      <c r="A256" s="2324"/>
      <c r="B256" s="39" t="str">
        <f>NSFR!B292</f>
        <v>Irrevocable or conditionally revocable credit facilities</v>
      </c>
      <c r="C256" s="2338"/>
      <c r="D256" s="2338"/>
      <c r="E256" s="2338"/>
      <c r="F256" s="708">
        <v>0.05</v>
      </c>
      <c r="G256" s="2325"/>
      <c r="H256" s="2325"/>
      <c r="I256" s="2325"/>
      <c r="J256" s="439"/>
    </row>
    <row r="257" spans="1:10" ht="15" customHeight="1" x14ac:dyDescent="0.25">
      <c r="A257" s="2324"/>
      <c r="B257" s="39" t="str">
        <f>NSFR!B293</f>
        <v>Unconditionally revocable liquidity facilities</v>
      </c>
      <c r="C257" s="2338"/>
      <c r="D257" s="2338"/>
      <c r="E257" s="2338"/>
      <c r="F257" s="708">
        <v>0</v>
      </c>
      <c r="G257" s="2325"/>
      <c r="H257" s="2325"/>
      <c r="I257" s="2325"/>
      <c r="J257" s="439"/>
    </row>
    <row r="258" spans="1:10" ht="15" customHeight="1" x14ac:dyDescent="0.25">
      <c r="A258" s="2324"/>
      <c r="B258" s="39" t="str">
        <f>NSFR!B294</f>
        <v>Unconditionally revocable credit facilities</v>
      </c>
      <c r="C258" s="2338"/>
      <c r="D258" s="2338"/>
      <c r="E258" s="2338"/>
      <c r="F258" s="708">
        <v>0</v>
      </c>
      <c r="G258" s="2325"/>
      <c r="H258" s="2325"/>
      <c r="I258" s="2325"/>
      <c r="J258" s="439"/>
    </row>
    <row r="259" spans="1:10" ht="15" customHeight="1" x14ac:dyDescent="0.25">
      <c r="A259" s="2324"/>
      <c r="B259" s="39" t="str">
        <f>NSFR!B295</f>
        <v>Trade finance-related obligations (including guarantees and letters of credit)</v>
      </c>
      <c r="C259" s="2338"/>
      <c r="D259" s="2338"/>
      <c r="E259" s="2338"/>
      <c r="F259" s="708">
        <v>0</v>
      </c>
      <c r="G259" s="2325"/>
      <c r="H259" s="2325"/>
      <c r="I259" s="2325"/>
      <c r="J259" s="439"/>
    </row>
    <row r="260" spans="1:10" ht="15" customHeight="1" x14ac:dyDescent="0.25">
      <c r="A260" s="2324"/>
      <c r="B260" s="39" t="str">
        <f>NSFR!B296</f>
        <v>Guarantees and letters of credit unrelated to trade finance obligations</v>
      </c>
      <c r="C260" s="2338"/>
      <c r="D260" s="2338"/>
      <c r="E260" s="2338"/>
      <c r="F260" s="708">
        <v>0</v>
      </c>
      <c r="G260" s="2325"/>
      <c r="H260" s="2325"/>
      <c r="I260" s="2325"/>
      <c r="J260" s="439"/>
    </row>
    <row r="261" spans="1:10" ht="15" customHeight="1" x14ac:dyDescent="0.25">
      <c r="A261" s="2324"/>
      <c r="B261" s="39" t="str">
        <f>NSFR!B297</f>
        <v xml:space="preserve">Non-contractual obligations, such as: </v>
      </c>
      <c r="C261" s="2338"/>
      <c r="D261" s="2338"/>
      <c r="E261" s="2338"/>
      <c r="F261" s="2346"/>
      <c r="G261" s="2325"/>
      <c r="H261" s="2325"/>
      <c r="I261" s="2325"/>
      <c r="J261" s="439"/>
    </row>
    <row r="262" spans="1:10" ht="15" customHeight="1" x14ac:dyDescent="0.25">
      <c r="A262" s="2324"/>
      <c r="B262" s="2339" t="str">
        <f>NSFR!B298</f>
        <v>Debt-buy back requests (incl related conduits)</v>
      </c>
      <c r="C262" s="2338"/>
      <c r="D262" s="2338"/>
      <c r="E262" s="2338"/>
      <c r="F262" s="708">
        <v>0</v>
      </c>
      <c r="G262" s="2325"/>
      <c r="H262" s="2325"/>
      <c r="I262" s="2325"/>
      <c r="J262" s="439"/>
    </row>
    <row r="263" spans="1:10" ht="15" customHeight="1" x14ac:dyDescent="0.25">
      <c r="A263" s="2324"/>
      <c r="B263" s="2339" t="str">
        <f>NSFR!B299</f>
        <v>Structured products</v>
      </c>
      <c r="C263" s="2338"/>
      <c r="D263" s="2338"/>
      <c r="E263" s="2338"/>
      <c r="F263" s="708">
        <v>0</v>
      </c>
      <c r="G263" s="2325"/>
      <c r="H263" s="2325"/>
      <c r="I263" s="2325"/>
      <c r="J263" s="439"/>
    </row>
    <row r="264" spans="1:10" ht="15" customHeight="1" x14ac:dyDescent="0.25">
      <c r="A264" s="2324"/>
      <c r="B264" s="2339" t="str">
        <f>NSFR!B300</f>
        <v>Managed funds</v>
      </c>
      <c r="C264" s="2338"/>
      <c r="D264" s="2338"/>
      <c r="E264" s="2338"/>
      <c r="F264" s="708">
        <v>0</v>
      </c>
      <c r="G264" s="2325"/>
      <c r="H264" s="2325"/>
      <c r="I264" s="2325"/>
      <c r="J264" s="439"/>
    </row>
    <row r="265" spans="1:10" ht="15" customHeight="1" x14ac:dyDescent="0.25">
      <c r="A265" s="2324"/>
      <c r="B265" s="2339" t="str">
        <f>NSFR!B301</f>
        <v>Other non-contractual obligations</v>
      </c>
      <c r="C265" s="2338"/>
      <c r="D265" s="2338"/>
      <c r="E265" s="2338"/>
      <c r="F265" s="708">
        <v>0</v>
      </c>
      <c r="G265" s="2325"/>
      <c r="H265" s="2325"/>
      <c r="I265" s="2325"/>
      <c r="J265" s="439"/>
    </row>
    <row r="266" spans="1:10" ht="15" customHeight="1" x14ac:dyDescent="0.25">
      <c r="A266" s="2324"/>
      <c r="B266" s="2340" t="str">
        <f>NSFR!B302</f>
        <v>All other off balance-sheet obligations not included in the above categories</v>
      </c>
      <c r="C266" s="2341"/>
      <c r="D266" s="2341"/>
      <c r="E266" s="2341"/>
      <c r="F266" s="709">
        <v>0</v>
      </c>
      <c r="G266" s="2325"/>
      <c r="H266" s="2325"/>
      <c r="I266" s="2325"/>
      <c r="J266" s="439"/>
    </row>
    <row r="267" spans="1:10" ht="15" customHeight="1" x14ac:dyDescent="0.3">
      <c r="A267" s="1861"/>
      <c r="B267" s="1862"/>
      <c r="C267" s="1863"/>
      <c r="D267" s="1863"/>
      <c r="E267" s="1863"/>
      <c r="F267" s="1863"/>
      <c r="G267" s="573"/>
      <c r="H267" s="573"/>
      <c r="I267" s="573"/>
      <c r="J267" s="1864"/>
    </row>
    <row r="268" spans="1:10" ht="45" customHeight="1" x14ac:dyDescent="0.25">
      <c r="A268" s="964" t="s">
        <v>2245</v>
      </c>
      <c r="B268" s="1858"/>
      <c r="C268" s="1858"/>
      <c r="D268" s="1859"/>
      <c r="E268" s="1859"/>
      <c r="F268" s="1860"/>
      <c r="G268" s="1207"/>
      <c r="H268" s="1207"/>
      <c r="I268" s="325"/>
      <c r="J268" s="526"/>
    </row>
    <row r="269" spans="1:10" ht="15" customHeight="1" x14ac:dyDescent="0.25">
      <c r="A269" s="471"/>
      <c r="B269" s="1220" t="s">
        <v>733</v>
      </c>
      <c r="C269" s="705"/>
      <c r="D269" s="705"/>
      <c r="E269" s="705"/>
      <c r="F269" s="719" t="s">
        <v>43</v>
      </c>
      <c r="G269" s="1484"/>
      <c r="H269" s="1484"/>
      <c r="I269" s="1484"/>
      <c r="J269" s="526"/>
    </row>
    <row r="270" spans="1:10" ht="15" customHeight="1" x14ac:dyDescent="0.25">
      <c r="A270" s="471"/>
      <c r="B270" s="411" t="s">
        <v>1000</v>
      </c>
      <c r="C270" s="141"/>
      <c r="D270" s="141"/>
      <c r="E270" s="141"/>
      <c r="F270" s="720" t="s">
        <v>42</v>
      </c>
      <c r="G270" s="1484"/>
      <c r="H270" s="1484"/>
      <c r="I270" s="1484"/>
      <c r="J270" s="526"/>
    </row>
    <row r="271" spans="1:10" ht="15" customHeight="1" x14ac:dyDescent="0.25">
      <c r="A271" s="412"/>
      <c r="B271" s="1858"/>
      <c r="C271" s="1858"/>
      <c r="D271" s="1859"/>
      <c r="E271" s="1859"/>
      <c r="F271" s="1860"/>
      <c r="G271" s="325"/>
      <c r="H271" s="325"/>
      <c r="I271" s="325"/>
      <c r="J271" s="526"/>
    </row>
    <row r="272" spans="1:10" ht="30" customHeight="1" x14ac:dyDescent="0.25">
      <c r="A272" s="412"/>
      <c r="B272" s="1858"/>
      <c r="C272" s="1866"/>
      <c r="D272" s="1400"/>
      <c r="E272" s="1400"/>
      <c r="F272" s="716" t="s">
        <v>655</v>
      </c>
      <c r="G272" s="1956" t="s">
        <v>448</v>
      </c>
      <c r="H272" s="325"/>
      <c r="I272" s="325"/>
      <c r="J272" s="526"/>
    </row>
    <row r="273" spans="1:10" ht="15" customHeight="1" x14ac:dyDescent="0.25">
      <c r="A273" s="389"/>
      <c r="B273" s="715" t="s">
        <v>770</v>
      </c>
      <c r="C273" s="715"/>
      <c r="D273" s="715"/>
      <c r="E273" s="715"/>
      <c r="F273" s="717"/>
      <c r="G273" s="529"/>
      <c r="H273" s="1484"/>
      <c r="I273" s="1484"/>
      <c r="J273" s="526"/>
    </row>
    <row r="274" spans="1:10" ht="15" customHeight="1" x14ac:dyDescent="0.25">
      <c r="A274" s="389"/>
      <c r="B274" s="240" t="s">
        <v>594</v>
      </c>
      <c r="C274" s="530"/>
      <c r="D274" s="530"/>
      <c r="E274" s="530"/>
      <c r="F274" s="321"/>
      <c r="G274" s="531"/>
      <c r="H274" s="1484"/>
      <c r="I274" s="1484"/>
      <c r="J274" s="526"/>
    </row>
    <row r="275" spans="1:10" ht="15" customHeight="1" x14ac:dyDescent="0.25">
      <c r="A275" s="389"/>
      <c r="B275" s="240" t="s">
        <v>1611</v>
      </c>
      <c r="C275" s="530"/>
      <c r="D275" s="530"/>
      <c r="E275" s="530"/>
      <c r="F275" s="321"/>
      <c r="G275" s="531"/>
      <c r="H275" s="1484"/>
      <c r="I275" s="1484"/>
      <c r="J275" s="526"/>
    </row>
    <row r="276" spans="1:10" ht="15" customHeight="1" x14ac:dyDescent="0.25">
      <c r="A276" s="389"/>
      <c r="B276" s="417" t="s">
        <v>914</v>
      </c>
      <c r="C276" s="532"/>
      <c r="D276" s="532"/>
      <c r="E276" s="532"/>
      <c r="F276" s="321"/>
      <c r="G276" s="531"/>
      <c r="H276" s="1484"/>
      <c r="I276" s="1484"/>
      <c r="J276" s="526"/>
    </row>
    <row r="277" spans="1:10" ht="15" customHeight="1" x14ac:dyDescent="0.25">
      <c r="A277" s="389"/>
      <c r="B277" s="417" t="s">
        <v>915</v>
      </c>
      <c r="C277" s="532"/>
      <c r="D277" s="532"/>
      <c r="E277" s="532"/>
      <c r="F277" s="321"/>
      <c r="G277" s="531"/>
      <c r="H277" s="1484"/>
      <c r="I277" s="1484"/>
      <c r="J277" s="526"/>
    </row>
    <row r="278" spans="1:10" ht="15" customHeight="1" x14ac:dyDescent="0.25">
      <c r="A278" s="389"/>
      <c r="B278" s="267" t="s">
        <v>778</v>
      </c>
      <c r="C278" s="267"/>
      <c r="D278" s="267"/>
      <c r="E278" s="267"/>
      <c r="F278" s="321"/>
      <c r="G278" s="531"/>
      <c r="H278" s="1484"/>
      <c r="I278" s="1484"/>
      <c r="J278" s="526"/>
    </row>
    <row r="279" spans="1:10" ht="15" customHeight="1" x14ac:dyDescent="0.25">
      <c r="A279" s="389"/>
      <c r="B279" s="240" t="s">
        <v>662</v>
      </c>
      <c r="C279" s="267"/>
      <c r="D279" s="267"/>
      <c r="E279" s="267"/>
      <c r="F279" s="321"/>
      <c r="G279" s="531"/>
      <c r="H279" s="1484"/>
      <c r="I279" s="1484"/>
      <c r="J279" s="526"/>
    </row>
    <row r="280" spans="1:10" ht="15" customHeight="1" x14ac:dyDescent="0.25">
      <c r="A280" s="389"/>
      <c r="B280" s="240" t="s">
        <v>777</v>
      </c>
      <c r="C280" s="533"/>
      <c r="D280" s="533"/>
      <c r="E280" s="533"/>
      <c r="F280" s="718"/>
      <c r="G280" s="534"/>
      <c r="H280" s="1484"/>
      <c r="I280" s="1484"/>
      <c r="J280" s="526"/>
    </row>
    <row r="281" spans="1:10" ht="15" customHeight="1" x14ac:dyDescent="0.25">
      <c r="A281" s="389"/>
      <c r="B281" s="243" t="s">
        <v>773</v>
      </c>
      <c r="C281" s="323"/>
      <c r="D281" s="323"/>
      <c r="E281" s="323"/>
      <c r="F281" s="321"/>
      <c r="G281" s="531"/>
      <c r="H281" s="1484"/>
      <c r="I281" s="1484"/>
      <c r="J281" s="526"/>
    </row>
    <row r="282" spans="1:10" ht="15" customHeight="1" x14ac:dyDescent="0.25">
      <c r="A282" s="389"/>
      <c r="B282" s="616" t="s">
        <v>775</v>
      </c>
      <c r="C282" s="366"/>
      <c r="D282" s="366"/>
      <c r="E282" s="366"/>
      <c r="F282" s="2528">
        <v>0.2</v>
      </c>
      <c r="G282" s="534"/>
      <c r="H282" s="1484"/>
      <c r="I282" s="1484"/>
      <c r="J282" s="526"/>
    </row>
    <row r="283" spans="1:10" ht="15" customHeight="1" x14ac:dyDescent="0.25">
      <c r="A283" s="389"/>
      <c r="B283" s="616" t="s">
        <v>544</v>
      </c>
      <c r="C283" s="366"/>
      <c r="D283" s="366"/>
      <c r="E283" s="366"/>
      <c r="F283" s="2528">
        <v>0.3</v>
      </c>
      <c r="G283" s="531"/>
      <c r="H283" s="1484"/>
      <c r="I283" s="1484"/>
      <c r="J283" s="526"/>
    </row>
    <row r="284" spans="1:10" ht="15" customHeight="1" x14ac:dyDescent="0.25">
      <c r="A284" s="389"/>
      <c r="B284" s="616" t="s">
        <v>545</v>
      </c>
      <c r="C284" s="366"/>
      <c r="D284" s="366"/>
      <c r="E284" s="366"/>
      <c r="F284" s="2528">
        <v>0.5</v>
      </c>
      <c r="G284" s="534"/>
      <c r="H284" s="1484"/>
      <c r="I284" s="1484"/>
      <c r="J284" s="526"/>
    </row>
    <row r="285" spans="1:10" ht="15" customHeight="1" x14ac:dyDescent="0.25">
      <c r="A285" s="389"/>
      <c r="B285" s="616" t="s">
        <v>546</v>
      </c>
      <c r="C285" s="366"/>
      <c r="D285" s="366"/>
      <c r="E285" s="366"/>
      <c r="F285" s="2528">
        <v>1</v>
      </c>
      <c r="G285" s="531"/>
      <c r="H285" s="1484"/>
      <c r="I285" s="1484"/>
      <c r="J285" s="526"/>
    </row>
    <row r="286" spans="1:10" ht="15" customHeight="1" x14ac:dyDescent="0.25">
      <c r="A286" s="389"/>
      <c r="B286" s="616" t="s">
        <v>776</v>
      </c>
      <c r="C286" s="366"/>
      <c r="D286" s="366"/>
      <c r="E286" s="366"/>
      <c r="F286" s="2528">
        <v>1.5</v>
      </c>
      <c r="G286" s="534"/>
      <c r="H286" s="1484"/>
      <c r="I286" s="1484"/>
      <c r="J286" s="526"/>
    </row>
    <row r="287" spans="1:10" ht="15" customHeight="1" x14ac:dyDescent="0.25">
      <c r="A287" s="389"/>
      <c r="B287" s="243" t="s">
        <v>774</v>
      </c>
      <c r="C287" s="323"/>
      <c r="D287" s="323"/>
      <c r="E287" s="323"/>
      <c r="F287" s="321"/>
      <c r="G287" s="534"/>
      <c r="H287" s="1484"/>
      <c r="I287" s="1484"/>
      <c r="J287" s="526"/>
    </row>
    <row r="288" spans="1:10" ht="15" customHeight="1" x14ac:dyDescent="0.25">
      <c r="A288" s="389"/>
      <c r="B288" s="616" t="s">
        <v>775</v>
      </c>
      <c r="C288" s="366"/>
      <c r="D288" s="366"/>
      <c r="E288" s="366"/>
      <c r="F288" s="2528">
        <v>0.2</v>
      </c>
      <c r="G288" s="531"/>
      <c r="H288" s="1484"/>
      <c r="I288" s="1484"/>
      <c r="J288" s="526"/>
    </row>
    <row r="289" spans="1:10" ht="15" customHeight="1" x14ac:dyDescent="0.25">
      <c r="A289" s="389"/>
      <c r="B289" s="616" t="s">
        <v>544</v>
      </c>
      <c r="C289" s="366"/>
      <c r="D289" s="366"/>
      <c r="E289" s="366"/>
      <c r="F289" s="2528">
        <v>0.2</v>
      </c>
      <c r="G289" s="534"/>
      <c r="H289" s="1484"/>
      <c r="I289" s="1484"/>
      <c r="J289" s="526"/>
    </row>
    <row r="290" spans="1:10" ht="15" customHeight="1" x14ac:dyDescent="0.25">
      <c r="A290" s="389"/>
      <c r="B290" s="616" t="s">
        <v>545</v>
      </c>
      <c r="C290" s="366"/>
      <c r="D290" s="366"/>
      <c r="E290" s="366"/>
      <c r="F290" s="2528">
        <v>0.2</v>
      </c>
      <c r="G290" s="531"/>
      <c r="H290" s="1484"/>
      <c r="I290" s="1484"/>
      <c r="J290" s="526"/>
    </row>
    <row r="291" spans="1:10" ht="15" customHeight="1" x14ac:dyDescent="0.25">
      <c r="A291" s="389"/>
      <c r="B291" s="616" t="s">
        <v>546</v>
      </c>
      <c r="C291" s="366"/>
      <c r="D291" s="366"/>
      <c r="E291" s="366"/>
      <c r="F291" s="2528">
        <v>0.5</v>
      </c>
      <c r="G291" s="534"/>
      <c r="H291" s="1484"/>
      <c r="I291" s="1484"/>
      <c r="J291" s="526"/>
    </row>
    <row r="292" spans="1:10" ht="15" customHeight="1" x14ac:dyDescent="0.25">
      <c r="A292" s="389"/>
      <c r="B292" s="616" t="s">
        <v>776</v>
      </c>
      <c r="C292" s="366"/>
      <c r="D292" s="366"/>
      <c r="E292" s="366"/>
      <c r="F292" s="2528">
        <v>1.5</v>
      </c>
      <c r="G292" s="531"/>
      <c r="H292" s="1484"/>
      <c r="I292" s="1484"/>
      <c r="J292" s="526"/>
    </row>
    <row r="293" spans="1:10" ht="15" customHeight="1" x14ac:dyDescent="0.25">
      <c r="A293" s="389"/>
      <c r="B293" s="240" t="s">
        <v>779</v>
      </c>
      <c r="C293" s="533"/>
      <c r="D293" s="533"/>
      <c r="E293" s="533"/>
      <c r="F293" s="718"/>
      <c r="G293" s="531"/>
      <c r="H293" s="1484"/>
      <c r="I293" s="1484"/>
      <c r="J293" s="526"/>
    </row>
    <row r="294" spans="1:10" ht="15" customHeight="1" x14ac:dyDescent="0.25">
      <c r="A294" s="389"/>
      <c r="B294" s="243" t="s">
        <v>917</v>
      </c>
      <c r="C294" s="323"/>
      <c r="D294" s="323"/>
      <c r="E294" s="323"/>
      <c r="F294" s="321"/>
      <c r="G294" s="534"/>
      <c r="H294" s="1484"/>
      <c r="I294" s="1484"/>
      <c r="J294" s="526"/>
    </row>
    <row r="295" spans="1:10" ht="15" customHeight="1" x14ac:dyDescent="0.25">
      <c r="A295" s="389"/>
      <c r="B295" s="616" t="s">
        <v>781</v>
      </c>
      <c r="C295" s="366"/>
      <c r="D295" s="366"/>
      <c r="E295" s="366"/>
      <c r="F295" s="2528">
        <v>0.3</v>
      </c>
      <c r="G295" s="531"/>
      <c r="H295" s="1484"/>
      <c r="I295" s="1484"/>
      <c r="J295" s="526"/>
    </row>
    <row r="296" spans="1:10" ht="15" customHeight="1" x14ac:dyDescent="0.25">
      <c r="A296" s="389"/>
      <c r="B296" s="616" t="s">
        <v>782</v>
      </c>
      <c r="C296" s="366"/>
      <c r="D296" s="366"/>
      <c r="E296" s="366"/>
      <c r="F296" s="2528">
        <v>0.4</v>
      </c>
      <c r="G296" s="534"/>
      <c r="H296" s="1484"/>
      <c r="I296" s="1484"/>
      <c r="J296" s="526"/>
    </row>
    <row r="297" spans="1:10" ht="15" customHeight="1" x14ac:dyDescent="0.25">
      <c r="A297" s="389"/>
      <c r="B297" s="616" t="s">
        <v>783</v>
      </c>
      <c r="C297" s="366"/>
      <c r="D297" s="366"/>
      <c r="E297" s="366"/>
      <c r="F297" s="2528">
        <v>0.75</v>
      </c>
      <c r="G297" s="531"/>
      <c r="H297" s="1484"/>
      <c r="I297" s="1484"/>
      <c r="J297" s="526"/>
    </row>
    <row r="298" spans="1:10" ht="15" customHeight="1" x14ac:dyDescent="0.25">
      <c r="A298" s="389"/>
      <c r="B298" s="616" t="s">
        <v>784</v>
      </c>
      <c r="C298" s="366"/>
      <c r="D298" s="366"/>
      <c r="E298" s="366"/>
      <c r="F298" s="2528">
        <v>1.5</v>
      </c>
      <c r="G298" s="534"/>
      <c r="H298" s="1484"/>
      <c r="I298" s="1484"/>
      <c r="J298" s="526"/>
    </row>
    <row r="299" spans="1:10" ht="15" customHeight="1" x14ac:dyDescent="0.25">
      <c r="A299" s="389"/>
      <c r="B299" s="243" t="s">
        <v>918</v>
      </c>
      <c r="C299" s="323"/>
      <c r="D299" s="323"/>
      <c r="E299" s="323"/>
      <c r="F299" s="321"/>
      <c r="G299" s="531"/>
      <c r="H299" s="1484"/>
      <c r="I299" s="1484"/>
      <c r="J299" s="526"/>
    </row>
    <row r="300" spans="1:10" ht="15" customHeight="1" x14ac:dyDescent="0.25">
      <c r="A300" s="389"/>
      <c r="B300" s="616" t="s">
        <v>785</v>
      </c>
      <c r="C300" s="366"/>
      <c r="D300" s="366"/>
      <c r="E300" s="366"/>
      <c r="F300" s="2528">
        <v>0.2</v>
      </c>
      <c r="G300" s="534"/>
      <c r="H300" s="1484"/>
      <c r="I300" s="1484"/>
      <c r="J300" s="526"/>
    </row>
    <row r="301" spans="1:10" ht="15" customHeight="1" x14ac:dyDescent="0.25">
      <c r="A301" s="389"/>
      <c r="B301" s="616" t="s">
        <v>783</v>
      </c>
      <c r="C301" s="366"/>
      <c r="D301" s="366"/>
      <c r="E301" s="366"/>
      <c r="F301" s="2528">
        <v>0.5</v>
      </c>
      <c r="G301" s="531"/>
      <c r="H301" s="1484"/>
      <c r="I301" s="1484"/>
      <c r="J301" s="526"/>
    </row>
    <row r="302" spans="1:10" ht="15" customHeight="1" x14ac:dyDescent="0.25">
      <c r="A302" s="389"/>
      <c r="B302" s="616" t="s">
        <v>784</v>
      </c>
      <c r="C302" s="366"/>
      <c r="D302" s="366"/>
      <c r="E302" s="366"/>
      <c r="F302" s="2528">
        <v>1.5</v>
      </c>
      <c r="G302" s="534"/>
      <c r="H302" s="1484"/>
      <c r="I302" s="1484"/>
      <c r="J302" s="526"/>
    </row>
    <row r="303" spans="1:10" ht="15" customHeight="1" x14ac:dyDescent="0.25">
      <c r="A303" s="389"/>
      <c r="B303" s="267" t="s">
        <v>786</v>
      </c>
      <c r="C303" s="533"/>
      <c r="D303" s="533"/>
      <c r="E303" s="533"/>
      <c r="F303" s="718"/>
      <c r="G303" s="531"/>
      <c r="H303" s="1484"/>
      <c r="I303" s="1484"/>
      <c r="J303" s="526"/>
    </row>
    <row r="304" spans="1:10" ht="15" customHeight="1" x14ac:dyDescent="0.25">
      <c r="A304" s="389"/>
      <c r="B304" s="240" t="s">
        <v>919</v>
      </c>
      <c r="C304" s="323"/>
      <c r="D304" s="323"/>
      <c r="E304" s="323"/>
      <c r="F304" s="321"/>
      <c r="G304" s="534"/>
      <c r="H304" s="1484"/>
      <c r="I304" s="1484"/>
      <c r="J304" s="526"/>
    </row>
    <row r="305" spans="1:10" ht="15" customHeight="1" x14ac:dyDescent="0.25">
      <c r="A305" s="389"/>
      <c r="B305" s="615" t="s">
        <v>775</v>
      </c>
      <c r="C305" s="366"/>
      <c r="D305" s="366"/>
      <c r="E305" s="366"/>
      <c r="F305" s="2528">
        <v>0.1</v>
      </c>
      <c r="G305" s="531"/>
      <c r="H305" s="1484"/>
      <c r="I305" s="1484"/>
      <c r="J305" s="526"/>
    </row>
    <row r="306" spans="1:10" ht="15" customHeight="1" x14ac:dyDescent="0.25">
      <c r="A306" s="389"/>
      <c r="B306" s="615" t="s">
        <v>544</v>
      </c>
      <c r="C306" s="366"/>
      <c r="D306" s="366"/>
      <c r="E306" s="366"/>
      <c r="F306" s="2528">
        <v>0.2</v>
      </c>
      <c r="G306" s="534"/>
      <c r="H306" s="1484"/>
      <c r="I306" s="1484"/>
      <c r="J306" s="526"/>
    </row>
    <row r="307" spans="1:10" ht="15" customHeight="1" x14ac:dyDescent="0.25">
      <c r="A307" s="389"/>
      <c r="B307" s="615" t="s">
        <v>545</v>
      </c>
      <c r="C307" s="366"/>
      <c r="D307" s="366"/>
      <c r="E307" s="366"/>
      <c r="F307" s="2528">
        <v>0.2</v>
      </c>
      <c r="G307" s="531"/>
      <c r="H307" s="1484"/>
      <c r="I307" s="1484"/>
      <c r="J307" s="526"/>
    </row>
    <row r="308" spans="1:10" ht="15" customHeight="1" x14ac:dyDescent="0.25">
      <c r="A308" s="389"/>
      <c r="B308" s="615" t="s">
        <v>546</v>
      </c>
      <c r="C308" s="366"/>
      <c r="D308" s="366"/>
      <c r="E308" s="366"/>
      <c r="F308" s="2528">
        <v>0.5</v>
      </c>
      <c r="G308" s="534"/>
      <c r="H308" s="1484"/>
      <c r="I308" s="1484"/>
      <c r="J308" s="526"/>
    </row>
    <row r="309" spans="1:10" ht="15" customHeight="1" x14ac:dyDescent="0.25">
      <c r="A309" s="389"/>
      <c r="B309" s="615" t="s">
        <v>776</v>
      </c>
      <c r="C309" s="366"/>
      <c r="D309" s="366"/>
      <c r="E309" s="366"/>
      <c r="F309" s="2528">
        <v>1</v>
      </c>
      <c r="G309" s="531"/>
      <c r="H309" s="1484"/>
      <c r="I309" s="1484"/>
      <c r="J309" s="526"/>
    </row>
    <row r="310" spans="1:10" ht="15" customHeight="1" x14ac:dyDescent="0.25">
      <c r="A310" s="389"/>
      <c r="B310" s="240" t="s">
        <v>788</v>
      </c>
      <c r="C310" s="323"/>
      <c r="D310" s="323"/>
      <c r="E310" s="323"/>
      <c r="F310" s="321"/>
      <c r="G310" s="534"/>
      <c r="H310" s="1484"/>
      <c r="I310" s="1484"/>
      <c r="J310" s="526"/>
    </row>
    <row r="311" spans="1:10" ht="15" customHeight="1" x14ac:dyDescent="0.25">
      <c r="A311" s="389"/>
      <c r="B311" s="615" t="s">
        <v>789</v>
      </c>
      <c r="C311" s="366"/>
      <c r="D311" s="366"/>
      <c r="E311" s="366"/>
      <c r="F311" s="2528">
        <v>0.1</v>
      </c>
      <c r="G311" s="531"/>
      <c r="H311" s="1484"/>
      <c r="I311" s="1484"/>
      <c r="J311" s="526"/>
    </row>
    <row r="312" spans="1:10" ht="15" customHeight="1" x14ac:dyDescent="0.25">
      <c r="A312" s="389"/>
      <c r="B312" s="615" t="s">
        <v>790</v>
      </c>
      <c r="C312" s="366"/>
      <c r="D312" s="366"/>
      <c r="E312" s="366"/>
      <c r="F312" s="2528">
        <v>0.15</v>
      </c>
      <c r="G312" s="534"/>
      <c r="H312" s="1484"/>
      <c r="I312" s="1484"/>
      <c r="J312" s="526"/>
    </row>
    <row r="313" spans="1:10" ht="15" customHeight="1" x14ac:dyDescent="0.25">
      <c r="A313" s="389"/>
      <c r="B313" s="615" t="s">
        <v>791</v>
      </c>
      <c r="C313" s="366"/>
      <c r="D313" s="366"/>
      <c r="E313" s="366"/>
      <c r="F313" s="2528">
        <v>0.2</v>
      </c>
      <c r="G313" s="531"/>
      <c r="H313" s="1484"/>
      <c r="I313" s="1484"/>
      <c r="J313" s="526"/>
    </row>
    <row r="314" spans="1:10" ht="15" customHeight="1" x14ac:dyDescent="0.25">
      <c r="A314" s="389"/>
      <c r="B314" s="615" t="s">
        <v>792</v>
      </c>
      <c r="C314" s="366"/>
      <c r="D314" s="366"/>
      <c r="E314" s="366"/>
      <c r="F314" s="2528">
        <v>0.25</v>
      </c>
      <c r="G314" s="534"/>
      <c r="H314" s="1484"/>
      <c r="I314" s="1484"/>
      <c r="J314" s="526"/>
    </row>
    <row r="315" spans="1:10" ht="15" customHeight="1" x14ac:dyDescent="0.25">
      <c r="A315" s="389"/>
      <c r="B315" s="615" t="s">
        <v>793</v>
      </c>
      <c r="C315" s="366"/>
      <c r="D315" s="366"/>
      <c r="E315" s="366"/>
      <c r="F315" s="2528">
        <v>0.35</v>
      </c>
      <c r="G315" s="531"/>
      <c r="H315" s="1484"/>
      <c r="I315" s="1484"/>
      <c r="J315" s="526"/>
    </row>
    <row r="316" spans="1:10" ht="15" customHeight="1" x14ac:dyDescent="0.25">
      <c r="A316" s="389"/>
      <c r="B316" s="615" t="s">
        <v>794</v>
      </c>
      <c r="C316" s="366"/>
      <c r="D316" s="366"/>
      <c r="E316" s="366"/>
      <c r="F316" s="2528">
        <v>0.5</v>
      </c>
      <c r="G316" s="534"/>
      <c r="H316" s="1484"/>
      <c r="I316" s="1484"/>
      <c r="J316" s="526"/>
    </row>
    <row r="317" spans="1:10" ht="15" customHeight="1" x14ac:dyDescent="0.25">
      <c r="A317" s="389"/>
      <c r="B317" s="615" t="s">
        <v>795</v>
      </c>
      <c r="C317" s="366"/>
      <c r="D317" s="366"/>
      <c r="E317" s="366"/>
      <c r="F317" s="2528">
        <v>1</v>
      </c>
      <c r="G317" s="531"/>
      <c r="H317" s="1484"/>
      <c r="I317" s="1484"/>
      <c r="J317" s="526"/>
    </row>
    <row r="318" spans="1:10" ht="15" customHeight="1" x14ac:dyDescent="0.25">
      <c r="A318" s="389"/>
      <c r="B318" s="267" t="s">
        <v>920</v>
      </c>
      <c r="C318" s="267"/>
      <c r="D318" s="267"/>
      <c r="E318" s="267"/>
      <c r="F318" s="321"/>
      <c r="G318" s="534"/>
      <c r="H318" s="1484"/>
      <c r="I318" s="1484"/>
      <c r="J318" s="526"/>
    </row>
    <row r="319" spans="1:10" ht="15" customHeight="1" x14ac:dyDescent="0.25">
      <c r="A319" s="389"/>
      <c r="B319" s="536" t="s">
        <v>921</v>
      </c>
      <c r="C319" s="533"/>
      <c r="D319" s="533"/>
      <c r="E319" s="533"/>
      <c r="F319" s="321"/>
      <c r="G319" s="531"/>
      <c r="H319" s="1484"/>
      <c r="I319" s="1484"/>
      <c r="J319" s="526"/>
    </row>
    <row r="320" spans="1:10" ht="15" customHeight="1" x14ac:dyDescent="0.25">
      <c r="A320" s="389"/>
      <c r="B320" s="243" t="s">
        <v>798</v>
      </c>
      <c r="C320" s="530"/>
      <c r="D320" s="530"/>
      <c r="E320" s="530"/>
      <c r="F320" s="321"/>
      <c r="G320" s="534"/>
      <c r="H320" s="1484"/>
      <c r="I320" s="1484"/>
      <c r="J320" s="526"/>
    </row>
    <row r="321" spans="1:10" ht="15" customHeight="1" x14ac:dyDescent="0.25">
      <c r="A321" s="389"/>
      <c r="B321" s="616" t="s">
        <v>775</v>
      </c>
      <c r="C321" s="366"/>
      <c r="D321" s="366"/>
      <c r="E321" s="366"/>
      <c r="F321" s="2528">
        <v>0.2</v>
      </c>
      <c r="G321" s="531"/>
      <c r="H321" s="1484"/>
      <c r="I321" s="1484"/>
      <c r="J321" s="526"/>
    </row>
    <row r="322" spans="1:10" ht="15" customHeight="1" x14ac:dyDescent="0.25">
      <c r="A322" s="389"/>
      <c r="B322" s="616" t="s">
        <v>544</v>
      </c>
      <c r="C322" s="366"/>
      <c r="D322" s="366"/>
      <c r="E322" s="366"/>
      <c r="F322" s="2528">
        <v>0.5</v>
      </c>
      <c r="G322" s="534"/>
      <c r="H322" s="1484"/>
      <c r="I322" s="1484"/>
      <c r="J322" s="526"/>
    </row>
    <row r="323" spans="1:10" ht="15" customHeight="1" x14ac:dyDescent="0.25">
      <c r="A323" s="389"/>
      <c r="B323" s="616" t="s">
        <v>545</v>
      </c>
      <c r="C323" s="366"/>
      <c r="D323" s="366"/>
      <c r="E323" s="366"/>
      <c r="F323" s="2528">
        <v>0.75</v>
      </c>
      <c r="G323" s="531"/>
      <c r="H323" s="1484"/>
      <c r="I323" s="1484"/>
      <c r="J323" s="526"/>
    </row>
    <row r="324" spans="1:10" ht="15" customHeight="1" x14ac:dyDescent="0.25">
      <c r="A324" s="389"/>
      <c r="B324" s="616" t="s">
        <v>547</v>
      </c>
      <c r="C324" s="366"/>
      <c r="D324" s="366"/>
      <c r="E324" s="366"/>
      <c r="F324" s="2528">
        <v>1</v>
      </c>
      <c r="G324" s="534"/>
      <c r="H324" s="1484"/>
      <c r="I324" s="1484"/>
      <c r="J324" s="526"/>
    </row>
    <row r="325" spans="1:10" ht="15" customHeight="1" x14ac:dyDescent="0.25">
      <c r="A325" s="389"/>
      <c r="B325" s="616" t="s">
        <v>799</v>
      </c>
      <c r="C325" s="366"/>
      <c r="D325" s="366"/>
      <c r="E325" s="366"/>
      <c r="F325" s="2528">
        <v>1.5</v>
      </c>
      <c r="G325" s="531"/>
      <c r="H325" s="1484"/>
      <c r="I325" s="1484"/>
      <c r="J325" s="526"/>
    </row>
    <row r="326" spans="1:10" ht="15" customHeight="1" x14ac:dyDescent="0.25">
      <c r="A326" s="389"/>
      <c r="B326" s="243" t="s">
        <v>800</v>
      </c>
      <c r="C326" s="530"/>
      <c r="D326" s="530"/>
      <c r="E326" s="530"/>
      <c r="F326" s="2528">
        <v>1</v>
      </c>
      <c r="G326" s="534"/>
      <c r="H326" s="1484"/>
      <c r="I326" s="1484"/>
      <c r="J326" s="526"/>
    </row>
    <row r="327" spans="1:10" ht="15" customHeight="1" x14ac:dyDescent="0.25">
      <c r="A327" s="389"/>
      <c r="B327" s="536" t="s">
        <v>922</v>
      </c>
      <c r="C327" s="533"/>
      <c r="D327" s="533"/>
      <c r="E327" s="533"/>
      <c r="F327" s="321"/>
      <c r="G327" s="531"/>
      <c r="H327" s="1484"/>
      <c r="I327" s="1484"/>
      <c r="J327" s="526"/>
    </row>
    <row r="328" spans="1:10" ht="15" customHeight="1" x14ac:dyDescent="0.25">
      <c r="A328" s="389"/>
      <c r="B328" s="615" t="s">
        <v>802</v>
      </c>
      <c r="C328" s="366"/>
      <c r="D328" s="366"/>
      <c r="E328" s="366"/>
      <c r="F328" s="2528">
        <v>0.65</v>
      </c>
      <c r="G328" s="534"/>
      <c r="H328" s="1484"/>
      <c r="I328" s="1484"/>
      <c r="J328" s="526"/>
    </row>
    <row r="329" spans="1:10" ht="15" customHeight="1" x14ac:dyDescent="0.25">
      <c r="A329" s="389"/>
      <c r="B329" s="615" t="s">
        <v>803</v>
      </c>
      <c r="C329" s="366"/>
      <c r="D329" s="366"/>
      <c r="E329" s="366"/>
      <c r="F329" s="2528">
        <v>1</v>
      </c>
      <c r="G329" s="531"/>
      <c r="H329" s="1484"/>
      <c r="I329" s="1484"/>
      <c r="J329" s="526"/>
    </row>
    <row r="330" spans="1:10" ht="15" customHeight="1" x14ac:dyDescent="0.25">
      <c r="A330" s="389"/>
      <c r="B330" s="267" t="s">
        <v>663</v>
      </c>
      <c r="C330" s="267"/>
      <c r="D330" s="267"/>
      <c r="E330" s="267"/>
      <c r="F330" s="2528">
        <v>0.85</v>
      </c>
      <c r="G330" s="534"/>
      <c r="H330" s="1484"/>
      <c r="I330" s="1484"/>
      <c r="J330" s="526"/>
    </row>
    <row r="331" spans="1:10" ht="15" customHeight="1" x14ac:dyDescent="0.25">
      <c r="A331" s="389"/>
      <c r="B331" s="267" t="s">
        <v>804</v>
      </c>
      <c r="C331" s="267"/>
      <c r="D331" s="267"/>
      <c r="E331" s="267"/>
      <c r="F331" s="321"/>
      <c r="G331" s="531"/>
      <c r="H331" s="1484"/>
      <c r="I331" s="1484"/>
      <c r="J331" s="526"/>
    </row>
    <row r="332" spans="1:10" ht="15" customHeight="1" x14ac:dyDescent="0.25">
      <c r="A332" s="389"/>
      <c r="B332" s="485" t="s">
        <v>923</v>
      </c>
      <c r="C332" s="267"/>
      <c r="D332" s="267"/>
      <c r="E332" s="267"/>
      <c r="F332" s="321"/>
      <c r="G332" s="531"/>
      <c r="H332" s="1484"/>
      <c r="I332" s="1484"/>
      <c r="J332" s="526"/>
    </row>
    <row r="333" spans="1:10" ht="15" customHeight="1" x14ac:dyDescent="0.25">
      <c r="A333" s="389"/>
      <c r="B333" s="240" t="s">
        <v>810</v>
      </c>
      <c r="C333" s="530"/>
      <c r="D333" s="530"/>
      <c r="E333" s="530"/>
      <c r="F333" s="321"/>
      <c r="G333" s="534"/>
      <c r="H333" s="1484"/>
      <c r="I333" s="1484"/>
      <c r="J333" s="526"/>
    </row>
    <row r="334" spans="1:10" ht="15" customHeight="1" x14ac:dyDescent="0.25">
      <c r="A334" s="389"/>
      <c r="B334" s="617" t="s">
        <v>806</v>
      </c>
      <c r="C334" s="366"/>
      <c r="D334" s="366"/>
      <c r="E334" s="366"/>
      <c r="F334" s="2528">
        <v>1.3</v>
      </c>
      <c r="G334" s="531"/>
      <c r="H334" s="1484"/>
      <c r="I334" s="1484"/>
      <c r="J334" s="526"/>
    </row>
    <row r="335" spans="1:10" ht="15" customHeight="1" x14ac:dyDescent="0.25">
      <c r="A335" s="389"/>
      <c r="B335" s="617" t="s">
        <v>807</v>
      </c>
      <c r="C335" s="366"/>
      <c r="D335" s="366"/>
      <c r="E335" s="366"/>
      <c r="F335" s="2528">
        <v>1</v>
      </c>
      <c r="G335" s="534"/>
      <c r="H335" s="1484"/>
      <c r="I335" s="1484"/>
      <c r="J335" s="526"/>
    </row>
    <row r="336" spans="1:10" ht="15" customHeight="1" x14ac:dyDescent="0.25">
      <c r="A336" s="389"/>
      <c r="B336" s="615" t="s">
        <v>808</v>
      </c>
      <c r="C336" s="366"/>
      <c r="D336" s="366"/>
      <c r="E336" s="366"/>
      <c r="F336" s="2528">
        <v>0.8</v>
      </c>
      <c r="G336" s="531"/>
      <c r="H336" s="1484"/>
      <c r="I336" s="1484"/>
      <c r="J336" s="526"/>
    </row>
    <row r="337" spans="1:10" ht="15" customHeight="1" x14ac:dyDescent="0.25">
      <c r="A337" s="389"/>
      <c r="B337" s="417" t="s">
        <v>809</v>
      </c>
      <c r="C337" s="532"/>
      <c r="D337" s="532"/>
      <c r="E337" s="532"/>
      <c r="F337" s="2528">
        <v>1</v>
      </c>
      <c r="G337" s="534"/>
      <c r="H337" s="1484"/>
      <c r="I337" s="1484"/>
      <c r="J337" s="526"/>
    </row>
    <row r="338" spans="1:10" ht="15" customHeight="1" x14ac:dyDescent="0.25">
      <c r="A338" s="389"/>
      <c r="B338" s="417" t="s">
        <v>811</v>
      </c>
      <c r="C338" s="532"/>
      <c r="D338" s="532"/>
      <c r="E338" s="532"/>
      <c r="F338" s="2528">
        <v>1</v>
      </c>
      <c r="G338" s="531"/>
      <c r="H338" s="1484"/>
      <c r="I338" s="1484"/>
      <c r="J338" s="526"/>
    </row>
    <row r="339" spans="1:10" ht="15" customHeight="1" x14ac:dyDescent="0.25">
      <c r="A339" s="389"/>
      <c r="B339" s="519" t="s">
        <v>812</v>
      </c>
      <c r="C339" s="519"/>
      <c r="D339" s="519"/>
      <c r="E339" s="519"/>
      <c r="F339" s="321"/>
      <c r="G339" s="534"/>
      <c r="H339" s="1484"/>
      <c r="I339" s="1484"/>
      <c r="J339" s="526"/>
    </row>
    <row r="340" spans="1:10" ht="15" customHeight="1" x14ac:dyDescent="0.25">
      <c r="A340" s="389"/>
      <c r="B340" s="336" t="s">
        <v>813</v>
      </c>
      <c r="C340" s="336"/>
      <c r="D340" s="336"/>
      <c r="E340" s="336"/>
      <c r="F340" s="2528">
        <v>4</v>
      </c>
      <c r="G340" s="531"/>
      <c r="H340" s="1484"/>
      <c r="I340" s="1484"/>
      <c r="J340" s="526"/>
    </row>
    <row r="341" spans="1:10" ht="15" customHeight="1" x14ac:dyDescent="0.25">
      <c r="A341" s="389"/>
      <c r="B341" s="336" t="s">
        <v>814</v>
      </c>
      <c r="C341" s="336"/>
      <c r="D341" s="336"/>
      <c r="E341" s="336"/>
      <c r="F341" s="2528">
        <v>1</v>
      </c>
      <c r="G341" s="534"/>
      <c r="H341" s="1484"/>
      <c r="I341" s="1484"/>
      <c r="J341" s="526"/>
    </row>
    <row r="342" spans="1:10" ht="15" customHeight="1" x14ac:dyDescent="0.25">
      <c r="A342" s="389"/>
      <c r="B342" s="336" t="s">
        <v>815</v>
      </c>
      <c r="C342" s="336"/>
      <c r="D342" s="336"/>
      <c r="E342" s="336"/>
      <c r="F342" s="2528">
        <v>2.5</v>
      </c>
      <c r="G342" s="531"/>
      <c r="H342" s="1484"/>
      <c r="I342" s="1484"/>
      <c r="J342" s="526"/>
    </row>
    <row r="343" spans="1:10" ht="15" customHeight="1" x14ac:dyDescent="0.25">
      <c r="A343" s="389"/>
      <c r="B343" s="2948" t="s">
        <v>665</v>
      </c>
      <c r="C343" s="2948"/>
      <c r="D343" s="2948"/>
      <c r="E343" s="2948"/>
      <c r="F343" s="321"/>
      <c r="G343" s="534"/>
      <c r="H343" s="1484"/>
      <c r="I343" s="1484"/>
      <c r="J343" s="526"/>
    </row>
    <row r="344" spans="1:10" ht="15" customHeight="1" x14ac:dyDescent="0.25">
      <c r="A344" s="389"/>
      <c r="B344" s="519" t="s">
        <v>816</v>
      </c>
      <c r="C344" s="519"/>
      <c r="D344" s="519"/>
      <c r="E344" s="519"/>
      <c r="F344" s="321"/>
      <c r="G344" s="531"/>
      <c r="H344" s="1484"/>
      <c r="I344" s="1484"/>
      <c r="J344" s="526"/>
    </row>
    <row r="345" spans="1:10" ht="15" customHeight="1" x14ac:dyDescent="0.25">
      <c r="A345" s="389"/>
      <c r="B345" s="336" t="s">
        <v>924</v>
      </c>
      <c r="C345" s="336"/>
      <c r="D345" s="336"/>
      <c r="E345" s="336"/>
      <c r="F345" s="321"/>
      <c r="G345" s="531"/>
      <c r="H345" s="1484"/>
      <c r="I345" s="1484"/>
      <c r="J345" s="526"/>
    </row>
    <row r="346" spans="1:10" ht="15" customHeight="1" x14ac:dyDescent="0.25">
      <c r="A346" s="389"/>
      <c r="B346" s="336" t="s">
        <v>817</v>
      </c>
      <c r="C346" s="336"/>
      <c r="D346" s="336"/>
      <c r="E346" s="336"/>
      <c r="F346" s="321"/>
      <c r="G346" s="534"/>
      <c r="H346" s="1484"/>
      <c r="I346" s="1484"/>
      <c r="J346" s="526"/>
    </row>
    <row r="347" spans="1:10" ht="15" customHeight="1" x14ac:dyDescent="0.25">
      <c r="A347" s="389"/>
      <c r="B347" s="267" t="s">
        <v>272</v>
      </c>
      <c r="C347" s="267"/>
      <c r="D347" s="267"/>
      <c r="E347" s="267"/>
      <c r="F347" s="321"/>
      <c r="G347" s="531"/>
      <c r="H347" s="1484"/>
      <c r="I347" s="1484"/>
      <c r="J347" s="526"/>
    </row>
    <row r="348" spans="1:10" ht="15" customHeight="1" x14ac:dyDescent="0.25">
      <c r="A348" s="389"/>
      <c r="B348" s="240" t="s">
        <v>819</v>
      </c>
      <c r="C348" s="530"/>
      <c r="D348" s="530"/>
      <c r="E348" s="530"/>
      <c r="F348" s="2528">
        <v>0.45</v>
      </c>
      <c r="G348" s="535">
        <f>MIN(F348*1.5,150%)</f>
        <v>0.67500000000000004</v>
      </c>
      <c r="H348" s="1484"/>
      <c r="I348" s="1484"/>
      <c r="J348" s="526"/>
    </row>
    <row r="349" spans="1:10" ht="15" customHeight="1" x14ac:dyDescent="0.25">
      <c r="A349" s="389"/>
      <c r="B349" s="240" t="s">
        <v>925</v>
      </c>
      <c r="C349" s="240"/>
      <c r="D349" s="240"/>
      <c r="E349" s="240"/>
      <c r="F349" s="2528">
        <v>0.75</v>
      </c>
      <c r="G349" s="535">
        <f t="shared" ref="G349:G350" si="0">MIN(F349*1.5,150%)</f>
        <v>1.125</v>
      </c>
      <c r="H349" s="1484"/>
      <c r="I349" s="1484"/>
      <c r="J349" s="526"/>
    </row>
    <row r="350" spans="1:10" ht="15" customHeight="1" x14ac:dyDescent="0.25">
      <c r="A350" s="389"/>
      <c r="B350" s="240" t="s">
        <v>820</v>
      </c>
      <c r="C350" s="530"/>
      <c r="D350" s="530"/>
      <c r="E350" s="530"/>
      <c r="F350" s="2528">
        <v>1</v>
      </c>
      <c r="G350" s="535">
        <f t="shared" si="0"/>
        <v>1.5</v>
      </c>
      <c r="H350" s="1484"/>
      <c r="I350" s="1484"/>
      <c r="J350" s="526"/>
    </row>
    <row r="351" spans="1:10" ht="15" customHeight="1" x14ac:dyDescent="0.25">
      <c r="A351" s="389"/>
      <c r="B351" s="267" t="s">
        <v>821</v>
      </c>
      <c r="C351" s="267"/>
      <c r="D351" s="267"/>
      <c r="E351" s="267"/>
      <c r="F351" s="321"/>
      <c r="G351" s="531"/>
      <c r="H351" s="1484"/>
      <c r="I351" s="1484"/>
      <c r="J351" s="526"/>
    </row>
    <row r="352" spans="1:10" ht="15" customHeight="1" x14ac:dyDescent="0.25">
      <c r="A352" s="389"/>
      <c r="B352" s="536" t="s">
        <v>927</v>
      </c>
      <c r="C352" s="536"/>
      <c r="D352" s="536"/>
      <c r="E352" s="536"/>
      <c r="F352" s="321"/>
      <c r="G352" s="531"/>
      <c r="H352" s="1484"/>
      <c r="I352" s="1484"/>
      <c r="J352" s="526"/>
    </row>
    <row r="353" spans="1:10" ht="15" customHeight="1" x14ac:dyDescent="0.25">
      <c r="A353" s="389"/>
      <c r="B353" s="615" t="s">
        <v>822</v>
      </c>
      <c r="C353" s="366"/>
      <c r="D353" s="366"/>
      <c r="E353" s="366"/>
      <c r="F353" s="321"/>
      <c r="G353" s="531"/>
      <c r="H353" s="1484"/>
      <c r="I353" s="1484"/>
      <c r="J353" s="526"/>
    </row>
    <row r="354" spans="1:10" ht="15" customHeight="1" x14ac:dyDescent="0.25">
      <c r="A354" s="389"/>
      <c r="B354" s="616" t="s">
        <v>667</v>
      </c>
      <c r="C354" s="901"/>
      <c r="D354" s="901"/>
      <c r="E354" s="901"/>
      <c r="F354" s="2528">
        <v>0.2</v>
      </c>
      <c r="G354" s="535">
        <f t="shared" ref="G354:G359" si="1">MIN(F354*1.5,150%)</f>
        <v>0.30000000000000004</v>
      </c>
      <c r="H354" s="1484"/>
      <c r="I354" s="1484"/>
      <c r="J354" s="526"/>
    </row>
    <row r="355" spans="1:10" ht="15" customHeight="1" x14ac:dyDescent="0.25">
      <c r="A355" s="389"/>
      <c r="B355" s="616" t="s">
        <v>668</v>
      </c>
      <c r="C355" s="901"/>
      <c r="D355" s="901"/>
      <c r="E355" s="901"/>
      <c r="F355" s="2528">
        <v>0.25</v>
      </c>
      <c r="G355" s="535">
        <f t="shared" si="1"/>
        <v>0.375</v>
      </c>
      <c r="H355" s="1484"/>
      <c r="I355" s="1484"/>
      <c r="J355" s="526"/>
    </row>
    <row r="356" spans="1:10" ht="15" customHeight="1" x14ac:dyDescent="0.25">
      <c r="A356" s="389"/>
      <c r="B356" s="616" t="s">
        <v>669</v>
      </c>
      <c r="C356" s="901"/>
      <c r="D356" s="901"/>
      <c r="E356" s="901"/>
      <c r="F356" s="2528">
        <v>0.3</v>
      </c>
      <c r="G356" s="535">
        <f t="shared" si="1"/>
        <v>0.44999999999999996</v>
      </c>
      <c r="H356" s="1484"/>
      <c r="I356" s="1484"/>
      <c r="J356" s="526"/>
    </row>
    <row r="357" spans="1:10" ht="15" customHeight="1" x14ac:dyDescent="0.25">
      <c r="A357" s="389"/>
      <c r="B357" s="616" t="s">
        <v>670</v>
      </c>
      <c r="C357" s="901"/>
      <c r="D357" s="901"/>
      <c r="E357" s="901"/>
      <c r="F357" s="2528">
        <v>0.4</v>
      </c>
      <c r="G357" s="535">
        <f t="shared" si="1"/>
        <v>0.60000000000000009</v>
      </c>
      <c r="H357" s="1484"/>
      <c r="I357" s="1484"/>
      <c r="J357" s="526"/>
    </row>
    <row r="358" spans="1:10" ht="15" customHeight="1" x14ac:dyDescent="0.25">
      <c r="A358" s="389"/>
      <c r="B358" s="616" t="s">
        <v>671</v>
      </c>
      <c r="C358" s="901"/>
      <c r="D358" s="901"/>
      <c r="E358" s="901"/>
      <c r="F358" s="2528">
        <v>0.5</v>
      </c>
      <c r="G358" s="535">
        <f t="shared" si="1"/>
        <v>0.75</v>
      </c>
      <c r="H358" s="1484"/>
      <c r="I358" s="1484"/>
      <c r="J358" s="526"/>
    </row>
    <row r="359" spans="1:10" ht="15" customHeight="1" x14ac:dyDescent="0.25">
      <c r="A359" s="389"/>
      <c r="B359" s="616" t="s">
        <v>672</v>
      </c>
      <c r="C359" s="901"/>
      <c r="D359" s="901"/>
      <c r="E359" s="901"/>
      <c r="F359" s="2528">
        <v>0.7</v>
      </c>
      <c r="G359" s="535">
        <f t="shared" si="1"/>
        <v>1.0499999999999998</v>
      </c>
      <c r="H359" s="1484"/>
      <c r="I359" s="1484"/>
      <c r="J359" s="526"/>
    </row>
    <row r="360" spans="1:10" ht="15" customHeight="1" x14ac:dyDescent="0.25">
      <c r="A360" s="389"/>
      <c r="B360" s="616" t="s">
        <v>673</v>
      </c>
      <c r="C360" s="901"/>
      <c r="D360" s="901"/>
      <c r="E360" s="901"/>
      <c r="F360" s="321"/>
      <c r="G360" s="531"/>
      <c r="H360" s="1484"/>
      <c r="I360" s="1484"/>
      <c r="J360" s="526"/>
    </row>
    <row r="361" spans="1:10" ht="15" customHeight="1" x14ac:dyDescent="0.25">
      <c r="A361" s="389"/>
      <c r="B361" s="615" t="s">
        <v>824</v>
      </c>
      <c r="C361" s="366"/>
      <c r="D361" s="366"/>
      <c r="E361" s="366"/>
      <c r="F361" s="321"/>
      <c r="G361" s="531"/>
      <c r="H361" s="1484"/>
      <c r="I361" s="1484"/>
      <c r="J361" s="526"/>
    </row>
    <row r="362" spans="1:10" ht="15" customHeight="1" x14ac:dyDescent="0.25">
      <c r="A362" s="389"/>
      <c r="B362" s="614" t="s">
        <v>952</v>
      </c>
      <c r="C362" s="901"/>
      <c r="D362" s="901"/>
      <c r="E362" s="901"/>
      <c r="F362" s="2528">
        <v>0.2</v>
      </c>
      <c r="G362" s="535">
        <f>MIN(F362*1.5,150%)</f>
        <v>0.30000000000000004</v>
      </c>
      <c r="H362" s="1484"/>
      <c r="I362" s="1484"/>
      <c r="J362" s="526"/>
    </row>
    <row r="363" spans="1:10" ht="15" customHeight="1" x14ac:dyDescent="0.25">
      <c r="A363" s="389"/>
      <c r="B363" s="614" t="s">
        <v>953</v>
      </c>
      <c r="C363" s="901"/>
      <c r="D363" s="901"/>
      <c r="E363" s="901"/>
      <c r="F363" s="321"/>
      <c r="G363" s="531"/>
      <c r="H363" s="1484"/>
      <c r="I363" s="1484"/>
      <c r="J363" s="526"/>
    </row>
    <row r="364" spans="1:10" ht="15" customHeight="1" x14ac:dyDescent="0.25">
      <c r="A364" s="389"/>
      <c r="B364" s="616" t="s">
        <v>673</v>
      </c>
      <c r="C364" s="901"/>
      <c r="D364" s="901"/>
      <c r="E364" s="901"/>
      <c r="F364" s="321"/>
      <c r="G364" s="531"/>
      <c r="H364" s="1484"/>
      <c r="I364" s="1484"/>
      <c r="J364" s="526"/>
    </row>
    <row r="365" spans="1:10" ht="15" customHeight="1" x14ac:dyDescent="0.25">
      <c r="A365" s="389"/>
      <c r="B365" s="536" t="s">
        <v>926</v>
      </c>
      <c r="C365" s="536"/>
      <c r="D365" s="536"/>
      <c r="E365" s="536"/>
      <c r="F365" s="321"/>
      <c r="G365" s="531"/>
      <c r="H365" s="1484"/>
      <c r="I365" s="1484"/>
      <c r="J365" s="526"/>
    </row>
    <row r="366" spans="1:10" ht="15" customHeight="1" x14ac:dyDescent="0.25">
      <c r="A366" s="389"/>
      <c r="B366" s="615" t="s">
        <v>822</v>
      </c>
      <c r="C366" s="366"/>
      <c r="D366" s="366"/>
      <c r="E366" s="366"/>
      <c r="F366" s="321"/>
      <c r="G366" s="531"/>
      <c r="H366" s="1484"/>
      <c r="I366" s="1484"/>
      <c r="J366" s="526"/>
    </row>
    <row r="367" spans="1:10" ht="15" customHeight="1" x14ac:dyDescent="0.25">
      <c r="A367" s="389"/>
      <c r="B367" s="616" t="s">
        <v>931</v>
      </c>
      <c r="C367" s="901"/>
      <c r="D367" s="901"/>
      <c r="E367" s="901"/>
      <c r="F367" s="321"/>
      <c r="G367" s="531"/>
      <c r="H367" s="1484"/>
      <c r="I367" s="1484"/>
      <c r="J367" s="526"/>
    </row>
    <row r="368" spans="1:10" ht="15" customHeight="1" x14ac:dyDescent="0.25">
      <c r="A368" s="389"/>
      <c r="B368" s="616" t="s">
        <v>674</v>
      </c>
      <c r="C368" s="901"/>
      <c r="D368" s="901"/>
      <c r="E368" s="901"/>
      <c r="F368" s="321"/>
      <c r="G368" s="531"/>
      <c r="H368" s="1484"/>
      <c r="I368" s="1484"/>
      <c r="J368" s="526"/>
    </row>
    <row r="369" spans="1:10" ht="15" customHeight="1" x14ac:dyDescent="0.25">
      <c r="A369" s="389"/>
      <c r="B369" s="616" t="s">
        <v>673</v>
      </c>
      <c r="C369" s="901"/>
      <c r="D369" s="901"/>
      <c r="E369" s="901"/>
      <c r="F369" s="321"/>
      <c r="G369" s="531"/>
      <c r="H369" s="1484"/>
      <c r="I369" s="1484"/>
      <c r="J369" s="526"/>
    </row>
    <row r="370" spans="1:10" ht="15" customHeight="1" x14ac:dyDescent="0.25">
      <c r="A370" s="389"/>
      <c r="B370" s="615" t="s">
        <v>824</v>
      </c>
      <c r="C370" s="366"/>
      <c r="D370" s="366"/>
      <c r="E370" s="366"/>
      <c r="F370" s="321"/>
      <c r="G370" s="531"/>
      <c r="H370" s="1484"/>
      <c r="I370" s="1484"/>
      <c r="J370" s="526"/>
    </row>
    <row r="371" spans="1:10" ht="15" customHeight="1" x14ac:dyDescent="0.25">
      <c r="A371" s="389"/>
      <c r="B371" s="614" t="s">
        <v>952</v>
      </c>
      <c r="C371" s="901"/>
      <c r="D371" s="901"/>
      <c r="E371" s="901"/>
      <c r="F371" s="321"/>
      <c r="G371" s="531"/>
      <c r="H371" s="1484"/>
      <c r="I371" s="1484"/>
      <c r="J371" s="526"/>
    </row>
    <row r="372" spans="1:10" ht="15" customHeight="1" x14ac:dyDescent="0.25">
      <c r="A372" s="389"/>
      <c r="B372" s="614" t="s">
        <v>953</v>
      </c>
      <c r="C372" s="901"/>
      <c r="D372" s="901"/>
      <c r="E372" s="901"/>
      <c r="F372" s="321"/>
      <c r="G372" s="531"/>
      <c r="H372" s="1484"/>
      <c r="I372" s="1484"/>
      <c r="J372" s="526"/>
    </row>
    <row r="373" spans="1:10" ht="15" customHeight="1" x14ac:dyDescent="0.25">
      <c r="A373" s="389"/>
      <c r="B373" s="616" t="s">
        <v>673</v>
      </c>
      <c r="C373" s="901"/>
      <c r="D373" s="901"/>
      <c r="E373" s="901"/>
      <c r="F373" s="321"/>
      <c r="G373" s="531"/>
      <c r="H373" s="1484"/>
      <c r="I373" s="1484"/>
      <c r="J373" s="526"/>
    </row>
    <row r="374" spans="1:10" ht="15" customHeight="1" x14ac:dyDescent="0.25">
      <c r="A374" s="389"/>
      <c r="B374" s="536" t="s">
        <v>928</v>
      </c>
      <c r="C374" s="536"/>
      <c r="D374" s="536"/>
      <c r="E374" s="536"/>
      <c r="F374" s="321"/>
      <c r="G374" s="531"/>
      <c r="H374" s="1484"/>
      <c r="I374" s="1484"/>
      <c r="J374" s="526"/>
    </row>
    <row r="375" spans="1:10" ht="15" customHeight="1" x14ac:dyDescent="0.25">
      <c r="A375" s="389"/>
      <c r="B375" s="615" t="s">
        <v>667</v>
      </c>
      <c r="C375" s="901"/>
      <c r="D375" s="901"/>
      <c r="E375" s="901"/>
      <c r="F375" s="2528">
        <v>0.3</v>
      </c>
      <c r="G375" s="531"/>
      <c r="H375" s="1484"/>
      <c r="I375" s="1484"/>
      <c r="J375" s="526"/>
    </row>
    <row r="376" spans="1:10" ht="15" customHeight="1" x14ac:dyDescent="0.25">
      <c r="A376" s="389"/>
      <c r="B376" s="615" t="s">
        <v>668</v>
      </c>
      <c r="C376" s="901"/>
      <c r="D376" s="901"/>
      <c r="E376" s="901"/>
      <c r="F376" s="2528">
        <v>0.35</v>
      </c>
      <c r="G376" s="531"/>
      <c r="H376" s="1484"/>
      <c r="I376" s="1484"/>
      <c r="J376" s="526"/>
    </row>
    <row r="377" spans="1:10" ht="15" customHeight="1" x14ac:dyDescent="0.25">
      <c r="A377" s="389"/>
      <c r="B377" s="615" t="s">
        <v>669</v>
      </c>
      <c r="C377" s="901"/>
      <c r="D377" s="901"/>
      <c r="E377" s="901"/>
      <c r="F377" s="2528">
        <v>0.45</v>
      </c>
      <c r="G377" s="531"/>
      <c r="H377" s="1484"/>
      <c r="I377" s="1484"/>
      <c r="J377" s="526"/>
    </row>
    <row r="378" spans="1:10" ht="15" customHeight="1" x14ac:dyDescent="0.25">
      <c r="A378" s="389"/>
      <c r="B378" s="615" t="s">
        <v>670</v>
      </c>
      <c r="C378" s="901"/>
      <c r="D378" s="901"/>
      <c r="E378" s="901"/>
      <c r="F378" s="2528">
        <v>0.6</v>
      </c>
      <c r="G378" s="531"/>
      <c r="H378" s="1484"/>
      <c r="I378" s="1484"/>
      <c r="J378" s="526"/>
    </row>
    <row r="379" spans="1:10" ht="15" customHeight="1" x14ac:dyDescent="0.25">
      <c r="A379" s="389"/>
      <c r="B379" s="615" t="s">
        <v>671</v>
      </c>
      <c r="C379" s="901"/>
      <c r="D379" s="901"/>
      <c r="E379" s="901"/>
      <c r="F379" s="2528">
        <v>0.75</v>
      </c>
      <c r="G379" s="531"/>
      <c r="H379" s="1484"/>
      <c r="I379" s="1484"/>
      <c r="J379" s="526"/>
    </row>
    <row r="380" spans="1:10" ht="15" customHeight="1" x14ac:dyDescent="0.25">
      <c r="A380" s="389"/>
      <c r="B380" s="615" t="s">
        <v>672</v>
      </c>
      <c r="C380" s="901"/>
      <c r="D380" s="901"/>
      <c r="E380" s="901"/>
      <c r="F380" s="2528">
        <v>1.05</v>
      </c>
      <c r="G380" s="531"/>
      <c r="H380" s="1484"/>
      <c r="I380" s="1484"/>
      <c r="J380" s="526"/>
    </row>
    <row r="381" spans="1:10" ht="15" customHeight="1" x14ac:dyDescent="0.25">
      <c r="A381" s="389"/>
      <c r="B381" s="615" t="s">
        <v>673</v>
      </c>
      <c r="C381" s="901"/>
      <c r="D381" s="901"/>
      <c r="E381" s="901"/>
      <c r="F381" s="2528">
        <v>1.5</v>
      </c>
      <c r="G381" s="531"/>
      <c r="H381" s="1484"/>
      <c r="I381" s="1484"/>
      <c r="J381" s="526"/>
    </row>
    <row r="382" spans="1:10" ht="15" customHeight="1" x14ac:dyDescent="0.25">
      <c r="A382" s="389"/>
      <c r="B382" s="536" t="s">
        <v>929</v>
      </c>
      <c r="C382" s="536"/>
      <c r="D382" s="536"/>
      <c r="E382" s="536"/>
      <c r="F382" s="321"/>
      <c r="G382" s="531"/>
      <c r="H382" s="1484"/>
      <c r="I382" s="1484"/>
      <c r="J382" s="526"/>
    </row>
    <row r="383" spans="1:10" ht="15" customHeight="1" x14ac:dyDescent="0.25">
      <c r="A383" s="389"/>
      <c r="B383" s="615" t="s">
        <v>675</v>
      </c>
      <c r="C383" s="901"/>
      <c r="D383" s="901"/>
      <c r="E383" s="901"/>
      <c r="F383" s="2528">
        <v>0.7</v>
      </c>
      <c r="G383" s="531"/>
      <c r="H383" s="1484"/>
      <c r="I383" s="1484"/>
      <c r="J383" s="526"/>
    </row>
    <row r="384" spans="1:10" ht="15" customHeight="1" x14ac:dyDescent="0.25">
      <c r="A384" s="389"/>
      <c r="B384" s="615" t="s">
        <v>676</v>
      </c>
      <c r="C384" s="901"/>
      <c r="D384" s="901"/>
      <c r="E384" s="901"/>
      <c r="F384" s="2528">
        <v>0.9</v>
      </c>
      <c r="G384" s="531"/>
      <c r="H384" s="1484"/>
      <c r="I384" s="1484"/>
      <c r="J384" s="526"/>
    </row>
    <row r="385" spans="1:10" ht="15" customHeight="1" x14ac:dyDescent="0.25">
      <c r="A385" s="389"/>
      <c r="B385" s="615" t="s">
        <v>677</v>
      </c>
      <c r="C385" s="901"/>
      <c r="D385" s="901"/>
      <c r="E385" s="901"/>
      <c r="F385" s="2528">
        <v>1.1000000000000001</v>
      </c>
      <c r="G385" s="531"/>
      <c r="H385" s="1484"/>
      <c r="I385" s="1484"/>
      <c r="J385" s="526"/>
    </row>
    <row r="386" spans="1:10" ht="15" customHeight="1" x14ac:dyDescent="0.25">
      <c r="A386" s="389"/>
      <c r="B386" s="615" t="s">
        <v>673</v>
      </c>
      <c r="C386" s="901"/>
      <c r="D386" s="901"/>
      <c r="E386" s="901"/>
      <c r="F386" s="2528">
        <v>1.5</v>
      </c>
      <c r="G386" s="531"/>
      <c r="H386" s="1484"/>
      <c r="I386" s="1484"/>
      <c r="J386" s="526"/>
    </row>
    <row r="387" spans="1:10" ht="15" customHeight="1" x14ac:dyDescent="0.25">
      <c r="A387" s="389"/>
      <c r="B387" s="536" t="s">
        <v>930</v>
      </c>
      <c r="C387" s="536"/>
      <c r="D387" s="536"/>
      <c r="E387" s="536"/>
      <c r="F387" s="321"/>
      <c r="G387" s="531"/>
      <c r="H387" s="1484"/>
      <c r="I387" s="1484"/>
      <c r="J387" s="526"/>
    </row>
    <row r="388" spans="1:10" ht="15" customHeight="1" x14ac:dyDescent="0.25">
      <c r="A388" s="389"/>
      <c r="B388" s="615" t="s">
        <v>734</v>
      </c>
      <c r="C388" s="901"/>
      <c r="D388" s="901"/>
      <c r="E388" s="901"/>
      <c r="F388" s="2528">
        <v>1.5</v>
      </c>
      <c r="G388" s="531"/>
      <c r="H388" s="1484"/>
      <c r="I388" s="1484"/>
      <c r="J388" s="526"/>
    </row>
    <row r="389" spans="1:10" ht="15" customHeight="1" x14ac:dyDescent="0.25">
      <c r="A389" s="389"/>
      <c r="B389" s="615" t="s">
        <v>735</v>
      </c>
      <c r="C389" s="901"/>
      <c r="D389" s="901"/>
      <c r="E389" s="901"/>
      <c r="F389" s="2528">
        <v>1</v>
      </c>
      <c r="G389" s="531"/>
      <c r="H389" s="1484"/>
      <c r="I389" s="1484"/>
      <c r="J389" s="526"/>
    </row>
    <row r="390" spans="1:10" ht="15" customHeight="1" x14ac:dyDescent="0.25">
      <c r="A390" s="389"/>
      <c r="B390" s="267" t="s">
        <v>890</v>
      </c>
      <c r="C390" s="267"/>
      <c r="D390" s="267"/>
      <c r="E390" s="267"/>
      <c r="F390" s="321"/>
      <c r="G390" s="531"/>
      <c r="H390" s="1484"/>
      <c r="I390" s="1484"/>
      <c r="J390" s="526"/>
    </row>
    <row r="391" spans="1:10" ht="15" customHeight="1" x14ac:dyDescent="0.25">
      <c r="A391" s="389"/>
      <c r="B391" s="336" t="s">
        <v>840</v>
      </c>
      <c r="C391" s="537"/>
      <c r="D391" s="537"/>
      <c r="E391" s="537"/>
      <c r="F391" s="581"/>
      <c r="G391" s="531"/>
      <c r="H391" s="1484"/>
      <c r="I391" s="1484"/>
      <c r="J391" s="526"/>
    </row>
    <row r="392" spans="1:10" ht="15" customHeight="1" x14ac:dyDescent="0.25">
      <c r="A392" s="389"/>
      <c r="B392" s="267" t="s">
        <v>736</v>
      </c>
      <c r="C392" s="538"/>
      <c r="D392" s="538"/>
      <c r="E392" s="538"/>
      <c r="F392" s="581"/>
      <c r="G392" s="531"/>
      <c r="H392" s="1484"/>
      <c r="I392" s="1484"/>
      <c r="J392" s="526"/>
    </row>
    <row r="393" spans="1:10" ht="15" customHeight="1" x14ac:dyDescent="0.25">
      <c r="A393" s="389"/>
      <c r="B393" s="424" t="s">
        <v>37</v>
      </c>
      <c r="C393" s="424"/>
      <c r="D393" s="424"/>
      <c r="E393" s="424"/>
      <c r="F393" s="367"/>
      <c r="G393" s="324"/>
      <c r="H393" s="1484"/>
      <c r="I393" s="1484"/>
      <c r="J393" s="526"/>
    </row>
    <row r="394" spans="1:10" ht="15" customHeight="1" x14ac:dyDescent="0.3">
      <c r="A394" s="1861"/>
      <c r="B394" s="1862"/>
      <c r="C394" s="1863"/>
      <c r="D394" s="1863"/>
      <c r="E394" s="1863"/>
      <c r="F394" s="1863"/>
      <c r="G394" s="573"/>
      <c r="H394" s="573"/>
      <c r="I394" s="573"/>
      <c r="J394" s="1864"/>
    </row>
    <row r="395" spans="1:10" ht="45" customHeight="1" x14ac:dyDescent="0.25">
      <c r="A395" s="964" t="s">
        <v>2246</v>
      </c>
      <c r="B395" s="705"/>
      <c r="C395" s="705"/>
      <c r="D395" s="705"/>
      <c r="E395" s="705"/>
      <c r="F395" s="1505"/>
      <c r="G395" s="1484"/>
      <c r="H395" s="1484"/>
      <c r="I395" s="1484"/>
      <c r="J395" s="526"/>
    </row>
    <row r="396" spans="1:10" ht="30" customHeight="1" x14ac:dyDescent="0.25">
      <c r="A396" s="389"/>
      <c r="B396" s="3193" t="s">
        <v>1663</v>
      </c>
      <c r="C396" s="3193"/>
      <c r="D396" s="3193"/>
      <c r="E396" s="3194"/>
      <c r="F396" s="719" t="s">
        <v>43</v>
      </c>
      <c r="G396" s="1484"/>
      <c r="H396" s="1523"/>
      <c r="I396" s="1523"/>
      <c r="J396" s="526"/>
    </row>
    <row r="397" spans="1:10" ht="15" customHeight="1" x14ac:dyDescent="0.3">
      <c r="A397" s="393"/>
      <c r="B397" s="1856"/>
      <c r="C397" s="1259"/>
      <c r="D397" s="1259"/>
      <c r="E397" s="1259"/>
      <c r="F397" s="1259"/>
      <c r="G397" s="573"/>
      <c r="H397" s="573"/>
      <c r="I397" s="573"/>
      <c r="J397" s="1864"/>
    </row>
    <row r="398" spans="1:10" ht="45" customHeight="1" x14ac:dyDescent="0.25">
      <c r="A398" s="964" t="s">
        <v>2247</v>
      </c>
      <c r="B398" s="705"/>
      <c r="C398" s="705"/>
      <c r="D398" s="705"/>
      <c r="E398" s="705"/>
      <c r="F398" s="1505"/>
      <c r="G398" s="1484"/>
      <c r="H398" s="1484"/>
      <c r="I398" s="1484"/>
      <c r="J398" s="526"/>
    </row>
    <row r="399" spans="1:10" ht="15" customHeight="1" x14ac:dyDescent="0.25">
      <c r="A399" s="389"/>
      <c r="B399" s="822" t="s">
        <v>1483</v>
      </c>
      <c r="C399" s="822"/>
      <c r="D399" s="822"/>
      <c r="E399" s="822"/>
      <c r="F399" s="719" t="s">
        <v>758</v>
      </c>
      <c r="G399" s="1484"/>
      <c r="H399" s="1484"/>
      <c r="I399" s="1484"/>
      <c r="J399" s="526"/>
    </row>
    <row r="400" spans="1:10" ht="15" customHeight="1" x14ac:dyDescent="0.25">
      <c r="A400" s="389"/>
      <c r="B400" s="411" t="s">
        <v>1484</v>
      </c>
      <c r="C400" s="411"/>
      <c r="D400" s="411"/>
      <c r="E400" s="411"/>
      <c r="F400" s="720" t="s">
        <v>43</v>
      </c>
      <c r="G400" s="1484"/>
      <c r="H400" s="1484"/>
      <c r="I400" s="1484"/>
      <c r="J400" s="526"/>
    </row>
    <row r="401" spans="1:10" ht="15" customHeight="1" x14ac:dyDescent="0.3">
      <c r="A401" s="393"/>
      <c r="B401" s="1856"/>
      <c r="C401" s="1259"/>
      <c r="D401" s="1259"/>
      <c r="E401" s="1259"/>
      <c r="F401" s="1259"/>
      <c r="G401" s="573"/>
      <c r="H401" s="573"/>
      <c r="I401" s="573"/>
      <c r="J401" s="1864"/>
    </row>
    <row r="402" spans="1:10" ht="45" customHeight="1" x14ac:dyDescent="0.25">
      <c r="A402" s="964" t="s">
        <v>2248</v>
      </c>
      <c r="B402" s="705"/>
      <c r="C402" s="705"/>
      <c r="D402" s="705"/>
      <c r="E402" s="705"/>
      <c r="F402" s="1505"/>
      <c r="G402" s="1484"/>
      <c r="H402" s="1484"/>
      <c r="I402" s="1484"/>
      <c r="J402" s="526"/>
    </row>
    <row r="403" spans="1:10" ht="15" customHeight="1" x14ac:dyDescent="0.25">
      <c r="A403" s="389"/>
      <c r="B403" s="1083" t="s">
        <v>839</v>
      </c>
      <c r="C403" s="705"/>
      <c r="D403" s="705"/>
      <c r="E403" s="705"/>
      <c r="F403" s="719" t="s">
        <v>42</v>
      </c>
      <c r="G403" s="1484"/>
      <c r="H403" s="1523"/>
      <c r="I403" s="1523"/>
      <c r="J403" s="526"/>
    </row>
    <row r="404" spans="1:10" ht="15" customHeight="1" x14ac:dyDescent="0.3">
      <c r="A404" s="393"/>
      <c r="B404" s="1856"/>
      <c r="C404" s="1259"/>
      <c r="D404" s="1259"/>
      <c r="E404" s="1259"/>
      <c r="F404" s="1259"/>
      <c r="G404" s="573"/>
      <c r="H404" s="573"/>
      <c r="I404" s="391"/>
      <c r="J404" s="526"/>
    </row>
    <row r="405" spans="1:10" ht="45" customHeight="1" x14ac:dyDescent="0.25">
      <c r="A405" s="964" t="s">
        <v>2249</v>
      </c>
      <c r="B405" s="1858"/>
      <c r="C405" s="1858"/>
      <c r="D405" s="1859"/>
      <c r="E405" s="1859"/>
      <c r="F405" s="1860"/>
      <c r="G405" s="1207"/>
      <c r="H405" s="1207"/>
      <c r="I405" s="1207"/>
      <c r="J405" s="1241"/>
    </row>
    <row r="406" spans="1:10" ht="15" customHeight="1" x14ac:dyDescent="0.25">
      <c r="A406" s="1166"/>
      <c r="B406" s="1408" t="s">
        <v>1508</v>
      </c>
      <c r="C406" s="1867">
        <v>0</v>
      </c>
      <c r="D406" s="1084" t="s">
        <v>1507</v>
      </c>
      <c r="E406" s="1265"/>
      <c r="F406" s="1265"/>
      <c r="G406" s="1265"/>
      <c r="H406" s="1265"/>
      <c r="I406" s="1265"/>
      <c r="J406" s="526"/>
    </row>
    <row r="407" spans="1:10" ht="15" customHeight="1" x14ac:dyDescent="0.25">
      <c r="A407" s="415"/>
      <c r="B407" s="1868" t="s">
        <v>48</v>
      </c>
      <c r="C407" s="854">
        <v>1</v>
      </c>
      <c r="D407" s="855" t="s">
        <v>42</v>
      </c>
      <c r="E407" s="855"/>
      <c r="F407" s="855"/>
      <c r="G407" s="855"/>
      <c r="H407" s="855"/>
      <c r="I407" s="855"/>
      <c r="J407" s="526"/>
    </row>
    <row r="408" spans="1:10" ht="15" customHeight="1" x14ac:dyDescent="0.25">
      <c r="A408" s="415"/>
      <c r="B408" s="458"/>
      <c r="C408" s="459">
        <v>2</v>
      </c>
      <c r="D408" s="1958" t="s">
        <v>43</v>
      </c>
      <c r="E408" s="2485"/>
      <c r="F408" s="2485"/>
      <c r="G408" s="1958"/>
      <c r="H408" s="2190"/>
      <c r="I408" s="2214"/>
      <c r="J408" s="526"/>
    </row>
    <row r="409" spans="1:10" ht="15" customHeight="1" x14ac:dyDescent="0.25">
      <c r="A409" s="415"/>
      <c r="B409" s="1408" t="s">
        <v>34</v>
      </c>
      <c r="C409" s="1867">
        <v>3</v>
      </c>
      <c r="D409" s="1265"/>
      <c r="E409" s="1265"/>
      <c r="F409" s="1265"/>
      <c r="G409" s="1265"/>
      <c r="H409" s="1265"/>
      <c r="I409" s="1265"/>
      <c r="J409" s="526"/>
    </row>
    <row r="410" spans="1:10" ht="15" customHeight="1" x14ac:dyDescent="0.25">
      <c r="A410" s="415"/>
      <c r="B410" s="1868" t="s">
        <v>113</v>
      </c>
      <c r="C410" s="854">
        <v>1</v>
      </c>
      <c r="D410" s="855">
        <v>1</v>
      </c>
      <c r="E410" s="855"/>
      <c r="F410" s="855"/>
      <c r="G410" s="855"/>
      <c r="H410" s="855"/>
      <c r="I410" s="855"/>
      <c r="J410" s="526"/>
    </row>
    <row r="411" spans="1:10" ht="15" customHeight="1" x14ac:dyDescent="0.25">
      <c r="A411" s="415"/>
      <c r="B411" s="458"/>
      <c r="C411" s="459">
        <v>2</v>
      </c>
      <c r="D411" s="1958">
        <v>2</v>
      </c>
      <c r="E411" s="142"/>
      <c r="F411" s="142"/>
      <c r="G411" s="142"/>
      <c r="H411" s="142"/>
      <c r="I411" s="142"/>
      <c r="J411" s="526"/>
    </row>
    <row r="412" spans="1:10" ht="15" customHeight="1" x14ac:dyDescent="0.25">
      <c r="A412" s="415"/>
      <c r="B412" s="113" t="s">
        <v>184</v>
      </c>
      <c r="C412" s="854">
        <v>1</v>
      </c>
      <c r="D412" s="855">
        <v>1</v>
      </c>
      <c r="E412" s="1869">
        <v>1</v>
      </c>
      <c r="F412" s="855" t="s">
        <v>185</v>
      </c>
      <c r="G412" s="855"/>
      <c r="H412" s="855"/>
      <c r="I412" s="855"/>
      <c r="J412" s="526"/>
    </row>
    <row r="413" spans="1:10" ht="15" customHeight="1" x14ac:dyDescent="0.25">
      <c r="A413" s="415"/>
      <c r="B413" s="1523"/>
      <c r="C413" s="144">
        <v>2</v>
      </c>
      <c r="D413" s="323">
        <v>1000</v>
      </c>
      <c r="E413" s="178">
        <v>1000</v>
      </c>
      <c r="F413" s="323" t="s">
        <v>186</v>
      </c>
      <c r="G413" s="323"/>
      <c r="H413" s="323"/>
      <c r="I413" s="323"/>
      <c r="J413" s="526"/>
    </row>
    <row r="414" spans="1:10" ht="15" customHeight="1" x14ac:dyDescent="0.25">
      <c r="A414" s="415"/>
      <c r="B414" s="1523"/>
      <c r="C414" s="459">
        <v>3</v>
      </c>
      <c r="D414" s="1958">
        <v>1000000</v>
      </c>
      <c r="E414" s="2484">
        <v>1000000</v>
      </c>
      <c r="F414" s="2485" t="s">
        <v>187</v>
      </c>
      <c r="G414" s="1958"/>
      <c r="H414" s="2190"/>
      <c r="I414" s="2214"/>
      <c r="J414" s="526"/>
    </row>
    <row r="415" spans="1:10" ht="15" customHeight="1" x14ac:dyDescent="0.25">
      <c r="A415" s="415"/>
      <c r="B415" s="1870" t="s">
        <v>126</v>
      </c>
      <c r="C415" s="854">
        <v>1</v>
      </c>
      <c r="D415" s="855" t="s">
        <v>127</v>
      </c>
      <c r="E415" s="139"/>
      <c r="F415" s="139"/>
      <c r="G415" s="139"/>
      <c r="H415" s="139"/>
      <c r="I415" s="139"/>
      <c r="J415" s="526"/>
    </row>
    <row r="416" spans="1:10" ht="15" customHeight="1" x14ac:dyDescent="0.25">
      <c r="A416" s="415"/>
      <c r="B416" s="1523"/>
      <c r="C416" s="144">
        <v>2</v>
      </c>
      <c r="D416" s="323" t="s">
        <v>128</v>
      </c>
      <c r="E416" s="323"/>
      <c r="F416" s="323"/>
      <c r="G416" s="323"/>
      <c r="H416" s="323"/>
      <c r="I416" s="323"/>
      <c r="J416" s="526"/>
    </row>
    <row r="417" spans="1:10" ht="15" customHeight="1" x14ac:dyDescent="0.25">
      <c r="A417" s="415"/>
      <c r="B417" s="1523"/>
      <c r="C417" s="459">
        <v>3</v>
      </c>
      <c r="D417" s="1958" t="s">
        <v>129</v>
      </c>
      <c r="E417" s="2485"/>
      <c r="F417" s="2485"/>
      <c r="G417" s="1958"/>
      <c r="H417" s="2190"/>
      <c r="I417" s="2214"/>
      <c r="J417" s="526"/>
    </row>
    <row r="418" spans="1:10" ht="15" customHeight="1" x14ac:dyDescent="0.25">
      <c r="A418" s="415"/>
      <c r="B418" s="1868" t="s">
        <v>23</v>
      </c>
      <c r="C418" s="854">
        <v>1</v>
      </c>
      <c r="D418" s="855" t="s">
        <v>130</v>
      </c>
      <c r="E418" s="855"/>
      <c r="F418" s="855"/>
      <c r="G418" s="855"/>
      <c r="H418" s="855"/>
      <c r="I418" s="855"/>
      <c r="J418" s="526"/>
    </row>
    <row r="419" spans="1:10" ht="15" customHeight="1" x14ac:dyDescent="0.25">
      <c r="A419" s="415"/>
      <c r="B419" s="1523"/>
      <c r="C419" s="144">
        <v>2</v>
      </c>
      <c r="D419" s="323" t="s">
        <v>21</v>
      </c>
      <c r="E419" s="323"/>
      <c r="F419" s="323"/>
      <c r="G419" s="323"/>
      <c r="H419" s="323"/>
      <c r="I419" s="323"/>
      <c r="J419" s="526"/>
    </row>
    <row r="420" spans="1:10" ht="15" customHeight="1" x14ac:dyDescent="0.25">
      <c r="A420" s="415"/>
      <c r="B420" s="1523"/>
      <c r="C420" s="144">
        <v>3</v>
      </c>
      <c r="D420" s="323" t="s">
        <v>22</v>
      </c>
      <c r="E420" s="323"/>
      <c r="F420" s="323"/>
      <c r="G420" s="323"/>
      <c r="H420" s="323"/>
      <c r="I420" s="323"/>
      <c r="J420" s="526"/>
    </row>
    <row r="421" spans="1:10" ht="15" customHeight="1" x14ac:dyDescent="0.25">
      <c r="A421" s="415"/>
      <c r="B421" s="458"/>
      <c r="C421" s="459">
        <v>4</v>
      </c>
      <c r="D421" s="1958" t="s">
        <v>129</v>
      </c>
      <c r="E421" s="2485"/>
      <c r="F421" s="2485"/>
      <c r="G421" s="1958"/>
      <c r="H421" s="2190"/>
      <c r="I421" s="2214"/>
      <c r="J421" s="526"/>
    </row>
    <row r="422" spans="1:10" ht="15" customHeight="1" x14ac:dyDescent="0.25">
      <c r="A422" s="415"/>
      <c r="B422" s="1868" t="s">
        <v>193</v>
      </c>
      <c r="C422" s="854">
        <v>1</v>
      </c>
      <c r="D422" s="323" t="s">
        <v>188</v>
      </c>
      <c r="E422" s="855"/>
      <c r="F422" s="855"/>
      <c r="G422" s="855"/>
      <c r="H422" s="855"/>
      <c r="I422" s="855"/>
      <c r="J422" s="526"/>
    </row>
    <row r="423" spans="1:10" ht="15" customHeight="1" x14ac:dyDescent="0.25">
      <c r="A423" s="415"/>
      <c r="B423" s="458"/>
      <c r="C423" s="145">
        <v>2</v>
      </c>
      <c r="D423" s="142" t="s">
        <v>189</v>
      </c>
      <c r="E423" s="142"/>
      <c r="F423" s="142"/>
      <c r="G423" s="142"/>
      <c r="H423" s="142"/>
      <c r="I423" s="142"/>
      <c r="J423" s="526"/>
    </row>
    <row r="424" spans="1:10" ht="15" customHeight="1" x14ac:dyDescent="0.25">
      <c r="A424" s="415"/>
      <c r="B424" s="1868" t="s">
        <v>192</v>
      </c>
      <c r="C424" s="854">
        <v>1</v>
      </c>
      <c r="D424" s="855" t="s">
        <v>190</v>
      </c>
      <c r="E424" s="855"/>
      <c r="F424" s="855"/>
      <c r="G424" s="855"/>
      <c r="H424" s="855"/>
      <c r="I424" s="855"/>
      <c r="J424" s="526"/>
    </row>
    <row r="425" spans="1:10" ht="15" customHeight="1" x14ac:dyDescent="0.25">
      <c r="A425" s="415"/>
      <c r="B425" s="458"/>
      <c r="C425" s="459">
        <v>2</v>
      </c>
      <c r="D425" s="1958" t="s">
        <v>191</v>
      </c>
      <c r="E425" s="2485"/>
      <c r="F425" s="2485"/>
      <c r="G425" s="1958"/>
      <c r="H425" s="2190"/>
      <c r="I425" s="2214"/>
      <c r="J425" s="526"/>
    </row>
    <row r="426" spans="1:10" ht="15" customHeight="1" x14ac:dyDescent="0.25">
      <c r="A426" s="415"/>
      <c r="B426" s="1868" t="s">
        <v>52</v>
      </c>
      <c r="C426" s="854">
        <v>0</v>
      </c>
      <c r="D426" s="323" t="s">
        <v>122</v>
      </c>
      <c r="E426" s="855"/>
      <c r="F426" s="855"/>
      <c r="G426" s="855"/>
      <c r="H426" s="855"/>
      <c r="I426" s="855"/>
      <c r="J426" s="526"/>
    </row>
    <row r="427" spans="1:10" ht="15" customHeight="1" x14ac:dyDescent="0.25">
      <c r="A427" s="415"/>
      <c r="B427" s="113"/>
      <c r="C427" s="144">
        <v>1</v>
      </c>
      <c r="D427" s="323" t="s">
        <v>123</v>
      </c>
      <c r="E427" s="323"/>
      <c r="F427" s="323"/>
      <c r="G427" s="323"/>
      <c r="H427" s="323"/>
      <c r="I427" s="323"/>
      <c r="J427" s="526"/>
    </row>
    <row r="428" spans="1:10" ht="15" customHeight="1" x14ac:dyDescent="0.25">
      <c r="A428" s="415"/>
      <c r="B428" s="1523"/>
      <c r="C428" s="144">
        <v>2</v>
      </c>
      <c r="D428" s="323" t="s">
        <v>124</v>
      </c>
      <c r="E428" s="323"/>
      <c r="F428" s="323"/>
      <c r="G428" s="323"/>
      <c r="H428" s="323"/>
      <c r="I428" s="323"/>
      <c r="J428" s="526"/>
    </row>
    <row r="429" spans="1:10" ht="15" customHeight="1" x14ac:dyDescent="0.25">
      <c r="A429" s="415"/>
      <c r="B429" s="1523"/>
      <c r="C429" s="145">
        <v>3</v>
      </c>
      <c r="D429" s="142" t="s">
        <v>125</v>
      </c>
      <c r="E429" s="142"/>
      <c r="F429" s="142"/>
      <c r="G429" s="142"/>
      <c r="H429" s="142"/>
      <c r="I429" s="142"/>
      <c r="J429" s="526"/>
    </row>
    <row r="430" spans="1:10" ht="15" customHeight="1" x14ac:dyDescent="0.25">
      <c r="A430" s="415"/>
      <c r="B430" s="1868" t="s">
        <v>760</v>
      </c>
      <c r="C430" s="854">
        <v>1</v>
      </c>
      <c r="D430" s="1871" t="s">
        <v>758</v>
      </c>
      <c r="E430" s="855"/>
      <c r="F430" s="855"/>
      <c r="G430" s="855"/>
      <c r="H430" s="855"/>
      <c r="I430" s="855"/>
      <c r="J430" s="526"/>
    </row>
    <row r="431" spans="1:10" ht="15" customHeight="1" x14ac:dyDescent="0.25">
      <c r="A431" s="415"/>
      <c r="B431" s="1523"/>
      <c r="C431" s="371">
        <v>2</v>
      </c>
      <c r="D431" s="176" t="s">
        <v>759</v>
      </c>
      <c r="E431" s="139"/>
      <c r="F431" s="139"/>
      <c r="G431" s="139"/>
      <c r="H431" s="139"/>
      <c r="I431" s="139"/>
      <c r="J431" s="526"/>
    </row>
    <row r="432" spans="1:10" ht="15" customHeight="1" x14ac:dyDescent="0.25">
      <c r="A432" s="415"/>
      <c r="B432" s="458"/>
      <c r="C432" s="574">
        <v>3</v>
      </c>
      <c r="D432" s="285" t="s">
        <v>757</v>
      </c>
      <c r="E432" s="427"/>
      <c r="F432" s="427"/>
      <c r="G432" s="427"/>
      <c r="H432" s="427"/>
      <c r="I432" s="427"/>
      <c r="J432" s="526"/>
    </row>
    <row r="433" spans="1:10" ht="15" customHeight="1" x14ac:dyDescent="0.25">
      <c r="A433" s="415"/>
      <c r="B433" s="1868" t="s">
        <v>117</v>
      </c>
      <c r="C433" s="854">
        <v>1</v>
      </c>
      <c r="D433" s="855" t="s">
        <v>44</v>
      </c>
      <c r="E433" s="855"/>
      <c r="F433" s="855"/>
      <c r="G433" s="855"/>
      <c r="H433" s="855"/>
      <c r="I433" s="855"/>
      <c r="J433" s="526"/>
    </row>
    <row r="434" spans="1:10" ht="15" customHeight="1" x14ac:dyDescent="0.25">
      <c r="A434" s="415"/>
      <c r="B434" s="458"/>
      <c r="C434" s="459">
        <v>2</v>
      </c>
      <c r="D434" s="1958" t="s">
        <v>118</v>
      </c>
      <c r="E434" s="2485"/>
      <c r="F434" s="2485"/>
      <c r="G434" s="1958"/>
      <c r="H434" s="2190"/>
      <c r="I434" s="2214"/>
      <c r="J434" s="526"/>
    </row>
    <row r="435" spans="1:10" ht="15" customHeight="1" x14ac:dyDescent="0.25">
      <c r="A435" s="415"/>
      <c r="B435" s="1868" t="s">
        <v>6</v>
      </c>
      <c r="C435" s="854">
        <v>0</v>
      </c>
      <c r="D435" s="323" t="s">
        <v>7</v>
      </c>
      <c r="E435" s="855"/>
      <c r="F435" s="855"/>
      <c r="G435" s="855"/>
      <c r="H435" s="855"/>
      <c r="I435" s="855"/>
      <c r="J435" s="526"/>
    </row>
    <row r="436" spans="1:10" ht="15" customHeight="1" x14ac:dyDescent="0.25">
      <c r="A436" s="389"/>
      <c r="B436" s="113"/>
      <c r="C436" s="144">
        <v>1</v>
      </c>
      <c r="D436" s="323" t="s">
        <v>8</v>
      </c>
      <c r="E436" s="323"/>
      <c r="F436" s="323"/>
      <c r="G436" s="323"/>
      <c r="H436" s="323"/>
      <c r="I436" s="323"/>
      <c r="J436" s="457"/>
    </row>
    <row r="437" spans="1:10" ht="15" customHeight="1" x14ac:dyDescent="0.25">
      <c r="A437" s="389"/>
      <c r="B437" s="1523"/>
      <c r="C437" s="144">
        <v>2</v>
      </c>
      <c r="D437" s="1958" t="s">
        <v>9</v>
      </c>
      <c r="E437" s="323"/>
      <c r="F437" s="323"/>
      <c r="G437" s="323"/>
      <c r="H437" s="323"/>
      <c r="I437" s="323"/>
      <c r="J437" s="457"/>
    </row>
    <row r="438" spans="1:10" ht="15" customHeight="1" x14ac:dyDescent="0.25">
      <c r="A438" s="389"/>
      <c r="B438" s="1870" t="s">
        <v>40</v>
      </c>
      <c r="C438" s="854">
        <v>1</v>
      </c>
      <c r="D438" s="855" t="s">
        <v>140</v>
      </c>
      <c r="E438" s="855"/>
      <c r="F438" s="855"/>
      <c r="G438" s="855"/>
      <c r="H438" s="855"/>
      <c r="I438" s="855"/>
      <c r="J438" s="457"/>
    </row>
    <row r="439" spans="1:10" ht="15" customHeight="1" x14ac:dyDescent="0.25">
      <c r="A439" s="389"/>
      <c r="B439" s="1523"/>
      <c r="C439" s="144">
        <v>2</v>
      </c>
      <c r="D439" s="323" t="s">
        <v>139</v>
      </c>
      <c r="E439" s="323"/>
      <c r="F439" s="323"/>
      <c r="G439" s="323"/>
      <c r="H439" s="323"/>
      <c r="I439" s="323"/>
      <c r="J439" s="457"/>
    </row>
    <row r="440" spans="1:10" ht="15" customHeight="1" x14ac:dyDescent="0.25">
      <c r="A440" s="389"/>
      <c r="B440" s="458"/>
      <c r="C440" s="459">
        <v>3</v>
      </c>
      <c r="D440" s="1958" t="s">
        <v>141</v>
      </c>
      <c r="E440" s="2485"/>
      <c r="F440" s="2485"/>
      <c r="G440" s="1958"/>
      <c r="H440" s="2190"/>
      <c r="I440" s="2214"/>
      <c r="J440" s="457"/>
    </row>
    <row r="441" spans="1:10" ht="15" customHeight="1" x14ac:dyDescent="0.25">
      <c r="A441" s="389"/>
      <c r="B441" s="113" t="s">
        <v>3</v>
      </c>
      <c r="C441" s="854">
        <v>1</v>
      </c>
      <c r="D441" s="855"/>
      <c r="E441" s="855"/>
      <c r="F441" s="855"/>
      <c r="G441" s="855"/>
      <c r="H441" s="855"/>
      <c r="I441" s="855"/>
      <c r="J441" s="457"/>
    </row>
    <row r="442" spans="1:10" ht="15" customHeight="1" x14ac:dyDescent="0.25">
      <c r="A442" s="389"/>
      <c r="B442" s="113"/>
      <c r="C442" s="144">
        <v>2</v>
      </c>
      <c r="D442" s="323"/>
      <c r="E442" s="323"/>
      <c r="F442" s="323"/>
      <c r="G442" s="323"/>
      <c r="H442" s="323"/>
      <c r="I442" s="323"/>
      <c r="J442" s="457"/>
    </row>
    <row r="443" spans="1:10" ht="15" customHeight="1" x14ac:dyDescent="0.25">
      <c r="A443" s="2568"/>
      <c r="B443" s="113"/>
      <c r="C443" s="144">
        <v>3</v>
      </c>
      <c r="D443" s="323"/>
      <c r="E443" s="323"/>
      <c r="F443" s="323"/>
      <c r="G443" s="323"/>
      <c r="H443" s="323"/>
      <c r="I443" s="323"/>
      <c r="J443" s="457"/>
    </row>
    <row r="444" spans="1:10" ht="15" customHeight="1" x14ac:dyDescent="0.25">
      <c r="A444" s="389"/>
      <c r="B444" s="113"/>
      <c r="C444" s="144">
        <v>4</v>
      </c>
      <c r="D444" s="323"/>
      <c r="E444" s="323"/>
      <c r="F444" s="323"/>
      <c r="G444" s="323"/>
      <c r="H444" s="323"/>
      <c r="I444" s="323"/>
      <c r="J444" s="457"/>
    </row>
    <row r="445" spans="1:10" ht="15" customHeight="1" x14ac:dyDescent="0.25">
      <c r="A445" s="389"/>
      <c r="B445" s="113"/>
      <c r="C445" s="144">
        <v>5</v>
      </c>
      <c r="D445" s="323"/>
      <c r="E445" s="323"/>
      <c r="F445" s="323"/>
      <c r="G445" s="323"/>
      <c r="H445" s="323"/>
      <c r="I445" s="323"/>
      <c r="J445" s="457"/>
    </row>
    <row r="446" spans="1:10" ht="15" customHeight="1" x14ac:dyDescent="0.25">
      <c r="A446" s="389"/>
      <c r="B446" s="1523"/>
      <c r="C446" s="144">
        <v>6</v>
      </c>
      <c r="D446" s="323"/>
      <c r="E446" s="323"/>
      <c r="F446" s="323"/>
      <c r="G446" s="323"/>
      <c r="H446" s="323"/>
      <c r="I446" s="323"/>
      <c r="J446" s="457"/>
    </row>
    <row r="447" spans="1:10" ht="15" customHeight="1" x14ac:dyDescent="0.25">
      <c r="A447" s="389"/>
      <c r="B447" s="1523"/>
      <c r="C447" s="144">
        <v>7</v>
      </c>
      <c r="D447" s="323"/>
      <c r="E447" s="323"/>
      <c r="F447" s="323"/>
      <c r="G447" s="323"/>
      <c r="H447" s="323"/>
      <c r="I447" s="323"/>
      <c r="J447" s="457"/>
    </row>
    <row r="448" spans="1:10" ht="15" customHeight="1" x14ac:dyDescent="0.25">
      <c r="A448" s="389"/>
      <c r="B448" s="458"/>
      <c r="C448" s="459">
        <v>8</v>
      </c>
      <c r="D448" s="1958"/>
      <c r="E448" s="2485"/>
      <c r="F448" s="2485"/>
      <c r="G448" s="1958"/>
      <c r="H448" s="2190"/>
      <c r="I448" s="2214"/>
      <c r="J448" s="457"/>
    </row>
    <row r="449" spans="1:10" ht="15" customHeight="1" x14ac:dyDescent="0.25">
      <c r="A449" s="389"/>
      <c r="B449" s="1868" t="s">
        <v>596</v>
      </c>
      <c r="C449" s="854">
        <v>1</v>
      </c>
      <c r="D449" s="822" t="s">
        <v>598</v>
      </c>
      <c r="E449" s="855"/>
      <c r="F449" s="855"/>
      <c r="G449" s="855"/>
      <c r="H449" s="855"/>
      <c r="I449" s="855"/>
      <c r="J449" s="457"/>
    </row>
    <row r="450" spans="1:10" ht="15" customHeight="1" x14ac:dyDescent="0.25">
      <c r="A450" s="389"/>
      <c r="B450" s="458"/>
      <c r="C450" s="459">
        <v>2</v>
      </c>
      <c r="D450" s="1958" t="s">
        <v>597</v>
      </c>
      <c r="E450" s="2485"/>
      <c r="F450" s="2485"/>
      <c r="G450" s="1958"/>
      <c r="H450" s="2190"/>
      <c r="I450" s="2214"/>
      <c r="J450" s="457"/>
    </row>
    <row r="451" spans="1:10" ht="15" customHeight="1" x14ac:dyDescent="0.25">
      <c r="A451" s="389"/>
      <c r="B451" s="1868" t="s">
        <v>623</v>
      </c>
      <c r="C451" s="1872">
        <v>1</v>
      </c>
      <c r="D451" s="1433" t="s">
        <v>619</v>
      </c>
      <c r="E451" s="1873"/>
      <c r="F451" s="855"/>
      <c r="G451" s="855"/>
      <c r="H451" s="855"/>
      <c r="I451" s="855"/>
      <c r="J451" s="457"/>
    </row>
    <row r="452" spans="1:10" ht="15" customHeight="1" x14ac:dyDescent="0.25">
      <c r="A452" s="389"/>
      <c r="B452" s="1523"/>
      <c r="C452" s="179">
        <v>2</v>
      </c>
      <c r="D452" s="420" t="s">
        <v>620</v>
      </c>
      <c r="E452" s="139"/>
      <c r="F452" s="139"/>
      <c r="G452" s="139"/>
      <c r="H452" s="139"/>
      <c r="I452" s="139"/>
      <c r="J452" s="457"/>
    </row>
    <row r="453" spans="1:10" ht="15" customHeight="1" x14ac:dyDescent="0.25">
      <c r="A453" s="389"/>
      <c r="B453" s="1523"/>
      <c r="C453" s="179">
        <v>3</v>
      </c>
      <c r="D453" s="420" t="s">
        <v>621</v>
      </c>
      <c r="E453" s="139"/>
      <c r="F453" s="139"/>
      <c r="G453" s="139"/>
      <c r="H453" s="139"/>
      <c r="I453" s="139"/>
      <c r="J453" s="457"/>
    </row>
    <row r="454" spans="1:10" ht="15" customHeight="1" x14ac:dyDescent="0.25">
      <c r="A454" s="389"/>
      <c r="B454" s="458"/>
      <c r="C454" s="1874">
        <v>4</v>
      </c>
      <c r="D454" s="1875" t="s">
        <v>622</v>
      </c>
      <c r="E454" s="427"/>
      <c r="F454" s="427"/>
      <c r="G454" s="427"/>
      <c r="H454" s="427"/>
      <c r="I454" s="427"/>
      <c r="J454" s="457"/>
    </row>
    <row r="455" spans="1:10" ht="15" customHeight="1" x14ac:dyDescent="0.25">
      <c r="B455" s="1868" t="s">
        <v>540</v>
      </c>
      <c r="C455" s="854">
        <v>1</v>
      </c>
      <c r="D455" s="1871" t="s">
        <v>411</v>
      </c>
      <c r="E455" s="855"/>
      <c r="F455" s="1876"/>
      <c r="G455" s="1876"/>
      <c r="H455" s="1876"/>
      <c r="I455" s="1876"/>
      <c r="J455" s="1877"/>
    </row>
    <row r="456" spans="1:10" ht="15" customHeight="1" x14ac:dyDescent="0.25">
      <c r="B456" s="1523"/>
      <c r="C456" s="144">
        <v>2</v>
      </c>
      <c r="D456" s="176" t="s">
        <v>412</v>
      </c>
      <c r="E456" s="323"/>
      <c r="F456" s="39"/>
      <c r="G456" s="39"/>
      <c r="H456" s="39"/>
      <c r="I456" s="39"/>
      <c r="J456" s="1877"/>
    </row>
    <row r="457" spans="1:10" ht="15" customHeight="1" x14ac:dyDescent="0.25">
      <c r="B457" s="1030"/>
      <c r="C457" s="281">
        <v>3</v>
      </c>
      <c r="D457" s="282" t="s">
        <v>413</v>
      </c>
      <c r="E457" s="283"/>
      <c r="F457" s="39"/>
      <c r="G457" s="39"/>
      <c r="H457" s="39"/>
      <c r="I457" s="39"/>
      <c r="J457" s="1877"/>
    </row>
    <row r="458" spans="1:10" ht="15" customHeight="1" x14ac:dyDescent="0.25">
      <c r="B458" s="1030"/>
      <c r="C458" s="281">
        <v>4</v>
      </c>
      <c r="D458" s="282" t="s">
        <v>414</v>
      </c>
      <c r="E458" s="283"/>
      <c r="F458" s="39"/>
      <c r="G458" s="39"/>
      <c r="H458" s="39"/>
      <c r="I458" s="39"/>
      <c r="J458" s="1877"/>
    </row>
    <row r="459" spans="1:10" ht="15" customHeight="1" x14ac:dyDescent="0.25">
      <c r="B459" s="1030"/>
      <c r="C459" s="281">
        <v>5</v>
      </c>
      <c r="D459" s="282" t="s">
        <v>415</v>
      </c>
      <c r="E459" s="283"/>
      <c r="F459" s="39"/>
      <c r="G459" s="39"/>
      <c r="H459" s="39"/>
      <c r="I459" s="39"/>
      <c r="J459" s="1877"/>
    </row>
    <row r="460" spans="1:10" ht="15" customHeight="1" x14ac:dyDescent="0.25">
      <c r="B460" s="1030"/>
      <c r="C460" s="281">
        <v>6</v>
      </c>
      <c r="D460" s="282" t="s">
        <v>416</v>
      </c>
      <c r="E460" s="283"/>
      <c r="F460" s="39"/>
      <c r="G460" s="39"/>
      <c r="H460" s="39"/>
      <c r="I460" s="39"/>
      <c r="J460" s="1877"/>
    </row>
    <row r="461" spans="1:10" ht="15" customHeight="1" x14ac:dyDescent="0.25">
      <c r="B461" s="1030"/>
      <c r="C461" s="281">
        <v>7</v>
      </c>
      <c r="D461" s="282" t="s">
        <v>417</v>
      </c>
      <c r="E461" s="283"/>
      <c r="F461" s="39"/>
      <c r="G461" s="39"/>
      <c r="H461" s="39"/>
      <c r="I461" s="39"/>
      <c r="J461" s="1877"/>
    </row>
    <row r="462" spans="1:10" ht="15" customHeight="1" x14ac:dyDescent="0.25">
      <c r="B462" s="1030"/>
      <c r="C462" s="281">
        <v>8</v>
      </c>
      <c r="D462" s="282" t="s">
        <v>418</v>
      </c>
      <c r="E462" s="283"/>
      <c r="F462" s="39"/>
      <c r="G462" s="39"/>
      <c r="H462" s="39"/>
      <c r="I462" s="39"/>
      <c r="J462" s="1877"/>
    </row>
    <row r="463" spans="1:10" ht="15" customHeight="1" x14ac:dyDescent="0.25">
      <c r="B463" s="1030"/>
      <c r="C463" s="281">
        <v>9</v>
      </c>
      <c r="D463" s="282" t="s">
        <v>419</v>
      </c>
      <c r="E463" s="283"/>
      <c r="F463" s="39"/>
      <c r="G463" s="39"/>
      <c r="H463" s="39"/>
      <c r="I463" s="39"/>
      <c r="J463" s="1877"/>
    </row>
    <row r="464" spans="1:10" ht="15" customHeight="1" x14ac:dyDescent="0.25">
      <c r="B464" s="1030"/>
      <c r="C464" s="281">
        <v>10</v>
      </c>
      <c r="D464" s="282" t="s">
        <v>420</v>
      </c>
      <c r="E464" s="283"/>
      <c r="F464" s="39"/>
      <c r="G464" s="39"/>
      <c r="H464" s="39"/>
      <c r="I464" s="39"/>
      <c r="J464" s="1877"/>
    </row>
    <row r="465" spans="1:10" ht="15" customHeight="1" x14ac:dyDescent="0.25">
      <c r="B465" s="1030"/>
      <c r="C465" s="281">
        <v>11</v>
      </c>
      <c r="D465" s="282" t="s">
        <v>421</v>
      </c>
      <c r="E465" s="283"/>
      <c r="F465" s="39"/>
      <c r="G465" s="39"/>
      <c r="H465" s="39"/>
      <c r="I465" s="39"/>
      <c r="J465" s="1877"/>
    </row>
    <row r="466" spans="1:10" ht="15" customHeight="1" x14ac:dyDescent="0.25">
      <c r="B466" s="1030"/>
      <c r="C466" s="281">
        <v>12</v>
      </c>
      <c r="D466" s="282" t="s">
        <v>422</v>
      </c>
      <c r="E466" s="283"/>
      <c r="F466" s="39"/>
      <c r="G466" s="39"/>
      <c r="H466" s="39"/>
      <c r="I466" s="39"/>
      <c r="J466" s="1877"/>
    </row>
    <row r="467" spans="1:10" ht="15" customHeight="1" x14ac:dyDescent="0.25">
      <c r="B467" s="1030"/>
      <c r="C467" s="281">
        <v>13</v>
      </c>
      <c r="D467" s="282" t="s">
        <v>423</v>
      </c>
      <c r="E467" s="283"/>
      <c r="F467" s="39"/>
      <c r="G467" s="39"/>
      <c r="H467" s="39"/>
      <c r="I467" s="39"/>
      <c r="J467" s="1877"/>
    </row>
    <row r="468" spans="1:10" ht="15" customHeight="1" x14ac:dyDescent="0.25">
      <c r="B468" s="1030"/>
      <c r="C468" s="281">
        <v>14</v>
      </c>
      <c r="D468" s="282" t="s">
        <v>424</v>
      </c>
      <c r="E468" s="283"/>
      <c r="F468" s="39"/>
      <c r="G468" s="39"/>
      <c r="H468" s="39"/>
      <c r="I468" s="39"/>
      <c r="J468" s="1877"/>
    </row>
    <row r="469" spans="1:10" ht="15" customHeight="1" x14ac:dyDescent="0.25">
      <c r="B469" s="1030"/>
      <c r="C469" s="281">
        <v>15</v>
      </c>
      <c r="D469" s="282" t="s">
        <v>425</v>
      </c>
      <c r="E469" s="283"/>
      <c r="F469" s="39"/>
      <c r="G469" s="39"/>
      <c r="H469" s="39"/>
      <c r="I469" s="39"/>
      <c r="J469" s="1877"/>
    </row>
    <row r="470" spans="1:10" ht="15" customHeight="1" x14ac:dyDescent="0.25">
      <c r="B470" s="1030"/>
      <c r="C470" s="281">
        <v>16</v>
      </c>
      <c r="D470" s="282" t="s">
        <v>426</v>
      </c>
      <c r="E470" s="283"/>
      <c r="F470" s="39"/>
      <c r="G470" s="39"/>
      <c r="H470" s="39"/>
      <c r="I470" s="39"/>
      <c r="J470" s="1877"/>
    </row>
    <row r="471" spans="1:10" ht="15" customHeight="1" x14ac:dyDescent="0.25">
      <c r="B471" s="1030"/>
      <c r="C471" s="281">
        <v>17</v>
      </c>
      <c r="D471" s="282" t="s">
        <v>427</v>
      </c>
      <c r="E471" s="283"/>
      <c r="F471" s="39"/>
      <c r="G471" s="39"/>
      <c r="H471" s="39"/>
      <c r="I471" s="39"/>
      <c r="J471" s="1877"/>
    </row>
    <row r="472" spans="1:10" ht="15" customHeight="1" x14ac:dyDescent="0.25">
      <c r="B472" s="1030"/>
      <c r="C472" s="281">
        <v>18</v>
      </c>
      <c r="D472" s="282" t="s">
        <v>428</v>
      </c>
      <c r="E472" s="283"/>
      <c r="F472" s="39"/>
      <c r="G472" s="39"/>
      <c r="H472" s="39"/>
      <c r="I472" s="39"/>
      <c r="J472" s="1877"/>
    </row>
    <row r="473" spans="1:10" ht="15" customHeight="1" x14ac:dyDescent="0.25">
      <c r="B473" s="1030"/>
      <c r="C473" s="281">
        <v>19</v>
      </c>
      <c r="D473" s="282" t="s">
        <v>429</v>
      </c>
      <c r="E473" s="283"/>
      <c r="F473" s="39"/>
      <c r="G473" s="39"/>
      <c r="H473" s="39"/>
      <c r="I473" s="39"/>
      <c r="J473" s="1877"/>
    </row>
    <row r="474" spans="1:10" ht="15" customHeight="1" x14ac:dyDescent="0.25">
      <c r="B474" s="1030"/>
      <c r="C474" s="281">
        <v>20</v>
      </c>
      <c r="D474" s="282" t="s">
        <v>430</v>
      </c>
      <c r="E474" s="283"/>
      <c r="F474" s="39"/>
      <c r="G474" s="39"/>
      <c r="H474" s="39"/>
      <c r="I474" s="39"/>
      <c r="J474" s="1877"/>
    </row>
    <row r="475" spans="1:10" ht="15" customHeight="1" x14ac:dyDescent="0.25">
      <c r="B475" s="1030"/>
      <c r="C475" s="1424">
        <v>21</v>
      </c>
      <c r="D475" s="1425" t="s">
        <v>431</v>
      </c>
      <c r="E475" s="1426"/>
      <c r="F475" s="1427"/>
      <c r="G475" s="1427"/>
      <c r="H475" s="1427"/>
      <c r="I475" s="1427"/>
      <c r="J475" s="1877"/>
    </row>
    <row r="476" spans="1:10" ht="15" customHeight="1" x14ac:dyDescent="0.25">
      <c r="A476" s="389"/>
      <c r="B476" s="1868" t="s">
        <v>182</v>
      </c>
      <c r="C476" s="1878">
        <v>0</v>
      </c>
      <c r="D476" s="1083"/>
      <c r="E476" s="1220"/>
      <c r="F476" s="1220"/>
      <c r="G476" s="1220"/>
      <c r="H476" s="1220"/>
      <c r="I476" s="1220"/>
      <c r="J476" s="457"/>
    </row>
    <row r="477" spans="1:10" ht="15" customHeight="1" x14ac:dyDescent="0.25">
      <c r="A477" s="389"/>
      <c r="B477" s="113"/>
      <c r="C477" s="144">
        <v>1</v>
      </c>
      <c r="D477" s="323"/>
      <c r="E477" s="323"/>
      <c r="F477" s="323"/>
      <c r="G477" s="323"/>
      <c r="H477" s="323"/>
      <c r="I477" s="323"/>
      <c r="J477" s="457"/>
    </row>
    <row r="478" spans="1:10" ht="15" customHeight="1" x14ac:dyDescent="0.25">
      <c r="A478" s="389"/>
      <c r="B478" s="113"/>
      <c r="C478" s="144">
        <v>2</v>
      </c>
      <c r="D478" s="323"/>
      <c r="E478" s="323"/>
      <c r="F478" s="323"/>
      <c r="G478" s="323"/>
      <c r="H478" s="323"/>
      <c r="I478" s="323"/>
      <c r="J478" s="457"/>
    </row>
    <row r="479" spans="1:10" ht="15" customHeight="1" x14ac:dyDescent="0.25">
      <c r="A479" s="389"/>
      <c r="B479" s="113"/>
      <c r="C479" s="144">
        <v>3</v>
      </c>
      <c r="D479" s="323"/>
      <c r="E479" s="323"/>
      <c r="F479" s="323"/>
      <c r="G479" s="323"/>
      <c r="H479" s="323"/>
      <c r="I479" s="323"/>
      <c r="J479" s="457"/>
    </row>
    <row r="480" spans="1:10" ht="15" customHeight="1" x14ac:dyDescent="0.25">
      <c r="A480" s="389"/>
      <c r="B480" s="113"/>
      <c r="C480" s="144">
        <v>4</v>
      </c>
      <c r="D480" s="323"/>
      <c r="E480" s="323"/>
      <c r="F480" s="323"/>
      <c r="G480" s="323"/>
      <c r="H480" s="323"/>
      <c r="I480" s="323"/>
      <c r="J480" s="457"/>
    </row>
    <row r="481" spans="1:10" ht="15" customHeight="1" x14ac:dyDescent="0.25">
      <c r="A481" s="389"/>
      <c r="B481" s="113"/>
      <c r="C481" s="144">
        <v>5</v>
      </c>
      <c r="D481" s="323"/>
      <c r="E481" s="323"/>
      <c r="F481" s="323"/>
      <c r="G481" s="323"/>
      <c r="H481" s="323"/>
      <c r="I481" s="323"/>
      <c r="J481" s="457"/>
    </row>
    <row r="482" spans="1:10" ht="15" customHeight="1" x14ac:dyDescent="0.25">
      <c r="A482" s="389"/>
      <c r="B482" s="113"/>
      <c r="C482" s="144">
        <v>6</v>
      </c>
      <c r="D482" s="323"/>
      <c r="E482" s="323"/>
      <c r="F482" s="323"/>
      <c r="G482" s="323"/>
      <c r="H482" s="323"/>
      <c r="I482" s="323"/>
      <c r="J482" s="457"/>
    </row>
    <row r="483" spans="1:10" ht="15" customHeight="1" x14ac:dyDescent="0.25">
      <c r="A483" s="389"/>
      <c r="B483" s="113"/>
      <c r="C483" s="144">
        <v>7</v>
      </c>
      <c r="D483" s="323"/>
      <c r="E483" s="323"/>
      <c r="F483" s="323"/>
      <c r="G483" s="323"/>
      <c r="H483" s="323"/>
      <c r="I483" s="323"/>
      <c r="J483" s="457"/>
    </row>
    <row r="484" spans="1:10" ht="15" customHeight="1" x14ac:dyDescent="0.25">
      <c r="A484" s="389"/>
      <c r="B484" s="113"/>
      <c r="C484" s="144">
        <v>8</v>
      </c>
      <c r="D484" s="323"/>
      <c r="E484" s="323"/>
      <c r="F484" s="323"/>
      <c r="G484" s="323"/>
      <c r="H484" s="323"/>
      <c r="I484" s="323"/>
      <c r="J484" s="457"/>
    </row>
    <row r="485" spans="1:10" ht="15" customHeight="1" x14ac:dyDescent="0.25">
      <c r="A485" s="389"/>
      <c r="B485" s="113"/>
      <c r="C485" s="144">
        <v>9</v>
      </c>
      <c r="D485" s="323"/>
      <c r="E485" s="323"/>
      <c r="F485" s="323"/>
      <c r="G485" s="323"/>
      <c r="H485" s="323"/>
      <c r="I485" s="323"/>
      <c r="J485" s="457"/>
    </row>
    <row r="486" spans="1:10" ht="15" customHeight="1" x14ac:dyDescent="0.25">
      <c r="A486" s="389"/>
      <c r="B486" s="113"/>
      <c r="C486" s="144">
        <v>10</v>
      </c>
      <c r="D486" s="323"/>
      <c r="E486" s="323"/>
      <c r="F486" s="323"/>
      <c r="G486" s="323"/>
      <c r="H486" s="323"/>
      <c r="I486" s="323"/>
      <c r="J486" s="457"/>
    </row>
    <row r="487" spans="1:10" ht="15" customHeight="1" x14ac:dyDescent="0.25">
      <c r="A487" s="389"/>
      <c r="B487" s="113"/>
      <c r="C487" s="144">
        <v>11</v>
      </c>
      <c r="D487" s="323"/>
      <c r="E487" s="323"/>
      <c r="F487" s="323"/>
      <c r="G487" s="323"/>
      <c r="H487" s="323"/>
      <c r="I487" s="323"/>
      <c r="J487" s="457"/>
    </row>
    <row r="488" spans="1:10" ht="15" customHeight="1" x14ac:dyDescent="0.25">
      <c r="A488" s="389"/>
      <c r="B488" s="113"/>
      <c r="C488" s="144">
        <v>12</v>
      </c>
      <c r="D488" s="323"/>
      <c r="E488" s="323"/>
      <c r="F488" s="323"/>
      <c r="G488" s="323"/>
      <c r="H488" s="323"/>
      <c r="I488" s="323"/>
      <c r="J488" s="457"/>
    </row>
    <row r="489" spans="1:10" ht="15" customHeight="1" x14ac:dyDescent="0.25">
      <c r="A489" s="389"/>
      <c r="B489" s="113"/>
      <c r="C489" s="144">
        <v>13</v>
      </c>
      <c r="D489" s="323"/>
      <c r="E489" s="323"/>
      <c r="F489" s="323"/>
      <c r="G489" s="323"/>
      <c r="H489" s="323"/>
      <c r="I489" s="323"/>
      <c r="J489" s="457"/>
    </row>
    <row r="490" spans="1:10" ht="15" customHeight="1" x14ac:dyDescent="0.25">
      <c r="A490" s="389"/>
      <c r="B490" s="113"/>
      <c r="C490" s="144">
        <v>14</v>
      </c>
      <c r="D490" s="323"/>
      <c r="E490" s="323"/>
      <c r="F490" s="323"/>
      <c r="G490" s="323"/>
      <c r="H490" s="323"/>
      <c r="I490" s="323"/>
      <c r="J490" s="457"/>
    </row>
    <row r="491" spans="1:10" ht="15" customHeight="1" x14ac:dyDescent="0.25">
      <c r="A491" s="389"/>
      <c r="B491" s="113"/>
      <c r="C491" s="144">
        <v>15</v>
      </c>
      <c r="D491" s="323"/>
      <c r="E491" s="323"/>
      <c r="F491" s="323"/>
      <c r="G491" s="323"/>
      <c r="H491" s="323"/>
      <c r="I491" s="323"/>
      <c r="J491" s="457"/>
    </row>
    <row r="492" spans="1:10" ht="15" customHeight="1" x14ac:dyDescent="0.25">
      <c r="A492" s="389"/>
      <c r="B492" s="113"/>
      <c r="C492" s="144">
        <v>16</v>
      </c>
      <c r="D492" s="323"/>
      <c r="E492" s="323"/>
      <c r="F492" s="323"/>
      <c r="G492" s="323"/>
      <c r="H492" s="323"/>
      <c r="I492" s="323"/>
      <c r="J492" s="457"/>
    </row>
    <row r="493" spans="1:10" ht="15" customHeight="1" x14ac:dyDescent="0.25">
      <c r="A493" s="389"/>
      <c r="B493" s="113"/>
      <c r="C493" s="144">
        <v>17</v>
      </c>
      <c r="D493" s="323"/>
      <c r="E493" s="323"/>
      <c r="F493" s="323"/>
      <c r="G493" s="323"/>
      <c r="H493" s="323"/>
      <c r="I493" s="323"/>
      <c r="J493" s="457"/>
    </row>
    <row r="494" spans="1:10" ht="15" customHeight="1" x14ac:dyDescent="0.25">
      <c r="A494" s="389"/>
      <c r="B494" s="113"/>
      <c r="C494" s="144">
        <v>18</v>
      </c>
      <c r="D494" s="323"/>
      <c r="E494" s="323"/>
      <c r="F494" s="323"/>
      <c r="G494" s="323"/>
      <c r="H494" s="323"/>
      <c r="I494" s="323"/>
      <c r="J494" s="457"/>
    </row>
    <row r="495" spans="1:10" ht="15" customHeight="1" x14ac:dyDescent="0.25">
      <c r="A495" s="389"/>
      <c r="B495" s="113"/>
      <c r="C495" s="144">
        <v>19</v>
      </c>
      <c r="D495" s="323"/>
      <c r="E495" s="323"/>
      <c r="F495" s="323"/>
      <c r="G495" s="323"/>
      <c r="H495" s="323"/>
      <c r="I495" s="323"/>
      <c r="J495" s="457"/>
    </row>
    <row r="496" spans="1:10" ht="15" customHeight="1" x14ac:dyDescent="0.25">
      <c r="A496" s="389"/>
      <c r="B496" s="113"/>
      <c r="C496" s="144">
        <v>20</v>
      </c>
      <c r="D496" s="323"/>
      <c r="E496" s="323"/>
      <c r="F496" s="323"/>
      <c r="G496" s="323"/>
      <c r="H496" s="323"/>
      <c r="I496" s="323"/>
      <c r="J496" s="457"/>
    </row>
    <row r="497" spans="1:10" ht="15" customHeight="1" x14ac:dyDescent="0.25">
      <c r="A497" s="389"/>
      <c r="B497" s="113"/>
      <c r="C497" s="144">
        <v>21</v>
      </c>
      <c r="D497" s="323"/>
      <c r="E497" s="323"/>
      <c r="F497" s="323"/>
      <c r="G497" s="323"/>
      <c r="H497" s="323"/>
      <c r="I497" s="323"/>
      <c r="J497" s="457"/>
    </row>
    <row r="498" spans="1:10" ht="15" customHeight="1" x14ac:dyDescent="0.25">
      <c r="A498" s="389"/>
      <c r="B498" s="113"/>
      <c r="C498" s="144">
        <v>22</v>
      </c>
      <c r="D498" s="323"/>
      <c r="E498" s="323"/>
      <c r="F498" s="323"/>
      <c r="G498" s="323"/>
      <c r="H498" s="323"/>
      <c r="I498" s="323"/>
      <c r="J498" s="457"/>
    </row>
    <row r="499" spans="1:10" ht="15" customHeight="1" x14ac:dyDescent="0.25">
      <c r="A499" s="389"/>
      <c r="B499" s="113"/>
      <c r="C499" s="144">
        <v>23</v>
      </c>
      <c r="D499" s="323"/>
      <c r="E499" s="323"/>
      <c r="F499" s="323"/>
      <c r="G499" s="323"/>
      <c r="H499" s="323"/>
      <c r="I499" s="323"/>
      <c r="J499" s="457"/>
    </row>
    <row r="500" spans="1:10" ht="15" customHeight="1" x14ac:dyDescent="0.25">
      <c r="A500" s="389"/>
      <c r="B500" s="113"/>
      <c r="C500" s="144">
        <v>24</v>
      </c>
      <c r="D500" s="323"/>
      <c r="E500" s="323"/>
      <c r="F500" s="323"/>
      <c r="G500" s="323"/>
      <c r="H500" s="323"/>
      <c r="I500" s="323"/>
      <c r="J500" s="457"/>
    </row>
    <row r="501" spans="1:10" ht="15" customHeight="1" x14ac:dyDescent="0.25">
      <c r="A501" s="389"/>
      <c r="B501" s="113"/>
      <c r="C501" s="144">
        <v>25</v>
      </c>
      <c r="D501" s="323"/>
      <c r="E501" s="323"/>
      <c r="F501" s="323"/>
      <c r="G501" s="323"/>
      <c r="H501" s="323"/>
      <c r="I501" s="323"/>
      <c r="J501" s="457"/>
    </row>
    <row r="502" spans="1:10" ht="15" customHeight="1" x14ac:dyDescent="0.25">
      <c r="A502" s="389"/>
      <c r="B502" s="113"/>
      <c r="C502" s="144">
        <v>26</v>
      </c>
      <c r="D502" s="323"/>
      <c r="E502" s="323"/>
      <c r="F502" s="323"/>
      <c r="G502" s="323"/>
      <c r="H502" s="323"/>
      <c r="I502" s="323"/>
      <c r="J502" s="457"/>
    </row>
    <row r="503" spans="1:10" ht="15" customHeight="1" x14ac:dyDescent="0.25">
      <c r="A503" s="389"/>
      <c r="B503" s="113"/>
      <c r="C503" s="144">
        <v>27</v>
      </c>
      <c r="D503" s="323"/>
      <c r="E503" s="323"/>
      <c r="F503" s="323"/>
      <c r="G503" s="323"/>
      <c r="H503" s="323"/>
      <c r="I503" s="323"/>
      <c r="J503" s="457"/>
    </row>
    <row r="504" spans="1:10" ht="15" customHeight="1" x14ac:dyDescent="0.25">
      <c r="A504" s="389"/>
      <c r="B504" s="113"/>
      <c r="C504" s="144">
        <v>28</v>
      </c>
      <c r="D504" s="323"/>
      <c r="E504" s="323"/>
      <c r="F504" s="323"/>
      <c r="G504" s="323"/>
      <c r="H504" s="323"/>
      <c r="I504" s="323"/>
      <c r="J504" s="457"/>
    </row>
    <row r="505" spans="1:10" ht="15" customHeight="1" x14ac:dyDescent="0.25">
      <c r="A505" s="389"/>
      <c r="B505" s="113"/>
      <c r="C505" s="144">
        <v>29</v>
      </c>
      <c r="D505" s="323"/>
      <c r="E505" s="323"/>
      <c r="F505" s="323"/>
      <c r="G505" s="323"/>
      <c r="H505" s="323"/>
      <c r="I505" s="323"/>
      <c r="J505" s="457"/>
    </row>
    <row r="506" spans="1:10" ht="15" customHeight="1" x14ac:dyDescent="0.25">
      <c r="A506" s="389"/>
      <c r="B506" s="113"/>
      <c r="C506" s="144">
        <v>30</v>
      </c>
      <c r="D506" s="323"/>
      <c r="E506" s="323"/>
      <c r="F506" s="323"/>
      <c r="G506" s="323"/>
      <c r="H506" s="323"/>
      <c r="I506" s="323"/>
      <c r="J506" s="457"/>
    </row>
    <row r="507" spans="1:10" ht="15" customHeight="1" x14ac:dyDescent="0.25">
      <c r="A507" s="389"/>
      <c r="B507" s="113"/>
      <c r="C507" s="144">
        <v>31</v>
      </c>
      <c r="D507" s="323"/>
      <c r="E507" s="323"/>
      <c r="F507" s="323"/>
      <c r="G507" s="323"/>
      <c r="H507" s="323"/>
      <c r="I507" s="323"/>
      <c r="J507" s="457"/>
    </row>
    <row r="508" spans="1:10" ht="15" customHeight="1" x14ac:dyDescent="0.25">
      <c r="A508" s="389"/>
      <c r="B508" s="113"/>
      <c r="C508" s="144">
        <v>32</v>
      </c>
      <c r="D508" s="323"/>
      <c r="E508" s="323"/>
      <c r="F508" s="323"/>
      <c r="G508" s="323"/>
      <c r="H508" s="323"/>
      <c r="I508" s="323"/>
      <c r="J508" s="457"/>
    </row>
    <row r="509" spans="1:10" ht="15" customHeight="1" x14ac:dyDescent="0.25">
      <c r="A509" s="389"/>
      <c r="B509" s="113"/>
      <c r="C509" s="144">
        <v>33</v>
      </c>
      <c r="D509" s="323"/>
      <c r="E509" s="323"/>
      <c r="F509" s="323"/>
      <c r="G509" s="323"/>
      <c r="H509" s="323"/>
      <c r="I509" s="323"/>
      <c r="J509" s="457"/>
    </row>
    <row r="510" spans="1:10" ht="15" customHeight="1" x14ac:dyDescent="0.25">
      <c r="A510" s="389"/>
      <c r="B510" s="113"/>
      <c r="C510" s="144">
        <v>34</v>
      </c>
      <c r="D510" s="323"/>
      <c r="E510" s="323"/>
      <c r="F510" s="323"/>
      <c r="G510" s="323"/>
      <c r="H510" s="323"/>
      <c r="I510" s="323"/>
      <c r="J510" s="457"/>
    </row>
    <row r="511" spans="1:10" ht="15" customHeight="1" x14ac:dyDescent="0.25">
      <c r="A511" s="389"/>
      <c r="B511" s="113"/>
      <c r="C511" s="144">
        <v>35</v>
      </c>
      <c r="D511" s="323"/>
      <c r="E511" s="323"/>
      <c r="F511" s="323"/>
      <c r="G511" s="323"/>
      <c r="H511" s="323"/>
      <c r="I511" s="323"/>
      <c r="J511" s="457"/>
    </row>
    <row r="512" spans="1:10" ht="15" customHeight="1" x14ac:dyDescent="0.25">
      <c r="A512" s="389"/>
      <c r="B512" s="113"/>
      <c r="C512" s="144">
        <v>36</v>
      </c>
      <c r="D512" s="323"/>
      <c r="E512" s="323"/>
      <c r="F512" s="323"/>
      <c r="G512" s="323"/>
      <c r="H512" s="323"/>
      <c r="I512" s="323"/>
      <c r="J512" s="457"/>
    </row>
    <row r="513" spans="1:10" ht="15" customHeight="1" x14ac:dyDescent="0.25">
      <c r="A513" s="389"/>
      <c r="B513" s="113"/>
      <c r="C513" s="144">
        <v>37</v>
      </c>
      <c r="D513" s="323"/>
      <c r="E513" s="323"/>
      <c r="F513" s="323"/>
      <c r="G513" s="323"/>
      <c r="H513" s="323"/>
      <c r="I513" s="323"/>
      <c r="J513" s="457"/>
    </row>
    <row r="514" spans="1:10" ht="15" customHeight="1" x14ac:dyDescent="0.25">
      <c r="A514" s="389"/>
      <c r="B514" s="113"/>
      <c r="C514" s="144">
        <v>38</v>
      </c>
      <c r="D514" s="323"/>
      <c r="E514" s="323"/>
      <c r="F514" s="323"/>
      <c r="G514" s="323"/>
      <c r="H514" s="323"/>
      <c r="I514" s="323"/>
      <c r="J514" s="457"/>
    </row>
    <row r="515" spans="1:10" ht="15" customHeight="1" x14ac:dyDescent="0.25">
      <c r="A515" s="389"/>
      <c r="B515" s="113"/>
      <c r="C515" s="144">
        <v>39</v>
      </c>
      <c r="D515" s="323"/>
      <c r="E515" s="323"/>
      <c r="F515" s="323"/>
      <c r="G515" s="323"/>
      <c r="H515" s="323"/>
      <c r="I515" s="323"/>
      <c r="J515" s="457"/>
    </row>
    <row r="516" spans="1:10" ht="15" customHeight="1" x14ac:dyDescent="0.25">
      <c r="A516" s="389"/>
      <c r="B516" s="113"/>
      <c r="C516" s="144">
        <v>40</v>
      </c>
      <c r="D516" s="323"/>
      <c r="E516" s="323"/>
      <c r="F516" s="323"/>
      <c r="G516" s="323"/>
      <c r="H516" s="323"/>
      <c r="I516" s="323"/>
      <c r="J516" s="457"/>
    </row>
    <row r="517" spans="1:10" ht="15" customHeight="1" x14ac:dyDescent="0.25">
      <c r="A517" s="389"/>
      <c r="B517" s="113"/>
      <c r="C517" s="144">
        <v>41</v>
      </c>
      <c r="D517" s="323"/>
      <c r="E517" s="323"/>
      <c r="F517" s="323"/>
      <c r="G517" s="323"/>
      <c r="H517" s="323"/>
      <c r="I517" s="323"/>
      <c r="J517" s="457"/>
    </row>
    <row r="518" spans="1:10" ht="15" customHeight="1" x14ac:dyDescent="0.25">
      <c r="A518" s="389"/>
      <c r="B518" s="113"/>
      <c r="C518" s="144">
        <v>42</v>
      </c>
      <c r="D518" s="323"/>
      <c r="E518" s="323"/>
      <c r="F518" s="323"/>
      <c r="G518" s="323"/>
      <c r="H518" s="323"/>
      <c r="I518" s="323"/>
      <c r="J518" s="457"/>
    </row>
    <row r="519" spans="1:10" ht="15" customHeight="1" x14ac:dyDescent="0.25">
      <c r="A519" s="389"/>
      <c r="B519" s="113"/>
      <c r="C519" s="144">
        <v>43</v>
      </c>
      <c r="D519" s="323"/>
      <c r="E519" s="323"/>
      <c r="F519" s="323"/>
      <c r="G519" s="323"/>
      <c r="H519" s="323"/>
      <c r="I519" s="323"/>
      <c r="J519" s="457"/>
    </row>
    <row r="520" spans="1:10" ht="15" customHeight="1" x14ac:dyDescent="0.25">
      <c r="A520" s="389"/>
      <c r="B520" s="113"/>
      <c r="C520" s="144">
        <v>44</v>
      </c>
      <c r="D520" s="323"/>
      <c r="E520" s="323"/>
      <c r="F520" s="323"/>
      <c r="G520" s="323"/>
      <c r="H520" s="323"/>
      <c r="I520" s="323"/>
      <c r="J520" s="457"/>
    </row>
    <row r="521" spans="1:10" ht="15" customHeight="1" x14ac:dyDescent="0.25">
      <c r="A521" s="389"/>
      <c r="B521" s="113"/>
      <c r="C521" s="144">
        <v>45</v>
      </c>
      <c r="D521" s="323"/>
      <c r="E521" s="323"/>
      <c r="F521" s="323"/>
      <c r="G521" s="323"/>
      <c r="H521" s="323"/>
      <c r="I521" s="323"/>
      <c r="J521" s="457"/>
    </row>
    <row r="522" spans="1:10" ht="15" customHeight="1" x14ac:dyDescent="0.25">
      <c r="A522" s="389"/>
      <c r="B522" s="113"/>
      <c r="C522" s="144">
        <v>46</v>
      </c>
      <c r="D522" s="323"/>
      <c r="E522" s="323"/>
      <c r="F522" s="323"/>
      <c r="G522" s="323"/>
      <c r="H522" s="323"/>
      <c r="I522" s="323"/>
      <c r="J522" s="457"/>
    </row>
    <row r="523" spans="1:10" ht="15" customHeight="1" x14ac:dyDescent="0.25">
      <c r="A523" s="389"/>
      <c r="B523" s="113"/>
      <c r="C523" s="144">
        <v>47</v>
      </c>
      <c r="D523" s="323"/>
      <c r="E523" s="323"/>
      <c r="F523" s="323"/>
      <c r="G523" s="323"/>
      <c r="H523" s="323"/>
      <c r="I523" s="323"/>
      <c r="J523" s="457"/>
    </row>
    <row r="524" spans="1:10" ht="15" customHeight="1" x14ac:dyDescent="0.25">
      <c r="A524" s="389"/>
      <c r="B524" s="113"/>
      <c r="C524" s="144">
        <v>48</v>
      </c>
      <c r="D524" s="323"/>
      <c r="E524" s="323"/>
      <c r="F524" s="323"/>
      <c r="G524" s="323"/>
      <c r="H524" s="323"/>
      <c r="I524" s="323"/>
      <c r="J524" s="457"/>
    </row>
    <row r="525" spans="1:10" ht="15" customHeight="1" x14ac:dyDescent="0.25">
      <c r="A525" s="389"/>
      <c r="B525" s="113"/>
      <c r="C525" s="144">
        <v>49</v>
      </c>
      <c r="D525" s="323"/>
      <c r="E525" s="323"/>
      <c r="F525" s="323"/>
      <c r="G525" s="323"/>
      <c r="H525" s="323"/>
      <c r="I525" s="323"/>
      <c r="J525" s="457"/>
    </row>
    <row r="526" spans="1:10" ht="15" customHeight="1" x14ac:dyDescent="0.25">
      <c r="A526" s="389"/>
      <c r="B526" s="113"/>
      <c r="C526" s="144">
        <v>50</v>
      </c>
      <c r="D526" s="323"/>
      <c r="E526" s="323"/>
      <c r="F526" s="323"/>
      <c r="G526" s="323"/>
      <c r="H526" s="323"/>
      <c r="I526" s="323"/>
      <c r="J526" s="457"/>
    </row>
    <row r="527" spans="1:10" ht="15" customHeight="1" x14ac:dyDescent="0.25">
      <c r="A527" s="389"/>
      <c r="B527" s="113"/>
      <c r="C527" s="144">
        <v>51</v>
      </c>
      <c r="D527" s="323"/>
      <c r="E527" s="323"/>
      <c r="F527" s="323"/>
      <c r="G527" s="323"/>
      <c r="H527" s="323"/>
      <c r="I527" s="323"/>
      <c r="J527" s="457"/>
    </row>
    <row r="528" spans="1:10" ht="15" customHeight="1" x14ac:dyDescent="0.25">
      <c r="A528" s="389"/>
      <c r="B528" s="113"/>
      <c r="C528" s="144">
        <v>52</v>
      </c>
      <c r="D528" s="323"/>
      <c r="E528" s="323"/>
      <c r="F528" s="323"/>
      <c r="G528" s="323"/>
      <c r="H528" s="323"/>
      <c r="I528" s="323"/>
      <c r="J528" s="457"/>
    </row>
    <row r="529" spans="1:10" ht="15" customHeight="1" x14ac:dyDescent="0.25">
      <c r="A529" s="389"/>
      <c r="B529" s="113"/>
      <c r="C529" s="144">
        <v>53</v>
      </c>
      <c r="D529" s="323"/>
      <c r="E529" s="323"/>
      <c r="F529" s="323"/>
      <c r="G529" s="323"/>
      <c r="H529" s="323"/>
      <c r="I529" s="323"/>
      <c r="J529" s="457"/>
    </row>
    <row r="530" spans="1:10" ht="15" customHeight="1" x14ac:dyDescent="0.25">
      <c r="A530" s="389"/>
      <c r="B530" s="113"/>
      <c r="C530" s="144">
        <v>54</v>
      </c>
      <c r="D530" s="323"/>
      <c r="E530" s="323"/>
      <c r="F530" s="323"/>
      <c r="G530" s="323"/>
      <c r="H530" s="323"/>
      <c r="I530" s="323"/>
      <c r="J530" s="457"/>
    </row>
    <row r="531" spans="1:10" ht="15" customHeight="1" x14ac:dyDescent="0.25">
      <c r="A531" s="389"/>
      <c r="B531" s="113"/>
      <c r="C531" s="144">
        <v>55</v>
      </c>
      <c r="D531" s="323"/>
      <c r="E531" s="323"/>
      <c r="F531" s="323"/>
      <c r="G531" s="323"/>
      <c r="H531" s="323"/>
      <c r="I531" s="323"/>
      <c r="J531" s="457"/>
    </row>
    <row r="532" spans="1:10" ht="15" customHeight="1" x14ac:dyDescent="0.25">
      <c r="A532" s="389"/>
      <c r="B532" s="113"/>
      <c r="C532" s="144">
        <v>56</v>
      </c>
      <c r="D532" s="323"/>
      <c r="E532" s="323"/>
      <c r="F532" s="323"/>
      <c r="G532" s="323"/>
      <c r="H532" s="323"/>
      <c r="I532" s="323"/>
      <c r="J532" s="457"/>
    </row>
    <row r="533" spans="1:10" ht="15" customHeight="1" x14ac:dyDescent="0.25">
      <c r="A533" s="389"/>
      <c r="B533" s="113"/>
      <c r="C533" s="144">
        <v>57</v>
      </c>
      <c r="D533" s="323"/>
      <c r="E533" s="323"/>
      <c r="F533" s="323"/>
      <c r="G533" s="323"/>
      <c r="H533" s="323"/>
      <c r="I533" s="323"/>
      <c r="J533" s="457"/>
    </row>
    <row r="534" spans="1:10" ht="15" customHeight="1" x14ac:dyDescent="0.25">
      <c r="A534" s="389"/>
      <c r="B534" s="113"/>
      <c r="C534" s="144">
        <v>58</v>
      </c>
      <c r="D534" s="323"/>
      <c r="E534" s="323"/>
      <c r="F534" s="323"/>
      <c r="G534" s="323"/>
      <c r="H534" s="323"/>
      <c r="I534" s="323"/>
      <c r="J534" s="457"/>
    </row>
    <row r="535" spans="1:10" ht="15" customHeight="1" x14ac:dyDescent="0.25">
      <c r="A535" s="389"/>
      <c r="B535" s="113"/>
      <c r="C535" s="144">
        <v>59</v>
      </c>
      <c r="D535" s="323"/>
      <c r="E535" s="323"/>
      <c r="F535" s="323"/>
      <c r="G535" s="323"/>
      <c r="H535" s="323"/>
      <c r="I535" s="323"/>
      <c r="J535" s="457"/>
    </row>
    <row r="536" spans="1:10" ht="15" customHeight="1" x14ac:dyDescent="0.25">
      <c r="A536" s="389"/>
      <c r="B536" s="113"/>
      <c r="C536" s="144">
        <v>60</v>
      </c>
      <c r="D536" s="323"/>
      <c r="E536" s="323"/>
      <c r="F536" s="323"/>
      <c r="G536" s="323"/>
      <c r="H536" s="323"/>
      <c r="I536" s="323"/>
      <c r="J536" s="457"/>
    </row>
    <row r="537" spans="1:10" ht="15" customHeight="1" x14ac:dyDescent="0.25">
      <c r="A537" s="389"/>
      <c r="B537" s="113"/>
      <c r="C537" s="144">
        <v>61</v>
      </c>
      <c r="D537" s="323"/>
      <c r="E537" s="323"/>
      <c r="F537" s="323"/>
      <c r="G537" s="323"/>
      <c r="H537" s="323"/>
      <c r="I537" s="323"/>
      <c r="J537" s="457"/>
    </row>
    <row r="538" spans="1:10" ht="15" customHeight="1" x14ac:dyDescent="0.25">
      <c r="A538" s="389"/>
      <c r="B538" s="113"/>
      <c r="C538" s="144">
        <v>62</v>
      </c>
      <c r="D538" s="323"/>
      <c r="E538" s="323"/>
      <c r="F538" s="323"/>
      <c r="G538" s="323"/>
      <c r="H538" s="323"/>
      <c r="I538" s="323"/>
      <c r="J538" s="457"/>
    </row>
    <row r="539" spans="1:10" ht="15" customHeight="1" x14ac:dyDescent="0.25">
      <c r="A539" s="389"/>
      <c r="B539" s="113"/>
      <c r="C539" s="144">
        <v>63</v>
      </c>
      <c r="D539" s="323"/>
      <c r="E539" s="323"/>
      <c r="F539" s="323"/>
      <c r="G539" s="323"/>
      <c r="H539" s="323"/>
      <c r="I539" s="323"/>
      <c r="J539" s="457"/>
    </row>
    <row r="540" spans="1:10" ht="15" customHeight="1" x14ac:dyDescent="0.25">
      <c r="A540" s="389"/>
      <c r="B540" s="113"/>
      <c r="C540" s="144">
        <v>64</v>
      </c>
      <c r="D540" s="323"/>
      <c r="E540" s="323"/>
      <c r="F540" s="323"/>
      <c r="G540" s="323"/>
      <c r="H540" s="323"/>
      <c r="I540" s="323"/>
      <c r="J540" s="457"/>
    </row>
    <row r="541" spans="1:10" ht="15" customHeight="1" x14ac:dyDescent="0.25">
      <c r="A541" s="389"/>
      <c r="B541" s="113"/>
      <c r="C541" s="144">
        <v>65</v>
      </c>
      <c r="D541" s="323"/>
      <c r="E541" s="323"/>
      <c r="F541" s="323"/>
      <c r="G541" s="323"/>
      <c r="H541" s="323"/>
      <c r="I541" s="323"/>
      <c r="J541" s="457"/>
    </row>
    <row r="542" spans="1:10" ht="15" customHeight="1" x14ac:dyDescent="0.25">
      <c r="A542" s="389"/>
      <c r="B542" s="113"/>
      <c r="C542" s="144">
        <v>66</v>
      </c>
      <c r="D542" s="323"/>
      <c r="E542" s="323"/>
      <c r="F542" s="323"/>
      <c r="G542" s="323"/>
      <c r="H542" s="323"/>
      <c r="I542" s="323"/>
      <c r="J542" s="457"/>
    </row>
    <row r="543" spans="1:10" ht="15" customHeight="1" x14ac:dyDescent="0.25">
      <c r="A543" s="389"/>
      <c r="B543" s="113"/>
      <c r="C543" s="144">
        <v>67</v>
      </c>
      <c r="D543" s="323"/>
      <c r="E543" s="323"/>
      <c r="F543" s="323"/>
      <c r="G543" s="323"/>
      <c r="H543" s="323"/>
      <c r="I543" s="323"/>
      <c r="J543" s="457"/>
    </row>
    <row r="544" spans="1:10" ht="15" customHeight="1" x14ac:dyDescent="0.25">
      <c r="A544" s="389"/>
      <c r="B544" s="113"/>
      <c r="C544" s="144">
        <v>68</v>
      </c>
      <c r="D544" s="323"/>
      <c r="E544" s="323"/>
      <c r="F544" s="323"/>
      <c r="G544" s="323"/>
      <c r="H544" s="323"/>
      <c r="I544" s="323"/>
      <c r="J544" s="457"/>
    </row>
    <row r="545" spans="1:10" ht="15" customHeight="1" x14ac:dyDescent="0.25">
      <c r="A545" s="389"/>
      <c r="B545" s="113"/>
      <c r="C545" s="144">
        <v>69</v>
      </c>
      <c r="D545" s="323"/>
      <c r="E545" s="323"/>
      <c r="F545" s="323"/>
      <c r="G545" s="323"/>
      <c r="H545" s="323"/>
      <c r="I545" s="323"/>
      <c r="J545" s="457"/>
    </row>
    <row r="546" spans="1:10" ht="15" customHeight="1" x14ac:dyDescent="0.25">
      <c r="A546" s="389"/>
      <c r="B546" s="113"/>
      <c r="C546" s="144">
        <v>70</v>
      </c>
      <c r="D546" s="323"/>
      <c r="E546" s="323"/>
      <c r="F546" s="323"/>
      <c r="G546" s="323"/>
      <c r="H546" s="323"/>
      <c r="I546" s="323"/>
      <c r="J546" s="457"/>
    </row>
    <row r="547" spans="1:10" ht="15" customHeight="1" x14ac:dyDescent="0.25">
      <c r="A547" s="389"/>
      <c r="B547" s="113"/>
      <c r="C547" s="144">
        <v>71</v>
      </c>
      <c r="D547" s="323"/>
      <c r="E547" s="323"/>
      <c r="F547" s="323"/>
      <c r="G547" s="323"/>
      <c r="H547" s="323"/>
      <c r="I547" s="323"/>
      <c r="J547" s="457"/>
    </row>
    <row r="548" spans="1:10" ht="15" customHeight="1" x14ac:dyDescent="0.25">
      <c r="A548" s="389"/>
      <c r="B548" s="113"/>
      <c r="C548" s="144">
        <v>72</v>
      </c>
      <c r="D548" s="323"/>
      <c r="E548" s="323"/>
      <c r="F548" s="323"/>
      <c r="G548" s="323"/>
      <c r="H548" s="323"/>
      <c r="I548" s="323"/>
      <c r="J548" s="457"/>
    </row>
    <row r="549" spans="1:10" ht="15" customHeight="1" x14ac:dyDescent="0.25">
      <c r="A549" s="389"/>
      <c r="B549" s="113"/>
      <c r="C549" s="144">
        <v>73</v>
      </c>
      <c r="D549" s="323"/>
      <c r="E549" s="323"/>
      <c r="F549" s="323"/>
      <c r="G549" s="323"/>
      <c r="H549" s="323"/>
      <c r="I549" s="323"/>
      <c r="J549" s="457"/>
    </row>
    <row r="550" spans="1:10" ht="15" customHeight="1" x14ac:dyDescent="0.25">
      <c r="A550" s="389"/>
      <c r="B550" s="113"/>
      <c r="C550" s="144">
        <v>74</v>
      </c>
      <c r="D550" s="323"/>
      <c r="E550" s="323"/>
      <c r="F550" s="323"/>
      <c r="G550" s="323"/>
      <c r="H550" s="323"/>
      <c r="I550" s="323"/>
      <c r="J550" s="457"/>
    </row>
    <row r="551" spans="1:10" ht="15" customHeight="1" x14ac:dyDescent="0.25">
      <c r="A551" s="389"/>
      <c r="B551" s="113"/>
      <c r="C551" s="144">
        <v>75</v>
      </c>
      <c r="D551" s="323"/>
      <c r="E551" s="323"/>
      <c r="F551" s="323"/>
      <c r="G551" s="323"/>
      <c r="H551" s="323"/>
      <c r="I551" s="323"/>
      <c r="J551" s="457"/>
    </row>
    <row r="552" spans="1:10" ht="15" customHeight="1" x14ac:dyDescent="0.25">
      <c r="A552" s="389"/>
      <c r="B552" s="113"/>
      <c r="C552" s="144">
        <v>76</v>
      </c>
      <c r="D552" s="323"/>
      <c r="E552" s="323"/>
      <c r="F552" s="323"/>
      <c r="G552" s="323"/>
      <c r="H552" s="323"/>
      <c r="I552" s="323"/>
      <c r="J552" s="457"/>
    </row>
    <row r="553" spans="1:10" ht="15" customHeight="1" x14ac:dyDescent="0.25">
      <c r="A553" s="389"/>
      <c r="B553" s="113"/>
      <c r="C553" s="144">
        <v>77</v>
      </c>
      <c r="D553" s="323"/>
      <c r="E553" s="323"/>
      <c r="F553" s="323"/>
      <c r="G553" s="323"/>
      <c r="H553" s="323"/>
      <c r="I553" s="323"/>
      <c r="J553" s="457"/>
    </row>
    <row r="554" spans="1:10" ht="15" customHeight="1" x14ac:dyDescent="0.25">
      <c r="A554" s="389"/>
      <c r="B554" s="113"/>
      <c r="C554" s="144">
        <v>78</v>
      </c>
      <c r="D554" s="323"/>
      <c r="E554" s="323"/>
      <c r="F554" s="323"/>
      <c r="G554" s="323"/>
      <c r="H554" s="323"/>
      <c r="I554" s="323"/>
      <c r="J554" s="457"/>
    </row>
    <row r="555" spans="1:10" ht="15" customHeight="1" x14ac:dyDescent="0.25">
      <c r="A555" s="389"/>
      <c r="B555" s="113"/>
      <c r="C555" s="144">
        <v>79</v>
      </c>
      <c r="D555" s="323"/>
      <c r="E555" s="323"/>
      <c r="F555" s="323"/>
      <c r="G555" s="323"/>
      <c r="H555" s="323"/>
      <c r="I555" s="323"/>
      <c r="J555" s="457"/>
    </row>
    <row r="556" spans="1:10" ht="15" customHeight="1" x14ac:dyDescent="0.25">
      <c r="A556" s="389"/>
      <c r="B556" s="113"/>
      <c r="C556" s="144">
        <v>80</v>
      </c>
      <c r="D556" s="323"/>
      <c r="E556" s="323"/>
      <c r="F556" s="323"/>
      <c r="G556" s="323"/>
      <c r="H556" s="323"/>
      <c r="I556" s="323"/>
      <c r="J556" s="457"/>
    </row>
    <row r="557" spans="1:10" ht="15" customHeight="1" x14ac:dyDescent="0.25">
      <c r="A557" s="389"/>
      <c r="B557" s="113"/>
      <c r="C557" s="144">
        <v>81</v>
      </c>
      <c r="D557" s="323"/>
      <c r="E557" s="323"/>
      <c r="F557" s="323"/>
      <c r="G557" s="323"/>
      <c r="H557" s="323"/>
      <c r="I557" s="323"/>
      <c r="J557" s="457"/>
    </row>
    <row r="558" spans="1:10" ht="15" customHeight="1" x14ac:dyDescent="0.25">
      <c r="A558" s="389"/>
      <c r="B558" s="1484"/>
      <c r="C558" s="144">
        <v>82</v>
      </c>
      <c r="D558" s="323"/>
      <c r="E558" s="323"/>
      <c r="F558" s="323"/>
      <c r="G558" s="323"/>
      <c r="H558" s="323"/>
      <c r="I558" s="323"/>
      <c r="J558" s="457"/>
    </row>
    <row r="559" spans="1:10" ht="15" customHeight="1" x14ac:dyDescent="0.25">
      <c r="A559" s="389"/>
      <c r="B559" s="1484"/>
      <c r="C559" s="144">
        <v>83</v>
      </c>
      <c r="D559" s="323"/>
      <c r="E559" s="323"/>
      <c r="F559" s="323"/>
      <c r="G559" s="323"/>
      <c r="H559" s="323"/>
      <c r="I559" s="323"/>
      <c r="J559" s="457"/>
    </row>
    <row r="560" spans="1:10" ht="15" customHeight="1" x14ac:dyDescent="0.25">
      <c r="A560" s="389"/>
      <c r="B560" s="1484"/>
      <c r="C560" s="144">
        <v>84</v>
      </c>
      <c r="D560" s="323"/>
      <c r="E560" s="323"/>
      <c r="F560" s="323"/>
      <c r="G560" s="323"/>
      <c r="H560" s="323"/>
      <c r="I560" s="323"/>
      <c r="J560" s="457"/>
    </row>
    <row r="561" spans="1:10" ht="15" customHeight="1" x14ac:dyDescent="0.25">
      <c r="A561" s="389"/>
      <c r="B561" s="1484"/>
      <c r="C561" s="144">
        <v>85</v>
      </c>
      <c r="D561" s="323"/>
      <c r="E561" s="323"/>
      <c r="F561" s="323"/>
      <c r="G561" s="323"/>
      <c r="H561" s="323"/>
      <c r="I561" s="323"/>
      <c r="J561" s="457"/>
    </row>
    <row r="562" spans="1:10" ht="15" customHeight="1" x14ac:dyDescent="0.25">
      <c r="A562" s="389"/>
      <c r="B562" s="1484"/>
      <c r="C562" s="144">
        <v>86</v>
      </c>
      <c r="D562" s="323"/>
      <c r="E562" s="323"/>
      <c r="F562" s="323"/>
      <c r="G562" s="323"/>
      <c r="H562" s="323"/>
      <c r="I562" s="323"/>
      <c r="J562" s="457"/>
    </row>
    <row r="563" spans="1:10" ht="15" customHeight="1" x14ac:dyDescent="0.25">
      <c r="A563" s="389"/>
      <c r="B563" s="1484"/>
      <c r="C563" s="144">
        <v>87</v>
      </c>
      <c r="D563" s="323"/>
      <c r="E563" s="323"/>
      <c r="F563" s="323"/>
      <c r="G563" s="323"/>
      <c r="H563" s="323"/>
      <c r="I563" s="323"/>
      <c r="J563" s="457"/>
    </row>
    <row r="564" spans="1:10" ht="15" customHeight="1" x14ac:dyDescent="0.25">
      <c r="A564" s="389"/>
      <c r="B564" s="1484"/>
      <c r="C564" s="144">
        <v>88</v>
      </c>
      <c r="D564" s="323"/>
      <c r="E564" s="323"/>
      <c r="F564" s="323"/>
      <c r="G564" s="323"/>
      <c r="H564" s="323"/>
      <c r="I564" s="323"/>
      <c r="J564" s="457"/>
    </row>
    <row r="565" spans="1:10" ht="15" customHeight="1" x14ac:dyDescent="0.25">
      <c r="A565" s="389"/>
      <c r="B565" s="1484"/>
      <c r="C565" s="144">
        <v>89</v>
      </c>
      <c r="D565" s="323"/>
      <c r="E565" s="323"/>
      <c r="F565" s="323"/>
      <c r="G565" s="323"/>
      <c r="H565" s="323"/>
      <c r="I565" s="323"/>
      <c r="J565" s="457"/>
    </row>
    <row r="566" spans="1:10" ht="15" customHeight="1" x14ac:dyDescent="0.25">
      <c r="A566" s="389"/>
      <c r="B566" s="1484"/>
      <c r="C566" s="144">
        <v>90</v>
      </c>
      <c r="D566" s="323"/>
      <c r="E566" s="323"/>
      <c r="F566" s="323"/>
      <c r="G566" s="323"/>
      <c r="H566" s="323"/>
      <c r="I566" s="323"/>
      <c r="J566" s="457"/>
    </row>
    <row r="567" spans="1:10" ht="15" customHeight="1" x14ac:dyDescent="0.25">
      <c r="A567" s="389"/>
      <c r="B567" s="1484"/>
      <c r="C567" s="144">
        <v>91</v>
      </c>
      <c r="D567" s="323"/>
      <c r="E567" s="323"/>
      <c r="F567" s="323"/>
      <c r="G567" s="323"/>
      <c r="H567" s="323"/>
      <c r="I567" s="323"/>
      <c r="J567" s="457"/>
    </row>
    <row r="568" spans="1:10" ht="15" customHeight="1" x14ac:dyDescent="0.25">
      <c r="A568" s="389"/>
      <c r="B568" s="1484"/>
      <c r="C568" s="144">
        <v>92</v>
      </c>
      <c r="D568" s="323"/>
      <c r="E568" s="323"/>
      <c r="F568" s="323"/>
      <c r="G568" s="323"/>
      <c r="H568" s="323"/>
      <c r="I568" s="323"/>
      <c r="J568" s="457"/>
    </row>
    <row r="569" spans="1:10" ht="15" customHeight="1" x14ac:dyDescent="0.25">
      <c r="A569" s="389"/>
      <c r="B569" s="1484"/>
      <c r="C569" s="144">
        <v>93</v>
      </c>
      <c r="D569" s="323"/>
      <c r="E569" s="323"/>
      <c r="F569" s="323"/>
      <c r="G569" s="323"/>
      <c r="H569" s="323"/>
      <c r="I569" s="323"/>
      <c r="J569" s="457"/>
    </row>
    <row r="570" spans="1:10" ht="15" customHeight="1" x14ac:dyDescent="0.25">
      <c r="A570" s="389"/>
      <c r="B570" s="1484"/>
      <c r="C570" s="144">
        <v>94</v>
      </c>
      <c r="D570" s="323"/>
      <c r="E570" s="323"/>
      <c r="F570" s="323"/>
      <c r="G570" s="323"/>
      <c r="H570" s="323"/>
      <c r="I570" s="323"/>
      <c r="J570" s="457"/>
    </row>
    <row r="571" spans="1:10" ht="15" customHeight="1" x14ac:dyDescent="0.25">
      <c r="A571" s="389"/>
      <c r="B571" s="1484"/>
      <c r="C571" s="144">
        <v>95</v>
      </c>
      <c r="D571" s="323"/>
      <c r="E571" s="323"/>
      <c r="F571" s="323"/>
      <c r="G571" s="323"/>
      <c r="H571" s="323"/>
      <c r="I571" s="323"/>
      <c r="J571" s="457"/>
    </row>
    <row r="572" spans="1:10" ht="15" customHeight="1" x14ac:dyDescent="0.25">
      <c r="A572" s="389"/>
      <c r="B572" s="1484"/>
      <c r="C572" s="144">
        <v>96</v>
      </c>
      <c r="D572" s="323"/>
      <c r="E572" s="323"/>
      <c r="F572" s="323"/>
      <c r="G572" s="323"/>
      <c r="H572" s="323"/>
      <c r="I572" s="323"/>
      <c r="J572" s="457"/>
    </row>
    <row r="573" spans="1:10" ht="15" customHeight="1" x14ac:dyDescent="0.25">
      <c r="A573" s="389"/>
      <c r="B573" s="1484"/>
      <c r="C573" s="144">
        <v>97</v>
      </c>
      <c r="D573" s="323"/>
      <c r="E573" s="323"/>
      <c r="F573" s="323"/>
      <c r="G573" s="323"/>
      <c r="H573" s="323"/>
      <c r="I573" s="323"/>
      <c r="J573" s="457"/>
    </row>
    <row r="574" spans="1:10" ht="15" customHeight="1" x14ac:dyDescent="0.25">
      <c r="A574" s="389"/>
      <c r="B574" s="1484"/>
      <c r="C574" s="144">
        <v>98</v>
      </c>
      <c r="D574" s="323"/>
      <c r="E574" s="323"/>
      <c r="F574" s="323"/>
      <c r="G574" s="323"/>
      <c r="H574" s="323"/>
      <c r="I574" s="323"/>
      <c r="J574" s="457"/>
    </row>
    <row r="575" spans="1:10" ht="15" customHeight="1" x14ac:dyDescent="0.25">
      <c r="A575" s="389"/>
      <c r="B575" s="1484"/>
      <c r="C575" s="144">
        <v>99</v>
      </c>
      <c r="D575" s="323"/>
      <c r="E575" s="323"/>
      <c r="F575" s="323"/>
      <c r="G575" s="323"/>
      <c r="H575" s="323"/>
      <c r="I575" s="323"/>
      <c r="J575" s="457"/>
    </row>
    <row r="576" spans="1:10" ht="15" customHeight="1" x14ac:dyDescent="0.25">
      <c r="A576" s="389"/>
      <c r="B576" s="1879"/>
      <c r="C576" s="459">
        <v>100</v>
      </c>
      <c r="D576" s="1958"/>
      <c r="E576" s="2485"/>
      <c r="F576" s="2485"/>
      <c r="G576" s="1958"/>
      <c r="H576" s="2190"/>
      <c r="I576" s="2214"/>
      <c r="J576" s="457"/>
    </row>
    <row r="577" spans="1:10" ht="15" hidden="1" customHeight="1" x14ac:dyDescent="0.25">
      <c r="A577" s="389"/>
      <c r="B577" s="186" t="s">
        <v>300</v>
      </c>
      <c r="C577" s="854">
        <v>1</v>
      </c>
      <c r="D577" s="855" t="s">
        <v>299</v>
      </c>
      <c r="E577" s="139"/>
      <c r="F577" s="139"/>
      <c r="G577" s="139"/>
      <c r="H577" s="139"/>
      <c r="I577" s="139"/>
      <c r="J577" s="457"/>
    </row>
    <row r="578" spans="1:10" ht="15" hidden="1" customHeight="1" x14ac:dyDescent="0.25">
      <c r="A578" s="389"/>
      <c r="B578" s="186"/>
      <c r="C578" s="284">
        <v>2</v>
      </c>
      <c r="D578" s="104" t="s">
        <v>446</v>
      </c>
      <c r="E578" s="104"/>
      <c r="F578" s="104"/>
      <c r="G578" s="104"/>
      <c r="H578" s="104"/>
      <c r="I578" s="104"/>
      <c r="J578" s="457"/>
    </row>
    <row r="579" spans="1:10" ht="15" hidden="1" customHeight="1" x14ac:dyDescent="0.25">
      <c r="A579" s="389"/>
      <c r="B579" s="1880"/>
      <c r="C579" s="459">
        <v>3</v>
      </c>
      <c r="D579" s="1958" t="s">
        <v>447</v>
      </c>
      <c r="E579" s="2485"/>
      <c r="F579" s="2485"/>
      <c r="G579" s="1958"/>
      <c r="H579" s="2190"/>
      <c r="I579" s="2214"/>
      <c r="J579" s="457"/>
    </row>
    <row r="580" spans="1:10" ht="15" customHeight="1" x14ac:dyDescent="0.25">
      <c r="A580" s="389"/>
      <c r="B580" s="186" t="s">
        <v>443</v>
      </c>
      <c r="C580" s="144">
        <v>1</v>
      </c>
      <c r="D580" s="323" t="s">
        <v>444</v>
      </c>
      <c r="E580" s="323"/>
      <c r="F580" s="323"/>
      <c r="G580" s="323"/>
      <c r="H580" s="323"/>
      <c r="I580" s="323"/>
      <c r="J580" s="457"/>
    </row>
    <row r="581" spans="1:10" ht="15" customHeight="1" x14ac:dyDescent="0.25">
      <c r="A581" s="389"/>
      <c r="B581" s="1880"/>
      <c r="C581" s="459">
        <v>0</v>
      </c>
      <c r="D581" s="1958" t="s">
        <v>445</v>
      </c>
      <c r="E581" s="2485"/>
      <c r="F581" s="2485"/>
      <c r="G581" s="1958"/>
      <c r="H581" s="2190"/>
      <c r="I581" s="2214"/>
      <c r="J581" s="457"/>
    </row>
    <row r="582" spans="1:10" ht="15" customHeight="1" x14ac:dyDescent="0.25">
      <c r="A582" s="389"/>
      <c r="B582" s="1730" t="s">
        <v>455</v>
      </c>
      <c r="C582" s="854">
        <v>1</v>
      </c>
      <c r="D582" s="855" t="s">
        <v>456</v>
      </c>
      <c r="E582" s="855"/>
      <c r="F582" s="855"/>
      <c r="G582" s="855"/>
      <c r="H582" s="855"/>
      <c r="I582" s="855"/>
      <c r="J582" s="457"/>
    </row>
    <row r="583" spans="1:10" ht="15" customHeight="1" x14ac:dyDescent="0.25">
      <c r="A583" s="389"/>
      <c r="B583" s="1880"/>
      <c r="C583" s="459">
        <v>2</v>
      </c>
      <c r="D583" s="1958" t="s">
        <v>457</v>
      </c>
      <c r="E583" s="2485"/>
      <c r="F583" s="2485"/>
      <c r="G583" s="1958"/>
      <c r="H583" s="2190"/>
      <c r="I583" s="2214"/>
      <c r="J583" s="457"/>
    </row>
    <row r="584" spans="1:10" ht="15" customHeight="1" x14ac:dyDescent="0.25">
      <c r="A584" s="389"/>
      <c r="B584" s="1730" t="s">
        <v>435</v>
      </c>
      <c r="C584" s="854">
        <v>1</v>
      </c>
      <c r="D584" s="1871" t="s">
        <v>458</v>
      </c>
      <c r="E584" s="855"/>
      <c r="F584" s="855"/>
      <c r="G584" s="855"/>
      <c r="H584" s="855"/>
      <c r="I584" s="855"/>
      <c r="J584" s="457"/>
    </row>
    <row r="585" spans="1:10" ht="15" customHeight="1" x14ac:dyDescent="0.25">
      <c r="A585" s="389"/>
      <c r="B585" s="1484"/>
      <c r="C585" s="144">
        <v>2</v>
      </c>
      <c r="D585" s="176" t="s">
        <v>436</v>
      </c>
      <c r="E585" s="323"/>
      <c r="F585" s="323"/>
      <c r="G585" s="323"/>
      <c r="H585" s="323"/>
      <c r="I585" s="323"/>
      <c r="J585" s="457"/>
    </row>
    <row r="586" spans="1:10" ht="15" customHeight="1" x14ac:dyDescent="0.25">
      <c r="A586" s="389"/>
      <c r="B586" s="1484"/>
      <c r="C586" s="144">
        <v>3</v>
      </c>
      <c r="D586" s="176" t="s">
        <v>22</v>
      </c>
      <c r="E586" s="323"/>
      <c r="F586" s="323"/>
      <c r="G586" s="323"/>
      <c r="H586" s="323"/>
      <c r="I586" s="323"/>
      <c r="J586" s="457"/>
    </row>
    <row r="587" spans="1:10" ht="15" customHeight="1" x14ac:dyDescent="0.25">
      <c r="A587" s="389"/>
      <c r="B587" s="1880"/>
      <c r="C587" s="459">
        <v>4</v>
      </c>
      <c r="D587" s="285" t="s">
        <v>129</v>
      </c>
      <c r="E587" s="2485"/>
      <c r="F587" s="2485"/>
      <c r="G587" s="1958"/>
      <c r="H587" s="2190"/>
      <c r="I587" s="2214"/>
      <c r="J587" s="457"/>
    </row>
    <row r="588" spans="1:10" ht="15" customHeight="1" x14ac:dyDescent="0.25">
      <c r="A588" s="389"/>
      <c r="B588" s="1730" t="s">
        <v>434</v>
      </c>
      <c r="C588" s="854">
        <v>1</v>
      </c>
      <c r="D588" s="1871" t="s">
        <v>301</v>
      </c>
      <c r="E588" s="855"/>
      <c r="F588" s="855"/>
      <c r="G588" s="855"/>
      <c r="H588" s="855"/>
      <c r="I588" s="855"/>
      <c r="J588" s="457"/>
    </row>
    <row r="589" spans="1:10" ht="15" customHeight="1" x14ac:dyDescent="0.25">
      <c r="A589" s="389"/>
      <c r="B589" s="1484"/>
      <c r="C589" s="144">
        <v>2</v>
      </c>
      <c r="D589" s="176" t="s">
        <v>127</v>
      </c>
      <c r="E589" s="323"/>
      <c r="F589" s="323"/>
      <c r="G589" s="323"/>
      <c r="H589" s="323"/>
      <c r="I589" s="323"/>
      <c r="J589" s="457"/>
    </row>
    <row r="590" spans="1:10" ht="15" customHeight="1" x14ac:dyDescent="0.25">
      <c r="A590" s="389"/>
      <c r="B590" s="1484"/>
      <c r="C590" s="144">
        <v>3</v>
      </c>
      <c r="D590" s="176" t="s">
        <v>129</v>
      </c>
      <c r="E590" s="323"/>
      <c r="F590" s="323"/>
      <c r="G590" s="323"/>
      <c r="H590" s="323"/>
      <c r="I590" s="323"/>
      <c r="J590" s="457"/>
    </row>
    <row r="591" spans="1:10" ht="15" customHeight="1" x14ac:dyDescent="0.25">
      <c r="A591" s="389"/>
      <c r="B591" s="1880"/>
      <c r="C591" s="459">
        <v>4</v>
      </c>
      <c r="D591" s="285" t="s">
        <v>286</v>
      </c>
      <c r="E591" s="2485"/>
      <c r="F591" s="2485"/>
      <c r="G591" s="1958"/>
      <c r="H591" s="2190"/>
      <c r="I591" s="2214"/>
      <c r="J591" s="457"/>
    </row>
    <row r="592" spans="1:10" ht="15" customHeight="1" x14ac:dyDescent="0.25">
      <c r="A592" s="389"/>
      <c r="B592" s="1730" t="s">
        <v>437</v>
      </c>
      <c r="C592" s="854">
        <v>1</v>
      </c>
      <c r="D592" s="1871" t="s">
        <v>438</v>
      </c>
      <c r="E592" s="855"/>
      <c r="F592" s="855"/>
      <c r="G592" s="855"/>
      <c r="H592" s="855"/>
      <c r="I592" s="855"/>
      <c r="J592" s="457"/>
    </row>
    <row r="593" spans="1:10" ht="15" customHeight="1" x14ac:dyDescent="0.25">
      <c r="A593" s="389"/>
      <c r="B593" s="1484"/>
      <c r="C593" s="144">
        <v>2</v>
      </c>
      <c r="D593" s="176" t="s">
        <v>439</v>
      </c>
      <c r="E593" s="323"/>
      <c r="F593" s="323"/>
      <c r="G593" s="323"/>
      <c r="H593" s="323"/>
      <c r="I593" s="323"/>
      <c r="J593" s="457"/>
    </row>
    <row r="594" spans="1:10" ht="15" customHeight="1" x14ac:dyDescent="0.25">
      <c r="A594" s="389"/>
      <c r="B594" s="1484"/>
      <c r="C594" s="144">
        <v>3</v>
      </c>
      <c r="D594" s="176" t="s">
        <v>440</v>
      </c>
      <c r="E594" s="323"/>
      <c r="F594" s="323"/>
      <c r="G594" s="323"/>
      <c r="H594" s="323"/>
      <c r="I594" s="323"/>
      <c r="J594" s="457"/>
    </row>
    <row r="595" spans="1:10" ht="15" customHeight="1" x14ac:dyDescent="0.25">
      <c r="A595" s="389"/>
      <c r="B595" s="1880"/>
      <c r="C595" s="459">
        <v>4</v>
      </c>
      <c r="D595" s="285" t="s">
        <v>441</v>
      </c>
      <c r="E595" s="2485"/>
      <c r="F595" s="2485"/>
      <c r="G595" s="1958"/>
      <c r="H595" s="2190"/>
      <c r="I595" s="2214"/>
      <c r="J595" s="457"/>
    </row>
    <row r="596" spans="1:10" ht="15" customHeight="1" x14ac:dyDescent="0.25">
      <c r="A596" s="389"/>
      <c r="B596" s="1730" t="s">
        <v>448</v>
      </c>
      <c r="C596" s="854">
        <v>1</v>
      </c>
      <c r="D596" s="855" t="s">
        <v>453</v>
      </c>
      <c r="E596" s="855"/>
      <c r="F596" s="855"/>
      <c r="G596" s="855"/>
      <c r="H596" s="855"/>
      <c r="I596" s="855"/>
      <c r="J596" s="457"/>
    </row>
    <row r="597" spans="1:10" ht="15" customHeight="1" x14ac:dyDescent="0.25">
      <c r="A597" s="389"/>
      <c r="B597" s="1880"/>
      <c r="C597" s="574">
        <v>2</v>
      </c>
      <c r="D597" s="427" t="s">
        <v>449</v>
      </c>
      <c r="E597" s="427"/>
      <c r="F597" s="427"/>
      <c r="G597" s="427"/>
      <c r="H597" s="427"/>
      <c r="I597" s="427"/>
      <c r="J597" s="457"/>
    </row>
    <row r="598" spans="1:10" ht="15" customHeight="1" x14ac:dyDescent="0.25">
      <c r="A598" s="389"/>
      <c r="B598" s="1730" t="s">
        <v>450</v>
      </c>
      <c r="C598" s="854">
        <v>1</v>
      </c>
      <c r="D598" s="855" t="s">
        <v>451</v>
      </c>
      <c r="E598" s="855"/>
      <c r="F598" s="855"/>
      <c r="G598" s="855"/>
      <c r="H598" s="855"/>
      <c r="I598" s="855"/>
      <c r="J598" s="457"/>
    </row>
    <row r="599" spans="1:10" ht="15" customHeight="1" x14ac:dyDescent="0.25">
      <c r="A599" s="389"/>
      <c r="B599" s="1880"/>
      <c r="C599" s="574">
        <v>2</v>
      </c>
      <c r="D599" s="427" t="s">
        <v>452</v>
      </c>
      <c r="E599" s="427"/>
      <c r="F599" s="427"/>
      <c r="G599" s="427"/>
      <c r="H599" s="427"/>
      <c r="I599" s="427"/>
      <c r="J599" s="457"/>
    </row>
    <row r="600" spans="1:10" ht="15" customHeight="1" x14ac:dyDescent="0.25">
      <c r="A600" s="389"/>
      <c r="B600" s="1730" t="s">
        <v>509</v>
      </c>
      <c r="C600" s="854">
        <v>1</v>
      </c>
      <c r="D600" s="1433" t="s">
        <v>510</v>
      </c>
      <c r="E600" s="855"/>
      <c r="F600" s="855"/>
      <c r="G600" s="855"/>
      <c r="H600" s="855"/>
      <c r="I600" s="855"/>
      <c r="J600" s="457"/>
    </row>
    <row r="601" spans="1:10" ht="15" customHeight="1" x14ac:dyDescent="0.25">
      <c r="A601" s="389"/>
      <c r="B601" s="177"/>
      <c r="C601" s="144">
        <v>2</v>
      </c>
      <c r="D601" s="328" t="s">
        <v>511</v>
      </c>
      <c r="E601" s="323"/>
      <c r="F601" s="323"/>
      <c r="G601" s="323"/>
      <c r="H601" s="323"/>
      <c r="I601" s="323"/>
      <c r="J601" s="457"/>
    </row>
    <row r="602" spans="1:10" ht="15" customHeight="1" x14ac:dyDescent="0.25">
      <c r="A602" s="389"/>
      <c r="B602" s="1484"/>
      <c r="C602" s="144">
        <v>3</v>
      </c>
      <c r="D602" s="1959" t="s">
        <v>512</v>
      </c>
      <c r="E602" s="323"/>
      <c r="F602" s="323"/>
      <c r="G602" s="323"/>
      <c r="H602" s="323"/>
      <c r="I602" s="323"/>
      <c r="J602" s="457"/>
    </row>
    <row r="603" spans="1:10" ht="15" customHeight="1" x14ac:dyDescent="0.25">
      <c r="A603" s="389"/>
      <c r="B603" s="1484"/>
      <c r="C603" s="145">
        <v>4</v>
      </c>
      <c r="D603" s="368" t="s">
        <v>513</v>
      </c>
      <c r="E603" s="142"/>
      <c r="F603" s="142"/>
      <c r="G603" s="142"/>
      <c r="H603" s="142"/>
      <c r="I603" s="142"/>
      <c r="J603" s="457"/>
    </row>
    <row r="604" spans="1:10" ht="15" customHeight="1" x14ac:dyDescent="0.25">
      <c r="A604" s="389"/>
      <c r="B604" s="1730" t="s">
        <v>574</v>
      </c>
      <c r="C604" s="854">
        <v>1</v>
      </c>
      <c r="D604" s="1433" t="s">
        <v>128</v>
      </c>
      <c r="E604" s="855"/>
      <c r="F604" s="855"/>
      <c r="G604" s="855"/>
      <c r="H604" s="855"/>
      <c r="I604" s="855"/>
      <c r="J604" s="457"/>
    </row>
    <row r="605" spans="1:10" ht="15" customHeight="1" x14ac:dyDescent="0.25">
      <c r="A605" s="389"/>
      <c r="B605" s="1484"/>
      <c r="C605" s="459">
        <v>2</v>
      </c>
      <c r="D605" s="1957" t="s">
        <v>573</v>
      </c>
      <c r="E605" s="2485"/>
      <c r="F605" s="2485"/>
      <c r="G605" s="1958"/>
      <c r="H605" s="2190"/>
      <c r="I605" s="2214"/>
      <c r="J605" s="457"/>
    </row>
    <row r="606" spans="1:10" ht="15" customHeight="1" x14ac:dyDescent="0.25">
      <c r="A606" s="389"/>
      <c r="B606" s="1730" t="s">
        <v>1112</v>
      </c>
      <c r="C606" s="854">
        <v>1</v>
      </c>
      <c r="D606" s="1433" t="s">
        <v>1113</v>
      </c>
      <c r="E606" s="855"/>
      <c r="F606" s="855"/>
      <c r="G606" s="855"/>
      <c r="H606" s="855"/>
      <c r="I606" s="855"/>
      <c r="J606" s="457"/>
    </row>
    <row r="607" spans="1:10" ht="15" customHeight="1" x14ac:dyDescent="0.25">
      <c r="A607" s="389"/>
      <c r="B607" s="1484"/>
      <c r="C607" s="459">
        <v>2</v>
      </c>
      <c r="D607" s="1957" t="s">
        <v>1114</v>
      </c>
      <c r="E607" s="2485"/>
      <c r="F607" s="2485"/>
      <c r="G607" s="1958"/>
      <c r="H607" s="2190"/>
      <c r="I607" s="2214"/>
      <c r="J607" s="457"/>
    </row>
    <row r="608" spans="1:10" ht="15" customHeight="1" x14ac:dyDescent="0.25">
      <c r="A608" s="415"/>
      <c r="B608" s="1868" t="s">
        <v>48</v>
      </c>
      <c r="C608" s="854">
        <v>1</v>
      </c>
      <c r="D608" s="855" t="s">
        <v>42</v>
      </c>
      <c r="E608" s="855"/>
      <c r="F608" s="855"/>
      <c r="G608" s="855"/>
      <c r="H608" s="855"/>
      <c r="I608" s="855"/>
      <c r="J608" s="526"/>
    </row>
    <row r="609" spans="1:10" ht="15" customHeight="1" x14ac:dyDescent="0.25">
      <c r="A609" s="415"/>
      <c r="B609" s="113"/>
      <c r="C609" s="284">
        <v>2</v>
      </c>
      <c r="D609" s="386" t="s">
        <v>1117</v>
      </c>
      <c r="E609" s="104"/>
      <c r="F609" s="104"/>
      <c r="G609" s="104"/>
      <c r="H609" s="104"/>
      <c r="I609" s="104"/>
      <c r="J609" s="526"/>
    </row>
    <row r="610" spans="1:10" ht="15" customHeight="1" x14ac:dyDescent="0.25">
      <c r="A610" s="415"/>
      <c r="B610" s="458"/>
      <c r="C610" s="459">
        <v>3</v>
      </c>
      <c r="D610" s="1958" t="s">
        <v>43</v>
      </c>
      <c r="E610" s="2485"/>
      <c r="F610" s="2485"/>
      <c r="G610" s="1958"/>
      <c r="H610" s="2190"/>
      <c r="I610" s="2214"/>
      <c r="J610" s="526"/>
    </row>
    <row r="611" spans="1:10" ht="15" customHeight="1" x14ac:dyDescent="0.25">
      <c r="A611" s="415"/>
      <c r="B611" s="1730" t="s">
        <v>1378</v>
      </c>
      <c r="C611" s="854">
        <v>1</v>
      </c>
      <c r="D611" s="1433" t="s">
        <v>1305</v>
      </c>
      <c r="E611" s="855"/>
      <c r="F611" s="855"/>
      <c r="G611" s="855"/>
      <c r="H611" s="855"/>
      <c r="I611" s="855"/>
      <c r="J611" s="526"/>
    </row>
    <row r="612" spans="1:10" ht="15" customHeight="1" x14ac:dyDescent="0.25">
      <c r="A612" s="415"/>
      <c r="B612" s="1731"/>
      <c r="C612" s="459">
        <v>2</v>
      </c>
      <c r="D612" s="1957" t="s">
        <v>1379</v>
      </c>
      <c r="E612" s="2485"/>
      <c r="F612" s="2485"/>
      <c r="G612" s="1958"/>
      <c r="H612" s="2190"/>
      <c r="I612" s="2214"/>
      <c r="J612" s="526"/>
    </row>
    <row r="613" spans="1:10" ht="15" customHeight="1" x14ac:dyDescent="0.25">
      <c r="A613" s="415"/>
      <c r="B613" s="2136" t="s">
        <v>2086</v>
      </c>
      <c r="C613" s="854">
        <v>1</v>
      </c>
      <c r="D613" s="1433" t="s">
        <v>2087</v>
      </c>
      <c r="E613" s="855"/>
      <c r="F613" s="855"/>
      <c r="G613" s="855"/>
      <c r="H613" s="855"/>
      <c r="I613" s="855"/>
      <c r="J613" s="526"/>
    </row>
    <row r="614" spans="1:10" ht="15" customHeight="1" x14ac:dyDescent="0.25">
      <c r="A614" s="415"/>
      <c r="B614" s="2138"/>
      <c r="C614" s="459">
        <v>2</v>
      </c>
      <c r="D614" s="2413" t="s">
        <v>2088</v>
      </c>
      <c r="E614" s="2485"/>
      <c r="F614" s="2485"/>
      <c r="G614" s="2414"/>
      <c r="H614" s="2414"/>
      <c r="I614" s="2414"/>
      <c r="J614" s="526"/>
    </row>
    <row r="615" spans="1:10" ht="15" customHeight="1" x14ac:dyDescent="0.25">
      <c r="A615" s="415"/>
      <c r="B615" s="1730" t="s">
        <v>1377</v>
      </c>
      <c r="C615" s="854">
        <v>1</v>
      </c>
      <c r="D615" s="1433" t="s">
        <v>43</v>
      </c>
      <c r="E615" s="855"/>
      <c r="F615" s="855"/>
      <c r="G615" s="855"/>
      <c r="H615" s="855"/>
      <c r="I615" s="855"/>
      <c r="J615" s="526"/>
    </row>
    <row r="616" spans="1:10" ht="15" customHeight="1" x14ac:dyDescent="0.25">
      <c r="A616" s="415"/>
      <c r="B616" s="186"/>
      <c r="C616" s="144">
        <v>2</v>
      </c>
      <c r="D616" s="1959" t="s">
        <v>1398</v>
      </c>
      <c r="E616" s="323"/>
      <c r="F616" s="323"/>
      <c r="G616" s="323"/>
      <c r="H616" s="323"/>
      <c r="I616" s="323"/>
      <c r="J616" s="526"/>
    </row>
    <row r="617" spans="1:10" ht="15" customHeight="1" x14ac:dyDescent="0.25">
      <c r="A617" s="415"/>
      <c r="B617" s="1731"/>
      <c r="C617" s="459">
        <v>3</v>
      </c>
      <c r="D617" s="1957" t="s">
        <v>1399</v>
      </c>
      <c r="E617" s="2485"/>
      <c r="F617" s="2485"/>
      <c r="G617" s="1958"/>
      <c r="H617" s="2190"/>
      <c r="I617" s="2214"/>
      <c r="J617" s="526"/>
    </row>
    <row r="618" spans="1:10" ht="15" customHeight="1" x14ac:dyDescent="0.25">
      <c r="A618" s="415"/>
      <c r="B618" s="186" t="s">
        <v>1434</v>
      </c>
      <c r="C618" s="371">
        <v>1</v>
      </c>
      <c r="D618" s="420" t="s">
        <v>1435</v>
      </c>
      <c r="E618" s="139"/>
      <c r="F618" s="139"/>
      <c r="G618" s="139"/>
      <c r="H618" s="139"/>
      <c r="I618" s="139"/>
      <c r="J618" s="526"/>
    </row>
    <row r="619" spans="1:10" ht="15" customHeight="1" x14ac:dyDescent="0.25">
      <c r="A619" s="415"/>
      <c r="B619" s="186"/>
      <c r="C619" s="144">
        <v>2</v>
      </c>
      <c r="D619" s="1959" t="s">
        <v>1436</v>
      </c>
      <c r="E619" s="323"/>
      <c r="F619" s="323"/>
      <c r="G619" s="323"/>
      <c r="H619" s="323"/>
      <c r="I619" s="323"/>
      <c r="J619" s="526"/>
    </row>
    <row r="620" spans="1:10" ht="15" customHeight="1" x14ac:dyDescent="0.25">
      <c r="A620" s="415"/>
      <c r="B620" s="186"/>
      <c r="C620" s="144">
        <v>3</v>
      </c>
      <c r="D620" s="1959" t="s">
        <v>1437</v>
      </c>
      <c r="E620" s="323"/>
      <c r="F620" s="323"/>
      <c r="G620" s="323"/>
      <c r="H620" s="323"/>
      <c r="I620" s="323"/>
      <c r="J620" s="526"/>
    </row>
    <row r="621" spans="1:10" ht="15" customHeight="1" x14ac:dyDescent="0.25">
      <c r="A621" s="415"/>
      <c r="B621" s="186"/>
      <c r="C621" s="144">
        <v>4</v>
      </c>
      <c r="D621" s="1959" t="s">
        <v>1438</v>
      </c>
      <c r="E621" s="323"/>
      <c r="F621" s="323"/>
      <c r="G621" s="323"/>
      <c r="H621" s="323"/>
      <c r="I621" s="323"/>
      <c r="J621" s="526"/>
    </row>
    <row r="622" spans="1:10" ht="15" customHeight="1" x14ac:dyDescent="0.25">
      <c r="A622" s="415"/>
      <c r="B622" s="186"/>
      <c r="C622" s="144">
        <v>5</v>
      </c>
      <c r="D622" s="1959" t="s">
        <v>1439</v>
      </c>
      <c r="E622" s="323"/>
      <c r="F622" s="323"/>
      <c r="G622" s="323"/>
      <c r="H622" s="323"/>
      <c r="I622" s="323"/>
      <c r="J622" s="526"/>
    </row>
    <row r="623" spans="1:10" ht="15" customHeight="1" x14ac:dyDescent="0.25">
      <c r="A623" s="415"/>
      <c r="B623" s="186"/>
      <c r="C623" s="144">
        <v>6</v>
      </c>
      <c r="D623" s="1959" t="s">
        <v>1440</v>
      </c>
      <c r="E623" s="323"/>
      <c r="F623" s="323"/>
      <c r="G623" s="323"/>
      <c r="H623" s="323"/>
      <c r="I623" s="323"/>
      <c r="J623" s="526"/>
    </row>
    <row r="624" spans="1:10" ht="15" customHeight="1" x14ac:dyDescent="0.25">
      <c r="A624" s="415"/>
      <c r="B624" s="186"/>
      <c r="C624" s="144">
        <v>7</v>
      </c>
      <c r="D624" s="1959" t="s">
        <v>1441</v>
      </c>
      <c r="E624" s="323"/>
      <c r="F624" s="323"/>
      <c r="G624" s="323"/>
      <c r="H624" s="323"/>
      <c r="I624" s="323"/>
      <c r="J624" s="526"/>
    </row>
    <row r="625" spans="1:10" ht="15" customHeight="1" x14ac:dyDescent="0.25">
      <c r="A625" s="415"/>
      <c r="B625" s="186"/>
      <c r="C625" s="144">
        <v>8</v>
      </c>
      <c r="D625" s="1959" t="s">
        <v>1442</v>
      </c>
      <c r="E625" s="323"/>
      <c r="F625" s="323"/>
      <c r="G625" s="323"/>
      <c r="H625" s="323"/>
      <c r="I625" s="323"/>
      <c r="J625" s="526"/>
    </row>
    <row r="626" spans="1:10" ht="15" customHeight="1" x14ac:dyDescent="0.25">
      <c r="A626" s="415"/>
      <c r="B626" s="186"/>
      <c r="C626" s="144">
        <v>9</v>
      </c>
      <c r="D626" s="1959" t="s">
        <v>1443</v>
      </c>
      <c r="E626" s="323"/>
      <c r="F626" s="323"/>
      <c r="G626" s="323"/>
      <c r="H626" s="323"/>
      <c r="I626" s="323"/>
      <c r="J626" s="526"/>
    </row>
    <row r="627" spans="1:10" ht="15" customHeight="1" x14ac:dyDescent="0.25">
      <c r="A627" s="415"/>
      <c r="B627" s="1731"/>
      <c r="C627" s="459">
        <v>10</v>
      </c>
      <c r="D627" s="1957" t="s">
        <v>1444</v>
      </c>
      <c r="E627" s="2485"/>
      <c r="F627" s="2485"/>
      <c r="G627" s="1958"/>
      <c r="H627" s="2190"/>
      <c r="I627" s="2214"/>
      <c r="J627" s="526"/>
    </row>
    <row r="628" spans="1:10" ht="15" customHeight="1" x14ac:dyDescent="0.25">
      <c r="A628" s="415"/>
      <c r="B628" s="1730" t="s">
        <v>1413</v>
      </c>
      <c r="C628" s="854">
        <v>1</v>
      </c>
      <c r="D628" s="1149" t="s">
        <v>1416</v>
      </c>
      <c r="E628" s="855"/>
      <c r="F628" s="855"/>
      <c r="G628" s="855"/>
      <c r="H628" s="855"/>
      <c r="I628" s="855"/>
      <c r="J628" s="526"/>
    </row>
    <row r="629" spans="1:10" ht="15" customHeight="1" x14ac:dyDescent="0.25">
      <c r="A629" s="415"/>
      <c r="B629" s="186"/>
      <c r="C629" s="371">
        <v>2</v>
      </c>
      <c r="D629" s="1881" t="s">
        <v>1417</v>
      </c>
      <c r="E629" s="323"/>
      <c r="F629" s="323"/>
      <c r="G629" s="323"/>
      <c r="H629" s="323"/>
      <c r="I629" s="323"/>
      <c r="J629" s="526"/>
    </row>
    <row r="630" spans="1:10" ht="15" customHeight="1" x14ac:dyDescent="0.25">
      <c r="A630" s="415"/>
      <c r="B630" s="186"/>
      <c r="C630" s="144">
        <v>3</v>
      </c>
      <c r="D630" s="221" t="s">
        <v>1418</v>
      </c>
      <c r="E630" s="323"/>
      <c r="F630" s="323"/>
      <c r="G630" s="323"/>
      <c r="H630" s="323"/>
      <c r="I630" s="323"/>
      <c r="J630" s="526"/>
    </row>
    <row r="631" spans="1:10" ht="15" customHeight="1" x14ac:dyDescent="0.25">
      <c r="A631" s="415"/>
      <c r="B631" s="186"/>
      <c r="C631" s="144">
        <v>4</v>
      </c>
      <c r="D631" s="1882" t="s">
        <v>1419</v>
      </c>
      <c r="E631" s="2485"/>
      <c r="F631" s="2485"/>
      <c r="G631" s="1958"/>
      <c r="H631" s="2190"/>
      <c r="I631" s="2214"/>
      <c r="J631" s="526"/>
    </row>
    <row r="632" spans="1:10" ht="15" customHeight="1" x14ac:dyDescent="0.25">
      <c r="A632" s="415"/>
      <c r="B632" s="1730" t="s">
        <v>1415</v>
      </c>
      <c r="C632" s="854">
        <v>1</v>
      </c>
      <c r="D632" s="1883" t="s">
        <v>1420</v>
      </c>
      <c r="E632" s="855"/>
      <c r="F632" s="855"/>
      <c r="G632" s="855"/>
      <c r="H632" s="855"/>
      <c r="I632" s="855"/>
      <c r="J632" s="526"/>
    </row>
    <row r="633" spans="1:10" ht="15" customHeight="1" x14ac:dyDescent="0.25">
      <c r="A633" s="415"/>
      <c r="B633" s="186"/>
      <c r="C633" s="144">
        <v>2</v>
      </c>
      <c r="D633" s="1884" t="s">
        <v>1421</v>
      </c>
      <c r="E633" s="323"/>
      <c r="F633" s="323"/>
      <c r="G633" s="323"/>
      <c r="H633" s="323"/>
      <c r="I633" s="323"/>
      <c r="J633" s="526"/>
    </row>
    <row r="634" spans="1:10" ht="15" customHeight="1" x14ac:dyDescent="0.25">
      <c r="A634" s="415"/>
      <c r="B634" s="186"/>
      <c r="C634" s="144">
        <v>3</v>
      </c>
      <c r="D634" s="1885" t="s">
        <v>2058</v>
      </c>
      <c r="E634" s="2485"/>
      <c r="F634" s="2485"/>
      <c r="G634" s="1958"/>
      <c r="H634" s="2190"/>
      <c r="I634" s="2214"/>
      <c r="J634" s="526"/>
    </row>
    <row r="635" spans="1:10" ht="15" customHeight="1" x14ac:dyDescent="0.25">
      <c r="A635" s="415"/>
      <c r="B635" s="1730" t="s">
        <v>1414</v>
      </c>
      <c r="C635" s="854">
        <v>1</v>
      </c>
      <c r="D635" s="1883" t="s">
        <v>1422</v>
      </c>
      <c r="E635" s="855"/>
      <c r="F635" s="855"/>
      <c r="G635" s="855"/>
      <c r="H635" s="855"/>
      <c r="I635" s="855"/>
      <c r="J635" s="526"/>
    </row>
    <row r="636" spans="1:10" ht="15" customHeight="1" x14ac:dyDescent="0.25">
      <c r="A636" s="415"/>
      <c r="B636" s="186"/>
      <c r="C636" s="144">
        <v>2</v>
      </c>
      <c r="D636" s="1884" t="s">
        <v>1423</v>
      </c>
      <c r="E636" s="323"/>
      <c r="F636" s="323"/>
      <c r="G636" s="323"/>
      <c r="H636" s="323"/>
      <c r="I636" s="323"/>
      <c r="J636" s="526"/>
    </row>
    <row r="637" spans="1:10" ht="15" customHeight="1" x14ac:dyDescent="0.25">
      <c r="A637" s="415"/>
      <c r="B637" s="1731"/>
      <c r="C637" s="459">
        <v>3</v>
      </c>
      <c r="D637" s="1885" t="s">
        <v>1424</v>
      </c>
      <c r="E637" s="2485"/>
      <c r="F637" s="2485"/>
      <c r="G637" s="1958"/>
      <c r="H637" s="2190"/>
      <c r="I637" s="2214"/>
      <c r="J637" s="526"/>
    </row>
    <row r="638" spans="1:10" ht="15" customHeight="1" x14ac:dyDescent="0.25">
      <c r="A638" s="415"/>
      <c r="B638" s="1730" t="s">
        <v>1414</v>
      </c>
      <c r="C638" s="854">
        <v>1</v>
      </c>
      <c r="D638" s="1883" t="s">
        <v>1425</v>
      </c>
      <c r="E638" s="855"/>
      <c r="F638" s="855"/>
      <c r="G638" s="855"/>
      <c r="H638" s="855"/>
      <c r="I638" s="855"/>
      <c r="J638" s="526"/>
    </row>
    <row r="639" spans="1:10" ht="15" customHeight="1" x14ac:dyDescent="0.25">
      <c r="A639" s="415"/>
      <c r="B639" s="186"/>
      <c r="C639" s="1835">
        <v>2</v>
      </c>
      <c r="D639" s="1884" t="s">
        <v>1426</v>
      </c>
      <c r="E639" s="323"/>
      <c r="F639" s="323"/>
      <c r="G639" s="323"/>
      <c r="H639" s="323"/>
      <c r="I639" s="323"/>
      <c r="J639" s="526"/>
    </row>
    <row r="640" spans="1:10" ht="15" customHeight="1" x14ac:dyDescent="0.25">
      <c r="A640" s="415"/>
      <c r="B640" s="186"/>
      <c r="C640" s="144">
        <v>3</v>
      </c>
      <c r="D640" s="1884" t="s">
        <v>1427</v>
      </c>
      <c r="E640" s="323"/>
      <c r="F640" s="323"/>
      <c r="G640" s="323"/>
      <c r="H640" s="323"/>
      <c r="I640" s="323"/>
      <c r="J640" s="526"/>
    </row>
    <row r="641" spans="1:10" ht="15" customHeight="1" x14ac:dyDescent="0.25">
      <c r="A641" s="415"/>
      <c r="B641" s="186"/>
      <c r="C641" s="144">
        <v>4</v>
      </c>
      <c r="D641" s="1884" t="s">
        <v>1428</v>
      </c>
      <c r="E641" s="323"/>
      <c r="F641" s="323"/>
      <c r="G641" s="323"/>
      <c r="H641" s="323"/>
      <c r="I641" s="323"/>
      <c r="J641" s="526"/>
    </row>
    <row r="642" spans="1:10" ht="15" customHeight="1" x14ac:dyDescent="0.25">
      <c r="A642" s="415"/>
      <c r="B642" s="186"/>
      <c r="C642" s="144">
        <v>5</v>
      </c>
      <c r="D642" s="1884" t="s">
        <v>1429</v>
      </c>
      <c r="E642" s="323"/>
      <c r="F642" s="323"/>
      <c r="G642" s="323"/>
      <c r="H642" s="323"/>
      <c r="I642" s="323"/>
      <c r="J642" s="526"/>
    </row>
    <row r="643" spans="1:10" ht="15" customHeight="1" x14ac:dyDescent="0.25">
      <c r="A643" s="415"/>
      <c r="B643" s="1731"/>
      <c r="C643" s="459">
        <v>6</v>
      </c>
      <c r="D643" s="1885" t="s">
        <v>1449</v>
      </c>
      <c r="E643" s="2485"/>
      <c r="F643" s="2485"/>
      <c r="G643" s="1958"/>
      <c r="H643" s="2190"/>
      <c r="I643" s="2214"/>
      <c r="J643" s="526"/>
    </row>
    <row r="644" spans="1:10" ht="15" customHeight="1" x14ac:dyDescent="0.25">
      <c r="A644" s="415"/>
      <c r="B644" s="1730" t="s">
        <v>1485</v>
      </c>
      <c r="C644" s="854">
        <v>1</v>
      </c>
      <c r="D644" s="1963" t="s">
        <v>1486</v>
      </c>
      <c r="E644" s="855"/>
      <c r="F644" s="855"/>
      <c r="G644" s="855"/>
      <c r="H644" s="855"/>
      <c r="I644" s="855"/>
      <c r="J644" s="526"/>
    </row>
    <row r="645" spans="1:10" ht="15" customHeight="1" x14ac:dyDescent="0.25">
      <c r="A645" s="415"/>
      <c r="B645" s="186"/>
      <c r="C645" s="144">
        <v>2</v>
      </c>
      <c r="D645" s="1964" t="s">
        <v>1487</v>
      </c>
      <c r="E645" s="323"/>
      <c r="F645" s="323"/>
      <c r="G645" s="323"/>
      <c r="H645" s="323"/>
      <c r="I645" s="323"/>
      <c r="J645" s="526"/>
    </row>
    <row r="646" spans="1:10" ht="15" customHeight="1" x14ac:dyDescent="0.25">
      <c r="A646" s="415"/>
      <c r="B646" s="1731"/>
      <c r="C646" s="459">
        <v>3</v>
      </c>
      <c r="D646" s="1965" t="s">
        <v>1488</v>
      </c>
      <c r="E646" s="2485"/>
      <c r="F646" s="2485"/>
      <c r="G646" s="1960"/>
      <c r="H646" s="2190"/>
      <c r="I646" s="2214"/>
      <c r="J646" s="526"/>
    </row>
    <row r="647" spans="1:10" ht="15" customHeight="1" x14ac:dyDescent="0.25">
      <c r="A647" s="415"/>
      <c r="B647" s="1730" t="s">
        <v>1485</v>
      </c>
      <c r="C647" s="854">
        <v>1</v>
      </c>
      <c r="D647" s="1963" t="s">
        <v>1489</v>
      </c>
      <c r="E647" s="855"/>
      <c r="F647" s="855"/>
      <c r="G647" s="855"/>
      <c r="H647" s="855"/>
      <c r="I647" s="855"/>
      <c r="J647" s="526"/>
    </row>
    <row r="648" spans="1:10" ht="15" customHeight="1" x14ac:dyDescent="0.25">
      <c r="A648" s="415"/>
      <c r="B648" s="186"/>
      <c r="C648" s="144">
        <v>2</v>
      </c>
      <c r="D648" s="1964" t="s">
        <v>1490</v>
      </c>
      <c r="E648" s="323"/>
      <c r="F648" s="323"/>
      <c r="G648" s="323"/>
      <c r="H648" s="323"/>
      <c r="I648" s="323"/>
      <c r="J648" s="526"/>
    </row>
    <row r="649" spans="1:10" ht="15" customHeight="1" x14ac:dyDescent="0.25">
      <c r="A649" s="415"/>
      <c r="B649" s="186"/>
      <c r="C649" s="144">
        <v>3</v>
      </c>
      <c r="D649" s="1964" t="s">
        <v>1491</v>
      </c>
      <c r="E649" s="323"/>
      <c r="F649" s="323"/>
      <c r="G649" s="323"/>
      <c r="H649" s="323"/>
      <c r="I649" s="323"/>
      <c r="J649" s="526"/>
    </row>
    <row r="650" spans="1:10" ht="15" customHeight="1" x14ac:dyDescent="0.25">
      <c r="A650" s="415"/>
      <c r="B650" s="186"/>
      <c r="C650" s="144">
        <v>4</v>
      </c>
      <c r="D650" s="1964" t="s">
        <v>1492</v>
      </c>
      <c r="E650" s="323"/>
      <c r="F650" s="323"/>
      <c r="G650" s="323"/>
      <c r="H650" s="323"/>
      <c r="I650" s="323"/>
      <c r="J650" s="526"/>
    </row>
    <row r="651" spans="1:10" ht="15" customHeight="1" x14ac:dyDescent="0.25">
      <c r="A651" s="415"/>
      <c r="B651" s="186"/>
      <c r="C651" s="144">
        <v>5</v>
      </c>
      <c r="D651" s="1964" t="s">
        <v>1493</v>
      </c>
      <c r="E651" s="323"/>
      <c r="F651" s="323"/>
      <c r="G651" s="323"/>
      <c r="H651" s="323"/>
      <c r="I651" s="323"/>
      <c r="J651" s="526"/>
    </row>
    <row r="652" spans="1:10" ht="15" customHeight="1" x14ac:dyDescent="0.25">
      <c r="A652" s="415"/>
      <c r="B652" s="186"/>
      <c r="C652" s="144">
        <v>6</v>
      </c>
      <c r="D652" s="1964" t="s">
        <v>1494</v>
      </c>
      <c r="E652" s="323"/>
      <c r="F652" s="323"/>
      <c r="G652" s="323"/>
      <c r="H652" s="323"/>
      <c r="I652" s="323"/>
      <c r="J652" s="526"/>
    </row>
    <row r="653" spans="1:10" ht="15" customHeight="1" x14ac:dyDescent="0.25">
      <c r="A653" s="415"/>
      <c r="B653" s="1731"/>
      <c r="C653" s="459">
        <v>7</v>
      </c>
      <c r="D653" s="1965" t="s">
        <v>1495</v>
      </c>
      <c r="E653" s="2485"/>
      <c r="F653" s="2485"/>
      <c r="G653" s="1960"/>
      <c r="H653" s="2190"/>
      <c r="I653" s="2214"/>
      <c r="J653" s="526"/>
    </row>
    <row r="654" spans="1:10" ht="15" customHeight="1" x14ac:dyDescent="0.25">
      <c r="A654" s="415"/>
      <c r="B654" s="2136" t="s">
        <v>1677</v>
      </c>
      <c r="C654" s="854">
        <v>1</v>
      </c>
      <c r="D654" s="1883" t="s">
        <v>1685</v>
      </c>
      <c r="E654" s="855"/>
      <c r="F654" s="855"/>
      <c r="G654" s="855"/>
      <c r="H654" s="855"/>
      <c r="I654" s="855"/>
      <c r="J654" s="526"/>
    </row>
    <row r="655" spans="1:10" ht="15" customHeight="1" x14ac:dyDescent="0.25">
      <c r="A655" s="415"/>
      <c r="B655" s="2137"/>
      <c r="C655" s="144">
        <v>2</v>
      </c>
      <c r="D655" s="1884" t="s">
        <v>1684</v>
      </c>
      <c r="E655" s="323"/>
      <c r="F655" s="323"/>
      <c r="G655" s="323"/>
      <c r="H655" s="323"/>
      <c r="I655" s="323"/>
      <c r="J655" s="526"/>
    </row>
    <row r="656" spans="1:10" ht="15" customHeight="1" x14ac:dyDescent="0.25">
      <c r="A656" s="415"/>
      <c r="B656" s="2137"/>
      <c r="C656" s="144">
        <v>3</v>
      </c>
      <c r="D656" s="1884" t="s">
        <v>1686</v>
      </c>
      <c r="E656" s="323"/>
      <c r="F656" s="323"/>
      <c r="G656" s="323"/>
      <c r="H656" s="323"/>
      <c r="I656" s="323"/>
      <c r="J656" s="526"/>
    </row>
    <row r="657" spans="1:10" ht="15" customHeight="1" x14ac:dyDescent="0.25">
      <c r="A657" s="415"/>
      <c r="B657" s="2138"/>
      <c r="C657" s="459">
        <v>4</v>
      </c>
      <c r="D657" s="1885" t="s">
        <v>43</v>
      </c>
      <c r="E657" s="2485"/>
      <c r="F657" s="2485"/>
      <c r="G657" s="2102"/>
      <c r="H657" s="2190"/>
      <c r="I657" s="2214"/>
      <c r="J657" s="526"/>
    </row>
    <row r="658" spans="1:10" ht="15" customHeight="1" x14ac:dyDescent="0.25">
      <c r="A658" s="415"/>
      <c r="B658" s="2136" t="s">
        <v>1735</v>
      </c>
      <c r="C658" s="854">
        <v>1</v>
      </c>
      <c r="D658" s="1963" t="s">
        <v>1729</v>
      </c>
      <c r="E658" s="855"/>
      <c r="F658" s="855"/>
      <c r="G658" s="855"/>
      <c r="H658" s="855"/>
      <c r="I658" s="855"/>
      <c r="J658" s="526"/>
    </row>
    <row r="659" spans="1:10" ht="15" customHeight="1" x14ac:dyDescent="0.25">
      <c r="A659" s="415"/>
      <c r="B659" s="2137"/>
      <c r="C659" s="144">
        <v>2</v>
      </c>
      <c r="D659" s="1964" t="s">
        <v>1736</v>
      </c>
      <c r="E659" s="323"/>
      <c r="F659" s="323"/>
      <c r="G659" s="323"/>
      <c r="H659" s="323"/>
      <c r="I659" s="323"/>
      <c r="J659" s="526"/>
    </row>
    <row r="660" spans="1:10" ht="15" customHeight="1" x14ac:dyDescent="0.25">
      <c r="A660" s="415"/>
      <c r="B660" s="2137"/>
      <c r="C660" s="144">
        <v>3</v>
      </c>
      <c r="D660" s="1964" t="s">
        <v>696</v>
      </c>
      <c r="E660" s="323"/>
      <c r="F660" s="323"/>
      <c r="G660" s="323"/>
      <c r="H660" s="323"/>
      <c r="I660" s="323"/>
      <c r="J660" s="526"/>
    </row>
    <row r="661" spans="1:10" ht="15" customHeight="1" x14ac:dyDescent="0.25">
      <c r="A661" s="415"/>
      <c r="B661" s="2137"/>
      <c r="C661" s="144">
        <v>4</v>
      </c>
      <c r="D661" s="1964" t="s">
        <v>1730</v>
      </c>
      <c r="E661" s="323"/>
      <c r="F661" s="323"/>
      <c r="G661" s="323"/>
      <c r="H661" s="323"/>
      <c r="I661" s="323"/>
      <c r="J661" s="526"/>
    </row>
    <row r="662" spans="1:10" ht="15" customHeight="1" x14ac:dyDescent="0.25">
      <c r="A662" s="415"/>
      <c r="B662" s="2137"/>
      <c r="C662" s="144">
        <v>5</v>
      </c>
      <c r="D662" s="1964" t="s">
        <v>712</v>
      </c>
      <c r="E662" s="323"/>
      <c r="F662" s="323"/>
      <c r="G662" s="323"/>
      <c r="H662" s="323"/>
      <c r="I662" s="323"/>
      <c r="J662" s="526"/>
    </row>
    <row r="663" spans="1:10" ht="15" customHeight="1" x14ac:dyDescent="0.25">
      <c r="A663" s="415"/>
      <c r="B663" s="2137"/>
      <c r="C663" s="144">
        <v>6</v>
      </c>
      <c r="D663" s="1964" t="s">
        <v>713</v>
      </c>
      <c r="E663" s="323"/>
      <c r="F663" s="323"/>
      <c r="G663" s="323"/>
      <c r="H663" s="323"/>
      <c r="I663" s="323"/>
      <c r="J663" s="526"/>
    </row>
    <row r="664" spans="1:10" ht="15" customHeight="1" x14ac:dyDescent="0.25">
      <c r="A664" s="415"/>
      <c r="B664" s="2137"/>
      <c r="C664" s="144">
        <v>7</v>
      </c>
      <c r="D664" s="1964" t="s">
        <v>714</v>
      </c>
      <c r="E664" s="323"/>
      <c r="F664" s="323"/>
      <c r="G664" s="323"/>
      <c r="H664" s="323"/>
      <c r="I664" s="323"/>
      <c r="J664" s="526"/>
    </row>
    <row r="665" spans="1:10" ht="15" customHeight="1" x14ac:dyDescent="0.25">
      <c r="A665" s="415"/>
      <c r="B665" s="2137"/>
      <c r="C665" s="144">
        <v>8</v>
      </c>
      <c r="D665" s="1964" t="s">
        <v>1731</v>
      </c>
      <c r="E665" s="323"/>
      <c r="F665" s="323"/>
      <c r="G665" s="323"/>
      <c r="H665" s="323"/>
      <c r="I665" s="323"/>
      <c r="J665" s="526"/>
    </row>
    <row r="666" spans="1:10" ht="15" customHeight="1" x14ac:dyDescent="0.25">
      <c r="A666" s="415"/>
      <c r="B666" s="2137"/>
      <c r="C666" s="144">
        <v>9</v>
      </c>
      <c r="D666" s="1964" t="s">
        <v>1732</v>
      </c>
      <c r="E666" s="323"/>
      <c r="F666" s="323"/>
      <c r="G666" s="323"/>
      <c r="H666" s="323"/>
      <c r="I666" s="323"/>
      <c r="J666" s="526"/>
    </row>
    <row r="667" spans="1:10" ht="15" customHeight="1" x14ac:dyDescent="0.25">
      <c r="A667" s="415"/>
      <c r="B667" s="2137"/>
      <c r="C667" s="144">
        <v>10</v>
      </c>
      <c r="D667" s="1964" t="s">
        <v>1733</v>
      </c>
      <c r="E667" s="323"/>
      <c r="F667" s="323"/>
      <c r="G667" s="323"/>
      <c r="H667" s="323"/>
      <c r="I667" s="323"/>
      <c r="J667" s="526"/>
    </row>
    <row r="668" spans="1:10" ht="15" customHeight="1" x14ac:dyDescent="0.25">
      <c r="A668" s="415"/>
      <c r="B668" s="2137"/>
      <c r="C668" s="144">
        <v>11</v>
      </c>
      <c r="D668" s="1964" t="s">
        <v>1734</v>
      </c>
      <c r="E668" s="323"/>
      <c r="F668" s="323"/>
      <c r="G668" s="323"/>
      <c r="H668" s="323"/>
      <c r="I668" s="323"/>
      <c r="J668" s="526"/>
    </row>
    <row r="669" spans="1:10" ht="15" customHeight="1" x14ac:dyDescent="0.25">
      <c r="A669" s="415"/>
      <c r="B669" s="2137"/>
      <c r="C669" s="144">
        <v>12</v>
      </c>
      <c r="D669" s="1964" t="s">
        <v>664</v>
      </c>
      <c r="E669" s="323"/>
      <c r="F669" s="323"/>
      <c r="G669" s="323"/>
      <c r="H669" s="323"/>
      <c r="I669" s="323"/>
      <c r="J669" s="526"/>
    </row>
    <row r="670" spans="1:10" ht="15" customHeight="1" x14ac:dyDescent="0.25">
      <c r="A670" s="415"/>
      <c r="B670" s="2137"/>
      <c r="C670" s="144">
        <v>13</v>
      </c>
      <c r="D670" s="1964" t="s">
        <v>1088</v>
      </c>
      <c r="E670" s="323"/>
      <c r="F670" s="323"/>
      <c r="G670" s="323"/>
      <c r="H670" s="323"/>
      <c r="I670" s="323"/>
      <c r="J670" s="526"/>
    </row>
    <row r="671" spans="1:10" ht="15" customHeight="1" x14ac:dyDescent="0.25">
      <c r="A671" s="415"/>
      <c r="B671" s="2137"/>
      <c r="C671" s="144">
        <v>14</v>
      </c>
      <c r="D671" s="1964" t="s">
        <v>666</v>
      </c>
      <c r="E671" s="323"/>
      <c r="F671" s="323"/>
      <c r="G671" s="323"/>
      <c r="H671" s="323"/>
      <c r="I671" s="323"/>
      <c r="J671" s="526"/>
    </row>
    <row r="672" spans="1:10" ht="15" customHeight="1" x14ac:dyDescent="0.25">
      <c r="A672" s="415"/>
      <c r="B672" s="2137"/>
      <c r="C672" s="144">
        <v>15</v>
      </c>
      <c r="D672" s="1964" t="s">
        <v>719</v>
      </c>
      <c r="E672" s="323"/>
      <c r="F672" s="323"/>
      <c r="G672" s="323"/>
      <c r="H672" s="323"/>
      <c r="I672" s="323"/>
      <c r="J672" s="526"/>
    </row>
    <row r="673" spans="1:10" ht="15" customHeight="1" x14ac:dyDescent="0.25">
      <c r="A673" s="415"/>
      <c r="B673" s="2137"/>
      <c r="C673" s="144">
        <v>16</v>
      </c>
      <c r="D673" s="1964" t="s">
        <v>720</v>
      </c>
      <c r="E673" s="323"/>
      <c r="F673" s="323"/>
      <c r="G673" s="323"/>
      <c r="H673" s="323"/>
      <c r="I673" s="323"/>
      <c r="J673" s="526"/>
    </row>
    <row r="674" spans="1:10" ht="15" customHeight="1" x14ac:dyDescent="0.25">
      <c r="A674" s="415"/>
      <c r="B674" s="2137"/>
      <c r="C674" s="144">
        <v>17</v>
      </c>
      <c r="D674" s="1964" t="s">
        <v>721</v>
      </c>
      <c r="E674" s="323"/>
      <c r="F674" s="323"/>
      <c r="G674" s="323"/>
      <c r="H674" s="323"/>
      <c r="I674" s="323"/>
      <c r="J674" s="526"/>
    </row>
    <row r="675" spans="1:10" ht="15" customHeight="1" x14ac:dyDescent="0.25">
      <c r="A675" s="415"/>
      <c r="B675" s="2137"/>
      <c r="C675" s="144">
        <v>18</v>
      </c>
      <c r="D675" s="1964" t="s">
        <v>680</v>
      </c>
      <c r="E675" s="323"/>
      <c r="F675" s="323"/>
      <c r="G675" s="323"/>
      <c r="H675" s="323"/>
      <c r="I675" s="323"/>
      <c r="J675" s="526"/>
    </row>
    <row r="676" spans="1:10" ht="15" customHeight="1" x14ac:dyDescent="0.25">
      <c r="A676" s="415"/>
      <c r="B676" s="2138"/>
      <c r="C676" s="459">
        <v>19</v>
      </c>
      <c r="D676" s="1965" t="s">
        <v>37</v>
      </c>
      <c r="E676" s="2485"/>
      <c r="F676" s="2485"/>
      <c r="G676" s="2190"/>
      <c r="H676" s="2190"/>
      <c r="I676" s="2214"/>
      <c r="J676" s="526"/>
    </row>
    <row r="677" spans="1:10" ht="15" customHeight="1" x14ac:dyDescent="0.25">
      <c r="A677" s="415"/>
      <c r="B677" s="2137" t="s">
        <v>1966</v>
      </c>
      <c r="C677" s="854">
        <v>1</v>
      </c>
      <c r="D677" s="2372" t="s">
        <v>1961</v>
      </c>
      <c r="E677" s="855"/>
      <c r="F677" s="855"/>
      <c r="G677" s="855"/>
      <c r="H677" s="855"/>
      <c r="I677" s="855"/>
      <c r="J677" s="526"/>
    </row>
    <row r="678" spans="1:10" ht="15" customHeight="1" x14ac:dyDescent="0.25">
      <c r="A678" s="415"/>
      <c r="B678" s="2137"/>
      <c r="C678" s="144">
        <v>2</v>
      </c>
      <c r="D678" s="2373" t="s">
        <v>1962</v>
      </c>
      <c r="E678" s="323"/>
      <c r="F678" s="323"/>
      <c r="G678" s="323"/>
      <c r="H678" s="323"/>
      <c r="I678" s="323"/>
      <c r="J678" s="526"/>
    </row>
    <row r="679" spans="1:10" ht="15" customHeight="1" x14ac:dyDescent="0.25">
      <c r="A679" s="415"/>
      <c r="B679" s="2137"/>
      <c r="C679" s="144">
        <v>3</v>
      </c>
      <c r="D679" s="2373" t="s">
        <v>1963</v>
      </c>
      <c r="E679" s="323"/>
      <c r="F679" s="323"/>
      <c r="G679" s="323"/>
      <c r="H679" s="323"/>
      <c r="I679" s="323"/>
      <c r="J679" s="526"/>
    </row>
    <row r="680" spans="1:10" ht="15" customHeight="1" x14ac:dyDescent="0.25">
      <c r="A680" s="415"/>
      <c r="B680" s="2137"/>
      <c r="C680" s="144">
        <v>4</v>
      </c>
      <c r="D680" s="2373" t="s">
        <v>1964</v>
      </c>
      <c r="E680" s="323"/>
      <c r="F680" s="323"/>
      <c r="G680" s="323"/>
      <c r="H680" s="323"/>
      <c r="I680" s="323"/>
      <c r="J680" s="526"/>
    </row>
    <row r="681" spans="1:10" ht="15" customHeight="1" x14ac:dyDescent="0.25">
      <c r="A681" s="415"/>
      <c r="B681" s="2137"/>
      <c r="C681" s="459">
        <v>5</v>
      </c>
      <c r="D681" s="2374" t="s">
        <v>1965</v>
      </c>
      <c r="E681" s="2485"/>
      <c r="F681" s="2485"/>
      <c r="G681" s="2214"/>
      <c r="H681" s="2214"/>
      <c r="I681" s="2214"/>
      <c r="J681" s="526"/>
    </row>
    <row r="682" spans="1:10" ht="15" customHeight="1" x14ac:dyDescent="0.25">
      <c r="A682" s="415"/>
      <c r="B682" s="2136" t="s">
        <v>1759</v>
      </c>
      <c r="C682" s="854">
        <v>1</v>
      </c>
      <c r="D682" s="1884" t="s">
        <v>1737</v>
      </c>
      <c r="E682" s="855"/>
      <c r="F682" s="855"/>
      <c r="G682" s="855"/>
      <c r="H682" s="855"/>
      <c r="I682" s="855"/>
      <c r="J682" s="526"/>
    </row>
    <row r="683" spans="1:10" ht="15" customHeight="1" x14ac:dyDescent="0.25">
      <c r="A683" s="415"/>
      <c r="B683" s="2137"/>
      <c r="C683" s="144">
        <v>2</v>
      </c>
      <c r="D683" s="1884" t="s">
        <v>1738</v>
      </c>
      <c r="E683" s="323"/>
      <c r="F683" s="323"/>
      <c r="G683" s="323"/>
      <c r="H683" s="323"/>
      <c r="I683" s="323"/>
      <c r="J683" s="526"/>
    </row>
    <row r="684" spans="1:10" ht="15" customHeight="1" x14ac:dyDescent="0.25">
      <c r="A684" s="415"/>
      <c r="B684" s="2137"/>
      <c r="C684" s="145">
        <v>3</v>
      </c>
      <c r="D684" s="2563" t="s">
        <v>2064</v>
      </c>
      <c r="E684" s="142"/>
      <c r="F684" s="142"/>
      <c r="G684" s="142"/>
      <c r="H684" s="142"/>
      <c r="I684" s="142"/>
      <c r="J684" s="526"/>
    </row>
    <row r="685" spans="1:10" ht="15" customHeight="1" x14ac:dyDescent="0.25">
      <c r="A685" s="415"/>
      <c r="B685" s="2138"/>
      <c r="C685" s="459">
        <v>4</v>
      </c>
      <c r="D685" s="1827" t="s">
        <v>2065</v>
      </c>
      <c r="E685" s="2485"/>
      <c r="F685" s="2485"/>
      <c r="G685" s="2190"/>
      <c r="H685" s="2190"/>
      <c r="I685" s="2214"/>
      <c r="J685" s="526"/>
    </row>
    <row r="686" spans="1:10" ht="15" customHeight="1" x14ac:dyDescent="0.25">
      <c r="A686" s="415"/>
      <c r="B686" s="2137" t="s">
        <v>2276</v>
      </c>
      <c r="C686" s="284">
        <v>1</v>
      </c>
      <c r="D686" s="2564" t="s">
        <v>2277</v>
      </c>
      <c r="E686" s="104"/>
      <c r="F686" s="104"/>
      <c r="G686" s="104"/>
      <c r="H686" s="104"/>
      <c r="I686" s="104"/>
      <c r="J686" s="526"/>
    </row>
    <row r="687" spans="1:10" ht="15" customHeight="1" x14ac:dyDescent="0.25">
      <c r="A687" s="415"/>
      <c r="B687" s="2137"/>
      <c r="C687" s="284">
        <v>2</v>
      </c>
      <c r="D687" s="2564" t="s">
        <v>2278</v>
      </c>
      <c r="E687" s="104"/>
      <c r="F687" s="104"/>
      <c r="G687" s="104"/>
      <c r="H687" s="104"/>
      <c r="I687" s="104"/>
      <c r="J687" s="526"/>
    </row>
    <row r="688" spans="1:10" ht="15" customHeight="1" x14ac:dyDescent="0.25">
      <c r="A688" s="415"/>
      <c r="B688" s="2137"/>
      <c r="C688" s="284">
        <v>3</v>
      </c>
      <c r="D688" s="2564" t="s">
        <v>2279</v>
      </c>
      <c r="E688" s="104"/>
      <c r="F688" s="104"/>
      <c r="G688" s="104"/>
      <c r="H688" s="104"/>
      <c r="I688" s="104"/>
      <c r="J688" s="526"/>
    </row>
    <row r="689" spans="1:10" ht="15" customHeight="1" x14ac:dyDescent="0.25">
      <c r="A689" s="415"/>
      <c r="B689" s="2137"/>
      <c r="C689" s="284">
        <v>4</v>
      </c>
      <c r="D689" s="2564" t="s">
        <v>2281</v>
      </c>
      <c r="E689" s="104"/>
      <c r="F689" s="104"/>
      <c r="G689" s="104"/>
      <c r="H689" s="104"/>
      <c r="I689" s="104"/>
      <c r="J689" s="526"/>
    </row>
    <row r="690" spans="1:10" ht="15" customHeight="1" x14ac:dyDescent="0.25">
      <c r="A690" s="415"/>
      <c r="B690" s="2137"/>
      <c r="C690" s="284">
        <v>5</v>
      </c>
      <c r="D690" s="2564" t="s">
        <v>2280</v>
      </c>
      <c r="E690" s="104"/>
      <c r="F690" s="104"/>
      <c r="G690" s="104"/>
      <c r="H690" s="104"/>
      <c r="I690" s="104"/>
      <c r="J690" s="526"/>
    </row>
    <row r="691" spans="1:10" ht="15" customHeight="1" x14ac:dyDescent="0.25">
      <c r="A691" s="415"/>
      <c r="B691" s="2137"/>
      <c r="C691" s="284">
        <v>6</v>
      </c>
      <c r="D691" s="2564" t="s">
        <v>286</v>
      </c>
      <c r="E691" s="104"/>
      <c r="F691" s="104"/>
      <c r="G691" s="104"/>
      <c r="H691" s="104"/>
      <c r="I691" s="104"/>
      <c r="J691" s="526"/>
    </row>
    <row r="692" spans="1:10" ht="15" customHeight="1" x14ac:dyDescent="0.25">
      <c r="A692" s="415"/>
      <c r="B692" s="2136" t="s">
        <v>2067</v>
      </c>
      <c r="C692" s="1878">
        <v>1</v>
      </c>
      <c r="D692" s="2565" t="s">
        <v>2066</v>
      </c>
      <c r="E692" s="1220"/>
      <c r="F692" s="1220"/>
      <c r="G692" s="1220"/>
      <c r="H692" s="1220"/>
      <c r="I692" s="1220"/>
      <c r="J692" s="526"/>
    </row>
    <row r="693" spans="1:10" ht="15" customHeight="1" x14ac:dyDescent="0.25">
      <c r="A693" s="415"/>
      <c r="B693" s="2137"/>
      <c r="C693" s="284">
        <v>2</v>
      </c>
      <c r="D693" s="2564" t="s">
        <v>2068</v>
      </c>
      <c r="E693" s="104"/>
      <c r="F693" s="104"/>
      <c r="G693" s="104"/>
      <c r="H693" s="104"/>
      <c r="I693" s="104"/>
      <c r="J693" s="526"/>
    </row>
    <row r="694" spans="1:10" ht="15" customHeight="1" x14ac:dyDescent="0.25">
      <c r="A694" s="415"/>
      <c r="B694" s="2137"/>
      <c r="C694" s="284">
        <v>3</v>
      </c>
      <c r="D694" s="2564" t="s">
        <v>286</v>
      </c>
      <c r="E694" s="104"/>
      <c r="F694" s="104"/>
      <c r="G694" s="104"/>
      <c r="H694" s="104"/>
      <c r="I694" s="104"/>
      <c r="J694" s="526"/>
    </row>
    <row r="695" spans="1:10" ht="15" customHeight="1" x14ac:dyDescent="0.25">
      <c r="A695" s="415"/>
      <c r="B695" s="2136" t="s">
        <v>2075</v>
      </c>
      <c r="C695" s="1878">
        <v>1</v>
      </c>
      <c r="D695" s="2565" t="s">
        <v>2076</v>
      </c>
      <c r="E695" s="1220"/>
      <c r="F695" s="1220"/>
      <c r="G695" s="1220"/>
      <c r="H695" s="1220"/>
      <c r="I695" s="1220"/>
      <c r="J695" s="526"/>
    </row>
    <row r="696" spans="1:10" ht="15" customHeight="1" x14ac:dyDescent="0.25">
      <c r="A696" s="415"/>
      <c r="B696" s="2137"/>
      <c r="C696" s="284">
        <v>2</v>
      </c>
      <c r="D696" s="2564" t="s">
        <v>1673</v>
      </c>
      <c r="E696" s="104"/>
      <c r="F696" s="104"/>
      <c r="G696" s="104"/>
      <c r="H696" s="104"/>
      <c r="I696" s="104"/>
      <c r="J696" s="526"/>
    </row>
    <row r="697" spans="1:10" ht="15" customHeight="1" x14ac:dyDescent="0.25">
      <c r="A697" s="415"/>
      <c r="B697" s="2137"/>
      <c r="C697" s="284">
        <v>3</v>
      </c>
      <c r="D697" s="2564" t="s">
        <v>976</v>
      </c>
      <c r="E697" s="104"/>
      <c r="F697" s="104"/>
      <c r="G697" s="104"/>
      <c r="H697" s="104"/>
      <c r="I697" s="104"/>
      <c r="J697" s="526"/>
    </row>
    <row r="698" spans="1:10" ht="15" customHeight="1" x14ac:dyDescent="0.25">
      <c r="A698" s="415"/>
      <c r="B698" s="2136" t="s">
        <v>1760</v>
      </c>
      <c r="C698" s="854">
        <v>1</v>
      </c>
      <c r="D698" s="1883" t="s">
        <v>1739</v>
      </c>
      <c r="E698" s="855"/>
      <c r="F698" s="855"/>
      <c r="G698" s="855"/>
      <c r="H698" s="855"/>
      <c r="I698" s="855"/>
      <c r="J698" s="526"/>
    </row>
    <row r="699" spans="1:10" ht="15" customHeight="1" x14ac:dyDescent="0.25">
      <c r="A699" s="415"/>
      <c r="B699" s="2137"/>
      <c r="C699" s="144">
        <v>2</v>
      </c>
      <c r="D699" s="1884" t="s">
        <v>1740</v>
      </c>
      <c r="E699" s="323"/>
      <c r="F699" s="323"/>
      <c r="G699" s="323"/>
      <c r="H699" s="323"/>
      <c r="I699" s="323"/>
      <c r="J699" s="526"/>
    </row>
    <row r="700" spans="1:10" ht="15" customHeight="1" x14ac:dyDescent="0.25">
      <c r="A700" s="415"/>
      <c r="B700" s="2137"/>
      <c r="C700" s="144">
        <v>3</v>
      </c>
      <c r="D700" s="1884" t="s">
        <v>1741</v>
      </c>
      <c r="E700" s="323"/>
      <c r="F700" s="323"/>
      <c r="G700" s="323"/>
      <c r="H700" s="323"/>
      <c r="I700" s="323"/>
      <c r="J700" s="526"/>
    </row>
    <row r="701" spans="1:10" ht="15" customHeight="1" x14ac:dyDescent="0.25">
      <c r="A701" s="415"/>
      <c r="B701" s="2137"/>
      <c r="C701" s="144">
        <v>4</v>
      </c>
      <c r="D701" s="1884" t="s">
        <v>1742</v>
      </c>
      <c r="E701" s="323"/>
      <c r="F701" s="323"/>
      <c r="G701" s="323"/>
      <c r="H701" s="323"/>
      <c r="I701" s="323"/>
      <c r="J701" s="526"/>
    </row>
    <row r="702" spans="1:10" ht="15" customHeight="1" x14ac:dyDescent="0.25">
      <c r="A702" s="415"/>
      <c r="B702" s="2137"/>
      <c r="C702" s="144">
        <v>5</v>
      </c>
      <c r="D702" s="1884" t="s">
        <v>1743</v>
      </c>
      <c r="E702" s="323"/>
      <c r="F702" s="323"/>
      <c r="G702" s="323"/>
      <c r="H702" s="323"/>
      <c r="I702" s="323"/>
      <c r="J702" s="526"/>
    </row>
    <row r="703" spans="1:10" ht="15" customHeight="1" x14ac:dyDescent="0.25">
      <c r="A703" s="415"/>
      <c r="B703" s="2137"/>
      <c r="C703" s="144">
        <v>6</v>
      </c>
      <c r="D703" s="1884" t="s">
        <v>1744</v>
      </c>
      <c r="E703" s="323"/>
      <c r="F703" s="323"/>
      <c r="G703" s="323"/>
      <c r="H703" s="323"/>
      <c r="I703" s="323"/>
      <c r="J703" s="526"/>
    </row>
    <row r="704" spans="1:10" ht="15" customHeight="1" x14ac:dyDescent="0.25">
      <c r="A704" s="415"/>
      <c r="B704" s="2137"/>
      <c r="C704" s="144">
        <v>7</v>
      </c>
      <c r="D704" s="1884" t="s">
        <v>1745</v>
      </c>
      <c r="E704" s="323"/>
      <c r="F704" s="323"/>
      <c r="G704" s="323"/>
      <c r="H704" s="323"/>
      <c r="I704" s="323"/>
      <c r="J704" s="526"/>
    </row>
    <row r="705" spans="1:10" ht="15" customHeight="1" x14ac:dyDescent="0.25">
      <c r="A705" s="415"/>
      <c r="B705" s="2137"/>
      <c r="C705" s="144">
        <v>8</v>
      </c>
      <c r="D705" s="1884" t="s">
        <v>1746</v>
      </c>
      <c r="E705" s="323"/>
      <c r="F705" s="323"/>
      <c r="G705" s="323"/>
      <c r="H705" s="323"/>
      <c r="I705" s="323"/>
      <c r="J705" s="526"/>
    </row>
    <row r="706" spans="1:10" ht="15" customHeight="1" x14ac:dyDescent="0.25">
      <c r="A706" s="415"/>
      <c r="B706" s="2137"/>
      <c r="C706" s="144">
        <v>9</v>
      </c>
      <c r="D706" s="1884" t="s">
        <v>1747</v>
      </c>
      <c r="E706" s="323"/>
      <c r="F706" s="323"/>
      <c r="G706" s="323"/>
      <c r="H706" s="323"/>
      <c r="I706" s="323"/>
      <c r="J706" s="526"/>
    </row>
    <row r="707" spans="1:10" ht="15" customHeight="1" x14ac:dyDescent="0.25">
      <c r="A707" s="415"/>
      <c r="B707" s="2137"/>
      <c r="C707" s="144">
        <v>10</v>
      </c>
      <c r="D707" s="1884" t="s">
        <v>1748</v>
      </c>
      <c r="E707" s="323"/>
      <c r="F707" s="323"/>
      <c r="G707" s="323"/>
      <c r="H707" s="323"/>
      <c r="I707" s="323"/>
      <c r="J707" s="526"/>
    </row>
    <row r="708" spans="1:10" ht="15" customHeight="1" x14ac:dyDescent="0.25">
      <c r="A708" s="415"/>
      <c r="B708" s="2137"/>
      <c r="C708" s="144">
        <v>11</v>
      </c>
      <c r="D708" s="1884" t="s">
        <v>1749</v>
      </c>
      <c r="E708" s="323"/>
      <c r="F708" s="323"/>
      <c r="G708" s="323"/>
      <c r="H708" s="323"/>
      <c r="I708" s="323"/>
      <c r="J708" s="526"/>
    </row>
    <row r="709" spans="1:10" ht="15" customHeight="1" x14ac:dyDescent="0.25">
      <c r="A709" s="415"/>
      <c r="B709" s="2137"/>
      <c r="C709" s="144">
        <v>12</v>
      </c>
      <c r="D709" s="1884" t="s">
        <v>1750</v>
      </c>
      <c r="E709" s="323"/>
      <c r="F709" s="323"/>
      <c r="G709" s="323"/>
      <c r="H709" s="323"/>
      <c r="I709" s="323"/>
      <c r="J709" s="526"/>
    </row>
    <row r="710" spans="1:10" ht="15" customHeight="1" x14ac:dyDescent="0.25">
      <c r="A710" s="415"/>
      <c r="B710" s="2137"/>
      <c r="C710" s="144">
        <v>13</v>
      </c>
      <c r="D710" s="1884" t="s">
        <v>1751</v>
      </c>
      <c r="E710" s="323"/>
      <c r="F710" s="323"/>
      <c r="G710" s="323"/>
      <c r="H710" s="323"/>
      <c r="I710" s="323"/>
      <c r="J710" s="526"/>
    </row>
    <row r="711" spans="1:10" ht="15" customHeight="1" x14ac:dyDescent="0.25">
      <c r="A711" s="415"/>
      <c r="B711" s="2137"/>
      <c r="C711" s="144">
        <v>14</v>
      </c>
      <c r="D711" s="1884" t="s">
        <v>1752</v>
      </c>
      <c r="E711" s="323"/>
      <c r="F711" s="323"/>
      <c r="G711" s="323"/>
      <c r="H711" s="323"/>
      <c r="I711" s="323"/>
      <c r="J711" s="526"/>
    </row>
    <row r="712" spans="1:10" ht="15" customHeight="1" x14ac:dyDescent="0.25">
      <c r="A712" s="415"/>
      <c r="B712" s="2137"/>
      <c r="C712" s="144">
        <v>15</v>
      </c>
      <c r="D712" s="1884" t="s">
        <v>1753</v>
      </c>
      <c r="E712" s="323"/>
      <c r="F712" s="323"/>
      <c r="G712" s="323"/>
      <c r="H712" s="323"/>
      <c r="I712" s="323"/>
      <c r="J712" s="526"/>
    </row>
    <row r="713" spans="1:10" ht="15" customHeight="1" x14ac:dyDescent="0.25">
      <c r="A713" s="415"/>
      <c r="B713" s="2137"/>
      <c r="C713" s="144">
        <v>16</v>
      </c>
      <c r="D713" s="1884" t="s">
        <v>1754</v>
      </c>
      <c r="E713" s="323"/>
      <c r="F713" s="323"/>
      <c r="G713" s="323"/>
      <c r="H713" s="323"/>
      <c r="I713" s="323"/>
      <c r="J713" s="526"/>
    </row>
    <row r="714" spans="1:10" ht="15" customHeight="1" x14ac:dyDescent="0.25">
      <c r="A714" s="415"/>
      <c r="B714" s="2137"/>
      <c r="C714" s="144">
        <v>17</v>
      </c>
      <c r="D714" s="1884" t="s">
        <v>1755</v>
      </c>
      <c r="E714" s="323"/>
      <c r="F714" s="323"/>
      <c r="G714" s="323"/>
      <c r="H714" s="323"/>
      <c r="I714" s="323"/>
      <c r="J714" s="526"/>
    </row>
    <row r="715" spans="1:10" ht="15" customHeight="1" x14ac:dyDescent="0.25">
      <c r="A715" s="415"/>
      <c r="B715" s="2137"/>
      <c r="C715" s="144">
        <v>18</v>
      </c>
      <c r="D715" s="1884" t="s">
        <v>1756</v>
      </c>
      <c r="E715" s="323"/>
      <c r="F715" s="323"/>
      <c r="G715" s="323"/>
      <c r="H715" s="323"/>
      <c r="I715" s="323"/>
      <c r="J715" s="526"/>
    </row>
    <row r="716" spans="1:10" ht="15" customHeight="1" x14ac:dyDescent="0.25">
      <c r="A716" s="415"/>
      <c r="B716" s="2137"/>
      <c r="C716" s="144">
        <v>19</v>
      </c>
      <c r="D716" s="1884" t="s">
        <v>1757</v>
      </c>
      <c r="E716" s="323"/>
      <c r="F716" s="323"/>
      <c r="G716" s="323"/>
      <c r="H716" s="323"/>
      <c r="I716" s="323"/>
      <c r="J716" s="526"/>
    </row>
    <row r="717" spans="1:10" ht="15" customHeight="1" x14ac:dyDescent="0.25">
      <c r="A717" s="415"/>
      <c r="B717" s="2137"/>
      <c r="C717" s="144">
        <v>20</v>
      </c>
      <c r="D717" s="1884" t="s">
        <v>1758</v>
      </c>
      <c r="E717" s="323"/>
      <c r="F717" s="323"/>
      <c r="G717" s="323"/>
      <c r="H717" s="323"/>
      <c r="I717" s="323"/>
      <c r="J717" s="526"/>
    </row>
    <row r="718" spans="1:10" ht="15" customHeight="1" x14ac:dyDescent="0.25">
      <c r="A718" s="415"/>
      <c r="B718" s="2137"/>
      <c r="C718" s="145">
        <v>21</v>
      </c>
      <c r="D718" s="1884" t="s">
        <v>2060</v>
      </c>
      <c r="E718" s="142"/>
      <c r="F718" s="142"/>
      <c r="G718" s="142"/>
      <c r="H718" s="142"/>
      <c r="I718" s="142"/>
      <c r="J718" s="526"/>
    </row>
    <row r="719" spans="1:10" ht="15" customHeight="1" x14ac:dyDescent="0.25">
      <c r="A719" s="415"/>
      <c r="B719" s="2137"/>
      <c r="C719" s="145">
        <v>22</v>
      </c>
      <c r="D719" s="1884" t="s">
        <v>2061</v>
      </c>
      <c r="E719" s="142"/>
      <c r="F719" s="142"/>
      <c r="G719" s="142"/>
      <c r="H719" s="142"/>
      <c r="I719" s="142"/>
      <c r="J719" s="526"/>
    </row>
    <row r="720" spans="1:10" ht="15" customHeight="1" x14ac:dyDescent="0.25">
      <c r="A720" s="415"/>
      <c r="B720" s="2137"/>
      <c r="C720" s="145">
        <v>23</v>
      </c>
      <c r="D720" s="1884" t="s">
        <v>2062</v>
      </c>
      <c r="E720" s="142"/>
      <c r="F720" s="142"/>
      <c r="G720" s="142"/>
      <c r="H720" s="142"/>
      <c r="I720" s="142"/>
      <c r="J720" s="526"/>
    </row>
    <row r="721" spans="1:10" ht="15" customHeight="1" x14ac:dyDescent="0.25">
      <c r="A721" s="415"/>
      <c r="B721" s="2137"/>
      <c r="C721" s="145">
        <v>24</v>
      </c>
      <c r="D721" s="1884" t="s">
        <v>2063</v>
      </c>
      <c r="E721" s="142"/>
      <c r="F721" s="142"/>
      <c r="G721" s="142"/>
      <c r="H721" s="142"/>
      <c r="I721" s="142"/>
      <c r="J721" s="526"/>
    </row>
    <row r="722" spans="1:10" ht="15" customHeight="1" x14ac:dyDescent="0.25">
      <c r="A722" s="415"/>
      <c r="B722" s="2138"/>
      <c r="C722" s="459">
        <v>25</v>
      </c>
      <c r="D722" s="1885" t="s">
        <v>286</v>
      </c>
      <c r="E722" s="2485"/>
      <c r="F722" s="2485"/>
      <c r="G722" s="2190"/>
      <c r="H722" s="2190"/>
      <c r="I722" s="2214"/>
      <c r="J722" s="526"/>
    </row>
    <row r="723" spans="1:10" ht="15" customHeight="1" x14ac:dyDescent="0.25">
      <c r="A723" s="415"/>
      <c r="B723" s="2136" t="s">
        <v>1765</v>
      </c>
      <c r="C723" s="854">
        <v>1</v>
      </c>
      <c r="D723" s="1883" t="s">
        <v>1761</v>
      </c>
      <c r="E723" s="855"/>
      <c r="F723" s="855"/>
      <c r="G723" s="855"/>
      <c r="H723" s="855"/>
      <c r="I723" s="855"/>
      <c r="J723" s="526"/>
    </row>
    <row r="724" spans="1:10" ht="15" customHeight="1" x14ac:dyDescent="0.25">
      <c r="A724" s="415"/>
      <c r="B724" s="2137"/>
      <c r="C724" s="144">
        <v>2</v>
      </c>
      <c r="D724" s="1884" t="s">
        <v>1762</v>
      </c>
      <c r="E724" s="323"/>
      <c r="F724" s="323"/>
      <c r="G724" s="323"/>
      <c r="H724" s="323"/>
      <c r="I724" s="323"/>
      <c r="J724" s="526"/>
    </row>
    <row r="725" spans="1:10" ht="15" customHeight="1" x14ac:dyDescent="0.25">
      <c r="A725" s="415"/>
      <c r="B725" s="2137"/>
      <c r="C725" s="144">
        <v>3</v>
      </c>
      <c r="D725" s="1884" t="s">
        <v>1763</v>
      </c>
      <c r="E725" s="323"/>
      <c r="F725" s="323"/>
      <c r="G725" s="323"/>
      <c r="H725" s="323"/>
      <c r="I725" s="323"/>
      <c r="J725" s="526"/>
    </row>
    <row r="726" spans="1:10" ht="15" customHeight="1" x14ac:dyDescent="0.25">
      <c r="A726" s="415"/>
      <c r="B726" s="2138"/>
      <c r="C726" s="459">
        <v>4</v>
      </c>
      <c r="D726" s="1885" t="s">
        <v>1764</v>
      </c>
      <c r="E726" s="2485"/>
      <c r="F726" s="2485"/>
      <c r="G726" s="2190"/>
      <c r="H726" s="2190"/>
      <c r="I726" s="2214"/>
      <c r="J726" s="526"/>
    </row>
    <row r="727" spans="1:10" ht="15" customHeight="1" x14ac:dyDescent="0.25">
      <c r="A727" s="415"/>
      <c r="B727" s="1730" t="s">
        <v>1985</v>
      </c>
      <c r="C727" s="854">
        <v>37</v>
      </c>
      <c r="D727" s="1963" t="s">
        <v>1766</v>
      </c>
      <c r="E727" s="855" t="s">
        <v>1767</v>
      </c>
      <c r="F727" s="855" t="str">
        <f>D727 &amp; " (" &amp; E727 &amp; ")"</f>
        <v>Aave (AAVE)</v>
      </c>
      <c r="G727" s="855"/>
      <c r="H727" s="855"/>
      <c r="I727" s="855"/>
      <c r="J727" s="526"/>
    </row>
    <row r="728" spans="1:10" ht="15" customHeight="1" x14ac:dyDescent="0.25">
      <c r="A728" s="415"/>
      <c r="B728" s="186"/>
      <c r="C728" s="144">
        <v>4</v>
      </c>
      <c r="D728" s="1964" t="s">
        <v>1768</v>
      </c>
      <c r="E728" s="323" t="s">
        <v>1769</v>
      </c>
      <c r="F728" s="323" t="str">
        <f t="shared" ref="F728:F791" si="2">D728 &amp; " (" &amp; E728 &amp; ")"</f>
        <v>Cardano (ADA)</v>
      </c>
      <c r="G728" s="323"/>
      <c r="H728" s="323"/>
      <c r="I728" s="323"/>
      <c r="J728" s="526"/>
    </row>
    <row r="729" spans="1:10" ht="15" customHeight="1" x14ac:dyDescent="0.25">
      <c r="A729" s="415"/>
      <c r="B729" s="186"/>
      <c r="C729" s="144">
        <v>18</v>
      </c>
      <c r="D729" s="1964" t="s">
        <v>1770</v>
      </c>
      <c r="E729" s="323" t="s">
        <v>1771</v>
      </c>
      <c r="F729" s="323" t="str">
        <f t="shared" si="2"/>
        <v>Algorand (ALGO)</v>
      </c>
      <c r="G729" s="323"/>
      <c r="H729" s="323"/>
      <c r="I729" s="323"/>
      <c r="J729" s="526"/>
    </row>
    <row r="730" spans="1:10" ht="15" customHeight="1" x14ac:dyDescent="0.25">
      <c r="A730" s="415"/>
      <c r="B730" s="186"/>
      <c r="C730" s="144">
        <v>61</v>
      </c>
      <c r="D730" s="1964" t="s">
        <v>1772</v>
      </c>
      <c r="E730" s="323" t="s">
        <v>1773</v>
      </c>
      <c r="F730" s="323" t="str">
        <f t="shared" si="2"/>
        <v>Amp (AMP)</v>
      </c>
      <c r="G730" s="323"/>
      <c r="H730" s="323"/>
      <c r="I730" s="323"/>
      <c r="J730" s="526"/>
    </row>
    <row r="731" spans="1:10" ht="15" customHeight="1" x14ac:dyDescent="0.25">
      <c r="A731" s="415"/>
      <c r="B731" s="186"/>
      <c r="C731" s="144">
        <v>75</v>
      </c>
      <c r="D731" s="1964" t="s">
        <v>1774</v>
      </c>
      <c r="E731" s="323" t="s">
        <v>1775</v>
      </c>
      <c r="F731" s="323" t="str">
        <f t="shared" si="2"/>
        <v>Arweave (AR)</v>
      </c>
      <c r="G731" s="323"/>
      <c r="H731" s="323"/>
      <c r="I731" s="323"/>
      <c r="J731" s="526"/>
    </row>
    <row r="732" spans="1:10" ht="15" customHeight="1" x14ac:dyDescent="0.25">
      <c r="A732" s="415"/>
      <c r="B732" s="186"/>
      <c r="C732" s="144">
        <v>22</v>
      </c>
      <c r="D732" s="1964" t="s">
        <v>1776</v>
      </c>
      <c r="E732" s="323" t="s">
        <v>1777</v>
      </c>
      <c r="F732" s="323" t="str">
        <f t="shared" si="2"/>
        <v>Cosmos (ATOM)</v>
      </c>
      <c r="G732" s="323"/>
      <c r="H732" s="323"/>
      <c r="I732" s="323"/>
      <c r="J732" s="526"/>
    </row>
    <row r="733" spans="1:10" ht="15" customHeight="1" x14ac:dyDescent="0.25">
      <c r="A733" s="415"/>
      <c r="B733" s="186"/>
      <c r="C733" s="144">
        <v>94</v>
      </c>
      <c r="D733" s="1964" t="s">
        <v>1778</v>
      </c>
      <c r="E733" s="323" t="s">
        <v>1779</v>
      </c>
      <c r="F733" s="323" t="str">
        <f t="shared" si="2"/>
        <v>Audius (AUDIO)</v>
      </c>
      <c r="G733" s="323"/>
      <c r="H733" s="323"/>
      <c r="I733" s="323"/>
      <c r="J733" s="526"/>
    </row>
    <row r="734" spans="1:10" ht="15" customHeight="1" x14ac:dyDescent="0.25">
      <c r="A734" s="415"/>
      <c r="B734" s="186"/>
      <c r="C734" s="144">
        <v>11</v>
      </c>
      <c r="D734" s="1964" t="s">
        <v>1780</v>
      </c>
      <c r="E734" s="323" t="s">
        <v>1781</v>
      </c>
      <c r="F734" s="323" t="str">
        <f t="shared" si="2"/>
        <v>Avalanche (AVAX)</v>
      </c>
      <c r="G734" s="323"/>
      <c r="H734" s="323"/>
      <c r="I734" s="323"/>
      <c r="J734" s="526"/>
    </row>
    <row r="735" spans="1:10" ht="15" customHeight="1" x14ac:dyDescent="0.25">
      <c r="A735" s="415"/>
      <c r="B735" s="186"/>
      <c r="C735" s="144">
        <v>43</v>
      </c>
      <c r="D735" s="1964" t="s">
        <v>1782</v>
      </c>
      <c r="E735" s="323" t="s">
        <v>1783</v>
      </c>
      <c r="F735" s="323" t="str">
        <f t="shared" si="2"/>
        <v>Axie Infinity (AXS)</v>
      </c>
      <c r="G735" s="323"/>
      <c r="H735" s="323"/>
      <c r="I735" s="323"/>
      <c r="J735" s="526"/>
    </row>
    <row r="736" spans="1:10" ht="15" customHeight="1" x14ac:dyDescent="0.25">
      <c r="A736" s="415"/>
      <c r="B736" s="186"/>
      <c r="C736" s="144">
        <v>91</v>
      </c>
      <c r="D736" s="1964" t="s">
        <v>1784</v>
      </c>
      <c r="E736" s="323" t="s">
        <v>1785</v>
      </c>
      <c r="F736" s="323" t="str">
        <f t="shared" si="2"/>
        <v>Basic Attention Token (BAT)</v>
      </c>
      <c r="G736" s="323"/>
      <c r="H736" s="323"/>
      <c r="I736" s="323"/>
      <c r="J736" s="526"/>
    </row>
    <row r="737" spans="1:10" ht="15" customHeight="1" x14ac:dyDescent="0.25">
      <c r="A737" s="415"/>
      <c r="B737" s="186"/>
      <c r="C737" s="144">
        <v>17</v>
      </c>
      <c r="D737" s="1964" t="s">
        <v>1786</v>
      </c>
      <c r="E737" s="323" t="s">
        <v>1787</v>
      </c>
      <c r="F737" s="323" t="str">
        <f t="shared" si="2"/>
        <v>Bitcoin Cash (BCH)</v>
      </c>
      <c r="G737" s="323"/>
      <c r="H737" s="323"/>
      <c r="I737" s="323"/>
      <c r="J737" s="526"/>
    </row>
    <row r="738" spans="1:10" ht="15" customHeight="1" x14ac:dyDescent="0.25">
      <c r="A738" s="415"/>
      <c r="B738" s="186"/>
      <c r="C738" s="144">
        <v>5</v>
      </c>
      <c r="D738" s="1964" t="s">
        <v>1788</v>
      </c>
      <c r="E738" s="323" t="s">
        <v>1789</v>
      </c>
      <c r="F738" s="323" t="str">
        <f t="shared" si="2"/>
        <v>Binance Coin (BNB)</v>
      </c>
      <c r="G738" s="323"/>
      <c r="H738" s="323"/>
      <c r="I738" s="323"/>
      <c r="J738" s="526"/>
    </row>
    <row r="739" spans="1:10" ht="15" customHeight="1" x14ac:dyDescent="0.25">
      <c r="A739" s="415"/>
      <c r="B739" s="186"/>
      <c r="C739" s="144">
        <v>53</v>
      </c>
      <c r="D739" s="1964" t="s">
        <v>1790</v>
      </c>
      <c r="E739" s="323" t="s">
        <v>1791</v>
      </c>
      <c r="F739" s="323" t="str">
        <f t="shared" si="2"/>
        <v>Bitcoin SV (BSV)</v>
      </c>
      <c r="G739" s="323"/>
      <c r="H739" s="323"/>
      <c r="I739" s="323"/>
      <c r="J739" s="526"/>
    </row>
    <row r="740" spans="1:10" ht="15" customHeight="1" x14ac:dyDescent="0.25">
      <c r="A740" s="415"/>
      <c r="B740" s="186"/>
      <c r="C740" s="144">
        <v>1</v>
      </c>
      <c r="D740" s="1964" t="s">
        <v>1792</v>
      </c>
      <c r="E740" s="323" t="s">
        <v>1793</v>
      </c>
      <c r="F740" s="323" t="str">
        <f t="shared" si="2"/>
        <v>Bitcoin (BTC)</v>
      </c>
      <c r="G740" s="323"/>
      <c r="H740" s="323"/>
      <c r="I740" s="323"/>
      <c r="J740" s="526"/>
    </row>
    <row r="741" spans="1:10" ht="15" customHeight="1" x14ac:dyDescent="0.25">
      <c r="A741" s="415"/>
      <c r="B741" s="186"/>
      <c r="C741" s="144">
        <v>39</v>
      </c>
      <c r="D741" s="1964" t="s">
        <v>1794</v>
      </c>
      <c r="E741" s="323" t="s">
        <v>1795</v>
      </c>
      <c r="F741" s="323" t="str">
        <f t="shared" si="2"/>
        <v>Bitcoin BEP2 (BTCB)</v>
      </c>
      <c r="G741" s="323"/>
      <c r="H741" s="323"/>
      <c r="I741" s="323"/>
      <c r="J741" s="526"/>
    </row>
    <row r="742" spans="1:10" ht="15" customHeight="1" x14ac:dyDescent="0.25">
      <c r="A742" s="415"/>
      <c r="B742" s="186"/>
      <c r="C742" s="144">
        <v>92</v>
      </c>
      <c r="D742" s="1964" t="s">
        <v>1796</v>
      </c>
      <c r="E742" s="323" t="s">
        <v>1797</v>
      </c>
      <c r="F742" s="323" t="str">
        <f t="shared" si="2"/>
        <v>Bitcoin Gold (BTG)</v>
      </c>
      <c r="G742" s="323"/>
      <c r="H742" s="323"/>
      <c r="I742" s="323"/>
      <c r="J742" s="526"/>
    </row>
    <row r="743" spans="1:10" ht="15" customHeight="1" x14ac:dyDescent="0.25">
      <c r="A743" s="415"/>
      <c r="B743" s="186"/>
      <c r="C743" s="144">
        <v>56</v>
      </c>
      <c r="D743" s="1964" t="s">
        <v>1798</v>
      </c>
      <c r="E743" s="323" t="s">
        <v>1799</v>
      </c>
      <c r="F743" s="323" t="str">
        <f t="shared" si="2"/>
        <v>BitTorrent (BTT)</v>
      </c>
      <c r="G743" s="323"/>
      <c r="H743" s="323"/>
      <c r="I743" s="323"/>
      <c r="J743" s="526"/>
    </row>
    <row r="744" spans="1:10" ht="15" customHeight="1" x14ac:dyDescent="0.25">
      <c r="A744" s="415"/>
      <c r="B744" s="186"/>
      <c r="C744" s="144">
        <v>13</v>
      </c>
      <c r="D744" s="1964" t="s">
        <v>1800</v>
      </c>
      <c r="E744" s="323" t="s">
        <v>1801</v>
      </c>
      <c r="F744" s="323" t="str">
        <f t="shared" si="2"/>
        <v>Binance USD (BUSD)</v>
      </c>
      <c r="G744" s="323"/>
      <c r="H744" s="323"/>
      <c r="I744" s="323"/>
      <c r="J744" s="526"/>
    </row>
    <row r="745" spans="1:10" ht="15" customHeight="1" x14ac:dyDescent="0.25">
      <c r="A745" s="415"/>
      <c r="B745" s="186"/>
      <c r="C745" s="144">
        <v>32</v>
      </c>
      <c r="D745" s="1964" t="s">
        <v>1802</v>
      </c>
      <c r="E745" s="323" t="s">
        <v>1803</v>
      </c>
      <c r="F745" s="323" t="str">
        <f t="shared" si="2"/>
        <v>PancakeSwap (CAKE)</v>
      </c>
      <c r="G745" s="323"/>
      <c r="H745" s="323"/>
      <c r="I745" s="323"/>
      <c r="J745" s="526"/>
    </row>
    <row r="746" spans="1:10" ht="15" customHeight="1" x14ac:dyDescent="0.25">
      <c r="A746" s="415"/>
      <c r="B746" s="186"/>
      <c r="C746" s="144">
        <v>80</v>
      </c>
      <c r="D746" s="1964" t="s">
        <v>1804</v>
      </c>
      <c r="E746" s="323" t="s">
        <v>1805</v>
      </c>
      <c r="F746" s="323" t="str">
        <f t="shared" si="2"/>
        <v>Celsius (CEL)</v>
      </c>
      <c r="G746" s="323"/>
      <c r="H746" s="323"/>
      <c r="I746" s="323"/>
      <c r="J746" s="526"/>
    </row>
    <row r="747" spans="1:10" ht="15" customHeight="1" x14ac:dyDescent="0.25">
      <c r="A747" s="415"/>
      <c r="B747" s="186"/>
      <c r="C747" s="144">
        <v>57</v>
      </c>
      <c r="D747" s="1964" t="s">
        <v>1806</v>
      </c>
      <c r="E747" s="323" t="s">
        <v>1807</v>
      </c>
      <c r="F747" s="323" t="str">
        <f t="shared" si="2"/>
        <v>Celo (CELO)</v>
      </c>
      <c r="G747" s="323"/>
      <c r="H747" s="323"/>
      <c r="I747" s="323"/>
      <c r="J747" s="526"/>
    </row>
    <row r="748" spans="1:10" ht="15" customHeight="1" x14ac:dyDescent="0.25">
      <c r="A748" s="415"/>
      <c r="B748" s="186"/>
      <c r="C748" s="144">
        <v>65</v>
      </c>
      <c r="D748" s="1964" t="s">
        <v>1808</v>
      </c>
      <c r="E748" s="323" t="s">
        <v>1809</v>
      </c>
      <c r="F748" s="323" t="str">
        <f t="shared" si="2"/>
        <v>Chiliz (CHZ)</v>
      </c>
      <c r="G748" s="323"/>
      <c r="H748" s="323"/>
      <c r="I748" s="323"/>
      <c r="J748" s="526"/>
    </row>
    <row r="749" spans="1:10" ht="15" customHeight="1" x14ac:dyDescent="0.25">
      <c r="A749" s="415"/>
      <c r="B749" s="186"/>
      <c r="C749" s="144">
        <v>59</v>
      </c>
      <c r="D749" s="1964" t="s">
        <v>1810</v>
      </c>
      <c r="E749" s="323" t="s">
        <v>1811</v>
      </c>
      <c r="F749" s="323" t="str">
        <f t="shared" si="2"/>
        <v>Compound (COMP)</v>
      </c>
      <c r="G749" s="323"/>
      <c r="H749" s="323"/>
      <c r="I749" s="323"/>
      <c r="J749" s="526"/>
    </row>
    <row r="750" spans="1:10" ht="15" customHeight="1" x14ac:dyDescent="0.25">
      <c r="A750" s="415"/>
      <c r="B750" s="186"/>
      <c r="C750" s="144">
        <v>34</v>
      </c>
      <c r="D750" s="1964" t="s">
        <v>1812</v>
      </c>
      <c r="E750" s="323" t="s">
        <v>1813</v>
      </c>
      <c r="F750" s="323" t="str">
        <f t="shared" si="2"/>
        <v>Crypto.com Coin (CRO)</v>
      </c>
      <c r="G750" s="323"/>
      <c r="H750" s="323"/>
      <c r="I750" s="323"/>
      <c r="J750" s="526"/>
    </row>
    <row r="751" spans="1:10" ht="15" customHeight="1" x14ac:dyDescent="0.25">
      <c r="A751" s="415"/>
      <c r="B751" s="186"/>
      <c r="C751" s="144">
        <v>88</v>
      </c>
      <c r="D751" s="1964" t="s">
        <v>1814</v>
      </c>
      <c r="E751" s="323" t="s">
        <v>1815</v>
      </c>
      <c r="F751" s="323" t="str">
        <f t="shared" si="2"/>
        <v>Curve DAO Token (CRV)</v>
      </c>
      <c r="G751" s="323"/>
      <c r="H751" s="323"/>
      <c r="I751" s="323"/>
      <c r="J751" s="526"/>
    </row>
    <row r="752" spans="1:10" ht="15" customHeight="1" x14ac:dyDescent="0.25">
      <c r="A752" s="415"/>
      <c r="B752" s="186"/>
      <c r="C752" s="144">
        <v>27</v>
      </c>
      <c r="D752" s="1964" t="s">
        <v>1816</v>
      </c>
      <c r="E752" s="323" t="s">
        <v>1817</v>
      </c>
      <c r="F752" s="323" t="str">
        <f t="shared" si="2"/>
        <v>Dai (DAI)</v>
      </c>
      <c r="G752" s="323"/>
      <c r="H752" s="323"/>
      <c r="I752" s="323"/>
      <c r="J752" s="526"/>
    </row>
    <row r="753" spans="1:10" ht="15" customHeight="1" x14ac:dyDescent="0.25">
      <c r="A753" s="415"/>
      <c r="B753" s="186"/>
      <c r="C753" s="144">
        <v>62</v>
      </c>
      <c r="D753" s="1964" t="s">
        <v>1818</v>
      </c>
      <c r="E753" s="323" t="s">
        <v>1819</v>
      </c>
      <c r="F753" s="323" t="str">
        <f t="shared" si="2"/>
        <v>Dash (DASH)</v>
      </c>
      <c r="G753" s="323"/>
      <c r="H753" s="323"/>
      <c r="I753" s="323"/>
      <c r="J753" s="526"/>
    </row>
    <row r="754" spans="1:10" ht="15" customHeight="1" x14ac:dyDescent="0.25">
      <c r="A754" s="415"/>
      <c r="B754" s="186"/>
      <c r="C754" s="144">
        <v>66</v>
      </c>
      <c r="D754" s="1964" t="s">
        <v>1820</v>
      </c>
      <c r="E754" s="323" t="s">
        <v>1821</v>
      </c>
      <c r="F754" s="323" t="str">
        <f t="shared" si="2"/>
        <v>Decred (DCR)</v>
      </c>
      <c r="G754" s="323"/>
      <c r="H754" s="323"/>
      <c r="I754" s="323"/>
      <c r="J754" s="526"/>
    </row>
    <row r="755" spans="1:10" ht="15" customHeight="1" x14ac:dyDescent="0.25">
      <c r="A755" s="415"/>
      <c r="B755" s="186"/>
      <c r="C755" s="144">
        <v>10</v>
      </c>
      <c r="D755" s="1964" t="s">
        <v>1822</v>
      </c>
      <c r="E755" s="323" t="s">
        <v>1823</v>
      </c>
      <c r="F755" s="323" t="str">
        <f t="shared" si="2"/>
        <v>Dogecoin (DOGE)</v>
      </c>
      <c r="G755" s="323"/>
      <c r="H755" s="323"/>
      <c r="I755" s="323"/>
      <c r="J755" s="526"/>
    </row>
    <row r="756" spans="1:10" ht="15" customHeight="1" x14ac:dyDescent="0.25">
      <c r="A756" s="415"/>
      <c r="B756" s="186"/>
      <c r="C756" s="144">
        <v>9</v>
      </c>
      <c r="D756" s="1964" t="s">
        <v>1824</v>
      </c>
      <c r="E756" s="323" t="s">
        <v>1825</v>
      </c>
      <c r="F756" s="323" t="str">
        <f t="shared" si="2"/>
        <v>Polkadot (DOT)</v>
      </c>
      <c r="G756" s="323"/>
      <c r="H756" s="323"/>
      <c r="I756" s="323"/>
      <c r="J756" s="526"/>
    </row>
    <row r="757" spans="1:10" ht="15" customHeight="1" x14ac:dyDescent="0.25">
      <c r="A757" s="415"/>
      <c r="B757" s="186"/>
      <c r="C757" s="144">
        <v>38</v>
      </c>
      <c r="D757" s="1964" t="s">
        <v>1826</v>
      </c>
      <c r="E757" s="323" t="s">
        <v>1827</v>
      </c>
      <c r="F757" s="323" t="str">
        <f t="shared" si="2"/>
        <v>Elrond (EGLD)</v>
      </c>
      <c r="G757" s="323"/>
      <c r="H757" s="323"/>
      <c r="I757" s="323"/>
      <c r="J757" s="526"/>
    </row>
    <row r="758" spans="1:10" ht="15" customHeight="1" x14ac:dyDescent="0.25">
      <c r="A758" s="415"/>
      <c r="B758" s="186"/>
      <c r="C758" s="144">
        <v>81</v>
      </c>
      <c r="D758" s="1964" t="s">
        <v>1828</v>
      </c>
      <c r="E758" s="323" t="s">
        <v>1829</v>
      </c>
      <c r="F758" s="323" t="str">
        <f t="shared" si="2"/>
        <v>Enjin Coin (ENJ)</v>
      </c>
      <c r="G758" s="323"/>
      <c r="H758" s="323"/>
      <c r="I758" s="323"/>
      <c r="J758" s="526"/>
    </row>
    <row r="759" spans="1:10" ht="15" customHeight="1" x14ac:dyDescent="0.25">
      <c r="A759" s="415"/>
      <c r="B759" s="186"/>
      <c r="C759" s="144">
        <v>35</v>
      </c>
      <c r="D759" s="1964" t="s">
        <v>1830</v>
      </c>
      <c r="E759" s="323" t="s">
        <v>1830</v>
      </c>
      <c r="F759" s="323" t="str">
        <f t="shared" si="2"/>
        <v>EOS (EOS)</v>
      </c>
      <c r="G759" s="323"/>
      <c r="H759" s="323"/>
      <c r="I759" s="323"/>
      <c r="J759" s="526"/>
    </row>
    <row r="760" spans="1:10" ht="15" customHeight="1" x14ac:dyDescent="0.25">
      <c r="A760" s="415"/>
      <c r="B760" s="186"/>
      <c r="C760" s="144">
        <v>28</v>
      </c>
      <c r="D760" s="1964" t="s">
        <v>1831</v>
      </c>
      <c r="E760" s="323" t="s">
        <v>1832</v>
      </c>
      <c r="F760" s="323" t="str">
        <f t="shared" si="2"/>
        <v>Ethereum Classic (ETC)</v>
      </c>
      <c r="G760" s="323"/>
      <c r="H760" s="323"/>
      <c r="I760" s="323"/>
      <c r="J760" s="526"/>
    </row>
    <row r="761" spans="1:10" ht="15" customHeight="1" x14ac:dyDescent="0.25">
      <c r="A761" s="415"/>
      <c r="B761" s="186"/>
      <c r="C761" s="144">
        <v>2</v>
      </c>
      <c r="D761" s="1964" t="s">
        <v>1833</v>
      </c>
      <c r="E761" s="323" t="s">
        <v>1834</v>
      </c>
      <c r="F761" s="323" t="str">
        <f t="shared" si="2"/>
        <v>Ethereum (ETH)</v>
      </c>
      <c r="G761" s="323"/>
      <c r="H761" s="323"/>
      <c r="I761" s="323"/>
      <c r="J761" s="526"/>
    </row>
    <row r="762" spans="1:10" ht="15" customHeight="1" x14ac:dyDescent="0.25">
      <c r="A762" s="415"/>
      <c r="B762" s="186"/>
      <c r="C762" s="144">
        <v>20</v>
      </c>
      <c r="D762" s="1964" t="s">
        <v>1835</v>
      </c>
      <c r="E762" s="323" t="s">
        <v>1836</v>
      </c>
      <c r="F762" s="323" t="str">
        <f t="shared" si="2"/>
        <v>Filecoin (FIL)</v>
      </c>
      <c r="G762" s="323"/>
      <c r="H762" s="323"/>
      <c r="I762" s="323"/>
      <c r="J762" s="526"/>
    </row>
    <row r="763" spans="1:10" ht="15" customHeight="1" x14ac:dyDescent="0.25">
      <c r="A763" s="415"/>
      <c r="B763" s="186"/>
      <c r="C763" s="144">
        <v>90</v>
      </c>
      <c r="D763" s="1964" t="s">
        <v>1837</v>
      </c>
      <c r="E763" s="323" t="s">
        <v>1838</v>
      </c>
      <c r="F763" s="323" t="str">
        <f t="shared" si="2"/>
        <v>Flow (FLOW)</v>
      </c>
      <c r="G763" s="323"/>
      <c r="H763" s="323"/>
      <c r="I763" s="323"/>
      <c r="J763" s="526"/>
    </row>
    <row r="764" spans="1:10" ht="15" customHeight="1" x14ac:dyDescent="0.25">
      <c r="A764" s="415"/>
      <c r="B764" s="186"/>
      <c r="C764" s="144">
        <v>46</v>
      </c>
      <c r="D764" s="1964" t="s">
        <v>1839</v>
      </c>
      <c r="E764" s="323" t="s">
        <v>1840</v>
      </c>
      <c r="F764" s="323" t="str">
        <f t="shared" si="2"/>
        <v>Fantom (FTM)</v>
      </c>
      <c r="G764" s="323"/>
      <c r="H764" s="323"/>
      <c r="I764" s="323"/>
      <c r="J764" s="526"/>
    </row>
    <row r="765" spans="1:10" ht="15" customHeight="1" x14ac:dyDescent="0.25">
      <c r="A765" s="415"/>
      <c r="B765" s="186"/>
      <c r="C765" s="144">
        <v>24</v>
      </c>
      <c r="D765" s="1964" t="s">
        <v>1841</v>
      </c>
      <c r="E765" s="323" t="s">
        <v>1842</v>
      </c>
      <c r="F765" s="323" t="str">
        <f t="shared" si="2"/>
        <v>FTX Token (FTT)</v>
      </c>
      <c r="G765" s="323"/>
      <c r="H765" s="323"/>
      <c r="I765" s="323"/>
      <c r="J765" s="526"/>
    </row>
    <row r="766" spans="1:10" ht="15" customHeight="1" x14ac:dyDescent="0.25">
      <c r="A766" s="415"/>
      <c r="B766" s="186"/>
      <c r="C766" s="144">
        <v>44</v>
      </c>
      <c r="D766" s="1964" t="s">
        <v>1843</v>
      </c>
      <c r="E766" s="323" t="s">
        <v>1844</v>
      </c>
      <c r="F766" s="323" t="str">
        <f t="shared" si="2"/>
        <v>The Graph (GRT)</v>
      </c>
      <c r="G766" s="323"/>
      <c r="H766" s="323"/>
      <c r="I766" s="323"/>
      <c r="J766" s="526"/>
    </row>
    <row r="767" spans="1:10" ht="15" customHeight="1" x14ac:dyDescent="0.25">
      <c r="A767" s="415"/>
      <c r="B767" s="186"/>
      <c r="C767" s="144">
        <v>100</v>
      </c>
      <c r="D767" s="1964" t="s">
        <v>1970</v>
      </c>
      <c r="E767" s="323" t="s">
        <v>1971</v>
      </c>
      <c r="F767" s="323" t="str">
        <f t="shared" si="2"/>
        <v>Gemini (GUSD)</v>
      </c>
      <c r="G767" s="323"/>
      <c r="H767" s="323"/>
      <c r="I767" s="323"/>
      <c r="J767" s="526"/>
    </row>
    <row r="768" spans="1:10" ht="15" customHeight="1" x14ac:dyDescent="0.25">
      <c r="A768" s="415"/>
      <c r="B768" s="186"/>
      <c r="C768" s="144">
        <v>45</v>
      </c>
      <c r="D768" s="1964" t="s">
        <v>1845</v>
      </c>
      <c r="E768" s="323" t="s">
        <v>1846</v>
      </c>
      <c r="F768" s="323" t="str">
        <f t="shared" si="2"/>
        <v>Hedera Hashgraph (HBAR)</v>
      </c>
      <c r="G768" s="323"/>
      <c r="H768" s="323"/>
      <c r="I768" s="323"/>
      <c r="J768" s="526"/>
    </row>
    <row r="769" spans="1:10" ht="15" customHeight="1" x14ac:dyDescent="0.25">
      <c r="A769" s="415"/>
      <c r="B769" s="186"/>
      <c r="C769" s="144">
        <v>60</v>
      </c>
      <c r="D769" s="1964" t="s">
        <v>1847</v>
      </c>
      <c r="E769" s="323" t="s">
        <v>1848</v>
      </c>
      <c r="F769" s="323" t="str">
        <f t="shared" si="2"/>
        <v>Helium (HNT)</v>
      </c>
      <c r="G769" s="323"/>
      <c r="H769" s="323"/>
      <c r="I769" s="323"/>
      <c r="J769" s="526"/>
    </row>
    <row r="770" spans="1:10" ht="15" customHeight="1" x14ac:dyDescent="0.25">
      <c r="A770" s="415"/>
      <c r="B770" s="186"/>
      <c r="C770" s="144">
        <v>70</v>
      </c>
      <c r="D770" s="1964" t="s">
        <v>1849</v>
      </c>
      <c r="E770" s="323" t="s">
        <v>1850</v>
      </c>
      <c r="F770" s="323" t="str">
        <f t="shared" si="2"/>
        <v>Holo (HOT)</v>
      </c>
      <c r="G770" s="323"/>
      <c r="H770" s="323"/>
      <c r="I770" s="323"/>
      <c r="J770" s="526"/>
    </row>
    <row r="771" spans="1:10" ht="15" customHeight="1" x14ac:dyDescent="0.25">
      <c r="A771" s="415"/>
      <c r="B771" s="186"/>
      <c r="C771" s="144">
        <v>58</v>
      </c>
      <c r="D771" s="1964" t="s">
        <v>1851</v>
      </c>
      <c r="E771" s="323" t="s">
        <v>1852</v>
      </c>
      <c r="F771" s="323" t="str">
        <f t="shared" si="2"/>
        <v>Huobi Token (HT)</v>
      </c>
      <c r="G771" s="323"/>
      <c r="H771" s="323"/>
      <c r="I771" s="323"/>
      <c r="J771" s="526"/>
    </row>
    <row r="772" spans="1:10" ht="15" customHeight="1" x14ac:dyDescent="0.25">
      <c r="A772" s="415"/>
      <c r="B772" s="186"/>
      <c r="C772" s="144">
        <v>21</v>
      </c>
      <c r="D772" s="1964" t="s">
        <v>1853</v>
      </c>
      <c r="E772" s="323" t="s">
        <v>1854</v>
      </c>
      <c r="F772" s="323" t="str">
        <f t="shared" si="2"/>
        <v>Internet Computer (ICP)</v>
      </c>
      <c r="G772" s="323"/>
      <c r="H772" s="323"/>
      <c r="I772" s="323"/>
      <c r="J772" s="526"/>
    </row>
    <row r="773" spans="1:10" ht="15" customHeight="1" x14ac:dyDescent="0.25">
      <c r="A773" s="415"/>
      <c r="B773" s="186"/>
      <c r="C773" s="144">
        <v>83</v>
      </c>
      <c r="D773" s="1964" t="s">
        <v>1855</v>
      </c>
      <c r="E773" s="323" t="s">
        <v>1856</v>
      </c>
      <c r="F773" s="323" t="str">
        <f t="shared" si="2"/>
        <v>ICON (ICX)</v>
      </c>
      <c r="G773" s="323"/>
      <c r="H773" s="323"/>
      <c r="I773" s="323"/>
      <c r="J773" s="526"/>
    </row>
    <row r="774" spans="1:10" ht="15" customHeight="1" x14ac:dyDescent="0.25">
      <c r="A774" s="415"/>
      <c r="B774" s="186"/>
      <c r="C774" s="144">
        <v>86</v>
      </c>
      <c r="D774" s="1964" t="s">
        <v>1857</v>
      </c>
      <c r="E774" s="323" t="s">
        <v>1857</v>
      </c>
      <c r="F774" s="323" t="str">
        <f t="shared" si="2"/>
        <v>IOST (IOST)</v>
      </c>
      <c r="G774" s="323"/>
      <c r="H774" s="323"/>
      <c r="I774" s="323"/>
      <c r="J774" s="526"/>
    </row>
    <row r="775" spans="1:10" ht="15" customHeight="1" x14ac:dyDescent="0.25">
      <c r="A775" s="415"/>
      <c r="B775" s="186"/>
      <c r="C775" s="144">
        <v>51</v>
      </c>
      <c r="D775" s="1964" t="s">
        <v>1858</v>
      </c>
      <c r="E775" s="323" t="s">
        <v>1859</v>
      </c>
      <c r="F775" s="323" t="str">
        <f t="shared" si="2"/>
        <v>Klaytn (KLAY)</v>
      </c>
      <c r="G775" s="323"/>
      <c r="H775" s="323"/>
      <c r="I775" s="323"/>
      <c r="J775" s="526"/>
    </row>
    <row r="776" spans="1:10" ht="15" customHeight="1" x14ac:dyDescent="0.25">
      <c r="A776" s="415"/>
      <c r="B776" s="186"/>
      <c r="C776" s="144">
        <v>48</v>
      </c>
      <c r="D776" s="1964" t="s">
        <v>1860</v>
      </c>
      <c r="E776" s="323" t="s">
        <v>1861</v>
      </c>
      <c r="F776" s="323" t="str">
        <f t="shared" si="2"/>
        <v>Kusama (KSM)</v>
      </c>
      <c r="G776" s="323"/>
      <c r="H776" s="323"/>
      <c r="I776" s="323"/>
      <c r="J776" s="526"/>
    </row>
    <row r="777" spans="1:10" ht="15" customHeight="1" x14ac:dyDescent="0.25">
      <c r="A777" s="415"/>
      <c r="B777" s="186"/>
      <c r="C777" s="144">
        <v>49</v>
      </c>
      <c r="D777" s="1964" t="s">
        <v>1862</v>
      </c>
      <c r="E777" s="323" t="s">
        <v>1863</v>
      </c>
      <c r="F777" s="323" t="str">
        <f t="shared" si="2"/>
        <v>UNUS SED LEO (LEO)</v>
      </c>
      <c r="G777" s="323"/>
      <c r="H777" s="323"/>
      <c r="I777" s="323"/>
      <c r="J777" s="526"/>
    </row>
    <row r="778" spans="1:10" ht="15" customHeight="1" x14ac:dyDescent="0.25">
      <c r="A778" s="415"/>
      <c r="B778" s="186"/>
      <c r="C778" s="144">
        <v>16</v>
      </c>
      <c r="D778" s="1964" t="s">
        <v>1864</v>
      </c>
      <c r="E778" s="323" t="s">
        <v>1865</v>
      </c>
      <c r="F778" s="323" t="str">
        <f t="shared" si="2"/>
        <v>Chainlink (LINK)</v>
      </c>
      <c r="G778" s="323"/>
      <c r="H778" s="323"/>
      <c r="I778" s="323"/>
      <c r="J778" s="526"/>
    </row>
    <row r="779" spans="1:10" ht="15" customHeight="1" x14ac:dyDescent="0.25">
      <c r="A779" s="415"/>
      <c r="B779" s="186"/>
      <c r="C779" s="144">
        <v>15</v>
      </c>
      <c r="D779" s="1964" t="s">
        <v>1866</v>
      </c>
      <c r="E779" s="323" t="s">
        <v>1867</v>
      </c>
      <c r="F779" s="323" t="str">
        <f t="shared" si="2"/>
        <v>Litecoin (LTC)</v>
      </c>
      <c r="G779" s="323"/>
      <c r="H779" s="323"/>
      <c r="I779" s="323"/>
      <c r="J779" s="526"/>
    </row>
    <row r="780" spans="1:10" ht="15" customHeight="1" x14ac:dyDescent="0.25">
      <c r="A780" s="415"/>
      <c r="B780" s="186"/>
      <c r="C780" s="144">
        <v>14</v>
      </c>
      <c r="D780" s="1964" t="s">
        <v>1868</v>
      </c>
      <c r="E780" s="323" t="s">
        <v>1869</v>
      </c>
      <c r="F780" s="323" t="str">
        <f t="shared" si="2"/>
        <v>Terra (LUNA)</v>
      </c>
      <c r="G780" s="323"/>
      <c r="H780" s="323"/>
      <c r="I780" s="323"/>
      <c r="J780" s="526"/>
    </row>
    <row r="781" spans="1:10" ht="15" customHeight="1" x14ac:dyDescent="0.25">
      <c r="A781" s="415"/>
      <c r="B781" s="186"/>
      <c r="C781" s="144">
        <v>79</v>
      </c>
      <c r="D781" s="1964" t="s">
        <v>1870</v>
      </c>
      <c r="E781" s="323" t="s">
        <v>1871</v>
      </c>
      <c r="F781" s="323" t="str">
        <f t="shared" si="2"/>
        <v>Decentraland (MANA)</v>
      </c>
      <c r="G781" s="323"/>
      <c r="H781" s="323"/>
      <c r="I781" s="323"/>
      <c r="J781" s="526"/>
    </row>
    <row r="782" spans="1:10" ht="15" customHeight="1" x14ac:dyDescent="0.25">
      <c r="A782" s="415"/>
      <c r="B782" s="186"/>
      <c r="C782" s="144">
        <v>23</v>
      </c>
      <c r="D782" s="1964" t="s">
        <v>1872</v>
      </c>
      <c r="E782" s="323" t="s">
        <v>1873</v>
      </c>
      <c r="F782" s="323" t="str">
        <f t="shared" si="2"/>
        <v>Polygon (MATIC)</v>
      </c>
      <c r="G782" s="323"/>
      <c r="H782" s="323"/>
      <c r="I782" s="323"/>
      <c r="J782" s="526"/>
    </row>
    <row r="783" spans="1:10" ht="15" customHeight="1" x14ac:dyDescent="0.25">
      <c r="A783" s="415"/>
      <c r="B783" s="186"/>
      <c r="C783" s="144">
        <v>96</v>
      </c>
      <c r="D783" s="1964" t="s">
        <v>1874</v>
      </c>
      <c r="E783" s="323" t="s">
        <v>1875</v>
      </c>
      <c r="F783" s="323" t="str">
        <f t="shared" si="2"/>
        <v>Mdex (MDX)</v>
      </c>
      <c r="G783" s="323"/>
      <c r="H783" s="323"/>
      <c r="I783" s="323"/>
      <c r="J783" s="526"/>
    </row>
    <row r="784" spans="1:10" ht="15" customHeight="1" x14ac:dyDescent="0.25">
      <c r="A784" s="415"/>
      <c r="B784" s="186"/>
      <c r="C784" s="144">
        <v>82</v>
      </c>
      <c r="D784" s="1964" t="s">
        <v>1876</v>
      </c>
      <c r="E784" s="323" t="s">
        <v>1877</v>
      </c>
      <c r="F784" s="323" t="str">
        <f t="shared" si="2"/>
        <v>Mina (MINA)</v>
      </c>
      <c r="G784" s="323"/>
      <c r="H784" s="323"/>
      <c r="I784" s="323"/>
      <c r="J784" s="526"/>
    </row>
    <row r="785" spans="1:10" ht="15" customHeight="1" x14ac:dyDescent="0.25">
      <c r="A785" s="415"/>
      <c r="B785" s="186"/>
      <c r="C785" s="144">
        <v>40</v>
      </c>
      <c r="D785" s="1964" t="s">
        <v>1878</v>
      </c>
      <c r="E785" s="323" t="s">
        <v>1879</v>
      </c>
      <c r="F785" s="323" t="str">
        <f t="shared" si="2"/>
        <v>IOTA (MIOTA)</v>
      </c>
      <c r="G785" s="323"/>
      <c r="H785" s="323"/>
      <c r="I785" s="323"/>
      <c r="J785" s="526"/>
    </row>
    <row r="786" spans="1:10" ht="15" customHeight="1" x14ac:dyDescent="0.25">
      <c r="A786" s="415"/>
      <c r="B786" s="186"/>
      <c r="C786" s="144">
        <v>55</v>
      </c>
      <c r="D786" s="1964" t="s">
        <v>1880</v>
      </c>
      <c r="E786" s="323" t="s">
        <v>1881</v>
      </c>
      <c r="F786" s="323" t="str">
        <f t="shared" si="2"/>
        <v>Maker (MKR)</v>
      </c>
      <c r="G786" s="323"/>
      <c r="H786" s="323"/>
      <c r="I786" s="323"/>
      <c r="J786" s="526"/>
    </row>
    <row r="787" spans="1:10" ht="15" customHeight="1" x14ac:dyDescent="0.25">
      <c r="A787" s="415"/>
      <c r="B787" s="186"/>
      <c r="C787" s="144">
        <v>42</v>
      </c>
      <c r="D787" s="1964" t="s">
        <v>1882</v>
      </c>
      <c r="E787" s="323" t="s">
        <v>1883</v>
      </c>
      <c r="F787" s="323" t="str">
        <f t="shared" si="2"/>
        <v>NEAR Protocol (NEAR)</v>
      </c>
      <c r="G787" s="323"/>
      <c r="H787" s="323"/>
      <c r="I787" s="323"/>
      <c r="J787" s="526"/>
    </row>
    <row r="788" spans="1:10" ht="15" customHeight="1" x14ac:dyDescent="0.25">
      <c r="A788" s="415"/>
      <c r="B788" s="186"/>
      <c r="C788" s="144">
        <v>47</v>
      </c>
      <c r="D788" s="1964" t="s">
        <v>1884</v>
      </c>
      <c r="E788" s="323" t="s">
        <v>1885</v>
      </c>
      <c r="F788" s="323" t="str">
        <f t="shared" si="2"/>
        <v>Neo (NEO)</v>
      </c>
      <c r="G788" s="323"/>
      <c r="H788" s="323"/>
      <c r="I788" s="323"/>
      <c r="J788" s="526"/>
    </row>
    <row r="789" spans="1:10" ht="15" customHeight="1" x14ac:dyDescent="0.25">
      <c r="A789" s="415"/>
      <c r="B789" s="186"/>
      <c r="C789" s="144">
        <v>100</v>
      </c>
      <c r="D789" s="1964" t="s">
        <v>1886</v>
      </c>
      <c r="E789" s="323" t="s">
        <v>1887</v>
      </c>
      <c r="F789" s="323" t="str">
        <f t="shared" si="2"/>
        <v>Nexo (NEXO)</v>
      </c>
      <c r="G789" s="323"/>
      <c r="H789" s="323"/>
      <c r="I789" s="323"/>
      <c r="J789" s="526"/>
    </row>
    <row r="790" spans="1:10" ht="15" customHeight="1" x14ac:dyDescent="0.25">
      <c r="A790" s="415"/>
      <c r="B790" s="186"/>
      <c r="C790" s="144">
        <v>89</v>
      </c>
      <c r="D790" s="1964" t="s">
        <v>1888</v>
      </c>
      <c r="E790" s="323" t="s">
        <v>1888</v>
      </c>
      <c r="F790" s="323" t="str">
        <f t="shared" si="2"/>
        <v>OKB (OKB)</v>
      </c>
      <c r="G790" s="323"/>
      <c r="H790" s="323"/>
      <c r="I790" s="323"/>
      <c r="J790" s="526"/>
    </row>
    <row r="791" spans="1:10" ht="15" customHeight="1" x14ac:dyDescent="0.25">
      <c r="A791" s="415"/>
      <c r="B791" s="186"/>
      <c r="C791" s="144">
        <v>68</v>
      </c>
      <c r="D791" s="1964" t="s">
        <v>1889</v>
      </c>
      <c r="E791" s="323" t="s">
        <v>1890</v>
      </c>
      <c r="F791" s="323" t="str">
        <f t="shared" si="2"/>
        <v>OMG Network (OMG)</v>
      </c>
      <c r="G791" s="323"/>
      <c r="H791" s="323"/>
      <c r="I791" s="323"/>
      <c r="J791" s="526"/>
    </row>
    <row r="792" spans="1:10" ht="15" customHeight="1" x14ac:dyDescent="0.25">
      <c r="A792" s="415"/>
      <c r="B792" s="186"/>
      <c r="C792" s="144">
        <v>73</v>
      </c>
      <c r="D792" s="1964" t="s">
        <v>1891</v>
      </c>
      <c r="E792" s="323" t="s">
        <v>1892</v>
      </c>
      <c r="F792" s="323" t="str">
        <f t="shared" ref="F792:F828" si="3">D792 &amp; " (" &amp; E792 &amp; ")"</f>
        <v>Harmony (ONE)</v>
      </c>
      <c r="G792" s="323"/>
      <c r="H792" s="323"/>
      <c r="I792" s="323"/>
      <c r="J792" s="526"/>
    </row>
    <row r="793" spans="1:10" ht="15" customHeight="1" x14ac:dyDescent="0.25">
      <c r="A793" s="415"/>
      <c r="B793" s="186"/>
      <c r="C793" s="144">
        <v>97</v>
      </c>
      <c r="D793" s="1964" t="s">
        <v>1893</v>
      </c>
      <c r="E793" s="323" t="s">
        <v>1894</v>
      </c>
      <c r="F793" s="323" t="str">
        <f t="shared" si="3"/>
        <v>Perpetual Protocol (PERP)</v>
      </c>
      <c r="G793" s="323"/>
      <c r="H793" s="323"/>
      <c r="I793" s="323"/>
      <c r="J793" s="526"/>
    </row>
    <row r="794" spans="1:10" ht="15" customHeight="1" x14ac:dyDescent="0.25">
      <c r="A794" s="415"/>
      <c r="B794" s="186"/>
      <c r="C794" s="144">
        <v>41</v>
      </c>
      <c r="D794" s="1964" t="s">
        <v>1895</v>
      </c>
      <c r="E794" s="323" t="s">
        <v>1896</v>
      </c>
      <c r="F794" s="323" t="str">
        <f t="shared" si="3"/>
        <v>Quant (QNT)</v>
      </c>
      <c r="G794" s="323"/>
      <c r="H794" s="323"/>
      <c r="I794" s="323"/>
      <c r="J794" s="526"/>
    </row>
    <row r="795" spans="1:10" ht="15" customHeight="1" x14ac:dyDescent="0.25">
      <c r="A795" s="415"/>
      <c r="B795" s="186"/>
      <c r="C795" s="144">
        <v>87</v>
      </c>
      <c r="D795" s="1964" t="s">
        <v>1897</v>
      </c>
      <c r="E795" s="323" t="s">
        <v>1898</v>
      </c>
      <c r="F795" s="323" t="str">
        <f t="shared" si="3"/>
        <v>Qtum (QTUM)</v>
      </c>
      <c r="G795" s="323"/>
      <c r="H795" s="323"/>
      <c r="I795" s="323"/>
      <c r="J795" s="526"/>
    </row>
    <row r="796" spans="1:10" ht="15" customHeight="1" x14ac:dyDescent="0.25">
      <c r="A796" s="415"/>
      <c r="B796" s="186"/>
      <c r="C796" s="144">
        <v>67</v>
      </c>
      <c r="D796" s="1964" t="s">
        <v>1899</v>
      </c>
      <c r="E796" s="323" t="s">
        <v>1900</v>
      </c>
      <c r="F796" s="323" t="str">
        <f t="shared" si="3"/>
        <v>Revain (REV)</v>
      </c>
      <c r="G796" s="323"/>
      <c r="H796" s="323"/>
      <c r="I796" s="323"/>
      <c r="J796" s="526"/>
    </row>
    <row r="797" spans="1:10" ht="15" customHeight="1" x14ac:dyDescent="0.25">
      <c r="A797" s="415"/>
      <c r="B797" s="186"/>
      <c r="C797" s="144">
        <v>63</v>
      </c>
      <c r="D797" s="1964" t="s">
        <v>1901</v>
      </c>
      <c r="E797" s="323" t="s">
        <v>1902</v>
      </c>
      <c r="F797" s="323" t="str">
        <f t="shared" si="3"/>
        <v>THORChain (RUNE)</v>
      </c>
      <c r="G797" s="323"/>
      <c r="H797" s="323"/>
      <c r="I797" s="323"/>
      <c r="J797" s="526"/>
    </row>
    <row r="798" spans="1:10" ht="15" customHeight="1" x14ac:dyDescent="0.25">
      <c r="A798" s="415"/>
      <c r="B798" s="186"/>
      <c r="C798" s="144">
        <v>93</v>
      </c>
      <c r="D798" s="1964" t="s">
        <v>1903</v>
      </c>
      <c r="E798" s="323" t="s">
        <v>1904</v>
      </c>
      <c r="F798" s="323" t="str">
        <f t="shared" si="3"/>
        <v>Ravencoin (RVN)</v>
      </c>
      <c r="G798" s="323"/>
      <c r="H798" s="323"/>
      <c r="I798" s="323"/>
      <c r="J798" s="526"/>
    </row>
    <row r="799" spans="1:10" ht="15" customHeight="1" x14ac:dyDescent="0.25">
      <c r="A799" s="415"/>
      <c r="B799" s="186"/>
      <c r="C799" s="144">
        <v>50</v>
      </c>
      <c r="D799" s="1964" t="s">
        <v>1905</v>
      </c>
      <c r="E799" s="323" t="s">
        <v>1906</v>
      </c>
      <c r="F799" s="323" t="str">
        <f t="shared" si="3"/>
        <v>SHIBA INU (SHIB)</v>
      </c>
      <c r="G799" s="323"/>
      <c r="H799" s="323"/>
      <c r="I799" s="323"/>
      <c r="J799" s="526"/>
    </row>
    <row r="800" spans="1:10" ht="15" customHeight="1" x14ac:dyDescent="0.25">
      <c r="A800" s="415"/>
      <c r="B800" s="186"/>
      <c r="C800" s="144">
        <v>77</v>
      </c>
      <c r="D800" s="1964" t="s">
        <v>1907</v>
      </c>
      <c r="E800" s="323" t="s">
        <v>1908</v>
      </c>
      <c r="F800" s="323" t="str">
        <f t="shared" si="3"/>
        <v>Synthetix (SNX)</v>
      </c>
      <c r="G800" s="323"/>
      <c r="H800" s="323"/>
      <c r="I800" s="323"/>
      <c r="J800" s="526"/>
    </row>
    <row r="801" spans="1:10" ht="15" customHeight="1" x14ac:dyDescent="0.25">
      <c r="A801" s="415"/>
      <c r="B801" s="186"/>
      <c r="C801" s="144">
        <v>7</v>
      </c>
      <c r="D801" s="1964" t="s">
        <v>1909</v>
      </c>
      <c r="E801" s="323" t="s">
        <v>1910</v>
      </c>
      <c r="F801" s="323" t="str">
        <f t="shared" si="3"/>
        <v>Solana (SOL)</v>
      </c>
      <c r="G801" s="323"/>
      <c r="H801" s="323"/>
      <c r="I801" s="323"/>
      <c r="J801" s="526"/>
    </row>
    <row r="802" spans="1:10" ht="15" customHeight="1" x14ac:dyDescent="0.25">
      <c r="A802" s="415"/>
      <c r="B802" s="186"/>
      <c r="C802" s="144">
        <v>64</v>
      </c>
      <c r="D802" s="1964" t="s">
        <v>1911</v>
      </c>
      <c r="E802" s="323" t="s">
        <v>1912</v>
      </c>
      <c r="F802" s="323" t="str">
        <f t="shared" si="3"/>
        <v>Stacks (STX)</v>
      </c>
      <c r="G802" s="323"/>
      <c r="H802" s="323"/>
      <c r="I802" s="323"/>
      <c r="J802" s="526"/>
    </row>
    <row r="803" spans="1:10" ht="15" customHeight="1" x14ac:dyDescent="0.25">
      <c r="A803" s="415"/>
      <c r="B803" s="186"/>
      <c r="C803" s="144">
        <v>76</v>
      </c>
      <c r="D803" s="1964" t="s">
        <v>1913</v>
      </c>
      <c r="E803" s="323" t="s">
        <v>1914</v>
      </c>
      <c r="F803" s="323" t="str">
        <f t="shared" si="3"/>
        <v>SushiSwap (SUSHI)</v>
      </c>
      <c r="G803" s="323"/>
      <c r="H803" s="323"/>
      <c r="I803" s="323"/>
      <c r="J803" s="526"/>
    </row>
    <row r="804" spans="1:10" ht="15" customHeight="1" x14ac:dyDescent="0.25">
      <c r="A804" s="415"/>
      <c r="B804" s="186"/>
      <c r="C804" s="144">
        <v>99</v>
      </c>
      <c r="D804" s="1964" t="s">
        <v>1915</v>
      </c>
      <c r="E804" s="323" t="s">
        <v>1916</v>
      </c>
      <c r="F804" s="323" t="str">
        <f t="shared" si="3"/>
        <v>Telcoin (TEL)</v>
      </c>
      <c r="G804" s="323"/>
      <c r="H804" s="323"/>
      <c r="I804" s="323"/>
      <c r="J804" s="526"/>
    </row>
    <row r="805" spans="1:10" ht="15" customHeight="1" x14ac:dyDescent="0.25">
      <c r="A805" s="415"/>
      <c r="B805" s="186"/>
      <c r="C805" s="144">
        <v>72</v>
      </c>
      <c r="D805" s="1964" t="s">
        <v>1917</v>
      </c>
      <c r="E805" s="323" t="s">
        <v>1918</v>
      </c>
      <c r="F805" s="323" t="str">
        <f t="shared" si="3"/>
        <v>Theta Fuel (TFUEL)</v>
      </c>
      <c r="G805" s="323"/>
      <c r="H805" s="323"/>
      <c r="I805" s="323"/>
      <c r="J805" s="526"/>
    </row>
    <row r="806" spans="1:10" ht="15" customHeight="1" x14ac:dyDescent="0.25">
      <c r="A806" s="415"/>
      <c r="B806" s="186"/>
      <c r="C806" s="144">
        <v>30</v>
      </c>
      <c r="D806" s="1964" t="s">
        <v>1919</v>
      </c>
      <c r="E806" s="323" t="s">
        <v>1919</v>
      </c>
      <c r="F806" s="323" t="str">
        <f t="shared" si="3"/>
        <v>THETA (THETA)</v>
      </c>
      <c r="G806" s="323"/>
      <c r="H806" s="323"/>
      <c r="I806" s="323"/>
      <c r="J806" s="526"/>
    </row>
    <row r="807" spans="1:10" ht="15" customHeight="1" x14ac:dyDescent="0.25">
      <c r="A807" s="415"/>
      <c r="B807" s="186"/>
      <c r="C807" s="144">
        <v>26</v>
      </c>
      <c r="D807" s="1964" t="s">
        <v>1920</v>
      </c>
      <c r="E807" s="323" t="s">
        <v>1921</v>
      </c>
      <c r="F807" s="323" t="str">
        <f t="shared" si="3"/>
        <v>TRON (TRX)</v>
      </c>
      <c r="G807" s="323"/>
      <c r="H807" s="323"/>
      <c r="I807" s="323"/>
      <c r="J807" s="526"/>
    </row>
    <row r="808" spans="1:10" ht="15" customHeight="1" x14ac:dyDescent="0.25">
      <c r="A808" s="415"/>
      <c r="B808" s="186"/>
      <c r="C808" s="144">
        <v>71</v>
      </c>
      <c r="D808" s="1964" t="s">
        <v>1922</v>
      </c>
      <c r="E808" s="323" t="s">
        <v>1923</v>
      </c>
      <c r="F808" s="323" t="str">
        <f t="shared" si="3"/>
        <v>TrueUSD (TUSD)</v>
      </c>
      <c r="G808" s="323"/>
      <c r="H808" s="323"/>
      <c r="I808" s="323"/>
      <c r="J808" s="526"/>
    </row>
    <row r="809" spans="1:10" ht="15" customHeight="1" x14ac:dyDescent="0.25">
      <c r="A809" s="415"/>
      <c r="B809" s="186"/>
      <c r="C809" s="144">
        <v>12</v>
      </c>
      <c r="D809" s="1964" t="s">
        <v>1924</v>
      </c>
      <c r="E809" s="323" t="s">
        <v>1925</v>
      </c>
      <c r="F809" s="323" t="str">
        <f t="shared" si="3"/>
        <v>Uniswap (UNI)</v>
      </c>
      <c r="G809" s="323"/>
      <c r="H809" s="323"/>
      <c r="I809" s="323"/>
      <c r="J809" s="526"/>
    </row>
    <row r="810" spans="1:10" ht="15" customHeight="1" x14ac:dyDescent="0.25">
      <c r="A810" s="415"/>
      <c r="B810" s="186"/>
      <c r="C810" s="144">
        <v>8</v>
      </c>
      <c r="D810" s="1964" t="s">
        <v>1926</v>
      </c>
      <c r="E810" s="323" t="s">
        <v>1927</v>
      </c>
      <c r="F810" s="323" t="str">
        <f t="shared" si="3"/>
        <v>USD Coin (USDC)</v>
      </c>
      <c r="G810" s="323"/>
      <c r="H810" s="323"/>
      <c r="I810" s="323"/>
      <c r="J810" s="526"/>
    </row>
    <row r="811" spans="1:10" ht="15" customHeight="1" x14ac:dyDescent="0.25">
      <c r="A811" s="415"/>
      <c r="B811" s="186"/>
      <c r="C811" s="144">
        <v>95</v>
      </c>
      <c r="D811" s="1964" t="s">
        <v>1928</v>
      </c>
      <c r="E811" s="323" t="s">
        <v>1929</v>
      </c>
      <c r="F811" s="323" t="str">
        <f t="shared" si="3"/>
        <v>Pax Dollar (USDP)</v>
      </c>
      <c r="G811" s="323"/>
      <c r="H811" s="323"/>
      <c r="I811" s="323"/>
      <c r="J811" s="526"/>
    </row>
    <row r="812" spans="1:10" ht="15" customHeight="1" x14ac:dyDescent="0.25">
      <c r="A812" s="415"/>
      <c r="B812" s="186"/>
      <c r="C812" s="144">
        <v>3</v>
      </c>
      <c r="D812" s="1964" t="s">
        <v>1930</v>
      </c>
      <c r="E812" s="323" t="s">
        <v>1931</v>
      </c>
      <c r="F812" s="323" t="str">
        <f t="shared" si="3"/>
        <v>Tether (USDT)</v>
      </c>
      <c r="G812" s="323"/>
      <c r="H812" s="323"/>
      <c r="I812" s="323"/>
      <c r="J812" s="526"/>
    </row>
    <row r="813" spans="1:10" ht="15" customHeight="1" x14ac:dyDescent="0.25">
      <c r="A813" s="415"/>
      <c r="B813" s="186"/>
      <c r="C813" s="144">
        <v>52</v>
      </c>
      <c r="D813" s="1964" t="s">
        <v>1932</v>
      </c>
      <c r="E813" s="323" t="s">
        <v>1933</v>
      </c>
      <c r="F813" s="323" t="str">
        <f t="shared" si="3"/>
        <v>TerraUSD (UST)</v>
      </c>
      <c r="G813" s="323"/>
      <c r="H813" s="323"/>
      <c r="I813" s="323"/>
      <c r="J813" s="526"/>
    </row>
    <row r="814" spans="1:10" ht="15" customHeight="1" x14ac:dyDescent="0.25">
      <c r="A814" s="415"/>
      <c r="B814" s="186"/>
      <c r="C814" s="144">
        <v>29</v>
      </c>
      <c r="D814" s="1964" t="s">
        <v>1934</v>
      </c>
      <c r="E814" s="323" t="s">
        <v>1935</v>
      </c>
      <c r="F814" s="323" t="str">
        <f t="shared" si="3"/>
        <v>VeChain (VET)</v>
      </c>
      <c r="G814" s="323"/>
      <c r="H814" s="323"/>
      <c r="I814" s="323"/>
      <c r="J814" s="526"/>
    </row>
    <row r="815" spans="1:10" ht="15" customHeight="1" x14ac:dyDescent="0.25">
      <c r="A815" s="415"/>
      <c r="B815" s="186"/>
      <c r="C815" s="144">
        <v>54</v>
      </c>
      <c r="D815" s="1964" t="s">
        <v>1936</v>
      </c>
      <c r="E815" s="323" t="s">
        <v>1937</v>
      </c>
      <c r="F815" s="323" t="str">
        <f t="shared" si="3"/>
        <v>Waves (WAVES)</v>
      </c>
      <c r="G815" s="323"/>
      <c r="H815" s="323"/>
      <c r="I815" s="323"/>
      <c r="J815" s="526"/>
    </row>
    <row r="816" spans="1:10" ht="15" customHeight="1" x14ac:dyDescent="0.25">
      <c r="A816" s="415"/>
      <c r="B816" s="186"/>
      <c r="C816" s="144">
        <v>19</v>
      </c>
      <c r="D816" s="1964" t="s">
        <v>1938</v>
      </c>
      <c r="E816" s="323" t="s">
        <v>1939</v>
      </c>
      <c r="F816" s="323" t="str">
        <f t="shared" si="3"/>
        <v>Wrapped Bitcoin (WBTC)</v>
      </c>
      <c r="G816" s="323"/>
      <c r="H816" s="323"/>
      <c r="I816" s="323"/>
      <c r="J816" s="526"/>
    </row>
    <row r="817" spans="1:10" ht="15" customHeight="1" x14ac:dyDescent="0.25">
      <c r="A817" s="415"/>
      <c r="B817" s="186"/>
      <c r="C817" s="144">
        <v>78</v>
      </c>
      <c r="D817" s="1964" t="s">
        <v>1940</v>
      </c>
      <c r="E817" s="323" t="s">
        <v>1941</v>
      </c>
      <c r="F817" s="323" t="str">
        <f t="shared" si="3"/>
        <v>XinFin (XDC)</v>
      </c>
      <c r="G817" s="323"/>
      <c r="H817" s="323"/>
      <c r="I817" s="323"/>
      <c r="J817" s="526"/>
    </row>
    <row r="818" spans="1:10" ht="15" customHeight="1" x14ac:dyDescent="0.25">
      <c r="A818" s="415"/>
      <c r="B818" s="186"/>
      <c r="C818" s="144">
        <v>36</v>
      </c>
      <c r="D818" s="1964" t="s">
        <v>1942</v>
      </c>
      <c r="E818" s="323" t="s">
        <v>1943</v>
      </c>
      <c r="F818" s="323" t="str">
        <f t="shared" si="3"/>
        <v>eCash (XEC)</v>
      </c>
      <c r="G818" s="323"/>
      <c r="H818" s="323"/>
      <c r="I818" s="323"/>
      <c r="J818" s="526"/>
    </row>
    <row r="819" spans="1:10" ht="15" customHeight="1" x14ac:dyDescent="0.25">
      <c r="A819" s="415"/>
      <c r="B819" s="186"/>
      <c r="C819" s="144">
        <v>74</v>
      </c>
      <c r="D819" s="1964" t="s">
        <v>1944</v>
      </c>
      <c r="E819" s="323" t="s">
        <v>1945</v>
      </c>
      <c r="F819" s="323" t="str">
        <f t="shared" si="3"/>
        <v>NEM (XEM)</v>
      </c>
      <c r="G819" s="323"/>
      <c r="H819" s="323"/>
      <c r="I819" s="323"/>
      <c r="J819" s="526"/>
    </row>
    <row r="820" spans="1:10" ht="15" customHeight="1" x14ac:dyDescent="0.25">
      <c r="A820" s="415"/>
      <c r="B820" s="186"/>
      <c r="C820" s="144">
        <v>25</v>
      </c>
      <c r="D820" s="1964" t="s">
        <v>1946</v>
      </c>
      <c r="E820" s="323" t="s">
        <v>1947</v>
      </c>
      <c r="F820" s="323" t="str">
        <f t="shared" si="3"/>
        <v>Stellar (XLM)</v>
      </c>
      <c r="G820" s="323"/>
      <c r="H820" s="323"/>
      <c r="I820" s="323"/>
      <c r="J820" s="526"/>
    </row>
    <row r="821" spans="1:10" ht="15" customHeight="1" x14ac:dyDescent="0.25">
      <c r="A821" s="415"/>
      <c r="B821" s="186"/>
      <c r="C821" s="144">
        <v>33</v>
      </c>
      <c r="D821" s="1964" t="s">
        <v>1948</v>
      </c>
      <c r="E821" s="323" t="s">
        <v>1949</v>
      </c>
      <c r="F821" s="323" t="str">
        <f t="shared" si="3"/>
        <v>Monero (XMR)</v>
      </c>
      <c r="G821" s="323"/>
      <c r="H821" s="323"/>
      <c r="I821" s="323"/>
      <c r="J821" s="526"/>
    </row>
    <row r="822" spans="1:10" ht="15" customHeight="1" x14ac:dyDescent="0.25">
      <c r="A822" s="415"/>
      <c r="B822" s="186"/>
      <c r="C822" s="144">
        <v>6</v>
      </c>
      <c r="D822" s="1964" t="s">
        <v>1950</v>
      </c>
      <c r="E822" s="323" t="s">
        <v>1950</v>
      </c>
      <c r="F822" s="323" t="str">
        <f t="shared" si="3"/>
        <v>XRP (XRP)</v>
      </c>
      <c r="G822" s="323"/>
      <c r="H822" s="323"/>
      <c r="I822" s="323"/>
      <c r="J822" s="526"/>
    </row>
    <row r="823" spans="1:10" ht="15" customHeight="1" x14ac:dyDescent="0.25">
      <c r="A823" s="415"/>
      <c r="B823" s="186"/>
      <c r="C823" s="144">
        <v>31</v>
      </c>
      <c r="D823" s="1964" t="s">
        <v>1951</v>
      </c>
      <c r="E823" s="323" t="s">
        <v>1952</v>
      </c>
      <c r="F823" s="323" t="str">
        <f t="shared" si="3"/>
        <v>Tezos (XTZ)</v>
      </c>
      <c r="G823" s="323"/>
      <c r="H823" s="323"/>
      <c r="I823" s="323"/>
      <c r="J823" s="526"/>
    </row>
    <row r="824" spans="1:10" ht="15" customHeight="1" x14ac:dyDescent="0.25">
      <c r="A824" s="415"/>
      <c r="B824" s="186"/>
      <c r="C824" s="144">
        <v>84</v>
      </c>
      <c r="D824" s="1964" t="s">
        <v>1953</v>
      </c>
      <c r="E824" s="323" t="s">
        <v>1954</v>
      </c>
      <c r="F824" s="323" t="str">
        <f t="shared" si="3"/>
        <v>yearn.finance (YFI)</v>
      </c>
      <c r="G824" s="323"/>
      <c r="H824" s="323"/>
      <c r="I824" s="323"/>
      <c r="J824" s="526"/>
    </row>
    <row r="825" spans="1:10" ht="15" customHeight="1" x14ac:dyDescent="0.25">
      <c r="A825" s="415"/>
      <c r="B825" s="186"/>
      <c r="C825" s="144">
        <v>69</v>
      </c>
      <c r="D825" s="1964" t="s">
        <v>1955</v>
      </c>
      <c r="E825" s="323" t="s">
        <v>1956</v>
      </c>
      <c r="F825" s="323" t="str">
        <f t="shared" si="3"/>
        <v>Zcash (ZEC)</v>
      </c>
      <c r="G825" s="323"/>
      <c r="H825" s="323"/>
      <c r="I825" s="323"/>
      <c r="J825" s="526"/>
    </row>
    <row r="826" spans="1:10" ht="15" customHeight="1" x14ac:dyDescent="0.25">
      <c r="A826" s="415"/>
      <c r="B826" s="186"/>
      <c r="C826" s="144">
        <v>98</v>
      </c>
      <c r="D826" s="1964" t="s">
        <v>1957</v>
      </c>
      <c r="E826" s="323" t="s">
        <v>1958</v>
      </c>
      <c r="F826" s="323" t="str">
        <f t="shared" si="3"/>
        <v>Horizen (ZEN)</v>
      </c>
      <c r="G826" s="323"/>
      <c r="H826" s="323"/>
      <c r="I826" s="323"/>
      <c r="J826" s="526"/>
    </row>
    <row r="827" spans="1:10" ht="15" customHeight="1" x14ac:dyDescent="0.25">
      <c r="A827" s="415"/>
      <c r="B827" s="186"/>
      <c r="C827" s="144">
        <v>85</v>
      </c>
      <c r="D827" s="1964" t="s">
        <v>1959</v>
      </c>
      <c r="E827" s="323" t="s">
        <v>1960</v>
      </c>
      <c r="F827" s="323" t="str">
        <f t="shared" si="3"/>
        <v>Zilliqa (ZIL)</v>
      </c>
      <c r="G827" s="323"/>
      <c r="H827" s="323"/>
      <c r="I827" s="323"/>
      <c r="J827" s="526"/>
    </row>
    <row r="828" spans="1:10" ht="15" customHeight="1" x14ac:dyDescent="0.25">
      <c r="A828" s="415"/>
      <c r="B828" s="1731"/>
      <c r="C828" s="459">
        <v>0</v>
      </c>
      <c r="D828" s="1965" t="s">
        <v>286</v>
      </c>
      <c r="E828" s="2485" t="s">
        <v>286</v>
      </c>
      <c r="F828" s="2485" t="str">
        <f t="shared" si="3"/>
        <v>Other (Other)</v>
      </c>
      <c r="G828" s="2190"/>
      <c r="H828" s="2190"/>
      <c r="I828" s="2214"/>
      <c r="J828" s="526"/>
    </row>
    <row r="829" spans="1:10" ht="15" customHeight="1" x14ac:dyDescent="0.25">
      <c r="A829" s="1242"/>
      <c r="B829" s="434"/>
      <c r="C829" s="434"/>
      <c r="D829" s="434"/>
      <c r="E829" s="434"/>
      <c r="F829" s="434"/>
      <c r="G829" s="434"/>
      <c r="H829" s="434"/>
      <c r="I829" s="434"/>
      <c r="J829" s="1243"/>
    </row>
    <row r="830" spans="1:10" ht="15" hidden="1" customHeight="1" x14ac:dyDescent="0.25"/>
    <row r="831" spans="1:10" ht="15" hidden="1" customHeight="1" x14ac:dyDescent="0.25"/>
    <row r="832" spans="1:10" ht="15" hidden="1" customHeight="1" x14ac:dyDescent="0.25"/>
  </sheetData>
  <mergeCells count="25">
    <mergeCell ref="B154:E154"/>
    <mergeCell ref="B53:E53"/>
    <mergeCell ref="B62:E62"/>
    <mergeCell ref="B126:E126"/>
    <mergeCell ref="F17:H17"/>
    <mergeCell ref="B25:E25"/>
    <mergeCell ref="B34:E34"/>
    <mergeCell ref="B44:E44"/>
    <mergeCell ref="B117:E117"/>
    <mergeCell ref="B343:E343"/>
    <mergeCell ref="B11:E11"/>
    <mergeCell ref="B12:E12"/>
    <mergeCell ref="B396:E396"/>
    <mergeCell ref="B254:E254"/>
    <mergeCell ref="B245:E245"/>
    <mergeCell ref="B247:E247"/>
    <mergeCell ref="B252:E252"/>
    <mergeCell ref="B17:E18"/>
    <mergeCell ref="B163:E163"/>
    <mergeCell ref="B181:E181"/>
    <mergeCell ref="B190:E190"/>
    <mergeCell ref="B235:E235"/>
    <mergeCell ref="B127:E127"/>
    <mergeCell ref="B136:E136"/>
    <mergeCell ref="B145:E145"/>
  </mergeCells>
  <phoneticPr fontId="5" type="noConversion"/>
  <conditionalFormatting sqref="B20:B22">
    <cfRule type="cellIs" dxfId="6" priority="4" stopIfTrue="1" operator="equal">
      <formula>"Please check"</formula>
    </cfRule>
    <cfRule type="cellIs" dxfId="5" priority="5" stopIfTrue="1" operator="equal">
      <formula>"Pass"</formula>
    </cfRule>
    <cfRule type="cellIs" dxfId="4" priority="6" stopIfTrue="1" operator="equal">
      <formula>"Fail"</formula>
    </cfRule>
  </conditionalFormatting>
  <conditionalFormatting sqref="B19">
    <cfRule type="cellIs" dxfId="3" priority="1" stopIfTrue="1" operator="equal">
      <formula>"Please check"</formula>
    </cfRule>
    <cfRule type="cellIs" dxfId="2" priority="2" stopIfTrue="1" operator="equal">
      <formula>"Pass"</formula>
    </cfRule>
    <cfRule type="cellIs" dxfId="1" priority="3" stopIfTrue="1" operator="equal">
      <formula>"Fail"</formula>
    </cfRule>
  </conditionalFormatting>
  <dataValidations disablePrompts="1" xWindow="734" yWindow="271" count="3">
    <dataValidation type="list" allowBlank="1" showInputMessage="1" showErrorMessage="1" sqref="F8:F9 F11:F12 F269:F270 F403 F398 F400 F396" xr:uid="{00000000-0002-0000-1400-000000000000}">
      <formula1>YesNo</formula1>
    </dataValidation>
    <dataValidation type="list" allowBlank="1" showInputMessage="1" showErrorMessage="1" sqref="F13" xr:uid="{00000000-0002-0000-1400-000001000000}">
      <formula1>D449:D450</formula1>
    </dataValidation>
    <dataValidation type="list" allowBlank="1" showInputMessage="1" showErrorMessage="1" sqref="F399" xr:uid="{00000000-0002-0000-14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67" max="9" man="1"/>
    <brk id="302" max="9" man="1"/>
    <brk id="350" max="9" man="1"/>
    <brk id="401" max="9" man="1"/>
    <brk id="450" max="9" man="1"/>
    <brk id="498" max="9" man="1"/>
    <brk id="550"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38"/>
  <sheetViews>
    <sheetView zoomScale="75" zoomScaleNormal="75" workbookViewId="0"/>
  </sheetViews>
  <sheetFormatPr defaultColWidth="0" defaultRowHeight="15" customHeight="1" zeroHeight="1" x14ac:dyDescent="0.25"/>
  <cols>
    <col min="1" max="22" width="8.85546875" customWidth="1"/>
    <col min="23" max="23" width="1.85546875" customWidth="1"/>
    <col min="24" max="16384" width="16.85546875" hidden="1"/>
  </cols>
  <sheetData>
    <row r="1" spans="1:22" ht="15" customHeight="1" x14ac:dyDescent="0.25">
      <c r="A1" s="1793"/>
      <c r="B1" s="1794" t="s">
        <v>1211</v>
      </c>
      <c r="C1" s="1795" t="s">
        <v>1212</v>
      </c>
      <c r="D1" s="1795" t="s">
        <v>1213</v>
      </c>
      <c r="E1" s="1795" t="s">
        <v>1214</v>
      </c>
      <c r="F1" s="1795" t="s">
        <v>1215</v>
      </c>
      <c r="G1" s="1795" t="s">
        <v>1217</v>
      </c>
      <c r="H1" s="1795" t="s">
        <v>1216</v>
      </c>
      <c r="I1" s="1795" t="s">
        <v>1223</v>
      </c>
      <c r="J1" s="1795" t="s">
        <v>1228</v>
      </c>
      <c r="K1" s="1795" t="s">
        <v>1220</v>
      </c>
      <c r="L1" s="1795" t="s">
        <v>1229</v>
      </c>
      <c r="M1" s="1795" t="s">
        <v>1218</v>
      </c>
      <c r="N1" s="1795" t="s">
        <v>1222</v>
      </c>
      <c r="O1" s="1795" t="s">
        <v>1230</v>
      </c>
      <c r="P1" s="1795" t="s">
        <v>1221</v>
      </c>
      <c r="Q1" s="1795" t="s">
        <v>1219</v>
      </c>
      <c r="R1" s="1795" t="s">
        <v>1225</v>
      </c>
      <c r="S1" s="1795" t="s">
        <v>1236</v>
      </c>
      <c r="T1" s="1795" t="s">
        <v>1224</v>
      </c>
      <c r="U1" s="1795" t="s">
        <v>1231</v>
      </c>
      <c r="V1" s="1796" t="s">
        <v>815</v>
      </c>
    </row>
    <row r="2" spans="1:22" ht="15" customHeight="1" x14ac:dyDescent="0.25">
      <c r="A2" s="1797" t="s">
        <v>1212</v>
      </c>
      <c r="B2" s="1798" t="s">
        <v>43</v>
      </c>
      <c r="C2" s="1799" t="s">
        <v>43</v>
      </c>
      <c r="D2" s="1799" t="s">
        <v>43</v>
      </c>
      <c r="E2" s="1799" t="s">
        <v>43</v>
      </c>
      <c r="F2" s="1799" t="s">
        <v>42</v>
      </c>
      <c r="G2" s="1799" t="s">
        <v>42</v>
      </c>
      <c r="H2" s="1799" t="s">
        <v>43</v>
      </c>
      <c r="I2" s="1799" t="s">
        <v>42</v>
      </c>
      <c r="J2" s="1799" t="s">
        <v>42</v>
      </c>
      <c r="K2" s="1799" t="s">
        <v>42</v>
      </c>
      <c r="L2" s="1799" t="s">
        <v>42</v>
      </c>
      <c r="M2" s="1799" t="s">
        <v>42</v>
      </c>
      <c r="N2" s="1799" t="s">
        <v>42</v>
      </c>
      <c r="O2" s="1799" t="s">
        <v>42</v>
      </c>
      <c r="P2" s="1799" t="s">
        <v>42</v>
      </c>
      <c r="Q2" s="1799" t="s">
        <v>42</v>
      </c>
      <c r="R2" s="1799" t="s">
        <v>42</v>
      </c>
      <c r="S2" s="1799" t="s">
        <v>42</v>
      </c>
      <c r="T2" s="1799" t="s">
        <v>42</v>
      </c>
      <c r="U2" s="1799" t="s">
        <v>42</v>
      </c>
      <c r="V2" s="1800" t="s">
        <v>43</v>
      </c>
    </row>
    <row r="3" spans="1:22" ht="15" customHeight="1" x14ac:dyDescent="0.25">
      <c r="A3" s="1801" t="s">
        <v>1213</v>
      </c>
      <c r="B3" s="1802" t="s">
        <v>43</v>
      </c>
      <c r="C3" s="1803" t="s">
        <v>43</v>
      </c>
      <c r="D3" s="1803" t="s">
        <v>43</v>
      </c>
      <c r="E3" s="1803" t="s">
        <v>42</v>
      </c>
      <c r="F3" s="1803" t="s">
        <v>43</v>
      </c>
      <c r="G3" s="1803" t="s">
        <v>42</v>
      </c>
      <c r="H3" s="1803" t="s">
        <v>42</v>
      </c>
      <c r="I3" s="1803" t="s">
        <v>42</v>
      </c>
      <c r="J3" s="1803" t="s">
        <v>42</v>
      </c>
      <c r="K3" s="1803" t="s">
        <v>42</v>
      </c>
      <c r="L3" s="1803" t="s">
        <v>42</v>
      </c>
      <c r="M3" s="1803" t="s">
        <v>42</v>
      </c>
      <c r="N3" s="1803" t="s">
        <v>42</v>
      </c>
      <c r="O3" s="1803" t="s">
        <v>42</v>
      </c>
      <c r="P3" s="1803" t="s">
        <v>42</v>
      </c>
      <c r="Q3" s="1803" t="s">
        <v>42</v>
      </c>
      <c r="R3" s="1803" t="s">
        <v>42</v>
      </c>
      <c r="S3" s="1803" t="s">
        <v>42</v>
      </c>
      <c r="T3" s="1803" t="s">
        <v>42</v>
      </c>
      <c r="U3" s="1803" t="s">
        <v>42</v>
      </c>
      <c r="V3" s="1804" t="s">
        <v>43</v>
      </c>
    </row>
    <row r="4" spans="1:22" ht="15" customHeight="1" x14ac:dyDescent="0.25">
      <c r="A4" s="1801" t="s">
        <v>1214</v>
      </c>
      <c r="B4" s="1802" t="s">
        <v>43</v>
      </c>
      <c r="C4" s="1803" t="s">
        <v>43</v>
      </c>
      <c r="D4" s="1803" t="s">
        <v>42</v>
      </c>
      <c r="E4" s="1803" t="s">
        <v>43</v>
      </c>
      <c r="F4" s="1803" t="s">
        <v>42</v>
      </c>
      <c r="G4" s="1803" t="s">
        <v>42</v>
      </c>
      <c r="H4" s="1803" t="s">
        <v>42</v>
      </c>
      <c r="I4" s="1803" t="s">
        <v>42</v>
      </c>
      <c r="J4" s="1803" t="s">
        <v>42</v>
      </c>
      <c r="K4" s="1803" t="s">
        <v>42</v>
      </c>
      <c r="L4" s="1803" t="s">
        <v>42</v>
      </c>
      <c r="M4" s="1803" t="s">
        <v>42</v>
      </c>
      <c r="N4" s="1803" t="s">
        <v>42</v>
      </c>
      <c r="O4" s="1803" t="s">
        <v>42</v>
      </c>
      <c r="P4" s="1803" t="s">
        <v>42</v>
      </c>
      <c r="Q4" s="1803" t="s">
        <v>42</v>
      </c>
      <c r="R4" s="1803" t="s">
        <v>42</v>
      </c>
      <c r="S4" s="1803" t="s">
        <v>42</v>
      </c>
      <c r="T4" s="1803" t="s">
        <v>42</v>
      </c>
      <c r="U4" s="1803" t="s">
        <v>42</v>
      </c>
      <c r="V4" s="1804" t="s">
        <v>43</v>
      </c>
    </row>
    <row r="5" spans="1:22" ht="15" customHeight="1" x14ac:dyDescent="0.25">
      <c r="A5" s="1801" t="s">
        <v>1215</v>
      </c>
      <c r="B5" s="1802" t="s">
        <v>43</v>
      </c>
      <c r="C5" s="1803" t="s">
        <v>42</v>
      </c>
      <c r="D5" s="1803" t="s">
        <v>43</v>
      </c>
      <c r="E5" s="1803" t="s">
        <v>42</v>
      </c>
      <c r="F5" s="1803" t="s">
        <v>43</v>
      </c>
      <c r="G5" s="1803" t="s">
        <v>42</v>
      </c>
      <c r="H5" s="1803" t="s">
        <v>42</v>
      </c>
      <c r="I5" s="1803" t="s">
        <v>42</v>
      </c>
      <c r="J5" s="1803" t="s">
        <v>42</v>
      </c>
      <c r="K5" s="1803" t="s">
        <v>42</v>
      </c>
      <c r="L5" s="1803" t="s">
        <v>42</v>
      </c>
      <c r="M5" s="1803" t="s">
        <v>42</v>
      </c>
      <c r="N5" s="1803" t="s">
        <v>42</v>
      </c>
      <c r="O5" s="1803" t="s">
        <v>42</v>
      </c>
      <c r="P5" s="1803" t="s">
        <v>42</v>
      </c>
      <c r="Q5" s="1803" t="s">
        <v>42</v>
      </c>
      <c r="R5" s="1803" t="s">
        <v>42</v>
      </c>
      <c r="S5" s="1803" t="s">
        <v>42</v>
      </c>
      <c r="T5" s="1803" t="s">
        <v>42</v>
      </c>
      <c r="U5" s="1803" t="s">
        <v>42</v>
      </c>
      <c r="V5" s="1804" t="s">
        <v>43</v>
      </c>
    </row>
    <row r="6" spans="1:22" ht="15" customHeight="1" x14ac:dyDescent="0.25">
      <c r="A6" s="1801" t="s">
        <v>1217</v>
      </c>
      <c r="B6" s="1802" t="s">
        <v>43</v>
      </c>
      <c r="C6" s="1803" t="s">
        <v>42</v>
      </c>
      <c r="D6" s="1803" t="s">
        <v>42</v>
      </c>
      <c r="E6" s="1803" t="s">
        <v>42</v>
      </c>
      <c r="F6" s="1803" t="s">
        <v>42</v>
      </c>
      <c r="G6" s="1803" t="s">
        <v>43</v>
      </c>
      <c r="H6" s="1803" t="s">
        <v>42</v>
      </c>
      <c r="I6" s="1803" t="s">
        <v>42</v>
      </c>
      <c r="J6" s="1803" t="s">
        <v>42</v>
      </c>
      <c r="K6" s="1803" t="s">
        <v>42</v>
      </c>
      <c r="L6" s="1803" t="s">
        <v>42</v>
      </c>
      <c r="M6" s="1803" t="s">
        <v>42</v>
      </c>
      <c r="N6" s="1803" t="s">
        <v>42</v>
      </c>
      <c r="O6" s="1803" t="s">
        <v>42</v>
      </c>
      <c r="P6" s="1803" t="s">
        <v>42</v>
      </c>
      <c r="Q6" s="1803" t="s">
        <v>42</v>
      </c>
      <c r="R6" s="1803" t="s">
        <v>42</v>
      </c>
      <c r="S6" s="1803" t="s">
        <v>42</v>
      </c>
      <c r="T6" s="1803" t="s">
        <v>42</v>
      </c>
      <c r="U6" s="1803" t="s">
        <v>42</v>
      </c>
      <c r="V6" s="1804" t="s">
        <v>43</v>
      </c>
    </row>
    <row r="7" spans="1:22" ht="15" customHeight="1" x14ac:dyDescent="0.25">
      <c r="A7" s="1801" t="s">
        <v>1216</v>
      </c>
      <c r="B7" s="1802" t="s">
        <v>43</v>
      </c>
      <c r="C7" s="1803" t="s">
        <v>43</v>
      </c>
      <c r="D7" s="1803" t="s">
        <v>42</v>
      </c>
      <c r="E7" s="1803" t="s">
        <v>42</v>
      </c>
      <c r="F7" s="1803" t="s">
        <v>42</v>
      </c>
      <c r="G7" s="1803" t="s">
        <v>42</v>
      </c>
      <c r="H7" s="1803" t="s">
        <v>43</v>
      </c>
      <c r="I7" s="1803" t="s">
        <v>42</v>
      </c>
      <c r="J7" s="1803" t="s">
        <v>42</v>
      </c>
      <c r="K7" s="1803" t="s">
        <v>42</v>
      </c>
      <c r="L7" s="1803" t="s">
        <v>42</v>
      </c>
      <c r="M7" s="1803" t="s">
        <v>42</v>
      </c>
      <c r="N7" s="1803" t="s">
        <v>42</v>
      </c>
      <c r="O7" s="1803" t="s">
        <v>42</v>
      </c>
      <c r="P7" s="1803" t="s">
        <v>42</v>
      </c>
      <c r="Q7" s="1803" t="s">
        <v>42</v>
      </c>
      <c r="R7" s="1803" t="s">
        <v>42</v>
      </c>
      <c r="S7" s="1803" t="s">
        <v>42</v>
      </c>
      <c r="T7" s="1803" t="s">
        <v>42</v>
      </c>
      <c r="U7" s="1803" t="s">
        <v>42</v>
      </c>
      <c r="V7" s="1804" t="s">
        <v>43</v>
      </c>
    </row>
    <row r="8" spans="1:22" ht="15" customHeight="1" x14ac:dyDescent="0.25">
      <c r="A8" s="1801" t="s">
        <v>1223</v>
      </c>
      <c r="B8" s="1802" t="s">
        <v>43</v>
      </c>
      <c r="C8" s="1803" t="s">
        <v>42</v>
      </c>
      <c r="D8" s="1803" t="s">
        <v>42</v>
      </c>
      <c r="E8" s="1803" t="s">
        <v>42</v>
      </c>
      <c r="F8" s="1803" t="s">
        <v>42</v>
      </c>
      <c r="G8" s="1803" t="s">
        <v>42</v>
      </c>
      <c r="H8" s="1803" t="s">
        <v>42</v>
      </c>
      <c r="I8" s="1803" t="s">
        <v>43</v>
      </c>
      <c r="J8" s="1803" t="s">
        <v>42</v>
      </c>
      <c r="K8" s="1803" t="s">
        <v>42</v>
      </c>
      <c r="L8" s="1803" t="s">
        <v>42</v>
      </c>
      <c r="M8" s="1803" t="s">
        <v>42</v>
      </c>
      <c r="N8" s="1803" t="s">
        <v>42</v>
      </c>
      <c r="O8" s="1803" t="s">
        <v>42</v>
      </c>
      <c r="P8" s="1803" t="s">
        <v>42</v>
      </c>
      <c r="Q8" s="1803" t="s">
        <v>42</v>
      </c>
      <c r="R8" s="1803" t="s">
        <v>42</v>
      </c>
      <c r="S8" s="1803" t="s">
        <v>42</v>
      </c>
      <c r="T8" s="1803" t="s">
        <v>42</v>
      </c>
      <c r="U8" s="1803" t="s">
        <v>42</v>
      </c>
      <c r="V8" s="1804" t="s">
        <v>43</v>
      </c>
    </row>
    <row r="9" spans="1:22" ht="15" customHeight="1" x14ac:dyDescent="0.25">
      <c r="A9" s="1801" t="s">
        <v>1228</v>
      </c>
      <c r="B9" s="1802" t="s">
        <v>43</v>
      </c>
      <c r="C9" s="1803" t="s">
        <v>42</v>
      </c>
      <c r="D9" s="1803" t="s">
        <v>42</v>
      </c>
      <c r="E9" s="1803" t="s">
        <v>42</v>
      </c>
      <c r="F9" s="1803" t="s">
        <v>42</v>
      </c>
      <c r="G9" s="1803" t="s">
        <v>42</v>
      </c>
      <c r="H9" s="1803" t="s">
        <v>42</v>
      </c>
      <c r="I9" s="1803" t="s">
        <v>42</v>
      </c>
      <c r="J9" s="1803" t="s">
        <v>43</v>
      </c>
      <c r="K9" s="1803" t="s">
        <v>42</v>
      </c>
      <c r="L9" s="1803" t="s">
        <v>42</v>
      </c>
      <c r="M9" s="1803" t="s">
        <v>42</v>
      </c>
      <c r="N9" s="1803" t="s">
        <v>42</v>
      </c>
      <c r="O9" s="1803" t="s">
        <v>42</v>
      </c>
      <c r="P9" s="1803" t="s">
        <v>42</v>
      </c>
      <c r="Q9" s="1803" t="s">
        <v>42</v>
      </c>
      <c r="R9" s="1803" t="s">
        <v>42</v>
      </c>
      <c r="S9" s="1803" t="s">
        <v>42</v>
      </c>
      <c r="T9" s="1803" t="s">
        <v>42</v>
      </c>
      <c r="U9" s="1803" t="s">
        <v>42</v>
      </c>
      <c r="V9" s="1804" t="s">
        <v>43</v>
      </c>
    </row>
    <row r="10" spans="1:22" ht="15" customHeight="1" x14ac:dyDescent="0.25">
      <c r="A10" s="1801" t="s">
        <v>1220</v>
      </c>
      <c r="B10" s="1802" t="s">
        <v>43</v>
      </c>
      <c r="C10" s="1803" t="s">
        <v>42</v>
      </c>
      <c r="D10" s="1803" t="s">
        <v>42</v>
      </c>
      <c r="E10" s="1803" t="s">
        <v>42</v>
      </c>
      <c r="F10" s="1803" t="s">
        <v>42</v>
      </c>
      <c r="G10" s="1803" t="s">
        <v>42</v>
      </c>
      <c r="H10" s="1803" t="s">
        <v>42</v>
      </c>
      <c r="I10" s="1803" t="s">
        <v>42</v>
      </c>
      <c r="J10" s="1803" t="s">
        <v>42</v>
      </c>
      <c r="K10" s="1803" t="s">
        <v>43</v>
      </c>
      <c r="L10" s="1803" t="s">
        <v>42</v>
      </c>
      <c r="M10" s="1803" t="s">
        <v>42</v>
      </c>
      <c r="N10" s="1803" t="s">
        <v>42</v>
      </c>
      <c r="O10" s="1803" t="s">
        <v>42</v>
      </c>
      <c r="P10" s="1803" t="s">
        <v>42</v>
      </c>
      <c r="Q10" s="1803" t="s">
        <v>42</v>
      </c>
      <c r="R10" s="1803" t="s">
        <v>42</v>
      </c>
      <c r="S10" s="1803" t="s">
        <v>42</v>
      </c>
      <c r="T10" s="1803" t="s">
        <v>42</v>
      </c>
      <c r="U10" s="1803" t="s">
        <v>42</v>
      </c>
      <c r="V10" s="1804" t="s">
        <v>43</v>
      </c>
    </row>
    <row r="11" spans="1:22" ht="15" customHeight="1" x14ac:dyDescent="0.25">
      <c r="A11" s="1801" t="s">
        <v>1229</v>
      </c>
      <c r="B11" s="1802" t="s">
        <v>43</v>
      </c>
      <c r="C11" s="1803" t="s">
        <v>42</v>
      </c>
      <c r="D11" s="1803" t="s">
        <v>42</v>
      </c>
      <c r="E11" s="1803" t="s">
        <v>42</v>
      </c>
      <c r="F11" s="1803" t="s">
        <v>42</v>
      </c>
      <c r="G11" s="1803" t="s">
        <v>42</v>
      </c>
      <c r="H11" s="1803" t="s">
        <v>42</v>
      </c>
      <c r="I11" s="1803" t="s">
        <v>42</v>
      </c>
      <c r="J11" s="1803" t="s">
        <v>42</v>
      </c>
      <c r="K11" s="1803" t="s">
        <v>42</v>
      </c>
      <c r="L11" s="1803" t="s">
        <v>43</v>
      </c>
      <c r="M11" s="1803" t="s">
        <v>42</v>
      </c>
      <c r="N11" s="1803" t="s">
        <v>42</v>
      </c>
      <c r="O11" s="1803" t="s">
        <v>42</v>
      </c>
      <c r="P11" s="1803" t="s">
        <v>42</v>
      </c>
      <c r="Q11" s="1803" t="s">
        <v>42</v>
      </c>
      <c r="R11" s="1803" t="s">
        <v>42</v>
      </c>
      <c r="S11" s="1803" t="s">
        <v>42</v>
      </c>
      <c r="T11" s="1803" t="s">
        <v>42</v>
      </c>
      <c r="U11" s="1803" t="s">
        <v>42</v>
      </c>
      <c r="V11" s="1804" t="s">
        <v>43</v>
      </c>
    </row>
    <row r="12" spans="1:22" ht="15" customHeight="1" x14ac:dyDescent="0.25">
      <c r="A12" s="1801" t="s">
        <v>1218</v>
      </c>
      <c r="B12" s="1802" t="s">
        <v>43</v>
      </c>
      <c r="C12" s="1803" t="s">
        <v>42</v>
      </c>
      <c r="D12" s="1803" t="s">
        <v>42</v>
      </c>
      <c r="E12" s="1803" t="s">
        <v>42</v>
      </c>
      <c r="F12" s="1803" t="s">
        <v>42</v>
      </c>
      <c r="G12" s="1803" t="s">
        <v>42</v>
      </c>
      <c r="H12" s="1803" t="s">
        <v>42</v>
      </c>
      <c r="I12" s="1803" t="s">
        <v>42</v>
      </c>
      <c r="J12" s="1803" t="s">
        <v>42</v>
      </c>
      <c r="K12" s="1803" t="s">
        <v>42</v>
      </c>
      <c r="L12" s="1803" t="s">
        <v>42</v>
      </c>
      <c r="M12" s="1803" t="s">
        <v>43</v>
      </c>
      <c r="N12" s="1803" t="s">
        <v>42</v>
      </c>
      <c r="O12" s="1803" t="s">
        <v>42</v>
      </c>
      <c r="P12" s="1803" t="s">
        <v>42</v>
      </c>
      <c r="Q12" s="1803" t="s">
        <v>42</v>
      </c>
      <c r="R12" s="1803" t="s">
        <v>42</v>
      </c>
      <c r="S12" s="1803" t="s">
        <v>42</v>
      </c>
      <c r="T12" s="1803" t="s">
        <v>42</v>
      </c>
      <c r="U12" s="1803" t="s">
        <v>42</v>
      </c>
      <c r="V12" s="1804" t="s">
        <v>43</v>
      </c>
    </row>
    <row r="13" spans="1:22" ht="15" customHeight="1" x14ac:dyDescent="0.25">
      <c r="A13" s="1801" t="s">
        <v>1222</v>
      </c>
      <c r="B13" s="1802" t="s">
        <v>43</v>
      </c>
      <c r="C13" s="1803" t="s">
        <v>42</v>
      </c>
      <c r="D13" s="1803" t="s">
        <v>42</v>
      </c>
      <c r="E13" s="1803" t="s">
        <v>42</v>
      </c>
      <c r="F13" s="1803" t="s">
        <v>42</v>
      </c>
      <c r="G13" s="1803" t="s">
        <v>42</v>
      </c>
      <c r="H13" s="1803" t="s">
        <v>42</v>
      </c>
      <c r="I13" s="1803" t="s">
        <v>42</v>
      </c>
      <c r="J13" s="1803" t="s">
        <v>42</v>
      </c>
      <c r="K13" s="1803" t="s">
        <v>42</v>
      </c>
      <c r="L13" s="1803" t="s">
        <v>42</v>
      </c>
      <c r="M13" s="1803" t="s">
        <v>42</v>
      </c>
      <c r="N13" s="1803" t="s">
        <v>43</v>
      </c>
      <c r="O13" s="1803" t="s">
        <v>42</v>
      </c>
      <c r="P13" s="1803" t="s">
        <v>42</v>
      </c>
      <c r="Q13" s="1803" t="s">
        <v>42</v>
      </c>
      <c r="R13" s="1803" t="s">
        <v>42</v>
      </c>
      <c r="S13" s="1803" t="s">
        <v>42</v>
      </c>
      <c r="T13" s="1803" t="s">
        <v>42</v>
      </c>
      <c r="U13" s="1803" t="s">
        <v>42</v>
      </c>
      <c r="V13" s="1804" t="s">
        <v>43</v>
      </c>
    </row>
    <row r="14" spans="1:22" ht="15" customHeight="1" x14ac:dyDescent="0.25">
      <c r="A14" s="1801" t="s">
        <v>1230</v>
      </c>
      <c r="B14" s="1802" t="s">
        <v>43</v>
      </c>
      <c r="C14" s="1803" t="s">
        <v>42</v>
      </c>
      <c r="D14" s="1803" t="s">
        <v>42</v>
      </c>
      <c r="E14" s="1803" t="s">
        <v>42</v>
      </c>
      <c r="F14" s="1803" t="s">
        <v>42</v>
      </c>
      <c r="G14" s="1803" t="s">
        <v>42</v>
      </c>
      <c r="H14" s="1803" t="s">
        <v>42</v>
      </c>
      <c r="I14" s="1803" t="s">
        <v>42</v>
      </c>
      <c r="J14" s="1803" t="s">
        <v>42</v>
      </c>
      <c r="K14" s="1803" t="s">
        <v>42</v>
      </c>
      <c r="L14" s="1803" t="s">
        <v>42</v>
      </c>
      <c r="M14" s="1803" t="s">
        <v>42</v>
      </c>
      <c r="N14" s="1803" t="s">
        <v>42</v>
      </c>
      <c r="O14" s="1803" t="s">
        <v>43</v>
      </c>
      <c r="P14" s="1803" t="s">
        <v>42</v>
      </c>
      <c r="Q14" s="1803" t="s">
        <v>42</v>
      </c>
      <c r="R14" s="1803" t="s">
        <v>42</v>
      </c>
      <c r="S14" s="1803" t="s">
        <v>42</v>
      </c>
      <c r="T14" s="1803" t="s">
        <v>42</v>
      </c>
      <c r="U14" s="1803" t="s">
        <v>42</v>
      </c>
      <c r="V14" s="1804" t="s">
        <v>43</v>
      </c>
    </row>
    <row r="15" spans="1:22" ht="15" customHeight="1" x14ac:dyDescent="0.25">
      <c r="A15" s="1801" t="s">
        <v>1221</v>
      </c>
      <c r="B15" s="1802" t="s">
        <v>43</v>
      </c>
      <c r="C15" s="1803" t="s">
        <v>42</v>
      </c>
      <c r="D15" s="1803" t="s">
        <v>42</v>
      </c>
      <c r="E15" s="1803" t="s">
        <v>42</v>
      </c>
      <c r="F15" s="1803" t="s">
        <v>42</v>
      </c>
      <c r="G15" s="1803" t="s">
        <v>42</v>
      </c>
      <c r="H15" s="1803" t="s">
        <v>42</v>
      </c>
      <c r="I15" s="1803" t="s">
        <v>42</v>
      </c>
      <c r="J15" s="1803" t="s">
        <v>42</v>
      </c>
      <c r="K15" s="1803" t="s">
        <v>42</v>
      </c>
      <c r="L15" s="1803" t="s">
        <v>42</v>
      </c>
      <c r="M15" s="1803" t="s">
        <v>42</v>
      </c>
      <c r="N15" s="1803" t="s">
        <v>42</v>
      </c>
      <c r="O15" s="1803" t="s">
        <v>42</v>
      </c>
      <c r="P15" s="1803" t="s">
        <v>43</v>
      </c>
      <c r="Q15" s="1803" t="s">
        <v>42</v>
      </c>
      <c r="R15" s="1803" t="s">
        <v>42</v>
      </c>
      <c r="S15" s="1803" t="s">
        <v>42</v>
      </c>
      <c r="T15" s="1803" t="s">
        <v>42</v>
      </c>
      <c r="U15" s="1803" t="s">
        <v>42</v>
      </c>
      <c r="V15" s="1804" t="s">
        <v>43</v>
      </c>
    </row>
    <row r="16" spans="1:22" ht="15" customHeight="1" x14ac:dyDescent="0.25">
      <c r="A16" s="1801" t="s">
        <v>1219</v>
      </c>
      <c r="B16" s="1802" t="s">
        <v>43</v>
      </c>
      <c r="C16" s="1803" t="s">
        <v>42</v>
      </c>
      <c r="D16" s="1803" t="s">
        <v>42</v>
      </c>
      <c r="E16" s="1803" t="s">
        <v>42</v>
      </c>
      <c r="F16" s="1803" t="s">
        <v>42</v>
      </c>
      <c r="G16" s="1803" t="s">
        <v>42</v>
      </c>
      <c r="H16" s="1803" t="s">
        <v>42</v>
      </c>
      <c r="I16" s="1803" t="s">
        <v>42</v>
      </c>
      <c r="J16" s="1803" t="s">
        <v>42</v>
      </c>
      <c r="K16" s="1803" t="s">
        <v>42</v>
      </c>
      <c r="L16" s="1803" t="s">
        <v>42</v>
      </c>
      <c r="M16" s="1803" t="s">
        <v>42</v>
      </c>
      <c r="N16" s="1803" t="s">
        <v>42</v>
      </c>
      <c r="O16" s="1803" t="s">
        <v>42</v>
      </c>
      <c r="P16" s="1803" t="s">
        <v>42</v>
      </c>
      <c r="Q16" s="1803" t="s">
        <v>43</v>
      </c>
      <c r="R16" s="1803" t="s">
        <v>42</v>
      </c>
      <c r="S16" s="1803" t="s">
        <v>42</v>
      </c>
      <c r="T16" s="1803" t="s">
        <v>42</v>
      </c>
      <c r="U16" s="1803" t="s">
        <v>42</v>
      </c>
      <c r="V16" s="1804" t="s">
        <v>43</v>
      </c>
    </row>
    <row r="17" spans="1:22" ht="15" customHeight="1" x14ac:dyDescent="0.25">
      <c r="A17" s="1801" t="s">
        <v>1225</v>
      </c>
      <c r="B17" s="1802" t="s">
        <v>43</v>
      </c>
      <c r="C17" s="1803" t="s">
        <v>42</v>
      </c>
      <c r="D17" s="1803" t="s">
        <v>42</v>
      </c>
      <c r="E17" s="1803" t="s">
        <v>42</v>
      </c>
      <c r="F17" s="1803" t="s">
        <v>42</v>
      </c>
      <c r="G17" s="1803" t="s">
        <v>42</v>
      </c>
      <c r="H17" s="1803" t="s">
        <v>42</v>
      </c>
      <c r="I17" s="1803" t="s">
        <v>42</v>
      </c>
      <c r="J17" s="1803" t="s">
        <v>42</v>
      </c>
      <c r="K17" s="1803" t="s">
        <v>42</v>
      </c>
      <c r="L17" s="1803" t="s">
        <v>42</v>
      </c>
      <c r="M17" s="1803" t="s">
        <v>42</v>
      </c>
      <c r="N17" s="1803" t="s">
        <v>42</v>
      </c>
      <c r="O17" s="1803" t="s">
        <v>42</v>
      </c>
      <c r="P17" s="1803" t="s">
        <v>42</v>
      </c>
      <c r="Q17" s="1803" t="s">
        <v>42</v>
      </c>
      <c r="R17" s="1803" t="s">
        <v>43</v>
      </c>
      <c r="S17" s="1803" t="s">
        <v>42</v>
      </c>
      <c r="T17" s="1803" t="s">
        <v>42</v>
      </c>
      <c r="U17" s="1803" t="s">
        <v>42</v>
      </c>
      <c r="V17" s="1804" t="s">
        <v>43</v>
      </c>
    </row>
    <row r="18" spans="1:22" ht="15" customHeight="1" x14ac:dyDescent="0.25">
      <c r="A18" s="1801" t="s">
        <v>1236</v>
      </c>
      <c r="B18" s="1802" t="s">
        <v>43</v>
      </c>
      <c r="C18" s="1803" t="s">
        <v>42</v>
      </c>
      <c r="D18" s="1803" t="s">
        <v>42</v>
      </c>
      <c r="E18" s="1803" t="s">
        <v>42</v>
      </c>
      <c r="F18" s="1803" t="s">
        <v>42</v>
      </c>
      <c r="G18" s="1803" t="s">
        <v>42</v>
      </c>
      <c r="H18" s="1803" t="s">
        <v>42</v>
      </c>
      <c r="I18" s="1803" t="s">
        <v>42</v>
      </c>
      <c r="J18" s="1803" t="s">
        <v>42</v>
      </c>
      <c r="K18" s="1803" t="s">
        <v>42</v>
      </c>
      <c r="L18" s="1803" t="s">
        <v>42</v>
      </c>
      <c r="M18" s="1803" t="s">
        <v>42</v>
      </c>
      <c r="N18" s="1803" t="s">
        <v>42</v>
      </c>
      <c r="O18" s="1803" t="s">
        <v>42</v>
      </c>
      <c r="P18" s="1803" t="s">
        <v>42</v>
      </c>
      <c r="Q18" s="1803" t="s">
        <v>42</v>
      </c>
      <c r="R18" s="1803" t="s">
        <v>42</v>
      </c>
      <c r="S18" s="1803" t="s">
        <v>43</v>
      </c>
      <c r="T18" s="1803" t="s">
        <v>42</v>
      </c>
      <c r="U18" s="1803" t="s">
        <v>42</v>
      </c>
      <c r="V18" s="1804" t="s">
        <v>43</v>
      </c>
    </row>
    <row r="19" spans="1:22" ht="15" customHeight="1" x14ac:dyDescent="0.25">
      <c r="A19" s="1801" t="s">
        <v>1224</v>
      </c>
      <c r="B19" s="1802" t="s">
        <v>43</v>
      </c>
      <c r="C19" s="1803" t="s">
        <v>42</v>
      </c>
      <c r="D19" s="1803" t="s">
        <v>42</v>
      </c>
      <c r="E19" s="1803" t="s">
        <v>42</v>
      </c>
      <c r="F19" s="1803" t="s">
        <v>42</v>
      </c>
      <c r="G19" s="1803" t="s">
        <v>42</v>
      </c>
      <c r="H19" s="1803" t="s">
        <v>42</v>
      </c>
      <c r="I19" s="1803" t="s">
        <v>42</v>
      </c>
      <c r="J19" s="1803" t="s">
        <v>42</v>
      </c>
      <c r="K19" s="1803" t="s">
        <v>42</v>
      </c>
      <c r="L19" s="1803" t="s">
        <v>42</v>
      </c>
      <c r="M19" s="1803" t="s">
        <v>42</v>
      </c>
      <c r="N19" s="1803" t="s">
        <v>42</v>
      </c>
      <c r="O19" s="1803" t="s">
        <v>42</v>
      </c>
      <c r="P19" s="1803" t="s">
        <v>42</v>
      </c>
      <c r="Q19" s="1803" t="s">
        <v>42</v>
      </c>
      <c r="R19" s="1803" t="s">
        <v>42</v>
      </c>
      <c r="S19" s="1803" t="s">
        <v>42</v>
      </c>
      <c r="T19" s="1803" t="s">
        <v>43</v>
      </c>
      <c r="U19" s="1803" t="s">
        <v>42</v>
      </c>
      <c r="V19" s="1804" t="s">
        <v>43</v>
      </c>
    </row>
    <row r="20" spans="1:22" ht="15" customHeight="1" x14ac:dyDescent="0.25">
      <c r="A20" s="1801" t="s">
        <v>1231</v>
      </c>
      <c r="B20" s="1802" t="s">
        <v>43</v>
      </c>
      <c r="C20" s="1803" t="s">
        <v>42</v>
      </c>
      <c r="D20" s="1803" t="s">
        <v>42</v>
      </c>
      <c r="E20" s="1803" t="s">
        <v>42</v>
      </c>
      <c r="F20" s="1803" t="s">
        <v>42</v>
      </c>
      <c r="G20" s="1803" t="s">
        <v>42</v>
      </c>
      <c r="H20" s="1803" t="s">
        <v>42</v>
      </c>
      <c r="I20" s="1803" t="s">
        <v>42</v>
      </c>
      <c r="J20" s="1803" t="s">
        <v>42</v>
      </c>
      <c r="K20" s="1803" t="s">
        <v>42</v>
      </c>
      <c r="L20" s="1803" t="s">
        <v>42</v>
      </c>
      <c r="M20" s="1803" t="s">
        <v>42</v>
      </c>
      <c r="N20" s="1803" t="s">
        <v>42</v>
      </c>
      <c r="O20" s="1803" t="s">
        <v>42</v>
      </c>
      <c r="P20" s="1803" t="s">
        <v>42</v>
      </c>
      <c r="Q20" s="1803" t="s">
        <v>42</v>
      </c>
      <c r="R20" s="1803" t="s">
        <v>42</v>
      </c>
      <c r="S20" s="1803" t="s">
        <v>42</v>
      </c>
      <c r="T20" s="1803" t="s">
        <v>42</v>
      </c>
      <c r="U20" s="1803" t="s">
        <v>43</v>
      </c>
      <c r="V20" s="1804" t="s">
        <v>43</v>
      </c>
    </row>
    <row r="21" spans="1:22" ht="15" customHeight="1" x14ac:dyDescent="0.25">
      <c r="A21" s="1801" t="s">
        <v>1232</v>
      </c>
      <c r="B21" s="1802" t="s">
        <v>43</v>
      </c>
      <c r="C21" s="1803" t="s">
        <v>43</v>
      </c>
      <c r="D21" s="1803" t="s">
        <v>43</v>
      </c>
      <c r="E21" s="1803" t="s">
        <v>43</v>
      </c>
      <c r="F21" s="1803" t="s">
        <v>43</v>
      </c>
      <c r="G21" s="1803" t="s">
        <v>43</v>
      </c>
      <c r="H21" s="1803" t="s">
        <v>43</v>
      </c>
      <c r="I21" s="1803" t="s">
        <v>43</v>
      </c>
      <c r="J21" s="1803" t="s">
        <v>43</v>
      </c>
      <c r="K21" s="1803" t="s">
        <v>43</v>
      </c>
      <c r="L21" s="1803" t="s">
        <v>43</v>
      </c>
      <c r="M21" s="1803" t="s">
        <v>43</v>
      </c>
      <c r="N21" s="1803" t="s">
        <v>43</v>
      </c>
      <c r="O21" s="1803" t="s">
        <v>43</v>
      </c>
      <c r="P21" s="1803" t="s">
        <v>43</v>
      </c>
      <c r="Q21" s="1803" t="s">
        <v>43</v>
      </c>
      <c r="R21" s="1803" t="s">
        <v>43</v>
      </c>
      <c r="S21" s="1803" t="s">
        <v>43</v>
      </c>
      <c r="T21" s="1803" t="s">
        <v>43</v>
      </c>
      <c r="U21" s="1803" t="s">
        <v>43</v>
      </c>
      <c r="V21" s="1804" t="s">
        <v>43</v>
      </c>
    </row>
    <row r="22" spans="1:22" ht="15" customHeight="1" x14ac:dyDescent="0.25">
      <c r="A22" s="1801" t="s">
        <v>1211</v>
      </c>
      <c r="B22" s="1802" t="s">
        <v>43</v>
      </c>
      <c r="C22" s="1803" t="s">
        <v>43</v>
      </c>
      <c r="D22" s="1803" t="s">
        <v>43</v>
      </c>
      <c r="E22" s="1803" t="s">
        <v>43</v>
      </c>
      <c r="F22" s="1803" t="s">
        <v>43</v>
      </c>
      <c r="G22" s="1803" t="s">
        <v>43</v>
      </c>
      <c r="H22" s="1803" t="s">
        <v>43</v>
      </c>
      <c r="I22" s="1803" t="s">
        <v>43</v>
      </c>
      <c r="J22" s="1803" t="s">
        <v>43</v>
      </c>
      <c r="K22" s="1803" t="s">
        <v>43</v>
      </c>
      <c r="L22" s="1803" t="s">
        <v>43</v>
      </c>
      <c r="M22" s="1803" t="s">
        <v>43</v>
      </c>
      <c r="N22" s="1803" t="s">
        <v>43</v>
      </c>
      <c r="O22" s="1803" t="s">
        <v>43</v>
      </c>
      <c r="P22" s="1803" t="s">
        <v>43</v>
      </c>
      <c r="Q22" s="1803" t="s">
        <v>43</v>
      </c>
      <c r="R22" s="1803" t="s">
        <v>43</v>
      </c>
      <c r="S22" s="1803" t="s">
        <v>43</v>
      </c>
      <c r="T22" s="1803" t="s">
        <v>43</v>
      </c>
      <c r="U22" s="1803" t="s">
        <v>43</v>
      </c>
      <c r="V22" s="1804" t="s">
        <v>43</v>
      </c>
    </row>
    <row r="23" spans="1:22" ht="15" customHeight="1" x14ac:dyDescent="0.25">
      <c r="A23" s="1801" t="s">
        <v>1243</v>
      </c>
      <c r="B23" s="1802" t="s">
        <v>43</v>
      </c>
      <c r="C23" s="1803" t="s">
        <v>43</v>
      </c>
      <c r="D23" s="1803" t="s">
        <v>43</v>
      </c>
      <c r="E23" s="1803" t="s">
        <v>43</v>
      </c>
      <c r="F23" s="1803" t="s">
        <v>43</v>
      </c>
      <c r="G23" s="1803" t="s">
        <v>43</v>
      </c>
      <c r="H23" s="1803" t="s">
        <v>43</v>
      </c>
      <c r="I23" s="1803" t="s">
        <v>43</v>
      </c>
      <c r="J23" s="1803" t="s">
        <v>43</v>
      </c>
      <c r="K23" s="1803" t="s">
        <v>43</v>
      </c>
      <c r="L23" s="1803" t="s">
        <v>43</v>
      </c>
      <c r="M23" s="1803" t="s">
        <v>43</v>
      </c>
      <c r="N23" s="1803" t="s">
        <v>43</v>
      </c>
      <c r="O23" s="1803" t="s">
        <v>43</v>
      </c>
      <c r="P23" s="1803" t="s">
        <v>43</v>
      </c>
      <c r="Q23" s="1803" t="s">
        <v>43</v>
      </c>
      <c r="R23" s="1803" t="s">
        <v>43</v>
      </c>
      <c r="S23" s="1803" t="s">
        <v>43</v>
      </c>
      <c r="T23" s="1803" t="s">
        <v>43</v>
      </c>
      <c r="U23" s="1803" t="s">
        <v>43</v>
      </c>
      <c r="V23" s="1804" t="s">
        <v>43</v>
      </c>
    </row>
    <row r="24" spans="1:22" ht="15" customHeight="1" x14ac:dyDescent="0.25">
      <c r="A24" s="1801" t="s">
        <v>1235</v>
      </c>
      <c r="B24" s="1802" t="s">
        <v>43</v>
      </c>
      <c r="C24" s="1803" t="s">
        <v>43</v>
      </c>
      <c r="D24" s="1803" t="s">
        <v>43</v>
      </c>
      <c r="E24" s="1803" t="s">
        <v>43</v>
      </c>
      <c r="F24" s="1803" t="s">
        <v>43</v>
      </c>
      <c r="G24" s="1803" t="s">
        <v>43</v>
      </c>
      <c r="H24" s="1803" t="s">
        <v>43</v>
      </c>
      <c r="I24" s="1803" t="s">
        <v>43</v>
      </c>
      <c r="J24" s="1803" t="s">
        <v>43</v>
      </c>
      <c r="K24" s="1803" t="s">
        <v>43</v>
      </c>
      <c r="L24" s="1803" t="s">
        <v>43</v>
      </c>
      <c r="M24" s="1803" t="s">
        <v>43</v>
      </c>
      <c r="N24" s="1803" t="s">
        <v>43</v>
      </c>
      <c r="O24" s="1803" t="s">
        <v>43</v>
      </c>
      <c r="P24" s="1803" t="s">
        <v>43</v>
      </c>
      <c r="Q24" s="1803" t="s">
        <v>43</v>
      </c>
      <c r="R24" s="1803" t="s">
        <v>43</v>
      </c>
      <c r="S24" s="1803" t="s">
        <v>43</v>
      </c>
      <c r="T24" s="1803" t="s">
        <v>43</v>
      </c>
      <c r="U24" s="1803" t="s">
        <v>43</v>
      </c>
      <c r="V24" s="1804" t="s">
        <v>43</v>
      </c>
    </row>
    <row r="25" spans="1:22" ht="15" customHeight="1" x14ac:dyDescent="0.25">
      <c r="A25" s="1801" t="s">
        <v>1331</v>
      </c>
      <c r="B25" s="1802" t="s">
        <v>43</v>
      </c>
      <c r="C25" s="1803" t="s">
        <v>43</v>
      </c>
      <c r="D25" s="1803" t="s">
        <v>43</v>
      </c>
      <c r="E25" s="1803" t="s">
        <v>43</v>
      </c>
      <c r="F25" s="1803" t="s">
        <v>43</v>
      </c>
      <c r="G25" s="1803" t="s">
        <v>43</v>
      </c>
      <c r="H25" s="1803" t="s">
        <v>43</v>
      </c>
      <c r="I25" s="1803" t="s">
        <v>43</v>
      </c>
      <c r="J25" s="1803" t="s">
        <v>43</v>
      </c>
      <c r="K25" s="1803" t="s">
        <v>43</v>
      </c>
      <c r="L25" s="1803" t="s">
        <v>43</v>
      </c>
      <c r="M25" s="1803" t="s">
        <v>43</v>
      </c>
      <c r="N25" s="1803" t="s">
        <v>43</v>
      </c>
      <c r="O25" s="1803" t="s">
        <v>43</v>
      </c>
      <c r="P25" s="1803" t="s">
        <v>43</v>
      </c>
      <c r="Q25" s="1803" t="s">
        <v>43</v>
      </c>
      <c r="R25" s="1803" t="s">
        <v>43</v>
      </c>
      <c r="S25" s="1803" t="s">
        <v>43</v>
      </c>
      <c r="T25" s="1803" t="s">
        <v>43</v>
      </c>
      <c r="U25" s="1803" t="s">
        <v>43</v>
      </c>
      <c r="V25" s="1804" t="s">
        <v>43</v>
      </c>
    </row>
    <row r="26" spans="1:22" ht="15" customHeight="1" x14ac:dyDescent="0.25">
      <c r="A26" s="1801" t="s">
        <v>1333</v>
      </c>
      <c r="B26" s="1802" t="s">
        <v>43</v>
      </c>
      <c r="C26" s="1803" t="s">
        <v>43</v>
      </c>
      <c r="D26" s="1803" t="s">
        <v>43</v>
      </c>
      <c r="E26" s="1803" t="s">
        <v>43</v>
      </c>
      <c r="F26" s="1803" t="s">
        <v>43</v>
      </c>
      <c r="G26" s="1803" t="s">
        <v>43</v>
      </c>
      <c r="H26" s="1803" t="s">
        <v>43</v>
      </c>
      <c r="I26" s="1803" t="s">
        <v>43</v>
      </c>
      <c r="J26" s="1803" t="s">
        <v>43</v>
      </c>
      <c r="K26" s="1803" t="s">
        <v>43</v>
      </c>
      <c r="L26" s="1803" t="s">
        <v>43</v>
      </c>
      <c r="M26" s="1803" t="s">
        <v>43</v>
      </c>
      <c r="N26" s="1803" t="s">
        <v>43</v>
      </c>
      <c r="O26" s="1803" t="s">
        <v>43</v>
      </c>
      <c r="P26" s="1803" t="s">
        <v>43</v>
      </c>
      <c r="Q26" s="1803" t="s">
        <v>43</v>
      </c>
      <c r="R26" s="1803" t="s">
        <v>43</v>
      </c>
      <c r="S26" s="1803" t="s">
        <v>43</v>
      </c>
      <c r="T26" s="1803" t="s">
        <v>43</v>
      </c>
      <c r="U26" s="1803" t="s">
        <v>43</v>
      </c>
      <c r="V26" s="1804" t="s">
        <v>43</v>
      </c>
    </row>
    <row r="27" spans="1:22" ht="15" customHeight="1" x14ac:dyDescent="0.25">
      <c r="A27" s="1801" t="s">
        <v>1241</v>
      </c>
      <c r="B27" s="1802" t="s">
        <v>43</v>
      </c>
      <c r="C27" s="1803" t="s">
        <v>43</v>
      </c>
      <c r="D27" s="1803" t="s">
        <v>43</v>
      </c>
      <c r="E27" s="1803" t="s">
        <v>43</v>
      </c>
      <c r="F27" s="1803" t="s">
        <v>43</v>
      </c>
      <c r="G27" s="1803" t="s">
        <v>43</v>
      </c>
      <c r="H27" s="1803" t="s">
        <v>43</v>
      </c>
      <c r="I27" s="1803" t="s">
        <v>43</v>
      </c>
      <c r="J27" s="1803" t="s">
        <v>43</v>
      </c>
      <c r="K27" s="1803" t="s">
        <v>43</v>
      </c>
      <c r="L27" s="1803" t="s">
        <v>43</v>
      </c>
      <c r="M27" s="1803" t="s">
        <v>43</v>
      </c>
      <c r="N27" s="1803" t="s">
        <v>43</v>
      </c>
      <c r="O27" s="1803" t="s">
        <v>43</v>
      </c>
      <c r="P27" s="1803" t="s">
        <v>43</v>
      </c>
      <c r="Q27" s="1803" t="s">
        <v>43</v>
      </c>
      <c r="R27" s="1803" t="s">
        <v>43</v>
      </c>
      <c r="S27" s="1803" t="s">
        <v>43</v>
      </c>
      <c r="T27" s="1803" t="s">
        <v>43</v>
      </c>
      <c r="U27" s="1803" t="s">
        <v>43</v>
      </c>
      <c r="V27" s="1804" t="s">
        <v>43</v>
      </c>
    </row>
    <row r="28" spans="1:22" ht="15" customHeight="1" x14ac:dyDescent="0.25">
      <c r="A28" s="1801" t="s">
        <v>1226</v>
      </c>
      <c r="B28" s="1802" t="s">
        <v>43</v>
      </c>
      <c r="C28" s="1803" t="s">
        <v>43</v>
      </c>
      <c r="D28" s="1803" t="s">
        <v>43</v>
      </c>
      <c r="E28" s="1803" t="s">
        <v>43</v>
      </c>
      <c r="F28" s="1803" t="s">
        <v>43</v>
      </c>
      <c r="G28" s="1803" t="s">
        <v>43</v>
      </c>
      <c r="H28" s="1803" t="s">
        <v>43</v>
      </c>
      <c r="I28" s="1803" t="s">
        <v>43</v>
      </c>
      <c r="J28" s="1803" t="s">
        <v>43</v>
      </c>
      <c r="K28" s="1803" t="s">
        <v>43</v>
      </c>
      <c r="L28" s="1803" t="s">
        <v>43</v>
      </c>
      <c r="M28" s="1803" t="s">
        <v>43</v>
      </c>
      <c r="N28" s="1803" t="s">
        <v>43</v>
      </c>
      <c r="O28" s="1803" t="s">
        <v>43</v>
      </c>
      <c r="P28" s="1803" t="s">
        <v>43</v>
      </c>
      <c r="Q28" s="1803" t="s">
        <v>43</v>
      </c>
      <c r="R28" s="1803" t="s">
        <v>43</v>
      </c>
      <c r="S28" s="1803" t="s">
        <v>43</v>
      </c>
      <c r="T28" s="1803" t="s">
        <v>43</v>
      </c>
      <c r="U28" s="1803" t="s">
        <v>43</v>
      </c>
      <c r="V28" s="1804" t="s">
        <v>43</v>
      </c>
    </row>
    <row r="29" spans="1:22" ht="15" customHeight="1" x14ac:dyDescent="0.25">
      <c r="A29" s="1801" t="s">
        <v>1239</v>
      </c>
      <c r="B29" s="1802" t="s">
        <v>43</v>
      </c>
      <c r="C29" s="1803" t="s">
        <v>43</v>
      </c>
      <c r="D29" s="1803" t="s">
        <v>43</v>
      </c>
      <c r="E29" s="1803" t="s">
        <v>43</v>
      </c>
      <c r="F29" s="1803" t="s">
        <v>43</v>
      </c>
      <c r="G29" s="1803" t="s">
        <v>43</v>
      </c>
      <c r="H29" s="1803" t="s">
        <v>43</v>
      </c>
      <c r="I29" s="1803" t="s">
        <v>43</v>
      </c>
      <c r="J29" s="1803" t="s">
        <v>43</v>
      </c>
      <c r="K29" s="1803" t="s">
        <v>43</v>
      </c>
      <c r="L29" s="1803" t="s">
        <v>43</v>
      </c>
      <c r="M29" s="1803" t="s">
        <v>43</v>
      </c>
      <c r="N29" s="1803" t="s">
        <v>43</v>
      </c>
      <c r="O29" s="1803" t="s">
        <v>43</v>
      </c>
      <c r="P29" s="1803" t="s">
        <v>43</v>
      </c>
      <c r="Q29" s="1803" t="s">
        <v>43</v>
      </c>
      <c r="R29" s="1803" t="s">
        <v>43</v>
      </c>
      <c r="S29" s="1803" t="s">
        <v>43</v>
      </c>
      <c r="T29" s="1803" t="s">
        <v>43</v>
      </c>
      <c r="U29" s="1803" t="s">
        <v>43</v>
      </c>
      <c r="V29" s="1804" t="s">
        <v>43</v>
      </c>
    </row>
    <row r="30" spans="1:22" ht="15" customHeight="1" x14ac:dyDescent="0.25">
      <c r="A30" s="1801" t="s">
        <v>1244</v>
      </c>
      <c r="B30" s="1802" t="s">
        <v>43</v>
      </c>
      <c r="C30" s="1803" t="s">
        <v>43</v>
      </c>
      <c r="D30" s="1803" t="s">
        <v>43</v>
      </c>
      <c r="E30" s="1803" t="s">
        <v>43</v>
      </c>
      <c r="F30" s="1803" t="s">
        <v>43</v>
      </c>
      <c r="G30" s="1803" t="s">
        <v>43</v>
      </c>
      <c r="H30" s="1803" t="s">
        <v>43</v>
      </c>
      <c r="I30" s="1803" t="s">
        <v>43</v>
      </c>
      <c r="J30" s="1803" t="s">
        <v>43</v>
      </c>
      <c r="K30" s="1803" t="s">
        <v>43</v>
      </c>
      <c r="L30" s="1803" t="s">
        <v>43</v>
      </c>
      <c r="M30" s="1803" t="s">
        <v>43</v>
      </c>
      <c r="N30" s="1803" t="s">
        <v>43</v>
      </c>
      <c r="O30" s="1803" t="s">
        <v>43</v>
      </c>
      <c r="P30" s="1803" t="s">
        <v>43</v>
      </c>
      <c r="Q30" s="1803" t="s">
        <v>43</v>
      </c>
      <c r="R30" s="1803" t="s">
        <v>43</v>
      </c>
      <c r="S30" s="1803" t="s">
        <v>43</v>
      </c>
      <c r="T30" s="1803" t="s">
        <v>43</v>
      </c>
      <c r="U30" s="1803" t="s">
        <v>43</v>
      </c>
      <c r="V30" s="1804" t="s">
        <v>43</v>
      </c>
    </row>
    <row r="31" spans="1:22" ht="15" customHeight="1" x14ac:dyDescent="0.25">
      <c r="A31" s="1801" t="s">
        <v>1227</v>
      </c>
      <c r="B31" s="1802" t="s">
        <v>43</v>
      </c>
      <c r="C31" s="1803" t="s">
        <v>43</v>
      </c>
      <c r="D31" s="1803" t="s">
        <v>43</v>
      </c>
      <c r="E31" s="1803" t="s">
        <v>43</v>
      </c>
      <c r="F31" s="1803" t="s">
        <v>43</v>
      </c>
      <c r="G31" s="1803" t="s">
        <v>43</v>
      </c>
      <c r="H31" s="1803" t="s">
        <v>43</v>
      </c>
      <c r="I31" s="1803" t="s">
        <v>43</v>
      </c>
      <c r="J31" s="1803" t="s">
        <v>43</v>
      </c>
      <c r="K31" s="1803" t="s">
        <v>43</v>
      </c>
      <c r="L31" s="1803" t="s">
        <v>43</v>
      </c>
      <c r="M31" s="1803" t="s">
        <v>43</v>
      </c>
      <c r="N31" s="1803" t="s">
        <v>43</v>
      </c>
      <c r="O31" s="1803" t="s">
        <v>43</v>
      </c>
      <c r="P31" s="1803" t="s">
        <v>43</v>
      </c>
      <c r="Q31" s="1803" t="s">
        <v>43</v>
      </c>
      <c r="R31" s="1803" t="s">
        <v>43</v>
      </c>
      <c r="S31" s="1803" t="s">
        <v>43</v>
      </c>
      <c r="T31" s="1803" t="s">
        <v>43</v>
      </c>
      <c r="U31" s="1803" t="s">
        <v>43</v>
      </c>
      <c r="V31" s="1804" t="s">
        <v>43</v>
      </c>
    </row>
    <row r="32" spans="1:22" ht="15" customHeight="1" x14ac:dyDescent="0.25">
      <c r="A32" s="1801" t="s">
        <v>1340</v>
      </c>
      <c r="B32" s="1802" t="s">
        <v>43</v>
      </c>
      <c r="C32" s="1803" t="s">
        <v>43</v>
      </c>
      <c r="D32" s="1803" t="s">
        <v>43</v>
      </c>
      <c r="E32" s="1803" t="s">
        <v>43</v>
      </c>
      <c r="F32" s="1803" t="s">
        <v>43</v>
      </c>
      <c r="G32" s="1803" t="s">
        <v>43</v>
      </c>
      <c r="H32" s="1803" t="s">
        <v>43</v>
      </c>
      <c r="I32" s="1803" t="s">
        <v>43</v>
      </c>
      <c r="J32" s="1803" t="s">
        <v>43</v>
      </c>
      <c r="K32" s="1803" t="s">
        <v>43</v>
      </c>
      <c r="L32" s="1803" t="s">
        <v>43</v>
      </c>
      <c r="M32" s="1803" t="s">
        <v>43</v>
      </c>
      <c r="N32" s="1803" t="s">
        <v>43</v>
      </c>
      <c r="O32" s="1803" t="s">
        <v>43</v>
      </c>
      <c r="P32" s="1803" t="s">
        <v>43</v>
      </c>
      <c r="Q32" s="1803" t="s">
        <v>43</v>
      </c>
      <c r="R32" s="1803" t="s">
        <v>43</v>
      </c>
      <c r="S32" s="1803" t="s">
        <v>43</v>
      </c>
      <c r="T32" s="1803" t="s">
        <v>43</v>
      </c>
      <c r="U32" s="1803" t="s">
        <v>43</v>
      </c>
      <c r="V32" s="1804" t="s">
        <v>43</v>
      </c>
    </row>
    <row r="33" spans="1:22" ht="15" customHeight="1" x14ac:dyDescent="0.25">
      <c r="A33" s="1801" t="s">
        <v>1240</v>
      </c>
      <c r="B33" s="1802" t="s">
        <v>43</v>
      </c>
      <c r="C33" s="1803" t="s">
        <v>43</v>
      </c>
      <c r="D33" s="1803" t="s">
        <v>43</v>
      </c>
      <c r="E33" s="1803" t="s">
        <v>43</v>
      </c>
      <c r="F33" s="1803" t="s">
        <v>43</v>
      </c>
      <c r="G33" s="1803" t="s">
        <v>43</v>
      </c>
      <c r="H33" s="1803" t="s">
        <v>43</v>
      </c>
      <c r="I33" s="1803" t="s">
        <v>43</v>
      </c>
      <c r="J33" s="1803" t="s">
        <v>43</v>
      </c>
      <c r="K33" s="1803" t="s">
        <v>43</v>
      </c>
      <c r="L33" s="1803" t="s">
        <v>43</v>
      </c>
      <c r="M33" s="1803" t="s">
        <v>43</v>
      </c>
      <c r="N33" s="1803" t="s">
        <v>43</v>
      </c>
      <c r="O33" s="1803" t="s">
        <v>43</v>
      </c>
      <c r="P33" s="1803" t="s">
        <v>43</v>
      </c>
      <c r="Q33" s="1803" t="s">
        <v>43</v>
      </c>
      <c r="R33" s="1803" t="s">
        <v>43</v>
      </c>
      <c r="S33" s="1803" t="s">
        <v>43</v>
      </c>
      <c r="T33" s="1803" t="s">
        <v>43</v>
      </c>
      <c r="U33" s="1803" t="s">
        <v>43</v>
      </c>
      <c r="V33" s="1804" t="s">
        <v>43</v>
      </c>
    </row>
    <row r="34" spans="1:22" ht="15" customHeight="1" x14ac:dyDescent="0.25">
      <c r="A34" s="1801" t="s">
        <v>1343</v>
      </c>
      <c r="B34" s="1802" t="s">
        <v>43</v>
      </c>
      <c r="C34" s="1803" t="s">
        <v>43</v>
      </c>
      <c r="D34" s="1803" t="s">
        <v>43</v>
      </c>
      <c r="E34" s="1803" t="s">
        <v>43</v>
      </c>
      <c r="F34" s="1803" t="s">
        <v>43</v>
      </c>
      <c r="G34" s="1803" t="s">
        <v>43</v>
      </c>
      <c r="H34" s="1803" t="s">
        <v>43</v>
      </c>
      <c r="I34" s="1803" t="s">
        <v>43</v>
      </c>
      <c r="J34" s="1803" t="s">
        <v>43</v>
      </c>
      <c r="K34" s="1803" t="s">
        <v>43</v>
      </c>
      <c r="L34" s="1803" t="s">
        <v>43</v>
      </c>
      <c r="M34" s="1803" t="s">
        <v>43</v>
      </c>
      <c r="N34" s="1803" t="s">
        <v>43</v>
      </c>
      <c r="O34" s="1803" t="s">
        <v>43</v>
      </c>
      <c r="P34" s="1803" t="s">
        <v>43</v>
      </c>
      <c r="Q34" s="1803" t="s">
        <v>43</v>
      </c>
      <c r="R34" s="1803" t="s">
        <v>43</v>
      </c>
      <c r="S34" s="1803" t="s">
        <v>43</v>
      </c>
      <c r="T34" s="1803" t="s">
        <v>43</v>
      </c>
      <c r="U34" s="1803" t="s">
        <v>43</v>
      </c>
      <c r="V34" s="1804" t="s">
        <v>43</v>
      </c>
    </row>
    <row r="35" spans="1:22" ht="15" customHeight="1" x14ac:dyDescent="0.25">
      <c r="A35" s="1801" t="s">
        <v>1237</v>
      </c>
      <c r="B35" s="1802" t="s">
        <v>43</v>
      </c>
      <c r="C35" s="1803" t="s">
        <v>43</v>
      </c>
      <c r="D35" s="1803" t="s">
        <v>43</v>
      </c>
      <c r="E35" s="1803" t="s">
        <v>43</v>
      </c>
      <c r="F35" s="1803" t="s">
        <v>43</v>
      </c>
      <c r="G35" s="1803" t="s">
        <v>43</v>
      </c>
      <c r="H35" s="1803" t="s">
        <v>43</v>
      </c>
      <c r="I35" s="1803" t="s">
        <v>43</v>
      </c>
      <c r="J35" s="1803" t="s">
        <v>43</v>
      </c>
      <c r="K35" s="1803" t="s">
        <v>43</v>
      </c>
      <c r="L35" s="1803" t="s">
        <v>43</v>
      </c>
      <c r="M35" s="1803" t="s">
        <v>43</v>
      </c>
      <c r="N35" s="1803" t="s">
        <v>43</v>
      </c>
      <c r="O35" s="1803" t="s">
        <v>43</v>
      </c>
      <c r="P35" s="1803" t="s">
        <v>43</v>
      </c>
      <c r="Q35" s="1803" t="s">
        <v>43</v>
      </c>
      <c r="R35" s="1803" t="s">
        <v>43</v>
      </c>
      <c r="S35" s="1803" t="s">
        <v>43</v>
      </c>
      <c r="T35" s="1803" t="s">
        <v>43</v>
      </c>
      <c r="U35" s="1803" t="s">
        <v>43</v>
      </c>
      <c r="V35" s="1804" t="s">
        <v>43</v>
      </c>
    </row>
    <row r="36" spans="1:22" ht="15" customHeight="1" x14ac:dyDescent="0.25">
      <c r="A36" s="1801" t="s">
        <v>1242</v>
      </c>
      <c r="B36" s="1802" t="s">
        <v>43</v>
      </c>
      <c r="C36" s="1803" t="s">
        <v>43</v>
      </c>
      <c r="D36" s="1803" t="s">
        <v>43</v>
      </c>
      <c r="E36" s="1803" t="s">
        <v>43</v>
      </c>
      <c r="F36" s="1803" t="s">
        <v>43</v>
      </c>
      <c r="G36" s="1803" t="s">
        <v>43</v>
      </c>
      <c r="H36" s="1803" t="s">
        <v>43</v>
      </c>
      <c r="I36" s="1803" t="s">
        <v>43</v>
      </c>
      <c r="J36" s="1803" t="s">
        <v>43</v>
      </c>
      <c r="K36" s="1803" t="s">
        <v>43</v>
      </c>
      <c r="L36" s="1803" t="s">
        <v>43</v>
      </c>
      <c r="M36" s="1803" t="s">
        <v>43</v>
      </c>
      <c r="N36" s="1803" t="s">
        <v>43</v>
      </c>
      <c r="O36" s="1803" t="s">
        <v>43</v>
      </c>
      <c r="P36" s="1803" t="s">
        <v>43</v>
      </c>
      <c r="Q36" s="1803" t="s">
        <v>43</v>
      </c>
      <c r="R36" s="1803" t="s">
        <v>43</v>
      </c>
      <c r="S36" s="1803" t="s">
        <v>43</v>
      </c>
      <c r="T36" s="1803" t="s">
        <v>43</v>
      </c>
      <c r="U36" s="1803" t="s">
        <v>43</v>
      </c>
      <c r="V36" s="1804" t="s">
        <v>43</v>
      </c>
    </row>
    <row r="37" spans="1:22" ht="15" customHeight="1" x14ac:dyDescent="0.25">
      <c r="A37" s="1801" t="s">
        <v>1238</v>
      </c>
      <c r="B37" s="1802" t="s">
        <v>43</v>
      </c>
      <c r="C37" s="1803" t="s">
        <v>43</v>
      </c>
      <c r="D37" s="1803" t="s">
        <v>43</v>
      </c>
      <c r="E37" s="1803" t="s">
        <v>43</v>
      </c>
      <c r="F37" s="1803" t="s">
        <v>43</v>
      </c>
      <c r="G37" s="1803" t="s">
        <v>43</v>
      </c>
      <c r="H37" s="1803" t="s">
        <v>43</v>
      </c>
      <c r="I37" s="1803" t="s">
        <v>43</v>
      </c>
      <c r="J37" s="1803" t="s">
        <v>43</v>
      </c>
      <c r="K37" s="1803" t="s">
        <v>43</v>
      </c>
      <c r="L37" s="1803" t="s">
        <v>43</v>
      </c>
      <c r="M37" s="1803" t="s">
        <v>43</v>
      </c>
      <c r="N37" s="1803" t="s">
        <v>43</v>
      </c>
      <c r="O37" s="1803" t="s">
        <v>43</v>
      </c>
      <c r="P37" s="1803" t="s">
        <v>43</v>
      </c>
      <c r="Q37" s="1803" t="s">
        <v>43</v>
      </c>
      <c r="R37" s="1803" t="s">
        <v>43</v>
      </c>
      <c r="S37" s="1803" t="s">
        <v>43</v>
      </c>
      <c r="T37" s="1803" t="s">
        <v>43</v>
      </c>
      <c r="U37" s="1803" t="s">
        <v>43</v>
      </c>
      <c r="V37" s="1804" t="s">
        <v>43</v>
      </c>
    </row>
    <row r="38" spans="1:22" ht="15" customHeight="1" x14ac:dyDescent="0.25">
      <c r="A38" s="1805" t="s">
        <v>815</v>
      </c>
      <c r="B38" s="1806" t="s">
        <v>43</v>
      </c>
      <c r="C38" s="1807" t="s">
        <v>43</v>
      </c>
      <c r="D38" s="1807" t="s">
        <v>43</v>
      </c>
      <c r="E38" s="1807" t="s">
        <v>43</v>
      </c>
      <c r="F38" s="1807" t="s">
        <v>43</v>
      </c>
      <c r="G38" s="1807" t="s">
        <v>43</v>
      </c>
      <c r="H38" s="1807" t="s">
        <v>43</v>
      </c>
      <c r="I38" s="1807" t="s">
        <v>43</v>
      </c>
      <c r="J38" s="1807" t="s">
        <v>43</v>
      </c>
      <c r="K38" s="1807" t="s">
        <v>43</v>
      </c>
      <c r="L38" s="1807" t="s">
        <v>43</v>
      </c>
      <c r="M38" s="1807" t="s">
        <v>43</v>
      </c>
      <c r="N38" s="1807" t="s">
        <v>43</v>
      </c>
      <c r="O38" s="1807" t="s">
        <v>43</v>
      </c>
      <c r="P38" s="1807" t="s">
        <v>43</v>
      </c>
      <c r="Q38" s="1807" t="s">
        <v>43</v>
      </c>
      <c r="R38" s="1807" t="s">
        <v>43</v>
      </c>
      <c r="S38" s="1807" t="s">
        <v>43</v>
      </c>
      <c r="T38" s="1807" t="s">
        <v>43</v>
      </c>
      <c r="U38" s="1807" t="s">
        <v>43</v>
      </c>
      <c r="V38" s="1808" t="s">
        <v>43</v>
      </c>
    </row>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K90"/>
  <sheetViews>
    <sheetView zoomScale="75" zoomScaleNormal="75" workbookViewId="0">
      <pane ySplit="1" topLeftCell="A2" activePane="bottomLeft" state="frozen"/>
      <selection pane="bottomLeft" activeCell="C1" sqref="C1"/>
    </sheetView>
  </sheetViews>
  <sheetFormatPr defaultColWidth="0" defaultRowHeight="0" customHeight="1" zeroHeight="1" x14ac:dyDescent="0.25"/>
  <cols>
    <col min="1" max="1" width="1.7109375" style="112" customWidth="1"/>
    <col min="2" max="2" width="100.7109375" style="106" customWidth="1"/>
    <col min="3" max="3" width="18.7109375" style="106" customWidth="1"/>
    <col min="4" max="5" width="18.7109375" style="185" customWidth="1"/>
    <col min="6" max="6" width="1.7109375" style="1487" customWidth="1"/>
    <col min="7" max="10" width="16.7109375" style="2326" customWidth="1"/>
    <col min="11" max="11" width="1.7109375" style="185" customWidth="1"/>
    <col min="12" max="16384" width="16.85546875" hidden="1"/>
  </cols>
  <sheetData>
    <row r="1" spans="1:11" ht="30" customHeight="1" x14ac:dyDescent="0.55000000000000004">
      <c r="A1" s="2060" t="s">
        <v>183</v>
      </c>
      <c r="B1" s="1254"/>
      <c r="C1" s="1255" t="str">
        <f>CONCATENATE("v",Parameters!C4,".",Parameters!D4,".",Parameters!E4)</f>
        <v>v4.6.S3</v>
      </c>
      <c r="D1" s="1256"/>
      <c r="E1" s="1256"/>
      <c r="F1" s="1256"/>
      <c r="G1" s="1406"/>
      <c r="H1" s="1406"/>
      <c r="I1" s="1406"/>
      <c r="J1" s="1406"/>
      <c r="K1" s="1239"/>
    </row>
    <row r="2" spans="1:11" ht="30" customHeight="1" x14ac:dyDescent="0.35">
      <c r="A2" s="1257" t="s">
        <v>2098</v>
      </c>
      <c r="B2" s="1258"/>
      <c r="C2" s="1259"/>
      <c r="D2" s="1252"/>
      <c r="E2" s="1252"/>
      <c r="K2" s="438"/>
    </row>
    <row r="3" spans="1:11" ht="45" customHeight="1" x14ac:dyDescent="0.25">
      <c r="A3" s="2071" t="s">
        <v>2115</v>
      </c>
      <c r="B3" s="104"/>
      <c r="C3" s="1523"/>
      <c r="D3" s="325"/>
      <c r="E3" s="325"/>
      <c r="F3" s="325"/>
      <c r="K3" s="441"/>
    </row>
    <row r="4" spans="1:11" ht="15" customHeight="1" x14ac:dyDescent="0.25">
      <c r="A4" s="469"/>
      <c r="B4" s="855" t="s">
        <v>38</v>
      </c>
      <c r="C4" s="1260"/>
      <c r="D4" s="1261"/>
      <c r="E4" s="2"/>
      <c r="F4" s="325"/>
      <c r="G4" s="2585" t="s">
        <v>2298</v>
      </c>
      <c r="H4" s="2585"/>
      <c r="I4" s="2585"/>
      <c r="J4" s="2585"/>
      <c r="K4" s="441"/>
    </row>
    <row r="5" spans="1:11" ht="15" customHeight="1" x14ac:dyDescent="0.25">
      <c r="A5" s="469"/>
      <c r="B5" s="222" t="s">
        <v>900</v>
      </c>
      <c r="C5" s="623"/>
      <c r="D5" s="8"/>
      <c r="E5" s="2"/>
      <c r="F5" s="325"/>
      <c r="G5" s="2585"/>
      <c r="H5" s="2585"/>
      <c r="I5" s="2585"/>
      <c r="J5" s="2585"/>
      <c r="K5" s="441"/>
    </row>
    <row r="6" spans="1:11" ht="15" customHeight="1" x14ac:dyDescent="0.25">
      <c r="A6" s="469"/>
      <c r="B6" s="222" t="s">
        <v>938</v>
      </c>
      <c r="C6" s="1024"/>
      <c r="D6" s="8"/>
      <c r="E6" s="2"/>
      <c r="F6" s="325"/>
      <c r="G6" s="2585"/>
      <c r="H6" s="2585"/>
      <c r="I6" s="2585"/>
      <c r="J6" s="2585"/>
      <c r="K6" s="441"/>
    </row>
    <row r="7" spans="1:11" ht="15" customHeight="1" x14ac:dyDescent="0.25">
      <c r="A7" s="469"/>
      <c r="B7" s="323" t="s">
        <v>114</v>
      </c>
      <c r="C7" s="624">
        <v>1</v>
      </c>
      <c r="D7" s="118" t="str">
        <f>VLOOKUP(C7,UnitT,2)</f>
        <v>One</v>
      </c>
      <c r="E7" s="2"/>
      <c r="F7" s="325"/>
      <c r="G7" s="2585"/>
      <c r="H7" s="2585"/>
      <c r="I7" s="2585"/>
      <c r="J7" s="2585"/>
      <c r="K7" s="441"/>
    </row>
    <row r="8" spans="1:11" ht="15" customHeight="1" x14ac:dyDescent="0.25">
      <c r="A8" s="469"/>
      <c r="B8" s="619" t="s">
        <v>51</v>
      </c>
      <c r="C8" s="2607"/>
      <c r="D8" s="2607"/>
      <c r="E8" s="2"/>
      <c r="F8" s="325"/>
      <c r="G8" s="2585"/>
      <c r="H8" s="2585"/>
      <c r="I8" s="2585"/>
      <c r="J8" s="2585"/>
      <c r="K8" s="441"/>
    </row>
    <row r="9" spans="1:11" ht="60" customHeight="1" x14ac:dyDescent="0.25">
      <c r="A9" s="2608" t="s">
        <v>2116</v>
      </c>
      <c r="B9" s="2609"/>
      <c r="C9" s="1523"/>
      <c r="D9" s="325"/>
      <c r="E9" s="325"/>
      <c r="F9" s="325"/>
      <c r="G9" s="2585"/>
      <c r="H9" s="2585"/>
      <c r="I9" s="2585"/>
      <c r="J9" s="2585"/>
      <c r="K9" s="441"/>
    </row>
    <row r="10" spans="1:11" ht="45" customHeight="1" x14ac:dyDescent="0.25">
      <c r="A10" s="2610" t="s">
        <v>2117</v>
      </c>
      <c r="B10" s="2611"/>
      <c r="C10" s="326"/>
      <c r="D10" s="326"/>
      <c r="E10" s="326"/>
      <c r="F10" s="326"/>
      <c r="G10" s="2585"/>
      <c r="H10" s="2585"/>
      <c r="I10" s="2585"/>
      <c r="J10" s="2585"/>
      <c r="K10" s="1262"/>
    </row>
    <row r="11" spans="1:11" ht="15" customHeight="1" x14ac:dyDescent="0.25">
      <c r="A11" s="397"/>
      <c r="B11" s="822" t="s">
        <v>78</v>
      </c>
      <c r="C11" s="821"/>
      <c r="D11" s="1261"/>
      <c r="E11" s="325"/>
      <c r="F11" s="325"/>
      <c r="G11" s="2585"/>
      <c r="H11" s="2585"/>
      <c r="I11" s="2585"/>
      <c r="J11" s="2585"/>
      <c r="K11" s="441"/>
    </row>
    <row r="12" spans="1:11" ht="15" customHeight="1" x14ac:dyDescent="0.25">
      <c r="A12" s="469"/>
      <c r="B12" s="222" t="s">
        <v>875</v>
      </c>
      <c r="C12" s="2064"/>
      <c r="D12" s="325" t="str">
        <f>IF(OR(C12="",C13=""),"", IF(OR(C12="Yes", C13="Yes"), "Yes", "No"))</f>
        <v/>
      </c>
      <c r="E12" s="325"/>
      <c r="F12" s="325"/>
      <c r="G12" s="2585"/>
      <c r="H12" s="2585"/>
      <c r="I12" s="2585"/>
      <c r="J12" s="2585"/>
      <c r="K12" s="441"/>
    </row>
    <row r="13" spans="1:11" ht="15" customHeight="1" x14ac:dyDescent="0.25">
      <c r="A13" s="469"/>
      <c r="B13" s="222" t="s">
        <v>876</v>
      </c>
      <c r="C13" s="2065"/>
      <c r="D13" s="2175"/>
      <c r="E13" s="325"/>
      <c r="F13" s="325"/>
      <c r="G13" s="2585"/>
      <c r="H13" s="2585"/>
      <c r="I13" s="2585"/>
      <c r="J13" s="2585"/>
      <c r="K13" s="441"/>
    </row>
    <row r="14" spans="1:11" ht="30" customHeight="1" x14ac:dyDescent="0.25">
      <c r="A14" s="469"/>
      <c r="B14" s="1253" t="s">
        <v>1016</v>
      </c>
      <c r="C14" s="1120"/>
      <c r="D14" s="1073"/>
      <c r="E14" s="325"/>
      <c r="F14" s="325"/>
      <c r="G14" s="2585"/>
      <c r="H14" s="2585"/>
      <c r="I14" s="2585"/>
      <c r="J14" s="2585"/>
      <c r="K14" s="441"/>
    </row>
    <row r="15" spans="1:11" ht="15" customHeight="1" x14ac:dyDescent="0.25">
      <c r="A15" s="469"/>
      <c r="B15" s="411" t="s">
        <v>877</v>
      </c>
      <c r="C15" s="2046"/>
      <c r="D15" s="879"/>
      <c r="E15" s="325"/>
      <c r="F15" s="325"/>
      <c r="G15" s="2585"/>
      <c r="H15" s="2585"/>
      <c r="I15" s="2585"/>
      <c r="J15" s="2585"/>
      <c r="K15" s="441"/>
    </row>
    <row r="16" spans="1:11" ht="60" customHeight="1" x14ac:dyDescent="0.25">
      <c r="A16" s="2071" t="s">
        <v>2118</v>
      </c>
      <c r="B16" s="104"/>
      <c r="C16" s="1523"/>
      <c r="D16" s="325"/>
      <c r="E16" s="325"/>
      <c r="F16" s="325"/>
      <c r="G16" s="2585"/>
      <c r="H16" s="2585"/>
      <c r="I16" s="2585"/>
      <c r="J16" s="2585"/>
      <c r="K16" s="441"/>
    </row>
    <row r="17" spans="1:11" ht="30" customHeight="1" x14ac:dyDescent="0.25">
      <c r="A17" s="469"/>
      <c r="B17" s="2058"/>
      <c r="C17" s="2052" t="s">
        <v>505</v>
      </c>
      <c r="D17" s="2054" t="s">
        <v>974</v>
      </c>
      <c r="E17" s="2054" t="s">
        <v>2273</v>
      </c>
      <c r="F17" s="1523"/>
      <c r="G17" s="2585"/>
      <c r="H17" s="2585"/>
      <c r="I17" s="2585"/>
      <c r="J17" s="2585"/>
      <c r="K17" s="526"/>
    </row>
    <row r="18" spans="1:11" ht="15" customHeight="1" x14ac:dyDescent="0.25">
      <c r="A18" s="469"/>
      <c r="B18" s="822" t="s">
        <v>1035</v>
      </c>
      <c r="C18" s="2061"/>
      <c r="D18" s="2061"/>
      <c r="E18" s="1261"/>
      <c r="F18" s="1523"/>
      <c r="G18" s="2585"/>
      <c r="H18" s="2585"/>
      <c r="I18" s="2585"/>
      <c r="J18" s="2585"/>
      <c r="K18" s="526"/>
    </row>
    <row r="19" spans="1:11" ht="15" customHeight="1" x14ac:dyDescent="0.25">
      <c r="A19" s="1463"/>
      <c r="B19" s="530" t="s">
        <v>539</v>
      </c>
      <c r="C19" s="625"/>
      <c r="D19" s="976"/>
      <c r="E19" s="1073"/>
      <c r="F19" s="325"/>
      <c r="K19" s="441"/>
    </row>
    <row r="20" spans="1:11" ht="15" customHeight="1" x14ac:dyDescent="0.25">
      <c r="A20" s="1463"/>
      <c r="B20" s="530" t="s">
        <v>537</v>
      </c>
      <c r="C20" s="625"/>
      <c r="D20" s="1073"/>
      <c r="E20" s="1073"/>
      <c r="F20" s="325"/>
      <c r="K20" s="441"/>
    </row>
    <row r="21" spans="1:11" ht="15" customHeight="1" x14ac:dyDescent="0.25">
      <c r="A21" s="1463"/>
      <c r="B21" s="530" t="s">
        <v>538</v>
      </c>
      <c r="C21" s="625"/>
      <c r="D21" s="1073"/>
      <c r="E21" s="1073"/>
      <c r="F21" s="325"/>
      <c r="K21" s="441"/>
    </row>
    <row r="22" spans="1:11" ht="15" customHeight="1" x14ac:dyDescent="0.25">
      <c r="A22" s="1463"/>
      <c r="B22" s="620" t="s">
        <v>301</v>
      </c>
      <c r="C22" s="2046"/>
      <c r="D22" s="1075"/>
      <c r="E22" s="2552"/>
      <c r="F22" s="325"/>
      <c r="K22" s="441"/>
    </row>
    <row r="23" spans="1:11" ht="15" customHeight="1" x14ac:dyDescent="0.25">
      <c r="A23" s="469"/>
      <c r="B23" s="822" t="s">
        <v>1036</v>
      </c>
      <c r="C23" s="2061"/>
      <c r="D23" s="2061"/>
      <c r="E23" s="1261"/>
      <c r="F23" s="1523"/>
      <c r="K23" s="526"/>
    </row>
    <row r="24" spans="1:11" ht="15" customHeight="1" x14ac:dyDescent="0.25">
      <c r="A24" s="1463"/>
      <c r="B24" s="530" t="s">
        <v>539</v>
      </c>
      <c r="C24" s="625"/>
      <c r="D24" s="976"/>
      <c r="E24" s="1073"/>
      <c r="F24" s="325"/>
      <c r="K24" s="441"/>
    </row>
    <row r="25" spans="1:11" ht="15" customHeight="1" x14ac:dyDescent="0.25">
      <c r="A25" s="1463"/>
      <c r="B25" s="530" t="s">
        <v>1005</v>
      </c>
      <c r="C25" s="625"/>
      <c r="D25" s="976"/>
      <c r="E25" s="1073"/>
      <c r="F25" s="325"/>
      <c r="K25" s="441"/>
    </row>
    <row r="26" spans="1:11" ht="15" customHeight="1" x14ac:dyDescent="0.25">
      <c r="A26" s="1463"/>
      <c r="B26" s="240" t="s">
        <v>1497</v>
      </c>
      <c r="C26" s="625"/>
      <c r="D26" s="1073"/>
      <c r="E26" s="1073"/>
      <c r="F26" s="325"/>
      <c r="K26" s="441"/>
    </row>
    <row r="27" spans="1:11" ht="15" customHeight="1" x14ac:dyDescent="0.25">
      <c r="A27" s="1463"/>
      <c r="B27" s="359" t="s">
        <v>1522</v>
      </c>
      <c r="C27" s="2046"/>
      <c r="D27" s="1075"/>
      <c r="E27" s="1073"/>
      <c r="F27" s="325"/>
      <c r="K27" s="441"/>
    </row>
    <row r="28" spans="1:11" ht="15" customHeight="1" x14ac:dyDescent="0.25">
      <c r="A28" s="1463"/>
      <c r="B28" s="427" t="s">
        <v>587</v>
      </c>
      <c r="C28" s="1263"/>
      <c r="D28" s="879"/>
      <c r="E28" s="879"/>
      <c r="F28" s="325"/>
      <c r="K28" s="441"/>
    </row>
    <row r="29" spans="1:11" ht="60" customHeight="1" x14ac:dyDescent="0.25">
      <c r="A29" s="2071" t="s">
        <v>2119</v>
      </c>
      <c r="B29" s="104"/>
      <c r="C29" s="1523"/>
      <c r="D29" s="325"/>
      <c r="E29" s="325"/>
      <c r="F29" s="325"/>
      <c r="K29" s="441"/>
    </row>
    <row r="30" spans="1:11" ht="15" customHeight="1" x14ac:dyDescent="0.25">
      <c r="A30" s="469"/>
      <c r="B30" s="855" t="s">
        <v>532</v>
      </c>
      <c r="C30" s="821"/>
      <c r="D30" s="325"/>
      <c r="E30" s="325"/>
      <c r="F30" s="325"/>
      <c r="K30" s="441"/>
    </row>
    <row r="31" spans="1:11" ht="15" customHeight="1" x14ac:dyDescent="0.25">
      <c r="A31" s="469"/>
      <c r="B31" s="139" t="s">
        <v>533</v>
      </c>
      <c r="C31" s="625"/>
      <c r="D31" s="325"/>
      <c r="E31" s="325"/>
      <c r="F31" s="325"/>
      <c r="K31" s="441"/>
    </row>
    <row r="32" spans="1:11" ht="15" customHeight="1" x14ac:dyDescent="0.25">
      <c r="A32" s="1264"/>
      <c r="B32" s="530" t="s">
        <v>534</v>
      </c>
      <c r="C32" s="625"/>
      <c r="D32" s="325"/>
      <c r="E32" s="325"/>
      <c r="F32" s="325"/>
      <c r="K32" s="441"/>
    </row>
    <row r="33" spans="1:11" ht="15" customHeight="1" x14ac:dyDescent="0.25">
      <c r="A33" s="1264"/>
      <c r="B33" s="532" t="s">
        <v>535</v>
      </c>
      <c r="C33" s="625"/>
      <c r="D33" s="325"/>
      <c r="E33" s="325"/>
      <c r="F33" s="325"/>
      <c r="K33" s="441"/>
    </row>
    <row r="34" spans="1:11" ht="15" customHeight="1" x14ac:dyDescent="0.25">
      <c r="A34" s="1264"/>
      <c r="B34" s="532" t="s">
        <v>536</v>
      </c>
      <c r="C34" s="1120"/>
      <c r="D34" s="325"/>
      <c r="E34" s="325"/>
      <c r="F34" s="325"/>
      <c r="K34" s="441"/>
    </row>
    <row r="35" spans="1:11" ht="15" customHeight="1" x14ac:dyDescent="0.25">
      <c r="A35" s="1264"/>
      <c r="B35" s="411" t="s">
        <v>1115</v>
      </c>
      <c r="C35" s="2046"/>
      <c r="D35" s="325"/>
      <c r="E35" s="325"/>
      <c r="F35" s="325"/>
      <c r="K35" s="441"/>
    </row>
    <row r="36" spans="1:11" ht="60" customHeight="1" x14ac:dyDescent="0.25">
      <c r="A36" s="2071" t="s">
        <v>2120</v>
      </c>
      <c r="B36" s="104"/>
      <c r="C36" s="1523"/>
      <c r="D36" s="325"/>
      <c r="E36" s="325"/>
      <c r="F36" s="325"/>
      <c r="K36" s="441"/>
    </row>
    <row r="37" spans="1:11" ht="30" customHeight="1" x14ac:dyDescent="0.25">
      <c r="A37" s="469"/>
      <c r="B37" s="2058"/>
      <c r="C37" s="2053" t="s">
        <v>505</v>
      </c>
      <c r="D37" s="2054" t="s">
        <v>974</v>
      </c>
      <c r="E37" s="325"/>
      <c r="F37" s="1523"/>
      <c r="K37" s="526"/>
    </row>
    <row r="38" spans="1:11" ht="15" customHeight="1" x14ac:dyDescent="0.25">
      <c r="A38" s="397"/>
      <c r="B38" s="855" t="s">
        <v>1006</v>
      </c>
      <c r="C38" s="1439"/>
      <c r="D38" s="552"/>
      <c r="E38" s="325"/>
      <c r="F38" s="325"/>
      <c r="K38" s="441"/>
    </row>
    <row r="39" spans="1:11" ht="15" customHeight="1" x14ac:dyDescent="0.25">
      <c r="A39" s="397"/>
      <c r="B39" s="323" t="s">
        <v>1007</v>
      </c>
      <c r="C39" s="995"/>
      <c r="D39" s="552"/>
      <c r="E39" s="325"/>
      <c r="F39" s="325"/>
      <c r="K39" s="441"/>
    </row>
    <row r="40" spans="1:11" ht="15" customHeight="1" x14ac:dyDescent="0.25">
      <c r="A40" s="469"/>
      <c r="B40" s="222" t="s">
        <v>1008</v>
      </c>
      <c r="C40" s="552"/>
      <c r="D40" s="995"/>
      <c r="E40" s="325"/>
      <c r="F40" s="325"/>
      <c r="K40" s="441"/>
    </row>
    <row r="41" spans="1:11" ht="15" customHeight="1" x14ac:dyDescent="0.25">
      <c r="A41" s="469"/>
      <c r="B41" s="222" t="s">
        <v>1009</v>
      </c>
      <c r="C41" s="552"/>
      <c r="D41" s="995"/>
      <c r="E41" s="325"/>
      <c r="F41" s="325"/>
      <c r="K41" s="441"/>
    </row>
    <row r="42" spans="1:11" ht="15" customHeight="1" x14ac:dyDescent="0.25">
      <c r="A42" s="469"/>
      <c r="B42" s="411" t="s">
        <v>994</v>
      </c>
      <c r="C42" s="1027"/>
      <c r="D42" s="1076"/>
      <c r="E42" s="325"/>
      <c r="F42" s="325"/>
      <c r="K42" s="441"/>
    </row>
    <row r="43" spans="1:11" ht="60" customHeight="1" x14ac:dyDescent="0.25">
      <c r="A43" s="2071" t="s">
        <v>2121</v>
      </c>
      <c r="B43" s="104"/>
      <c r="C43" s="1523"/>
      <c r="D43" s="325"/>
      <c r="E43" s="325"/>
      <c r="F43" s="325"/>
      <c r="K43" s="441"/>
    </row>
    <row r="44" spans="1:11" ht="15" customHeight="1" x14ac:dyDescent="0.25">
      <c r="A44" s="397"/>
      <c r="B44" s="1084" t="s">
        <v>1012</v>
      </c>
      <c r="C44" s="1085"/>
      <c r="D44" s="325"/>
      <c r="E44" s="325"/>
      <c r="F44" s="325"/>
      <c r="K44" s="441"/>
    </row>
    <row r="45" spans="1:11" ht="60" customHeight="1" x14ac:dyDescent="0.25">
      <c r="A45" s="2071" t="s">
        <v>2122</v>
      </c>
      <c r="B45" s="104"/>
      <c r="C45" s="1523"/>
      <c r="D45" s="325"/>
      <c r="E45" s="325"/>
      <c r="F45" s="325"/>
      <c r="K45" s="441"/>
    </row>
    <row r="46" spans="1:11" ht="30" customHeight="1" x14ac:dyDescent="0.25">
      <c r="A46" s="469"/>
      <c r="B46" s="2058"/>
      <c r="C46" s="2051" t="s">
        <v>505</v>
      </c>
      <c r="D46" s="2050" t="s">
        <v>974</v>
      </c>
      <c r="E46" s="325"/>
      <c r="F46" s="1523"/>
      <c r="K46" s="526"/>
    </row>
    <row r="47" spans="1:11" ht="15" customHeight="1" x14ac:dyDescent="0.25">
      <c r="A47" s="397"/>
      <c r="B47" s="855" t="s">
        <v>559</v>
      </c>
      <c r="C47" s="821"/>
      <c r="D47" s="552"/>
      <c r="E47" s="325"/>
      <c r="F47" s="325"/>
      <c r="K47" s="441"/>
    </row>
    <row r="48" spans="1:11" ht="15" customHeight="1" x14ac:dyDescent="0.25">
      <c r="A48" s="397"/>
      <c r="B48" s="323" t="s">
        <v>503</v>
      </c>
      <c r="C48" s="995"/>
      <c r="D48" s="976"/>
      <c r="E48" s="325"/>
      <c r="F48" s="325"/>
      <c r="K48" s="441"/>
    </row>
    <row r="49" spans="1:11" ht="15" customHeight="1" x14ac:dyDescent="0.25">
      <c r="A49" s="469"/>
      <c r="B49" s="323" t="s">
        <v>470</v>
      </c>
      <c r="C49" s="625"/>
      <c r="D49" s="976"/>
      <c r="E49" s="325"/>
      <c r="F49" s="325"/>
      <c r="K49" s="441"/>
    </row>
    <row r="50" spans="1:11" ht="15" customHeight="1" x14ac:dyDescent="0.25">
      <c r="A50" s="469"/>
      <c r="B50" s="222" t="s">
        <v>902</v>
      </c>
      <c r="C50" s="864"/>
      <c r="D50" s="552"/>
      <c r="E50" s="325"/>
      <c r="F50" s="325"/>
      <c r="K50" s="441"/>
    </row>
    <row r="51" spans="1:11" ht="15" customHeight="1" x14ac:dyDescent="0.25">
      <c r="A51" s="469"/>
      <c r="B51" s="411" t="s">
        <v>903</v>
      </c>
      <c r="C51" s="626"/>
      <c r="D51" s="879"/>
      <c r="E51" s="325"/>
      <c r="F51" s="325"/>
      <c r="K51" s="441"/>
    </row>
    <row r="52" spans="1:11" ht="60" customHeight="1" x14ac:dyDescent="0.25">
      <c r="A52" s="2071" t="s">
        <v>2123</v>
      </c>
      <c r="B52" s="104"/>
      <c r="C52" s="1523"/>
      <c r="D52" s="325"/>
      <c r="E52" s="325"/>
      <c r="F52" s="325"/>
      <c r="K52" s="441"/>
    </row>
    <row r="53" spans="1:11" ht="15" customHeight="1" x14ac:dyDescent="0.25">
      <c r="A53" s="397"/>
      <c r="B53" s="1265" t="s">
        <v>100</v>
      </c>
      <c r="C53" s="1266"/>
      <c r="D53" s="325"/>
      <c r="E53" s="325"/>
      <c r="F53" s="325"/>
      <c r="K53" s="441"/>
    </row>
    <row r="54" spans="1:11" ht="15" customHeight="1" x14ac:dyDescent="0.25">
      <c r="A54" s="1267"/>
      <c r="B54" s="1523"/>
      <c r="C54" s="1523"/>
      <c r="D54" s="541"/>
      <c r="E54" s="541"/>
      <c r="F54" s="541"/>
      <c r="K54" s="1268"/>
    </row>
    <row r="55" spans="1:11" ht="45" customHeight="1" x14ac:dyDescent="0.35">
      <c r="A55" s="1257" t="s">
        <v>2124</v>
      </c>
      <c r="B55" s="1258"/>
      <c r="C55" s="1259"/>
      <c r="D55" s="1252"/>
      <c r="E55" s="1252"/>
      <c r="G55" s="2580"/>
      <c r="H55" s="2580"/>
      <c r="I55" s="2580"/>
      <c r="J55" s="2580"/>
      <c r="K55" s="438"/>
    </row>
    <row r="56" spans="1:11" ht="45" customHeight="1" x14ac:dyDescent="0.25">
      <c r="A56" s="469"/>
      <c r="B56" s="113" t="str">
        <f>CONCATENATE("Data in cells C ", ROW(C58), " to C", ROW(C71), " must be in line with regulatory reporting.")</f>
        <v>Data in cells C 58 to C71 must be in line with regulatory reporting.</v>
      </c>
      <c r="C56" s="1523"/>
      <c r="D56" s="325"/>
      <c r="E56" s="325"/>
      <c r="F56" s="325"/>
      <c r="G56" s="2581"/>
      <c r="H56" s="2581"/>
      <c r="I56" s="2581"/>
      <c r="J56" s="2581"/>
      <c r="K56" s="441"/>
    </row>
    <row r="57" spans="1:11" ht="45" customHeight="1" x14ac:dyDescent="0.25">
      <c r="A57" s="469"/>
      <c r="B57" s="2058"/>
      <c r="C57" s="2051" t="s">
        <v>180</v>
      </c>
      <c r="D57" s="1269" t="s">
        <v>197</v>
      </c>
      <c r="E57" s="2050" t="s">
        <v>226</v>
      </c>
      <c r="F57" s="1523"/>
      <c r="G57" s="2330"/>
      <c r="H57" s="2330"/>
      <c r="I57" s="2330"/>
      <c r="J57" s="2330"/>
      <c r="K57" s="526"/>
    </row>
    <row r="58" spans="1:11" ht="15" customHeight="1" x14ac:dyDescent="0.25">
      <c r="A58" s="397"/>
      <c r="B58" s="621" t="s">
        <v>93</v>
      </c>
      <c r="C58" s="627" t="str">
        <f>IF(AND(ISNUMBER(C59), ISNUMBER(C62), ISNUMBER(C67), ISNUMBER(C71)), C59+C62+C67+C71, "")</f>
        <v/>
      </c>
      <c r="D58" s="121" t="str">
        <f>IF(AND(ISNUMBER(D59),ISNUMBER(D62),ISNUMBER(D67)),D59+D62+D67,"")</f>
        <v/>
      </c>
      <c r="E58" s="2062" t="str">
        <f>IF(AND(ISNUMBER(E59),ISNUMBER(E62),ISNUMBER(E67)),E59+E62+E67,"")</f>
        <v/>
      </c>
      <c r="F58" s="1523"/>
      <c r="G58" s="2330"/>
      <c r="H58" s="2330"/>
      <c r="I58" s="2330"/>
      <c r="J58" s="2330"/>
      <c r="K58" s="526"/>
    </row>
    <row r="59" spans="1:11" ht="15" customHeight="1" x14ac:dyDescent="0.25">
      <c r="A59" s="397"/>
      <c r="B59" s="2056" t="s">
        <v>25</v>
      </c>
      <c r="C59" s="628" t="str">
        <f>IF(AND(ISNUMBER(C60),ISNUMBER(C61)),C60-C61,"")</f>
        <v/>
      </c>
      <c r="D59" s="122" t="str">
        <f>IF(ISNUMBER(DefCap!D65),DefCap!D65,"")</f>
        <v/>
      </c>
      <c r="E59" s="122" t="str">
        <f>IF(ISNUMBER(DefCap!E65),DefCap!E65,"")</f>
        <v/>
      </c>
      <c r="F59" s="1523"/>
      <c r="G59" s="2330"/>
      <c r="H59" s="2330"/>
      <c r="I59" s="2330"/>
      <c r="J59" s="2330"/>
      <c r="K59" s="526"/>
    </row>
    <row r="60" spans="1:11" ht="15" customHeight="1" x14ac:dyDescent="0.25">
      <c r="A60" s="397"/>
      <c r="B60" s="2057" t="s">
        <v>142</v>
      </c>
      <c r="C60" s="418"/>
      <c r="D60" s="122" t="str">
        <f>IF(ISNUMBER(DefCap!D33),DefCap!D33,"")</f>
        <v/>
      </c>
      <c r="E60" s="122" t="str">
        <f>IF(ISNUMBER(DefCap!E33),DefCap!E33,"")</f>
        <v/>
      </c>
      <c r="F60" s="1523"/>
      <c r="G60" s="2330"/>
      <c r="H60" s="2330"/>
      <c r="I60" s="2330"/>
      <c r="J60" s="2330"/>
      <c r="K60" s="526"/>
    </row>
    <row r="61" spans="1:11" ht="15" customHeight="1" x14ac:dyDescent="0.25">
      <c r="A61" s="397"/>
      <c r="B61" s="2057" t="s">
        <v>86</v>
      </c>
      <c r="C61" s="418"/>
      <c r="D61" s="122" t="str">
        <f>IF(ISNUMBER(DefCap!D64),DefCap!D64,"")</f>
        <v/>
      </c>
      <c r="E61" s="122" t="str">
        <f>IF(ISNUMBER(DefCap!E64),DefCap!E64,"")</f>
        <v/>
      </c>
      <c r="F61" s="1523"/>
      <c r="G61" s="2330"/>
      <c r="H61" s="2330"/>
      <c r="I61" s="2330"/>
      <c r="J61" s="2330"/>
      <c r="K61" s="526"/>
    </row>
    <row r="62" spans="1:11" ht="15" customHeight="1" x14ac:dyDescent="0.25">
      <c r="A62" s="397"/>
      <c r="B62" s="2056" t="s">
        <v>26</v>
      </c>
      <c r="C62" s="628" t="str">
        <f>IF(AND(ISNUMBER(C63),ISNUMBER(C64)),C63-C64,"")</f>
        <v/>
      </c>
      <c r="D62" s="122" t="str">
        <f>IF(ISNUMBER(DefCap!D83),DefCap!D83,"")</f>
        <v/>
      </c>
      <c r="E62" s="122" t="str">
        <f>IF(ISNUMBER(DefCap!E83),DefCap!E83,"")</f>
        <v/>
      </c>
      <c r="F62" s="1523"/>
      <c r="G62" s="2330"/>
      <c r="H62" s="2330"/>
      <c r="I62" s="2330"/>
      <c r="J62" s="2330"/>
      <c r="K62" s="526"/>
    </row>
    <row r="63" spans="1:11" ht="15" customHeight="1" x14ac:dyDescent="0.25">
      <c r="A63" s="397"/>
      <c r="B63" s="2057" t="s">
        <v>142</v>
      </c>
      <c r="C63" s="418"/>
      <c r="D63" s="122" t="str">
        <f>IF(ISNUMBER(DefCap!D72),DefCap!D72,"")</f>
        <v/>
      </c>
      <c r="E63" s="122" t="str">
        <f>IF(ISNUMBER(DefCap!E72),DefCap!E72,"")</f>
        <v/>
      </c>
      <c r="F63" s="1523"/>
      <c r="G63" s="2330"/>
      <c r="H63" s="2330"/>
      <c r="I63" s="2330"/>
      <c r="J63" s="2330"/>
      <c r="K63" s="526"/>
    </row>
    <row r="64" spans="1:11" ht="15" customHeight="1" x14ac:dyDescent="0.25">
      <c r="A64" s="397"/>
      <c r="B64" s="2057" t="s">
        <v>86</v>
      </c>
      <c r="C64" s="576"/>
      <c r="D64" s="122" t="str">
        <f>IF(ISNUMBER(DefCap!D82),DefCap!D82,"")</f>
        <v/>
      </c>
      <c r="E64" s="122" t="str">
        <f>IF(ISNUMBER(DefCap!E82),DefCap!E82,"")</f>
        <v/>
      </c>
      <c r="F64" s="1523"/>
      <c r="G64" s="2579"/>
      <c r="H64" s="2579"/>
      <c r="I64" s="2579"/>
      <c r="J64" s="2579"/>
      <c r="K64" s="526"/>
    </row>
    <row r="65" spans="1:11" ht="15" customHeight="1" x14ac:dyDescent="0.25">
      <c r="A65" s="397"/>
      <c r="B65" s="2049" t="s">
        <v>179</v>
      </c>
      <c r="C65" s="560" t="str">
        <f>IF(AND(ISNUMBER(C63), ISNUMBER(C64)), IF(C63&gt;=C64, "Pass", "Fail"), "")</f>
        <v/>
      </c>
      <c r="D65" s="552"/>
      <c r="E65" s="2055"/>
      <c r="F65" s="1523"/>
      <c r="G65" s="2330"/>
      <c r="H65" s="2330"/>
      <c r="I65" s="2330"/>
      <c r="J65" s="2330"/>
      <c r="K65" s="526"/>
    </row>
    <row r="66" spans="1:11" ht="15" customHeight="1" x14ac:dyDescent="0.25">
      <c r="A66" s="397"/>
      <c r="B66" s="2056" t="s">
        <v>29</v>
      </c>
      <c r="C66" s="627" t="str">
        <f>IF(AND(ISNUMBER(C59),ISNUMBER(C62)),C59+C62,"")</f>
        <v/>
      </c>
      <c r="D66" s="122" t="str">
        <f>IF(AND(ISNUMBER(D59),ISNUMBER(D62)),D59+D62,"")</f>
        <v/>
      </c>
      <c r="E66" s="122" t="str">
        <f>IF(AND(ISNUMBER(E59),ISNUMBER(E62)),E59+E62,"")</f>
        <v/>
      </c>
      <c r="F66" s="1523"/>
      <c r="G66" s="2330"/>
      <c r="H66" s="2330"/>
      <c r="I66" s="2330"/>
      <c r="J66" s="2330"/>
      <c r="K66" s="526"/>
    </row>
    <row r="67" spans="1:11" ht="15" customHeight="1" x14ac:dyDescent="0.25">
      <c r="A67" s="397"/>
      <c r="B67" s="2056" t="s">
        <v>27</v>
      </c>
      <c r="C67" s="628" t="str">
        <f>IF(AND(ISNUMBER(C68),ISNUMBER(C69)),C68-C69,"")</f>
        <v/>
      </c>
      <c r="D67" s="122" t="str">
        <f>IF(ISNUMBER(DefCap!D106),DefCap!D106,"")</f>
        <v/>
      </c>
      <c r="E67" s="122" t="str">
        <f>IF(ISNUMBER(DefCap!E106),DefCap!E106,"")</f>
        <v/>
      </c>
      <c r="F67" s="1523"/>
      <c r="G67" s="2330"/>
      <c r="H67" s="2330"/>
      <c r="I67" s="2330"/>
      <c r="J67" s="2330"/>
      <c r="K67" s="526"/>
    </row>
    <row r="68" spans="1:11" ht="15" customHeight="1" x14ac:dyDescent="0.25">
      <c r="A68" s="397"/>
      <c r="B68" s="2057" t="s">
        <v>85</v>
      </c>
      <c r="C68" s="418"/>
      <c r="D68" s="122" t="str">
        <f>IF(ISNUMBER(DefCap!D92),DefCap!D92,"")</f>
        <v/>
      </c>
      <c r="E68" s="122" t="str">
        <f>IF(ISNUMBER(DefCap!E92),DefCap!E92,"")</f>
        <v/>
      </c>
      <c r="F68" s="1523"/>
      <c r="G68" s="2330"/>
      <c r="H68" s="2330"/>
      <c r="I68" s="2330"/>
      <c r="J68" s="2330"/>
      <c r="K68" s="526"/>
    </row>
    <row r="69" spans="1:11" ht="15" customHeight="1" x14ac:dyDescent="0.25">
      <c r="A69" s="397"/>
      <c r="B69" s="2057" t="s">
        <v>86</v>
      </c>
      <c r="C69" s="418"/>
      <c r="D69" s="122" t="str">
        <f>IF(ISNUMBER(DefCap!D105),DefCap!D105,"")</f>
        <v/>
      </c>
      <c r="E69" s="122" t="str">
        <f>IF(ISNUMBER(DefCap!E105),DefCap!E105,"")</f>
        <v/>
      </c>
      <c r="F69" s="1523"/>
      <c r="G69" s="2579"/>
      <c r="H69" s="2579"/>
      <c r="I69" s="2579"/>
      <c r="J69" s="2579"/>
      <c r="K69" s="526"/>
    </row>
    <row r="70" spans="1:11" ht="15" customHeight="1" x14ac:dyDescent="0.25">
      <c r="A70" s="397"/>
      <c r="B70" s="2049" t="s">
        <v>178</v>
      </c>
      <c r="C70" s="560" t="str">
        <f>IF(AND(ISNUMBER(C68), ISNUMBER(C69)), IF(C68&gt;=C69, "Pass", "Fail"), "")</f>
        <v/>
      </c>
      <c r="D70" s="2055"/>
      <c r="E70" s="2055"/>
      <c r="F70" s="1523"/>
      <c r="G70" s="2579"/>
      <c r="H70" s="2579"/>
      <c r="I70" s="2579"/>
      <c r="J70" s="2579"/>
      <c r="K70" s="526"/>
    </row>
    <row r="71" spans="1:11" ht="15" customHeight="1" x14ac:dyDescent="0.25">
      <c r="A71" s="397"/>
      <c r="B71" s="622" t="s">
        <v>28</v>
      </c>
      <c r="C71" s="419"/>
      <c r="D71" s="103"/>
      <c r="E71" s="103"/>
      <c r="F71" s="1523"/>
      <c r="K71" s="526"/>
    </row>
    <row r="72" spans="1:11" ht="15" customHeight="1" x14ac:dyDescent="0.25">
      <c r="A72" s="1270"/>
      <c r="B72" s="458"/>
      <c r="C72" s="458"/>
      <c r="D72" s="458"/>
      <c r="E72" s="458"/>
      <c r="F72" s="1523"/>
      <c r="G72" s="1838"/>
      <c r="H72" s="1838"/>
      <c r="I72" s="1838"/>
      <c r="J72" s="1838"/>
      <c r="K72" s="526"/>
    </row>
    <row r="73" spans="1:11" ht="60" customHeight="1" x14ac:dyDescent="0.25">
      <c r="A73" s="978" t="s">
        <v>2125</v>
      </c>
      <c r="B73" s="1220"/>
      <c r="C73" s="2072"/>
      <c r="D73" s="1207"/>
      <c r="E73" s="1207"/>
      <c r="F73" s="1207"/>
      <c r="K73" s="1241"/>
    </row>
    <row r="74" spans="1:11" ht="75" customHeight="1" x14ac:dyDescent="0.25">
      <c r="A74" s="397"/>
      <c r="B74" s="1271"/>
      <c r="C74" s="2048" t="s">
        <v>1640</v>
      </c>
      <c r="D74" s="2047" t="s">
        <v>1641</v>
      </c>
      <c r="E74" s="2063" t="s">
        <v>1642</v>
      </c>
      <c r="F74" s="325"/>
      <c r="K74" s="441"/>
    </row>
    <row r="75" spans="1:11" ht="15" customHeight="1" x14ac:dyDescent="0.25">
      <c r="A75" s="397"/>
      <c r="B75" s="235" t="s">
        <v>80</v>
      </c>
      <c r="C75" s="629"/>
      <c r="D75" s="2043"/>
      <c r="E75" s="2045"/>
      <c r="F75" s="325"/>
      <c r="K75" s="441"/>
    </row>
    <row r="76" spans="1:11" ht="15" customHeight="1" x14ac:dyDescent="0.25">
      <c r="A76" s="397"/>
      <c r="B76" s="530" t="s">
        <v>81</v>
      </c>
      <c r="C76" s="630"/>
      <c r="D76" s="1652"/>
      <c r="E76" s="2044"/>
      <c r="F76" s="325"/>
      <c r="K76" s="441"/>
    </row>
    <row r="77" spans="1:11" ht="15" customHeight="1" x14ac:dyDescent="0.25">
      <c r="A77" s="397"/>
      <c r="B77" s="530" t="s">
        <v>82</v>
      </c>
      <c r="C77" s="630"/>
      <c r="D77" s="1652"/>
      <c r="E77" s="2044"/>
      <c r="F77" s="325"/>
      <c r="K77" s="441"/>
    </row>
    <row r="78" spans="1:11" ht="15" customHeight="1" x14ac:dyDescent="0.25">
      <c r="A78" s="397"/>
      <c r="B78" s="140" t="s">
        <v>83</v>
      </c>
      <c r="C78" s="97"/>
      <c r="D78" s="2044"/>
      <c r="E78" s="2044"/>
      <c r="F78" s="325"/>
      <c r="K78" s="441"/>
    </row>
    <row r="79" spans="1:11" ht="15" customHeight="1" x14ac:dyDescent="0.25">
      <c r="A79" s="397"/>
      <c r="B79" s="240" t="s">
        <v>1660</v>
      </c>
      <c r="C79" s="630"/>
      <c r="D79" s="1652"/>
      <c r="E79" s="701" t="str">
        <f>IF(AND(ISNUMBER(C79), ISNUMBER(D79)), IF(D79&gt;=C79, "Pass", "Fail"), "")</f>
        <v/>
      </c>
      <c r="F79" s="325"/>
      <c r="K79" s="441"/>
    </row>
    <row r="80" spans="1:11" ht="15" customHeight="1" x14ac:dyDescent="0.25">
      <c r="A80" s="397"/>
      <c r="B80" s="240" t="s">
        <v>1643</v>
      </c>
      <c r="C80" s="630"/>
      <c r="D80" s="1652"/>
      <c r="E80" s="701" t="str">
        <f t="shared" ref="E80:E85" si="0">IF(AND(ISNUMBER(C80), ISNUMBER(D80)), IF(D80&gt;=C80, "Pass", "Fail"), "")</f>
        <v/>
      </c>
      <c r="F80" s="325"/>
      <c r="K80" s="441"/>
    </row>
    <row r="81" spans="1:11" ht="15" customHeight="1" x14ac:dyDescent="0.25">
      <c r="A81" s="397"/>
      <c r="B81" s="243" t="s">
        <v>1644</v>
      </c>
      <c r="C81" s="630"/>
      <c r="D81" s="1652"/>
      <c r="E81" s="701" t="str">
        <f t="shared" si="0"/>
        <v/>
      </c>
      <c r="F81" s="325"/>
      <c r="K81" s="441"/>
    </row>
    <row r="82" spans="1:11" ht="15" customHeight="1" x14ac:dyDescent="0.25">
      <c r="A82" s="397"/>
      <c r="B82" s="530" t="s">
        <v>84</v>
      </c>
      <c r="C82" s="630"/>
      <c r="D82" s="1652"/>
      <c r="E82" s="701" t="str">
        <f t="shared" si="0"/>
        <v/>
      </c>
      <c r="F82" s="325"/>
      <c r="K82" s="441"/>
    </row>
    <row r="83" spans="1:11" ht="15" customHeight="1" x14ac:dyDescent="0.25">
      <c r="A83" s="397"/>
      <c r="B83" s="530" t="s">
        <v>50</v>
      </c>
      <c r="C83" s="630"/>
      <c r="D83" s="1652"/>
      <c r="E83" s="701" t="str">
        <f t="shared" si="0"/>
        <v/>
      </c>
      <c r="F83" s="325"/>
      <c r="K83" s="441"/>
    </row>
    <row r="84" spans="1:11" ht="15" customHeight="1" x14ac:dyDescent="0.25">
      <c r="A84" s="397"/>
      <c r="B84" s="530" t="s">
        <v>53</v>
      </c>
      <c r="C84" s="630"/>
      <c r="D84" s="1652"/>
      <c r="E84" s="701" t="str">
        <f t="shared" si="0"/>
        <v/>
      </c>
      <c r="F84" s="325"/>
      <c r="K84" s="441"/>
    </row>
    <row r="85" spans="1:11" ht="15" customHeight="1" x14ac:dyDescent="0.25">
      <c r="A85" s="397"/>
      <c r="B85" s="530" t="s">
        <v>35</v>
      </c>
      <c r="C85" s="630"/>
      <c r="D85" s="1652"/>
      <c r="E85" s="701" t="str">
        <f t="shared" si="0"/>
        <v/>
      </c>
      <c r="F85" s="325"/>
      <c r="K85" s="441"/>
    </row>
    <row r="86" spans="1:11" ht="15" customHeight="1" x14ac:dyDescent="0.25">
      <c r="A86" s="397"/>
      <c r="B86" s="140" t="s">
        <v>64</v>
      </c>
      <c r="C86" s="97"/>
      <c r="D86" s="2044"/>
      <c r="E86" s="2044"/>
      <c r="F86" s="325"/>
      <c r="K86" s="441"/>
    </row>
    <row r="87" spans="1:11" ht="15" customHeight="1" x14ac:dyDescent="0.25">
      <c r="A87" s="397"/>
      <c r="B87" s="530" t="s">
        <v>14</v>
      </c>
      <c r="C87" s="630"/>
      <c r="D87" s="1652"/>
      <c r="E87" s="701" t="str">
        <f>IF(AND(ISNUMBER(C87), ISNUMBER(D87)), IF(D87&gt;=C87, "Pass", "Fail"), "")</f>
        <v/>
      </c>
      <c r="F87" s="325"/>
      <c r="K87" s="441"/>
    </row>
    <row r="88" spans="1:11" ht="15" customHeight="1" x14ac:dyDescent="0.25">
      <c r="A88" s="397"/>
      <c r="B88" s="530" t="s">
        <v>2</v>
      </c>
      <c r="C88" s="630"/>
      <c r="D88" s="1652"/>
      <c r="E88" s="701" t="str">
        <f>IF(AND(ISNUMBER(C88), ISNUMBER(D88)), IF(D88&gt;=C88, "Pass", "Fail"), "")</f>
        <v/>
      </c>
      <c r="F88" s="325"/>
      <c r="K88" s="441"/>
    </row>
    <row r="89" spans="1:11" ht="15" customHeight="1" x14ac:dyDescent="0.25">
      <c r="A89" s="397"/>
      <c r="B89" s="620" t="s">
        <v>15</v>
      </c>
      <c r="C89" s="631"/>
      <c r="D89" s="1656"/>
      <c r="E89" s="554" t="str">
        <f>IF(AND(ISNUMBER(C89), ISNUMBER(D89)), IF(D89&gt;=C89, "Pass", "Fail"), "")</f>
        <v/>
      </c>
      <c r="F89" s="325"/>
      <c r="K89" s="441"/>
    </row>
    <row r="90" spans="1:11" ht="15" customHeight="1" x14ac:dyDescent="0.25">
      <c r="A90" s="1479"/>
      <c r="B90" s="541"/>
      <c r="C90" s="541"/>
      <c r="D90" s="541"/>
      <c r="E90" s="541"/>
      <c r="F90" s="541"/>
      <c r="G90" s="1838"/>
      <c r="H90" s="1838"/>
      <c r="I90" s="1838"/>
      <c r="J90" s="1838"/>
      <c r="K90" s="1268"/>
    </row>
  </sheetData>
  <mergeCells count="4">
    <mergeCell ref="C8:D8"/>
    <mergeCell ref="A9:B9"/>
    <mergeCell ref="A10:B10"/>
    <mergeCell ref="G4:J18"/>
  </mergeCells>
  <phoneticPr fontId="5" type="noConversion"/>
  <conditionalFormatting sqref="C60 C63 C71 C68 C87:D89 C43:C44 C79:D85">
    <cfRule type="cellIs" dxfId="1659" priority="145" stopIfTrue="1" operator="lessThan">
      <formula>0</formula>
    </cfRule>
  </conditionalFormatting>
  <conditionalFormatting sqref="C65 C70 E74 E79:E85 E87:E89">
    <cfRule type="cellIs" dxfId="1658" priority="43" stopIfTrue="1" operator="equal">
      <formula>"Pass"</formula>
    </cfRule>
    <cfRule type="cellIs" dxfId="1657" priority="44" stopIfTrue="1" operator="equal">
      <formula>"Fail"</formula>
    </cfRule>
  </conditionalFormatting>
  <conditionalFormatting sqref="G1:J1">
    <cfRule type="cellIs" dxfId="1656" priority="5" stopIfTrue="1" operator="equal">
      <formula>"Pass"</formula>
    </cfRule>
    <cfRule type="cellIs" dxfId="1655" priority="6" stopIfTrue="1" operator="equal">
      <formula>"Fail"</formula>
    </cfRule>
  </conditionalFormatting>
  <conditionalFormatting sqref="G89:J1048576">
    <cfRule type="cellIs" dxfId="1654" priority="3" stopIfTrue="1" operator="equal">
      <formula>"Pass"</formula>
    </cfRule>
    <cfRule type="cellIs" dxfId="1653" priority="4" stopIfTrue="1" operator="equal">
      <formula>"Fail"</formula>
    </cfRule>
  </conditionalFormatting>
  <conditionalFormatting sqref="G1:J3 G19:J88">
    <cfRule type="cellIs" dxfId="1652" priority="1" stopIfTrue="1" operator="equal">
      <formula>"Pass"</formula>
    </cfRule>
    <cfRule type="cellIs" dxfId="1651" priority="2" stopIfTrue="1" operator="equal">
      <formula>"Fail"</formula>
    </cfRule>
  </conditionalFormatting>
  <dataValidations disablePrompts="1" count="5">
    <dataValidation type="list" showInputMessage="1" showErrorMessage="1" sqref="D27 C30:C34 C11:C15 C47:C49 C24:C28 D19 D24:D25 C44 C38:C39 D49 D40:D42 C19:C21 C22:E22"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9"/>
  <sheetViews>
    <sheetView zoomScale="70" zoomScaleNormal="70" zoomScaleSheetLayoutView="75" workbookViewId="0">
      <pane xSplit="2" ySplit="1" topLeftCell="C2" activePane="bottomRight" state="frozen"/>
      <selection pane="topRight"/>
      <selection pane="bottomLeft"/>
      <selection pane="bottomRight"/>
    </sheetView>
  </sheetViews>
  <sheetFormatPr defaultColWidth="0" defaultRowHeight="0" customHeight="1" zeroHeight="1" x14ac:dyDescent="0.25"/>
  <cols>
    <col min="1" max="1" width="1.7109375" style="241" customWidth="1"/>
    <col min="2" max="2" width="90.7109375" style="241" customWidth="1"/>
    <col min="3" max="3" width="18.7109375" style="205" customWidth="1"/>
    <col min="4" max="10" width="18.7109375" style="207" customWidth="1"/>
    <col min="11" max="11" width="1.7109375" style="477" customWidth="1"/>
    <col min="12" max="12" width="18.7109375" style="205" customWidth="1"/>
    <col min="13" max="19" width="18.7109375" style="207" customWidth="1"/>
    <col min="20" max="20" width="1.7109375" style="477" customWidth="1"/>
    <col min="21" max="21" width="20.7109375" style="205" customWidth="1"/>
    <col min="22" max="23" width="20.7109375" style="207" customWidth="1"/>
    <col min="24" max="24" width="38.7109375" style="207" customWidth="1"/>
    <col min="25" max="25" width="20.7109375" style="207" customWidth="1"/>
    <col min="26" max="26" width="25.7109375" style="207" customWidth="1"/>
    <col min="27" max="27" width="40.7109375" style="205" customWidth="1"/>
    <col min="28" max="28" width="1.7109375" style="241" customWidth="1"/>
    <col min="29" max="16384" width="9.140625" hidden="1"/>
  </cols>
  <sheetData>
    <row r="1" spans="1:28" ht="30" customHeight="1" x14ac:dyDescent="0.55000000000000004">
      <c r="A1" s="965" t="s">
        <v>878</v>
      </c>
      <c r="B1" s="1004"/>
      <c r="C1" s="778"/>
      <c r="D1" s="790"/>
      <c r="E1" s="743" t="str">
        <f>CONCATENATE("Reporting unit: ", 'General Info'!$C$7, " ", 'General Info'!$C$5)</f>
        <v xml:space="preserve">Reporting unit: 1 </v>
      </c>
      <c r="F1" s="743"/>
      <c r="G1" s="743"/>
      <c r="H1" s="743"/>
      <c r="I1" s="790"/>
      <c r="J1" s="790"/>
      <c r="K1" s="779"/>
      <c r="L1" s="790"/>
      <c r="M1" s="790"/>
      <c r="N1" s="790"/>
      <c r="O1" s="790"/>
      <c r="P1" s="790"/>
      <c r="Q1" s="790"/>
      <c r="R1" s="790"/>
      <c r="S1" s="790"/>
      <c r="T1" s="779"/>
      <c r="U1" s="790"/>
      <c r="V1" s="790"/>
      <c r="W1" s="790"/>
      <c r="X1" s="790"/>
      <c r="Y1" s="790"/>
      <c r="Z1" s="790"/>
      <c r="AA1" s="790"/>
      <c r="AB1" s="1005"/>
    </row>
    <row r="2" spans="1:28" ht="30" customHeight="1" x14ac:dyDescent="0.55000000000000004">
      <c r="A2" s="512"/>
      <c r="B2" s="513"/>
      <c r="C2" s="514"/>
      <c r="D2" s="477"/>
      <c r="E2" s="515"/>
      <c r="F2" s="516"/>
      <c r="G2" s="516"/>
      <c r="H2" s="516"/>
      <c r="I2" s="477"/>
      <c r="J2" s="477"/>
      <c r="K2" s="779"/>
      <c r="L2" s="477"/>
      <c r="M2" s="477"/>
      <c r="N2" s="477"/>
      <c r="O2" s="477"/>
      <c r="P2" s="477"/>
      <c r="Q2" s="477"/>
      <c r="R2" s="477"/>
      <c r="S2" s="477"/>
      <c r="T2" s="779"/>
      <c r="U2" s="477"/>
      <c r="V2" s="477"/>
      <c r="W2" s="477"/>
      <c r="X2" s="477"/>
      <c r="Y2" s="477"/>
      <c r="Z2" s="477"/>
      <c r="AA2" s="477"/>
      <c r="AB2" s="544"/>
    </row>
    <row r="3" spans="1:28" ht="30" customHeight="1" x14ac:dyDescent="0.55000000000000004">
      <c r="A3" s="512"/>
      <c r="B3" s="1199" t="s">
        <v>1017</v>
      </c>
      <c r="C3" s="1139"/>
      <c r="D3" s="1139"/>
      <c r="E3" s="1139"/>
      <c r="F3" s="1139"/>
      <c r="G3" s="1139"/>
      <c r="H3" s="1139"/>
      <c r="I3" s="477"/>
      <c r="J3" s="477"/>
      <c r="L3" s="477"/>
      <c r="M3" s="477"/>
      <c r="N3" s="477"/>
      <c r="O3" s="477"/>
      <c r="P3" s="477"/>
      <c r="Q3" s="477"/>
      <c r="R3" s="477"/>
      <c r="S3" s="477"/>
      <c r="U3" s="477"/>
      <c r="V3" s="477"/>
      <c r="W3" s="477"/>
      <c r="X3" s="477"/>
      <c r="Y3" s="477"/>
      <c r="Z3" s="477"/>
      <c r="AA3" s="477"/>
      <c r="AB3" s="544"/>
    </row>
    <row r="4" spans="1:28" ht="15" customHeight="1" x14ac:dyDescent="0.25">
      <c r="A4" s="517"/>
      <c r="B4" s="1200" t="s">
        <v>649</v>
      </c>
      <c r="C4" s="1201" t="s">
        <v>48</v>
      </c>
      <c r="D4" s="1202" t="s">
        <v>650</v>
      </c>
      <c r="E4" s="1203"/>
      <c r="F4" s="1203"/>
      <c r="G4" s="1203"/>
      <c r="H4" s="1203"/>
      <c r="I4" s="477"/>
      <c r="J4" s="477"/>
      <c r="L4" s="477"/>
      <c r="M4" s="477"/>
      <c r="N4" s="477"/>
      <c r="O4" s="477"/>
      <c r="P4" s="477"/>
      <c r="Q4" s="477"/>
      <c r="R4" s="477"/>
      <c r="S4" s="477"/>
      <c r="U4" s="477"/>
      <c r="V4" s="477"/>
      <c r="W4" s="477"/>
      <c r="X4" s="477"/>
      <c r="Y4" s="477"/>
      <c r="Z4" s="477"/>
      <c r="AA4" s="477"/>
      <c r="AB4" s="544"/>
    </row>
    <row r="5" spans="1:28" ht="15" customHeight="1" x14ac:dyDescent="0.55000000000000004">
      <c r="A5" s="512"/>
      <c r="B5" s="1135" t="str">
        <f>'General Info'!$B11</f>
        <v>Standardised approach</v>
      </c>
      <c r="C5" s="1133" t="str">
        <f>IF('General Info'!$C11&lt;&gt;"", 'General Info'!$C11, "")</f>
        <v/>
      </c>
      <c r="D5" s="1134"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134"/>
      <c r="F5" s="1134"/>
      <c r="G5" s="1134"/>
      <c r="H5" s="1134"/>
      <c r="I5" s="477"/>
      <c r="J5" s="477"/>
      <c r="L5" s="477"/>
      <c r="M5" s="477"/>
      <c r="N5" s="477"/>
      <c r="O5" s="477"/>
      <c r="P5" s="477"/>
      <c r="Q5" s="477"/>
      <c r="R5" s="477"/>
      <c r="S5" s="477"/>
      <c r="U5" s="477"/>
      <c r="V5" s="477"/>
      <c r="W5" s="477"/>
      <c r="X5" s="477"/>
      <c r="Y5" s="477"/>
      <c r="Z5" s="477"/>
      <c r="AA5" s="477"/>
      <c r="AB5" s="544"/>
    </row>
    <row r="6" spans="1:28" ht="15" customHeight="1" x14ac:dyDescent="0.55000000000000004">
      <c r="A6" s="512"/>
      <c r="B6" s="1135" t="str">
        <f>'General Info'!$B12</f>
        <v>FIRB approach</v>
      </c>
      <c r="C6" s="1133" t="str">
        <f>IF('General Info'!$C12&lt;&gt;"", 'General Info'!$C12, "")</f>
        <v/>
      </c>
      <c r="D6" s="1134" t="str">
        <f>IF(C$6="Yes", IF(C$7="Yes", "IRB bank", "FIRB bank"), IF(C$7="No",IF(C$5="No", "No SA/IRB exposures, please check General Info", "No IRB exposures"),"No FIRB exposures"))</f>
        <v>No FIRB exposures</v>
      </c>
      <c r="E6" s="1134"/>
      <c r="F6" s="1134"/>
      <c r="G6" s="1134"/>
      <c r="H6" s="1134"/>
      <c r="I6" s="477"/>
      <c r="J6" s="477"/>
      <c r="L6" s="477"/>
      <c r="M6" s="477"/>
      <c r="N6" s="477"/>
      <c r="O6" s="477"/>
      <c r="P6" s="477"/>
      <c r="Q6" s="477"/>
      <c r="R6" s="477"/>
      <c r="S6" s="477"/>
      <c r="U6" s="477"/>
      <c r="V6" s="477"/>
      <c r="W6" s="477"/>
      <c r="X6" s="477"/>
      <c r="Y6" s="477"/>
      <c r="Z6" s="477"/>
      <c r="AA6" s="477"/>
      <c r="AB6" s="544"/>
    </row>
    <row r="7" spans="1:28" ht="15" customHeight="1" x14ac:dyDescent="0.55000000000000004">
      <c r="A7" s="512"/>
      <c r="B7" s="1136" t="str">
        <f>'General Info'!$B13</f>
        <v>AIRB approach</v>
      </c>
      <c r="C7" s="1137" t="str">
        <f>IF('General Info'!$C13&lt;&gt;"", 'General Info'!$C13, "")</f>
        <v/>
      </c>
      <c r="D7" s="1138" t="str">
        <f>IF(C7="Yes", IF(C6="Yes", "IRB bank", "AIRB bank"),IF(C6="No", IF(C5="No", "No SA/IRB exposures, please check Generla Info", "No IRB exposures"),"No AIRB exposures"))</f>
        <v>No AIRB exposures</v>
      </c>
      <c r="E7" s="1138"/>
      <c r="F7" s="1138"/>
      <c r="G7" s="1138"/>
      <c r="H7" s="1138"/>
      <c r="I7" s="477"/>
      <c r="J7" s="477"/>
      <c r="L7" s="477"/>
      <c r="M7" s="477"/>
      <c r="N7" s="477"/>
      <c r="O7" s="477"/>
      <c r="P7" s="477"/>
      <c r="Q7" s="477"/>
      <c r="R7" s="477"/>
      <c r="S7" s="477"/>
      <c r="U7" s="477"/>
      <c r="V7" s="477"/>
      <c r="W7" s="477"/>
      <c r="X7" s="477"/>
      <c r="Y7" s="477"/>
      <c r="Z7" s="477"/>
      <c r="AA7" s="477"/>
      <c r="AB7" s="544"/>
    </row>
    <row r="8" spans="1:28" ht="15" customHeight="1" x14ac:dyDescent="0.25">
      <c r="A8" s="1140"/>
      <c r="B8" s="549"/>
      <c r="C8" s="1141"/>
      <c r="D8" s="549"/>
      <c r="E8" s="549"/>
      <c r="F8" s="549"/>
      <c r="G8" s="549"/>
      <c r="H8" s="549"/>
      <c r="I8" s="549"/>
      <c r="J8" s="549"/>
      <c r="K8" s="549"/>
      <c r="L8" s="549"/>
      <c r="M8" s="549"/>
      <c r="N8" s="549"/>
      <c r="O8" s="549"/>
      <c r="P8" s="549"/>
      <c r="Q8" s="549"/>
      <c r="R8" s="549"/>
      <c r="S8" s="549"/>
      <c r="T8" s="549"/>
      <c r="U8" s="549"/>
      <c r="V8" s="549"/>
      <c r="W8" s="549"/>
      <c r="X8" s="549"/>
      <c r="Y8" s="549"/>
      <c r="Z8" s="549"/>
      <c r="AA8" s="549"/>
      <c r="AB8" s="609"/>
    </row>
    <row r="9" spans="1:28" ht="60" customHeight="1" x14ac:dyDescent="0.25">
      <c r="A9" s="2012" t="s">
        <v>2126</v>
      </c>
      <c r="B9" s="130"/>
      <c r="C9" s="131"/>
      <c r="D9" s="123"/>
      <c r="E9" s="123"/>
      <c r="F9" s="123"/>
      <c r="G9" s="123"/>
      <c r="H9" s="123"/>
      <c r="I9" s="123"/>
      <c r="J9" s="123"/>
      <c r="K9" s="123"/>
      <c r="L9" s="123"/>
      <c r="M9" s="123"/>
      <c r="N9" s="123"/>
      <c r="O9" s="123"/>
      <c r="P9" s="123"/>
      <c r="Q9" s="123"/>
      <c r="R9" s="123"/>
      <c r="S9" s="123"/>
      <c r="T9" s="123"/>
      <c r="U9" s="123"/>
      <c r="V9" s="123"/>
      <c r="W9" s="779"/>
      <c r="X9" s="477"/>
      <c r="Y9" s="477"/>
      <c r="Z9" s="477"/>
      <c r="AA9" s="477"/>
      <c r="AB9" s="544"/>
    </row>
    <row r="10" spans="1:28" ht="45" customHeight="1" x14ac:dyDescent="0.25">
      <c r="A10" s="2012" t="s">
        <v>2127</v>
      </c>
      <c r="B10" s="130"/>
      <c r="C10" s="131"/>
      <c r="D10" s="123"/>
      <c r="E10" s="123"/>
      <c r="F10" s="123"/>
      <c r="G10" s="123"/>
      <c r="H10" s="123"/>
      <c r="I10" s="123"/>
      <c r="J10" s="123"/>
      <c r="K10" s="123"/>
      <c r="L10" s="123"/>
      <c r="M10" s="123"/>
      <c r="N10" s="123"/>
      <c r="O10" s="123"/>
      <c r="P10" s="123"/>
      <c r="Q10" s="123"/>
      <c r="R10" s="123"/>
      <c r="S10" s="123"/>
      <c r="T10" s="123"/>
      <c r="U10" s="123"/>
      <c r="V10" s="123"/>
      <c r="W10" s="477"/>
      <c r="X10" s="477"/>
      <c r="Y10" s="477"/>
      <c r="Z10" s="477"/>
      <c r="AA10" s="477"/>
      <c r="AB10" s="544"/>
    </row>
    <row r="11" spans="1:28" ht="15" customHeight="1" x14ac:dyDescent="0.25">
      <c r="A11" s="545"/>
      <c r="B11" s="2651" t="s">
        <v>651</v>
      </c>
      <c r="C11" s="2657" t="s">
        <v>701</v>
      </c>
      <c r="D11" s="2658"/>
      <c r="E11" s="2658"/>
      <c r="F11" s="2662" t="s">
        <v>702</v>
      </c>
      <c r="G11" s="2662"/>
      <c r="H11" s="2662"/>
      <c r="I11" s="2636" t="s">
        <v>880</v>
      </c>
      <c r="J11" s="2636"/>
      <c r="K11" s="827"/>
      <c r="L11" s="2626" t="s">
        <v>703</v>
      </c>
      <c r="M11" s="2626"/>
      <c r="N11" s="2626"/>
      <c r="O11" s="2626"/>
      <c r="P11" s="2627"/>
      <c r="Q11" s="477"/>
      <c r="R11" s="477"/>
      <c r="S11" s="477"/>
      <c r="T11" s="827"/>
      <c r="U11" s="2664" t="s">
        <v>632</v>
      </c>
      <c r="V11" s="2628"/>
      <c r="W11" s="2629"/>
      <c r="X11" s="477"/>
      <c r="Y11" s="477"/>
      <c r="Z11" s="477"/>
      <c r="AA11" s="477"/>
      <c r="AB11" s="544"/>
    </row>
    <row r="12" spans="1:28" ht="30" customHeight="1" x14ac:dyDescent="0.25">
      <c r="A12" s="545"/>
      <c r="B12" s="2641"/>
      <c r="C12" s="2659"/>
      <c r="D12" s="2660"/>
      <c r="E12" s="2660"/>
      <c r="F12" s="2663"/>
      <c r="G12" s="2663"/>
      <c r="H12" s="2663"/>
      <c r="I12" s="2638"/>
      <c r="J12" s="2638"/>
      <c r="K12" s="827"/>
      <c r="L12" s="2632" t="s">
        <v>704</v>
      </c>
      <c r="M12" s="2633"/>
      <c r="N12" s="2633"/>
      <c r="O12" s="2634" t="s">
        <v>1118</v>
      </c>
      <c r="P12" s="2635"/>
      <c r="Q12" s="477"/>
      <c r="R12" s="477"/>
      <c r="S12" s="477"/>
      <c r="T12" s="827"/>
      <c r="U12" s="2665" t="s">
        <v>704</v>
      </c>
      <c r="V12" s="2666"/>
      <c r="W12" s="2667"/>
      <c r="X12" s="477"/>
      <c r="Y12" s="477"/>
      <c r="Z12" s="477"/>
      <c r="AA12" s="477"/>
      <c r="AB12" s="544"/>
    </row>
    <row r="13" spans="1:28" ht="45" customHeight="1" x14ac:dyDescent="0.25">
      <c r="A13" s="856"/>
      <c r="B13" s="2652"/>
      <c r="C13" s="1086" t="s">
        <v>653</v>
      </c>
      <c r="D13" s="1087" t="s">
        <v>41</v>
      </c>
      <c r="E13" s="1087" t="s">
        <v>686</v>
      </c>
      <c r="F13" s="1094" t="s">
        <v>653</v>
      </c>
      <c r="G13" s="1087" t="s">
        <v>41</v>
      </c>
      <c r="H13" s="1087" t="s">
        <v>686</v>
      </c>
      <c r="I13" s="1094" t="s">
        <v>653</v>
      </c>
      <c r="J13" s="1088" t="s">
        <v>41</v>
      </c>
      <c r="K13" s="1089"/>
      <c r="L13" s="1086" t="s">
        <v>705</v>
      </c>
      <c r="M13" s="1899" t="s">
        <v>706</v>
      </c>
      <c r="N13" s="1900" t="s">
        <v>707</v>
      </c>
      <c r="O13" s="1898" t="s">
        <v>708</v>
      </c>
      <c r="P13" s="1088" t="s">
        <v>706</v>
      </c>
      <c r="Q13" s="477"/>
      <c r="R13" s="477"/>
      <c r="S13" s="477"/>
      <c r="T13" s="1089"/>
      <c r="U13" s="1086" t="s">
        <v>708</v>
      </c>
      <c r="V13" s="1087" t="s">
        <v>706</v>
      </c>
      <c r="W13" s="1088" t="s">
        <v>707</v>
      </c>
      <c r="X13" s="477"/>
      <c r="Y13" s="477"/>
      <c r="Z13" s="477"/>
      <c r="AA13" s="477"/>
      <c r="AB13" s="544"/>
    </row>
    <row r="14" spans="1:28" ht="15" customHeight="1" x14ac:dyDescent="0.25">
      <c r="A14" s="545"/>
      <c r="B14" s="702" t="s">
        <v>709</v>
      </c>
      <c r="C14" s="909" t="str">
        <f t="shared" ref="C14" si="0">IF(AND(ISNUMBER(C15), ISNUMBER(C16), ISNUMBER(C17)), SUM(C15,C16,C17),"")</f>
        <v/>
      </c>
      <c r="D14" s="909" t="str">
        <f t="shared" ref="D14" si="1">IF(AND(ISNUMBER(D15), ISNUMBER(D16), ISNUMBER(D17)), SUM(D15,D16,D17),"")</f>
        <v/>
      </c>
      <c r="E14" s="846" t="str">
        <f>IF(AND(ISNUMBER(E15), ISNUMBER(E16), ISNUMBER(E17)), SUM(E15,E16,E17),"")</f>
        <v/>
      </c>
      <c r="F14" s="909" t="str">
        <f t="shared" ref="F14:G14" si="2">IF(AND(ISNUMBER(F15), ISNUMBER(F16), ISNUMBER(F17)), SUM(F15,F16,F17),"")</f>
        <v/>
      </c>
      <c r="G14" s="2172" t="str">
        <f t="shared" si="2"/>
        <v/>
      </c>
      <c r="H14" s="846" t="str">
        <f>IF(AND(ISNUMBER(H15), ISNUMBER(H16), ISNUMBER(H17)), SUM(H15,H16,H17),"")</f>
        <v/>
      </c>
      <c r="I14" s="909" t="str">
        <f t="shared" ref="I14:J14" si="3">IF(AND(ISNUMBER(I15), ISNUMBER(I16), ISNUMBER(I17)), SUM(I15,I16,I17),"")</f>
        <v/>
      </c>
      <c r="J14" s="1215" t="str">
        <f t="shared" si="3"/>
        <v/>
      </c>
      <c r="K14" s="1031"/>
      <c r="L14" s="903" t="str">
        <f>IF(AND(ISNUMBER(C14), ISNUMBER(F14)), IF(C14&lt;&gt;0, ((F14-C14)/C14), "EAD=0"), "")</f>
        <v/>
      </c>
      <c r="M14" s="904" t="str">
        <f>IF(AND(ISNUMBER(D14), ISNUMBER(G14)), IF(D14&lt;&gt;0, ((G14-D14)/D14), "RWA=0"), "")</f>
        <v/>
      </c>
      <c r="N14" s="904" t="str">
        <f>IF(AND(ISNUMBER(E14), ISNUMBER(H14)), IF(E14&lt;&gt;0, ((H14-E14)/E14), "EL=0"), "")</f>
        <v/>
      </c>
      <c r="O14" s="904" t="str">
        <f>IF(AND(ISNUMBER(F14), ISNUMBER(I14)), IF(F14&lt;&gt;0, ((I14-F14)/F14), "EAD=0"), "")</f>
        <v/>
      </c>
      <c r="P14" s="905" t="str">
        <f>IF(AND(ISNUMBER(G14), ISNUMBER(J14)), IF(G14&lt;&gt;0, ((J14-G14)/G14), "RWA=0"), "")</f>
        <v/>
      </c>
      <c r="Q14" s="477"/>
      <c r="R14" s="477"/>
      <c r="S14" s="477"/>
      <c r="T14" s="1031"/>
      <c r="U14" s="824"/>
      <c r="V14" s="825"/>
      <c r="W14" s="826"/>
      <c r="X14" s="477"/>
      <c r="Y14" s="477"/>
      <c r="Z14" s="477"/>
      <c r="AA14" s="477"/>
      <c r="AB14" s="544"/>
    </row>
    <row r="15" spans="1:28" ht="15" customHeight="1" x14ac:dyDescent="0.25">
      <c r="A15" s="545"/>
      <c r="B15" s="839" t="s">
        <v>710</v>
      </c>
      <c r="C15" s="910" t="str">
        <f>IF(AND(ISNUMBER(C48), ISNUMBER(C69), ISNUMBER(C88)), SUM(C48,C69,C88),"")</f>
        <v/>
      </c>
      <c r="D15" s="910" t="str">
        <f>IF(AND(ISNUMBER(D48), ISNUMBER(D69), ISNUMBER(D88)), SUM(D48,D69,D88),"")</f>
        <v/>
      </c>
      <c r="E15" s="580" t="str">
        <f>IF(AND(ISNUMBER(E69), ISNUMBER(E88)), SUM(E69, E88), "")</f>
        <v/>
      </c>
      <c r="F15" s="910" t="str">
        <f>IF(AND(ISNUMBER(F48), ISNUMBER(F69), ISNUMBER(F88)), SUM(F48,F69,F88),"")</f>
        <v/>
      </c>
      <c r="G15" s="693" t="str">
        <f>IF(AND(ISNUMBER(G48), ISNUMBER(G69), ISNUMBER(G88)), SUM(G48,G69,G88),"")</f>
        <v/>
      </c>
      <c r="H15" s="580" t="str">
        <f>IF(ISNUMBER(H69), H69, "")</f>
        <v/>
      </c>
      <c r="I15" s="910" t="str">
        <f>IF(AND(ISNUMBER(I48), ISNUMBER(I69), ISNUMBER(I88)), SUM(I48,I69,I88),"")</f>
        <v/>
      </c>
      <c r="J15" s="209" t="str">
        <f>IF(AND(ISNUMBER(J48), ISNUMBER(J69), ISNUMBER(J88)), SUM(J48,J69,J88),"")</f>
        <v/>
      </c>
      <c r="K15" s="828"/>
      <c r="L15" s="906" t="str">
        <f t="shared" ref="L15:L33" si="4">IF(AND(ISNUMBER(C15), ISNUMBER(F15)), IF(C15&lt;&gt;0, ((F15-C15)/C15), "EAD=0"), "")</f>
        <v/>
      </c>
      <c r="M15" s="907" t="str">
        <f t="shared" ref="M15:M33" si="5">IF(AND(ISNUMBER(D15), ISNUMBER(G15)), IF(D15&lt;&gt;0, ((G15-D15)/D15), "RWA=0"), "")</f>
        <v/>
      </c>
      <c r="N15" s="907" t="str">
        <f t="shared" ref="N15:N25" si="6">IF(AND(ISNUMBER(E15), ISNUMBER(H15)), IF(E15&lt;&gt;0, ((H15-E15)/E15), "EL=0"), "")</f>
        <v/>
      </c>
      <c r="O15" s="907" t="str">
        <f t="shared" ref="O15:O25" si="7">IF(AND(ISNUMBER(F15), ISNUMBER(I15)), IF(F15&lt;&gt;0, ((I15-F15)/F15), "EAD=0"), "")</f>
        <v/>
      </c>
      <c r="P15" s="908" t="str">
        <f t="shared" ref="P15:P25" si="8">IF(AND(ISNUMBER(G15), ISNUMBER(J15)), IF(G15&lt;&gt;0, ((J15-G15)/G15), "RWA=0"), "")</f>
        <v/>
      </c>
      <c r="Q15" s="477"/>
      <c r="R15" s="477"/>
      <c r="S15" s="477"/>
      <c r="T15" s="828"/>
      <c r="U15" s="522"/>
      <c r="V15" s="483"/>
      <c r="W15" s="518"/>
      <c r="X15" s="477"/>
      <c r="Y15" s="477"/>
      <c r="Z15" s="477"/>
      <c r="AA15" s="477"/>
      <c r="AB15" s="544"/>
    </row>
    <row r="16" spans="1:28" ht="15" customHeight="1" x14ac:dyDescent="0.25">
      <c r="A16" s="545"/>
      <c r="B16" s="763" t="s">
        <v>696</v>
      </c>
      <c r="C16" s="910" t="str">
        <f>IF(AND(ISNUMBER(C50), ISNUMBER(C70), ISNUMBER(C89)), SUM(C50,C70,C89),"")</f>
        <v/>
      </c>
      <c r="D16" s="910" t="str">
        <f>IF(AND(ISNUMBER(D50), ISNUMBER(D70), ISNUMBER(D89)), SUM(D50,D70,D89),"")</f>
        <v/>
      </c>
      <c r="E16" s="580" t="str">
        <f>IF(AND(ISNUMBER(E70), ISNUMBER(E89)), SUM(E70,E89), "")</f>
        <v/>
      </c>
      <c r="F16" s="910" t="str">
        <f>IF(AND(ISNUMBER(F50), ISNUMBER(F70), ISNUMBER(F89)), SUM(F50,F70,F89),"")</f>
        <v/>
      </c>
      <c r="G16" s="693" t="str">
        <f>IF(AND(ISNUMBER(G50), ISNUMBER(G70), ISNUMBER(G89)), SUM(G50,G70,G89),"")</f>
        <v/>
      </c>
      <c r="H16" s="580" t="str">
        <f>IF(ISNUMBER(H70), H70, "")</f>
        <v/>
      </c>
      <c r="I16" s="910" t="str">
        <f>IF(AND(ISNUMBER(I50), ISNUMBER(I70), ISNUMBER(I89)), SUM(I50,I70,I89),"")</f>
        <v/>
      </c>
      <c r="J16" s="209" t="str">
        <f>IF(AND(ISNUMBER(J50), ISNUMBER(J70), ISNUMBER(J89)), SUM(J50,J70,J89),"")</f>
        <v/>
      </c>
      <c r="K16" s="829"/>
      <c r="L16" s="906" t="str">
        <f t="shared" si="4"/>
        <v/>
      </c>
      <c r="M16" s="907" t="str">
        <f t="shared" si="5"/>
        <v/>
      </c>
      <c r="N16" s="907" t="str">
        <f t="shared" si="6"/>
        <v/>
      </c>
      <c r="O16" s="907" t="str">
        <f t="shared" si="7"/>
        <v/>
      </c>
      <c r="P16" s="908" t="str">
        <f t="shared" si="8"/>
        <v/>
      </c>
      <c r="Q16" s="477"/>
      <c r="R16" s="477"/>
      <c r="S16" s="477"/>
      <c r="T16" s="829"/>
      <c r="U16" s="522"/>
      <c r="V16" s="483"/>
      <c r="W16" s="518"/>
      <c r="X16" s="477"/>
      <c r="Y16" s="477"/>
      <c r="Z16" s="477"/>
      <c r="AA16" s="477"/>
      <c r="AB16" s="544"/>
    </row>
    <row r="17" spans="1:28" ht="15" customHeight="1" x14ac:dyDescent="0.25">
      <c r="A17" s="545"/>
      <c r="B17" s="763" t="s">
        <v>711</v>
      </c>
      <c r="C17" s="910" t="str">
        <f>IF(AND(ISNUMBER(C49), ISNUMBER(C71), ISNUMBER(C90)), SUM(C49,C71,C90), "")</f>
        <v/>
      </c>
      <c r="D17" s="910" t="str">
        <f>IF(AND(ISNUMBER(D49), ISNUMBER(D71), ISNUMBER(D90)), SUM(D49,D71,D90), "")</f>
        <v/>
      </c>
      <c r="E17" s="580" t="str">
        <f>IF(AND(ISNUMBER(E71), ISNUMBER(E90)), SUM(E71,E90), "")</f>
        <v/>
      </c>
      <c r="F17" s="910" t="str">
        <f>IF(AND(ISNUMBER(F49), ISNUMBER(F71), ISNUMBER(F90)), SUM(F49,F71,F90), "")</f>
        <v/>
      </c>
      <c r="G17" s="693" t="str">
        <f>IF(AND(ISNUMBER(G49), ISNUMBER(G71), ISNUMBER(G90)), SUM(G49,G71,G90), "")</f>
        <v/>
      </c>
      <c r="H17" s="580" t="str">
        <f>IF(ISNUMBER(H71), H71, "")</f>
        <v/>
      </c>
      <c r="I17" s="910" t="str">
        <f>IF(AND(ISNUMBER(I49), ISNUMBER(I71), ISNUMBER(I90)), SUM(I49,I71,I90), "")</f>
        <v/>
      </c>
      <c r="J17" s="209" t="str">
        <f>IF(AND(ISNUMBER(J49), ISNUMBER(J71), ISNUMBER(J90)), SUM(J49,J71,J90), "")</f>
        <v/>
      </c>
      <c r="K17" s="1031"/>
      <c r="L17" s="906" t="str">
        <f t="shared" si="4"/>
        <v/>
      </c>
      <c r="M17" s="907" t="str">
        <f t="shared" si="5"/>
        <v/>
      </c>
      <c r="N17" s="907" t="str">
        <f t="shared" si="6"/>
        <v/>
      </c>
      <c r="O17" s="907" t="str">
        <f t="shared" si="7"/>
        <v/>
      </c>
      <c r="P17" s="908" t="str">
        <f t="shared" si="8"/>
        <v/>
      </c>
      <c r="Q17" s="477"/>
      <c r="R17" s="477"/>
      <c r="S17" s="477"/>
      <c r="T17" s="1031"/>
      <c r="U17" s="522"/>
      <c r="V17" s="483"/>
      <c r="W17" s="518"/>
      <c r="X17" s="477"/>
      <c r="Y17" s="477"/>
      <c r="Z17" s="477"/>
      <c r="AA17" s="477"/>
      <c r="AB17" s="544"/>
    </row>
    <row r="18" spans="1:28" ht="15" customHeight="1" x14ac:dyDescent="0.25">
      <c r="A18" s="545"/>
      <c r="B18" s="237" t="s">
        <v>712</v>
      </c>
      <c r="C18" s="910" t="str">
        <f>IF(AND(ISNUMBER(C45), ISNUMBER(C73), ISNUMBER(C92)), SUM(C45,C73,C92), "")</f>
        <v/>
      </c>
      <c r="D18" s="910" t="str">
        <f>IF(AND(ISNUMBER(D45), ISNUMBER(D73), ISNUMBER(D92)), SUM(D45,D73,D92), "")</f>
        <v/>
      </c>
      <c r="E18" s="580" t="str">
        <f>IF(AND(ISNUMBER(E73), ISNUMBER(E92)), SUM(E73,E92), "")</f>
        <v/>
      </c>
      <c r="F18" s="910" t="str">
        <f>IF(AND(ISNUMBER(F45), ISNUMBER(F73), ISNUMBER(F92)), SUM(F45,F73,F92), "")</f>
        <v/>
      </c>
      <c r="G18" s="693" t="str">
        <f>IF(AND(ISNUMBER(G45), ISNUMBER(G73), ISNUMBER(G92)), SUM(G45,G73,G92), "")</f>
        <v/>
      </c>
      <c r="H18" s="580" t="str">
        <f>IF(ISNUMBER(H73), H73, "")</f>
        <v/>
      </c>
      <c r="I18" s="910" t="str">
        <f>IF(AND(ISNUMBER(I45), ISNUMBER(I73), ISNUMBER(I92)), SUM(I45,I73,I92), "")</f>
        <v/>
      </c>
      <c r="J18" s="209" t="str">
        <f>IF(AND(ISNUMBER(J45), ISNUMBER(J73), ISNUMBER(J92)), SUM(J45,J73,J92), "")</f>
        <v/>
      </c>
      <c r="K18" s="1031"/>
      <c r="L18" s="906" t="str">
        <f t="shared" si="4"/>
        <v/>
      </c>
      <c r="M18" s="907" t="str">
        <f t="shared" si="5"/>
        <v/>
      </c>
      <c r="N18" s="907" t="str">
        <f t="shared" si="6"/>
        <v/>
      </c>
      <c r="O18" s="907" t="str">
        <f t="shared" si="7"/>
        <v/>
      </c>
      <c r="P18" s="908" t="str">
        <f t="shared" si="8"/>
        <v/>
      </c>
      <c r="Q18" s="477"/>
      <c r="R18" s="477"/>
      <c r="S18" s="477"/>
      <c r="T18" s="1031"/>
      <c r="U18" s="522"/>
      <c r="V18" s="483"/>
      <c r="W18" s="518"/>
      <c r="X18" s="477"/>
      <c r="Y18" s="477"/>
      <c r="Z18" s="477"/>
      <c r="AA18" s="477"/>
      <c r="AB18" s="544"/>
    </row>
    <row r="19" spans="1:28" ht="15" customHeight="1" x14ac:dyDescent="0.25">
      <c r="A19" s="545"/>
      <c r="B19" s="237" t="s">
        <v>713</v>
      </c>
      <c r="C19" s="910" t="str">
        <f>IF(AND(ISNUMBER(C46), ISNUMBER(C47), ISNUMBER(C74), ISNUMBER(C93)), SUM(C46,C47,C74,C93), "")</f>
        <v/>
      </c>
      <c r="D19" s="910" t="str">
        <f>IF(AND(ISNUMBER(D46), ISNUMBER(D47), ISNUMBER(D74), ISNUMBER(D93)), SUM(D46,D47,D74,D93), "")</f>
        <v/>
      </c>
      <c r="E19" s="580" t="str">
        <f>IF(AND(ISNUMBER(E74), ISNUMBER(E93)), SUM(E74,E93), "")</f>
        <v/>
      </c>
      <c r="F19" s="910" t="str">
        <f>IF(AND(ISNUMBER(F46), ISNUMBER(F47), ISNUMBER(F74), ISNUMBER(F93)), SUM(F46,F47,F74,F93), "")</f>
        <v/>
      </c>
      <c r="G19" s="693" t="str">
        <f>IF(AND(ISNUMBER(G46), ISNUMBER(G47), ISNUMBER(G74), ISNUMBER(G93)), SUM(G46,G47,G74,G93), "")</f>
        <v/>
      </c>
      <c r="H19" s="580" t="str">
        <f>IF(ISNUMBER(H74), H74, "")</f>
        <v/>
      </c>
      <c r="I19" s="910" t="str">
        <f>IF(AND(ISNUMBER(I46), ISNUMBER(I47), ISNUMBER(I74), ISNUMBER(I93)), SUM(I46,I47,I74,I93), "")</f>
        <v/>
      </c>
      <c r="J19" s="209" t="str">
        <f>IF(AND(ISNUMBER(J46), ISNUMBER(J47), ISNUMBER(J74), ISNUMBER(J93)), SUM(J46,J47,J74,J93), "")</f>
        <v/>
      </c>
      <c r="K19" s="1031"/>
      <c r="L19" s="906" t="str">
        <f t="shared" si="4"/>
        <v/>
      </c>
      <c r="M19" s="907" t="str">
        <f t="shared" si="5"/>
        <v/>
      </c>
      <c r="N19" s="907" t="str">
        <f t="shared" si="6"/>
        <v/>
      </c>
      <c r="O19" s="907" t="str">
        <f t="shared" si="7"/>
        <v/>
      </c>
      <c r="P19" s="908" t="str">
        <f t="shared" si="8"/>
        <v/>
      </c>
      <c r="Q19" s="477"/>
      <c r="R19" s="477"/>
      <c r="S19" s="477"/>
      <c r="T19" s="1031"/>
      <c r="U19" s="522"/>
      <c r="V19" s="483"/>
      <c r="W19" s="518"/>
      <c r="X19" s="477"/>
      <c r="Y19" s="477"/>
      <c r="Z19" s="477"/>
      <c r="AA19" s="477"/>
      <c r="AB19" s="544"/>
    </row>
    <row r="20" spans="1:28" ht="15" customHeight="1" x14ac:dyDescent="0.25">
      <c r="A20" s="545"/>
      <c r="B20" s="237" t="s">
        <v>714</v>
      </c>
      <c r="C20" s="910" t="str">
        <f>IF(AND(ISNUMBER(C72), ISNUMBER(C91)), SUM(C72, C91), "")</f>
        <v/>
      </c>
      <c r="D20" s="580" t="str">
        <f>IF(AND(ISNUMBER(D72), ISNUMBER(D91)), SUM(D72, D91), "")</f>
        <v/>
      </c>
      <c r="E20" s="580" t="str">
        <f>IF(AND(ISNUMBER(E72), ISNUMBER(E91)), SUM(E72, E91), "")</f>
        <v/>
      </c>
      <c r="F20" s="910" t="str">
        <f>IF(AND(ISNUMBER(F72), ISNUMBER(F91)), SUM(F72,F91), "")</f>
        <v/>
      </c>
      <c r="G20" s="693" t="str">
        <f>IF(AND(ISNUMBER(G72), ISNUMBER(G91)), SUM(G72,G91), "")</f>
        <v/>
      </c>
      <c r="H20" s="580" t="str">
        <f>IF(ISNUMBER(H72),H72, "")</f>
        <v/>
      </c>
      <c r="I20" s="910" t="str">
        <f>IF(AND(ISNUMBER(I72), ISNUMBER(I91)), SUM(I72,I91), "")</f>
        <v/>
      </c>
      <c r="J20" s="209" t="str">
        <f>IF(AND(ISNUMBER(J72), ISNUMBER(J91)), SUM(J72,J91), "")</f>
        <v/>
      </c>
      <c r="K20" s="1031"/>
      <c r="L20" s="906" t="str">
        <f t="shared" si="4"/>
        <v/>
      </c>
      <c r="M20" s="907" t="str">
        <f t="shared" si="5"/>
        <v/>
      </c>
      <c r="N20" s="907" t="str">
        <f t="shared" si="6"/>
        <v/>
      </c>
      <c r="O20" s="907" t="str">
        <f t="shared" si="7"/>
        <v/>
      </c>
      <c r="P20" s="908" t="str">
        <f t="shared" si="8"/>
        <v/>
      </c>
      <c r="Q20" s="477"/>
      <c r="R20" s="477"/>
      <c r="S20" s="477"/>
      <c r="T20" s="1031"/>
      <c r="U20" s="522"/>
      <c r="V20" s="483"/>
      <c r="W20" s="518"/>
      <c r="X20" s="477"/>
      <c r="Y20" s="477"/>
      <c r="Z20" s="477"/>
      <c r="AA20" s="477"/>
      <c r="AB20" s="544"/>
    </row>
    <row r="21" spans="1:28" ht="15" customHeight="1" x14ac:dyDescent="0.25">
      <c r="A21" s="545"/>
      <c r="B21" s="237" t="s">
        <v>715</v>
      </c>
      <c r="C21" s="910" t="str">
        <f>IF(AND(ISNUMBER(C22), ISNUMBER(C24), ISNUMBER(C23), ISNUMBER(C26)), SUM(C22:C24, C26),"")</f>
        <v/>
      </c>
      <c r="D21" s="910" t="str">
        <f>IF(AND(ISNUMBER(D22), ISNUMBER(D24), ISNUMBER(D23), ISNUMBER(D26)), SUM(D22:D24, D26),"")</f>
        <v/>
      </c>
      <c r="E21" s="580" t="str">
        <f>IF(AND(ISNUMBER(E22), ISNUMBER(E24), ISNUMBER(E23)), SUM(E22, E24, E23),"")</f>
        <v/>
      </c>
      <c r="F21" s="910" t="str">
        <f>IF(AND(ISNUMBER(F22), ISNUMBER(F24), ISNUMBER(F23), ISNUMBER(F26)), SUM(F22:F24, F26),"")</f>
        <v/>
      </c>
      <c r="G21" s="693" t="str">
        <f>IF(AND(ISNUMBER(G22), ISNUMBER(G24), ISNUMBER(G23), ISNUMBER(G26)), SUM(G22:G24, G26),"")</f>
        <v/>
      </c>
      <c r="H21" s="580" t="str">
        <f>IF(AND(ISNUMBER(H22), ISNUMBER(H24), ISNUMBER(H23)), SUM(H22, H24, H23),"")</f>
        <v/>
      </c>
      <c r="I21" s="910" t="str">
        <f>IF(AND(ISNUMBER(I22), ISNUMBER(I24), ISNUMBER(I23), ISNUMBER(I26)), SUM(I22:I24, I26),"")</f>
        <v/>
      </c>
      <c r="J21" s="209" t="str">
        <f>IF(AND(ISNUMBER(J22), ISNUMBER(J24), ISNUMBER(J23), ISNUMBER(J26)), SUM(J22:J24, J26),"")</f>
        <v/>
      </c>
      <c r="K21" s="1031"/>
      <c r="L21" s="906" t="str">
        <f t="shared" si="4"/>
        <v/>
      </c>
      <c r="M21" s="907" t="str">
        <f t="shared" si="5"/>
        <v/>
      </c>
      <c r="N21" s="907" t="str">
        <f t="shared" si="6"/>
        <v/>
      </c>
      <c r="O21" s="907" t="str">
        <f t="shared" si="7"/>
        <v/>
      </c>
      <c r="P21" s="908" t="str">
        <f t="shared" si="8"/>
        <v/>
      </c>
      <c r="Q21" s="477"/>
      <c r="R21" s="477"/>
      <c r="S21" s="477"/>
      <c r="T21" s="1031"/>
      <c r="U21" s="522"/>
      <c r="V21" s="483"/>
      <c r="W21" s="518"/>
      <c r="X21" s="477"/>
      <c r="Y21" s="477"/>
      <c r="Z21" s="477"/>
      <c r="AA21" s="477"/>
      <c r="AB21" s="544"/>
    </row>
    <row r="22" spans="1:28" ht="15" customHeight="1" x14ac:dyDescent="0.25">
      <c r="A22" s="545"/>
      <c r="B22" s="763" t="s">
        <v>716</v>
      </c>
      <c r="C22" s="910" t="str">
        <f t="shared" ref="C22:G25" si="9">IF(AND(ISNUMBER(C75), ISNUMBER(C94)), SUM(C75,C94), "")</f>
        <v/>
      </c>
      <c r="D22" s="910" t="str">
        <f t="shared" si="9"/>
        <v/>
      </c>
      <c r="E22" s="580" t="str">
        <f t="shared" si="9"/>
        <v/>
      </c>
      <c r="F22" s="910" t="str">
        <f t="shared" si="9"/>
        <v/>
      </c>
      <c r="G22" s="693" t="str">
        <f t="shared" si="9"/>
        <v/>
      </c>
      <c r="H22" s="580" t="str">
        <f>IF(ISNUMBER(H75), H75, "")</f>
        <v/>
      </c>
      <c r="I22" s="910" t="str">
        <f t="shared" ref="I22:J25" si="10">IF(AND(ISNUMBER(I75), ISNUMBER(I94)), SUM(I75,I94), "")</f>
        <v/>
      </c>
      <c r="J22" s="209" t="str">
        <f t="shared" si="10"/>
        <v/>
      </c>
      <c r="K22" s="1031"/>
      <c r="L22" s="906" t="str">
        <f t="shared" si="4"/>
        <v/>
      </c>
      <c r="M22" s="907" t="str">
        <f t="shared" si="5"/>
        <v/>
      </c>
      <c r="N22" s="907" t="str">
        <f t="shared" si="6"/>
        <v/>
      </c>
      <c r="O22" s="907" t="str">
        <f t="shared" si="7"/>
        <v/>
      </c>
      <c r="P22" s="908" t="str">
        <f t="shared" si="8"/>
        <v/>
      </c>
      <c r="Q22" s="477"/>
      <c r="R22" s="477"/>
      <c r="S22" s="477"/>
      <c r="T22" s="1031"/>
      <c r="U22" s="522"/>
      <c r="V22" s="483"/>
      <c r="W22" s="518"/>
      <c r="X22" s="477"/>
      <c r="Y22" s="477"/>
      <c r="Z22" s="477"/>
      <c r="AA22" s="477"/>
      <c r="AB22" s="544"/>
    </row>
    <row r="23" spans="1:28" ht="15" customHeight="1" x14ac:dyDescent="0.25">
      <c r="A23" s="545"/>
      <c r="B23" s="763" t="s">
        <v>717</v>
      </c>
      <c r="C23" s="910" t="str">
        <f t="shared" si="9"/>
        <v/>
      </c>
      <c r="D23" s="910" t="str">
        <f t="shared" si="9"/>
        <v/>
      </c>
      <c r="E23" s="580" t="str">
        <f t="shared" si="9"/>
        <v/>
      </c>
      <c r="F23" s="910" t="str">
        <f t="shared" si="9"/>
        <v/>
      </c>
      <c r="G23" s="693" t="str">
        <f t="shared" si="9"/>
        <v/>
      </c>
      <c r="H23" s="580" t="str">
        <f>IF(ISNUMBER(H76), H76, "")</f>
        <v/>
      </c>
      <c r="I23" s="910" t="str">
        <f t="shared" si="10"/>
        <v/>
      </c>
      <c r="J23" s="209" t="str">
        <f t="shared" si="10"/>
        <v/>
      </c>
      <c r="K23" s="1031"/>
      <c r="L23" s="906" t="str">
        <f t="shared" si="4"/>
        <v/>
      </c>
      <c r="M23" s="907" t="str">
        <f t="shared" si="5"/>
        <v/>
      </c>
      <c r="N23" s="907" t="str">
        <f t="shared" si="6"/>
        <v/>
      </c>
      <c r="O23" s="907" t="str">
        <f t="shared" si="7"/>
        <v/>
      </c>
      <c r="P23" s="908" t="str">
        <f t="shared" si="8"/>
        <v/>
      </c>
      <c r="Q23" s="477"/>
      <c r="R23" s="477"/>
      <c r="S23" s="477"/>
      <c r="T23" s="1031"/>
      <c r="U23" s="522"/>
      <c r="V23" s="483"/>
      <c r="W23" s="518"/>
      <c r="X23" s="477"/>
      <c r="Y23" s="477"/>
      <c r="Z23" s="477"/>
      <c r="AA23" s="477"/>
      <c r="AB23" s="544"/>
    </row>
    <row r="24" spans="1:28" ht="15" customHeight="1" x14ac:dyDescent="0.25">
      <c r="A24" s="545"/>
      <c r="B24" s="763" t="s">
        <v>867</v>
      </c>
      <c r="C24" s="910" t="str">
        <f t="shared" si="9"/>
        <v/>
      </c>
      <c r="D24" s="910" t="str">
        <f t="shared" si="9"/>
        <v/>
      </c>
      <c r="E24" s="580" t="str">
        <f t="shared" si="9"/>
        <v/>
      </c>
      <c r="F24" s="910" t="str">
        <f t="shared" si="9"/>
        <v/>
      </c>
      <c r="G24" s="693" t="str">
        <f t="shared" si="9"/>
        <v/>
      </c>
      <c r="H24" s="580" t="str">
        <f>IF(ISNUMBER(H77), H77, "")</f>
        <v/>
      </c>
      <c r="I24" s="910" t="str">
        <f t="shared" si="10"/>
        <v/>
      </c>
      <c r="J24" s="209" t="str">
        <f t="shared" si="10"/>
        <v/>
      </c>
      <c r="K24" s="1031"/>
      <c r="L24" s="906" t="str">
        <f t="shared" si="4"/>
        <v/>
      </c>
      <c r="M24" s="907" t="str">
        <f t="shared" si="5"/>
        <v/>
      </c>
      <c r="N24" s="907" t="str">
        <f t="shared" si="6"/>
        <v/>
      </c>
      <c r="O24" s="907" t="str">
        <f t="shared" si="7"/>
        <v/>
      </c>
      <c r="P24" s="908" t="str">
        <f t="shared" si="8"/>
        <v/>
      </c>
      <c r="Q24" s="477"/>
      <c r="R24" s="477"/>
      <c r="S24" s="477"/>
      <c r="T24" s="1031"/>
      <c r="U24" s="522"/>
      <c r="V24" s="483"/>
      <c r="W24" s="518"/>
      <c r="X24" s="477"/>
      <c r="Y24" s="477"/>
      <c r="Z24" s="477"/>
      <c r="AA24" s="477"/>
      <c r="AB24" s="544"/>
    </row>
    <row r="25" spans="1:28" ht="15" customHeight="1" x14ac:dyDescent="0.25">
      <c r="A25" s="545"/>
      <c r="B25" s="617" t="s">
        <v>868</v>
      </c>
      <c r="C25" s="910" t="str">
        <f t="shared" si="9"/>
        <v/>
      </c>
      <c r="D25" s="910" t="str">
        <f t="shared" si="9"/>
        <v/>
      </c>
      <c r="E25" s="580" t="str">
        <f t="shared" si="9"/>
        <v/>
      </c>
      <c r="F25" s="910" t="str">
        <f t="shared" si="9"/>
        <v/>
      </c>
      <c r="G25" s="693" t="str">
        <f t="shared" si="9"/>
        <v/>
      </c>
      <c r="H25" s="580" t="str">
        <f>IF(ISNUMBER(H78), H78, "")</f>
        <v/>
      </c>
      <c r="I25" s="910" t="str">
        <f t="shared" si="10"/>
        <v/>
      </c>
      <c r="J25" s="209" t="str">
        <f t="shared" si="10"/>
        <v/>
      </c>
      <c r="K25" s="1031"/>
      <c r="L25" s="906" t="str">
        <f t="shared" si="4"/>
        <v/>
      </c>
      <c r="M25" s="907" t="str">
        <f t="shared" si="5"/>
        <v/>
      </c>
      <c r="N25" s="907" t="str">
        <f t="shared" si="6"/>
        <v/>
      </c>
      <c r="O25" s="907" t="str">
        <f t="shared" si="7"/>
        <v/>
      </c>
      <c r="P25" s="908" t="str">
        <f t="shared" si="8"/>
        <v/>
      </c>
      <c r="Q25" s="477"/>
      <c r="R25" s="477"/>
      <c r="S25" s="477"/>
      <c r="T25" s="1031"/>
      <c r="U25" s="522"/>
      <c r="V25" s="483"/>
      <c r="W25" s="518"/>
      <c r="X25" s="477"/>
      <c r="Y25" s="477"/>
      <c r="Z25" s="477"/>
      <c r="AA25" s="477"/>
      <c r="AB25" s="544"/>
    </row>
    <row r="26" spans="1:28" ht="15" customHeight="1" x14ac:dyDescent="0.25">
      <c r="A26" s="545"/>
      <c r="B26" s="763" t="s">
        <v>718</v>
      </c>
      <c r="C26" s="910" t="str">
        <f>IF(ISNUMBER(C54), C54, "")</f>
        <v/>
      </c>
      <c r="D26" s="910" t="str">
        <f>IF(ISNUMBER(D54), D54, "")</f>
        <v/>
      </c>
      <c r="E26" s="502"/>
      <c r="F26" s="910" t="str">
        <f>IF(ISNUMBER(F54), F54, "")</f>
        <v/>
      </c>
      <c r="G26" s="693" t="str">
        <f>IF(ISNUMBER(G54), G54, "")</f>
        <v/>
      </c>
      <c r="H26" s="480"/>
      <c r="I26" s="910" t="str">
        <f>IF(ISNUMBER(I54), I54, "")</f>
        <v/>
      </c>
      <c r="J26" s="209" t="str">
        <f>IF(ISNUMBER(J54), J54, "")</f>
        <v/>
      </c>
      <c r="K26" s="1031"/>
      <c r="L26" s="906" t="str">
        <f t="shared" si="4"/>
        <v/>
      </c>
      <c r="M26" s="907" t="str">
        <f t="shared" si="5"/>
        <v/>
      </c>
      <c r="N26" s="480"/>
      <c r="O26" s="907" t="str">
        <f t="shared" ref="O26:O36" si="11">IF(AND(ISNUMBER(F26), ISNUMBER(I26)), IF(F26&lt;&gt;0, ((I26-F26)/F26), "EAD=0"), "")</f>
        <v/>
      </c>
      <c r="P26" s="908" t="str">
        <f t="shared" ref="P26:P36" si="12">IF(AND(ISNUMBER(G26), ISNUMBER(J26)), IF(G26&lt;&gt;0, ((J26-G26)/G26), "RWA=0"), "")</f>
        <v/>
      </c>
      <c r="Q26" s="477"/>
      <c r="R26" s="477"/>
      <c r="S26" s="477"/>
      <c r="T26" s="1031"/>
      <c r="U26" s="522"/>
      <c r="V26" s="483"/>
      <c r="W26" s="518"/>
      <c r="X26" s="477"/>
      <c r="Y26" s="477"/>
      <c r="Z26" s="477"/>
      <c r="AA26" s="477"/>
      <c r="AB26" s="544"/>
    </row>
    <row r="27" spans="1:28" ht="15" customHeight="1" x14ac:dyDescent="0.25">
      <c r="A27" s="545"/>
      <c r="B27" s="507" t="s">
        <v>664</v>
      </c>
      <c r="C27" s="910" t="str">
        <f>IF(AND(ISNUMBER(C51),ISNUMBER(C98)), SUM(C51,C98), "")</f>
        <v/>
      </c>
      <c r="D27" s="910" t="str">
        <f>IF(AND(ISNUMBER(D51),ISNUMBER(D98)), SUM(D51,D98), "")</f>
        <v/>
      </c>
      <c r="E27" s="910" t="str">
        <f>IF(ISNUMBER(E98), E98, "")</f>
        <v/>
      </c>
      <c r="F27" s="910" t="str">
        <f>IF(AND(ISNUMBER(F51),ISNUMBER(F98)), SUM(F51,F98), "")</f>
        <v/>
      </c>
      <c r="G27" s="693" t="str">
        <f>IF(AND(ISNUMBER(G51),ISNUMBER(G98)), SUM(G51,G98), "")</f>
        <v/>
      </c>
      <c r="H27" s="480"/>
      <c r="I27" s="910" t="str">
        <f>IF(AND(ISNUMBER(I51),ISNUMBER(I98)), SUM(I51,I98), "")</f>
        <v/>
      </c>
      <c r="J27" s="209" t="str">
        <f>IF(AND(ISNUMBER(J51),ISNUMBER(J98)), SUM(J51,J98), "")</f>
        <v/>
      </c>
      <c r="K27" s="1031"/>
      <c r="L27" s="906" t="str">
        <f t="shared" si="4"/>
        <v/>
      </c>
      <c r="M27" s="907" t="str">
        <f t="shared" si="5"/>
        <v/>
      </c>
      <c r="N27" s="480"/>
      <c r="O27" s="907" t="str">
        <f t="shared" si="11"/>
        <v/>
      </c>
      <c r="P27" s="908" t="str">
        <f t="shared" si="12"/>
        <v/>
      </c>
      <c r="Q27" s="477"/>
      <c r="R27" s="477"/>
      <c r="S27" s="477"/>
      <c r="T27" s="1031"/>
      <c r="U27" s="794" t="str">
        <f>IF(ISNUMBER(L27), IF(ABS(L27)&gt;0.5, "Error: diff above 50%", IF(ABS(L27)&gt;=0.3, "Warning: diff 30–50%", "Diff below 30%")), "")</f>
        <v/>
      </c>
      <c r="V27" s="808" t="str">
        <f>IF(ISNUMBER(M27), IF(ABS(M27)&gt;0.5, "Error: diff above 50%", IF(ABS(M27)&gt;=0.3, "Warning: diff 30–50%", "Diff below 30%")), "")</f>
        <v/>
      </c>
      <c r="W27" s="518"/>
      <c r="X27" s="477"/>
      <c r="Y27" s="477"/>
      <c r="Z27" s="477"/>
      <c r="AA27" s="477"/>
      <c r="AB27" s="544"/>
    </row>
    <row r="28" spans="1:28" ht="15" customHeight="1" x14ac:dyDescent="0.25">
      <c r="A28" s="545"/>
      <c r="B28" s="1090" t="s">
        <v>1088</v>
      </c>
      <c r="C28" s="910" t="str">
        <f>IF(ISNUMBER(C52), C52, "")</f>
        <v/>
      </c>
      <c r="D28" s="910" t="str">
        <f>IF(ISNUMBER(D52), D52, "")</f>
        <v/>
      </c>
      <c r="E28" s="502"/>
      <c r="F28" s="910" t="str">
        <f>IF(ISNUMBER(F52), F52, "")</f>
        <v/>
      </c>
      <c r="G28" s="693" t="str">
        <f>IF(ISNUMBER(G52), G52, "")</f>
        <v/>
      </c>
      <c r="H28" s="480"/>
      <c r="I28" s="910" t="str">
        <f>IF(ISNUMBER(I52), I52, "")</f>
        <v/>
      </c>
      <c r="J28" s="209" t="str">
        <f>IF(ISNUMBER(J52), J52, "")</f>
        <v/>
      </c>
      <c r="K28" s="1031"/>
      <c r="L28" s="906" t="str">
        <f t="shared" si="4"/>
        <v/>
      </c>
      <c r="M28" s="907" t="str">
        <f t="shared" si="5"/>
        <v/>
      </c>
      <c r="N28" s="480"/>
      <c r="O28" s="907" t="str">
        <f t="shared" si="11"/>
        <v/>
      </c>
      <c r="P28" s="908" t="str">
        <f t="shared" si="12"/>
        <v/>
      </c>
      <c r="Q28" s="477"/>
      <c r="R28" s="477"/>
      <c r="S28" s="477"/>
      <c r="T28" s="1031"/>
      <c r="U28" s="522"/>
      <c r="V28" s="483"/>
      <c r="W28" s="518"/>
      <c r="X28" s="477"/>
      <c r="Y28" s="477"/>
      <c r="Z28" s="477"/>
      <c r="AA28" s="477"/>
      <c r="AB28" s="544"/>
    </row>
    <row r="29" spans="1:28" ht="15" customHeight="1" x14ac:dyDescent="0.25">
      <c r="A29" s="545"/>
      <c r="B29" s="507" t="s">
        <v>666</v>
      </c>
      <c r="C29" s="910" t="str">
        <f>IF(AND(ISNUMBER(C53), ISNUMBER(C79), ISNUMBER(C99)), SUM(C53,C79,C99), "")</f>
        <v/>
      </c>
      <c r="D29" s="910" t="str">
        <f>IF(AND(ISNUMBER(D53), ISNUMBER(D79), ISNUMBER(D99)), SUM(D53,D79,D99), "")</f>
        <v/>
      </c>
      <c r="E29" s="910" t="str">
        <f>IF(AND(ISNUMBER(E79), ISNUMBER(E99)), SUM(E79,E99), "")</f>
        <v/>
      </c>
      <c r="F29" s="910" t="str">
        <f>IF(AND(ISNUMBER(F53), ISNUMBER(F79), ISNUMBER(F99)), SUM(F53,F79,F99), "")</f>
        <v/>
      </c>
      <c r="G29" s="693" t="str">
        <f>IF(AND(ISNUMBER(G53), ISNUMBER(G79), ISNUMBER(G99)), SUM(G53,G79,G99), "")</f>
        <v/>
      </c>
      <c r="H29" s="580" t="str">
        <f>IF(ISNUMBER(H79), H79, "")</f>
        <v/>
      </c>
      <c r="I29" s="910" t="str">
        <f>IF(AND(ISNUMBER(I53), ISNUMBER(I79), ISNUMBER(I99)), SUM(I53,I79,I99), "")</f>
        <v/>
      </c>
      <c r="J29" s="209" t="str">
        <f>IF(AND(ISNUMBER(J53), ISNUMBER(J79), ISNUMBER(J99)), SUM(J53,J79,J99), "")</f>
        <v/>
      </c>
      <c r="K29" s="1031"/>
      <c r="L29" s="906" t="str">
        <f t="shared" si="4"/>
        <v/>
      </c>
      <c r="M29" s="907" t="str">
        <f t="shared" si="5"/>
        <v/>
      </c>
      <c r="N29" s="907" t="str">
        <f t="shared" ref="N29" si="13">IF(AND(ISNUMBER(E29), ISNUMBER(H29)), IF(E29&lt;&gt;0, ((H29-E29)/E29), "EL=0"), "")</f>
        <v/>
      </c>
      <c r="O29" s="907" t="str">
        <f t="shared" si="11"/>
        <v/>
      </c>
      <c r="P29" s="908" t="str">
        <f t="shared" si="12"/>
        <v/>
      </c>
      <c r="Q29" s="477"/>
      <c r="R29" s="477"/>
      <c r="S29" s="477"/>
      <c r="T29" s="1031"/>
      <c r="U29" s="522"/>
      <c r="V29" s="483"/>
      <c r="W29" s="518"/>
      <c r="X29" s="477"/>
      <c r="Y29" s="477"/>
      <c r="Z29" s="477"/>
      <c r="AA29" s="477"/>
      <c r="AB29" s="544"/>
    </row>
    <row r="30" spans="1:28" ht="15" customHeight="1" x14ac:dyDescent="0.25">
      <c r="A30" s="545"/>
      <c r="B30" s="840" t="s">
        <v>719</v>
      </c>
      <c r="C30" s="910" t="str">
        <f>IF(ISNUMBER(C55),C55, "")</f>
        <v/>
      </c>
      <c r="D30" s="910" t="str">
        <f>IF(ISNUMBER(D55),D55, "")</f>
        <v/>
      </c>
      <c r="E30" s="502"/>
      <c r="F30" s="910" t="str">
        <f>IF(ISNUMBER(F55),F55, "")</f>
        <v/>
      </c>
      <c r="G30" s="693" t="str">
        <f>IF(ISNUMBER(G55),G55, "")</f>
        <v/>
      </c>
      <c r="H30" s="480"/>
      <c r="I30" s="910" t="str">
        <f>IF(ISNUMBER(I55),I55, "")</f>
        <v/>
      </c>
      <c r="J30" s="209" t="str">
        <f>IF(ISNUMBER(J55),J55, "")</f>
        <v/>
      </c>
      <c r="K30" s="828"/>
      <c r="L30" s="906" t="str">
        <f t="shared" si="4"/>
        <v/>
      </c>
      <c r="M30" s="907" t="str">
        <f t="shared" si="5"/>
        <v/>
      </c>
      <c r="N30" s="480"/>
      <c r="O30" s="907" t="str">
        <f t="shared" si="11"/>
        <v/>
      </c>
      <c r="P30" s="908" t="str">
        <f t="shared" si="12"/>
        <v/>
      </c>
      <c r="Q30" s="477"/>
      <c r="R30" s="477"/>
      <c r="S30" s="477"/>
      <c r="T30" s="828"/>
      <c r="U30" s="522"/>
      <c r="V30" s="483"/>
      <c r="W30" s="518"/>
      <c r="X30" s="477"/>
      <c r="Y30" s="477"/>
      <c r="Z30" s="477"/>
      <c r="AA30" s="477"/>
      <c r="AB30" s="544"/>
    </row>
    <row r="31" spans="1:28" ht="15" customHeight="1" x14ac:dyDescent="0.25">
      <c r="A31" s="545"/>
      <c r="B31" s="237" t="s">
        <v>720</v>
      </c>
      <c r="C31" s="910" t="str">
        <f>IF(AND(ISNUMBER(C80), ISNUMBER(C100)), SUM(C80,C100), "")</f>
        <v/>
      </c>
      <c r="D31" s="910" t="str">
        <f>IF(AND(ISNUMBER(D80), ISNUMBER(D100)), SUM(D80,D100), "")</f>
        <v/>
      </c>
      <c r="E31" s="910" t="str">
        <f>IF(AND(ISNUMBER(E80), ISNUMBER(E100)), SUM(E80,E100), "")</f>
        <v/>
      </c>
      <c r="F31" s="910" t="str">
        <f>IF(AND(ISNUMBER(F80), ISNUMBER(F100)), SUM(F80,F100), "")</f>
        <v/>
      </c>
      <c r="G31" s="693" t="str">
        <f>IF(AND(ISNUMBER(G80), ISNUMBER(G100)), SUM(G80,G100), "")</f>
        <v/>
      </c>
      <c r="H31" s="580" t="str">
        <f t="shared" ref="H31" si="14">IF(ISNUMBER(H80), H80, "")</f>
        <v/>
      </c>
      <c r="I31" s="910" t="str">
        <f>IF(AND(ISNUMBER(I80), ISNUMBER(I100)), SUM(I80,I100), "")</f>
        <v/>
      </c>
      <c r="J31" s="209" t="str">
        <f>IF(AND(ISNUMBER(J80), ISNUMBER(J100)), SUM(J80,J100), "")</f>
        <v/>
      </c>
      <c r="K31" s="829"/>
      <c r="L31" s="906" t="str">
        <f t="shared" si="4"/>
        <v/>
      </c>
      <c r="M31" s="907" t="str">
        <f t="shared" si="5"/>
        <v/>
      </c>
      <c r="N31" s="907" t="str">
        <f t="shared" ref="N31" si="15">IF(AND(ISNUMBER(E31), ISNUMBER(H31)), IF(E31&lt;&gt;0, ((H31-E31)/E31), "EL=0"), "")</f>
        <v/>
      </c>
      <c r="O31" s="907" t="str">
        <f t="shared" si="11"/>
        <v/>
      </c>
      <c r="P31" s="908" t="str">
        <f t="shared" si="12"/>
        <v/>
      </c>
      <c r="Q31" s="477"/>
      <c r="R31" s="477"/>
      <c r="S31" s="477"/>
      <c r="T31" s="829"/>
      <c r="U31" s="522"/>
      <c r="V31" s="483"/>
      <c r="W31" s="518"/>
      <c r="X31" s="477"/>
      <c r="Y31" s="477"/>
      <c r="Z31" s="477"/>
      <c r="AA31" s="477"/>
      <c r="AB31" s="544"/>
    </row>
    <row r="32" spans="1:28" ht="15" customHeight="1" x14ac:dyDescent="0.25">
      <c r="A32" s="545"/>
      <c r="B32" s="237" t="s">
        <v>721</v>
      </c>
      <c r="C32" s="910" t="str">
        <f>IF(ISNUMBER(C61),C61, "")</f>
        <v/>
      </c>
      <c r="D32" s="910" t="str">
        <f>IF(ISNUMBER(D61),D61, "")</f>
        <v/>
      </c>
      <c r="E32" s="502"/>
      <c r="F32" s="910" t="str">
        <f>IF(ISNUMBER(F61),F61, "")</f>
        <v/>
      </c>
      <c r="G32" s="693" t="str">
        <f>IF(ISNUMBER(G61),G61, "")</f>
        <v/>
      </c>
      <c r="H32" s="480"/>
      <c r="I32" s="910" t="str">
        <f>IF(ISNUMBER(I61),I61, "")</f>
        <v/>
      </c>
      <c r="J32" s="209" t="str">
        <f>IF(ISNUMBER(J61),J61, "")</f>
        <v/>
      </c>
      <c r="K32" s="1031"/>
      <c r="L32" s="906" t="str">
        <f t="shared" si="4"/>
        <v/>
      </c>
      <c r="M32" s="907" t="str">
        <f t="shared" si="5"/>
        <v/>
      </c>
      <c r="N32" s="480"/>
      <c r="O32" s="907" t="str">
        <f t="shared" si="11"/>
        <v/>
      </c>
      <c r="P32" s="908" t="str">
        <f t="shared" si="12"/>
        <v/>
      </c>
      <c r="Q32" s="477"/>
      <c r="R32" s="477"/>
      <c r="S32" s="477"/>
      <c r="T32" s="1031"/>
      <c r="U32" s="522"/>
      <c r="V32" s="483"/>
      <c r="W32" s="518"/>
      <c r="X32" s="477"/>
      <c r="Y32" s="477"/>
      <c r="Z32" s="477"/>
      <c r="AA32" s="477"/>
      <c r="AB32" s="544"/>
    </row>
    <row r="33" spans="1:28" ht="15" customHeight="1" x14ac:dyDescent="0.25">
      <c r="A33" s="545"/>
      <c r="B33" s="237" t="s">
        <v>680</v>
      </c>
      <c r="C33" s="910" t="str">
        <f>IF(AND(ISNUMBER(C62), ISNUMBER(C81), ISNUMBER(C101)), SUM(C62,C81,C101), "")</f>
        <v/>
      </c>
      <c r="D33" s="910" t="str">
        <f>IF(AND(ISNUMBER(D62), ISNUMBER(D81), ISNUMBER(D101)), SUM(D62,D81,D101), "")</f>
        <v/>
      </c>
      <c r="E33" s="910" t="str">
        <f>IF(AND(ISNUMBER(E81), ISNUMBER(E101)), SUM(E81,E101), "")</f>
        <v/>
      </c>
      <c r="F33" s="910" t="str">
        <f>IF(AND(ISNUMBER(F62), ISNUMBER(F81), ISNUMBER(F101)), SUM(F62,F81,F101), "")</f>
        <v/>
      </c>
      <c r="G33" s="693" t="str">
        <f>IF(AND(ISNUMBER(G62), ISNUMBER(G81), ISNUMBER(G101)), SUM(G62,G81,G101), "")</f>
        <v/>
      </c>
      <c r="H33" s="580" t="str">
        <f>IF(ISNUMBER(H81), H81,"")</f>
        <v/>
      </c>
      <c r="I33" s="910" t="str">
        <f>IF(AND(ISNUMBER(I62), ISNUMBER(I81), ISNUMBER(I101)), SUM(I62,I81,I101), "")</f>
        <v/>
      </c>
      <c r="J33" s="209" t="str">
        <f>IF(AND(ISNUMBER(J62), ISNUMBER(J81), ISNUMBER(J101)), SUM(J62,J81,J101), "")</f>
        <v/>
      </c>
      <c r="K33" s="1031"/>
      <c r="L33" s="906" t="str">
        <f t="shared" si="4"/>
        <v/>
      </c>
      <c r="M33" s="907" t="str">
        <f t="shared" si="5"/>
        <v/>
      </c>
      <c r="N33" s="907" t="str">
        <f t="shared" ref="N33:N35" si="16">IF(AND(ISNUMBER(E33), ISNUMBER(H33)), IF(E33&lt;&gt;0, ((H33-E33)/E33), "EL=0"), "")</f>
        <v/>
      </c>
      <c r="O33" s="907" t="str">
        <f t="shared" si="11"/>
        <v/>
      </c>
      <c r="P33" s="908" t="str">
        <f t="shared" si="12"/>
        <v/>
      </c>
      <c r="Q33" s="477"/>
      <c r="R33" s="477"/>
      <c r="S33" s="477"/>
      <c r="T33" s="1031"/>
      <c r="U33" s="522"/>
      <c r="V33" s="483"/>
      <c r="W33" s="518"/>
      <c r="X33" s="477"/>
      <c r="Y33" s="477"/>
      <c r="Z33" s="477"/>
      <c r="AA33" s="477"/>
      <c r="AB33" s="544"/>
    </row>
    <row r="34" spans="1:28" ht="15" customHeight="1" x14ac:dyDescent="0.25">
      <c r="A34" s="545"/>
      <c r="B34" s="245" t="s">
        <v>37</v>
      </c>
      <c r="C34" s="916" t="str">
        <f>IF(AND(ISNUMBER(C63), ISNUMBER(C82), ISNUMBER(C102)), SUM(C63,C82,C102), "")</f>
        <v/>
      </c>
      <c r="D34" s="916" t="str">
        <f>IF(AND(ISNUMBER(D63), ISNUMBER(D82), ISNUMBER(D102)), SUM(D63,D82,D102), "")</f>
        <v/>
      </c>
      <c r="E34" s="910" t="str">
        <f>IF(AND(ISNUMBER(E82), ISNUMBER(E102)), SUM(E82,E102), "")</f>
        <v/>
      </c>
      <c r="F34" s="916" t="str">
        <f>IF(AND(ISNUMBER(F63), ISNUMBER(F82), ISNUMBER(F102)), SUM(F63,F82,F102), "")</f>
        <v/>
      </c>
      <c r="G34" s="2173" t="str">
        <f>IF(AND(ISNUMBER(G63), ISNUMBER(G82), ISNUMBER(G102)), SUM(G63,G82,G102), "")</f>
        <v/>
      </c>
      <c r="H34" s="580" t="str">
        <f>IF(ISNUMBER(H82),H82,"")</f>
        <v/>
      </c>
      <c r="I34" s="916" t="str">
        <f>IF(AND(ISNUMBER(I63), ISNUMBER(I82), ISNUMBER(I102)), SUM(I63,I82,I102), "")</f>
        <v/>
      </c>
      <c r="J34" s="920" t="str">
        <f>IF(AND(ISNUMBER(J63), ISNUMBER(J82), ISNUMBER(J102)), SUM(J63,J82,J102), "")</f>
        <v/>
      </c>
      <c r="K34" s="1031"/>
      <c r="L34" s="906" t="str">
        <f t="shared" ref="L34:L40" si="17">IF(AND(ISNUMBER(C34), ISNUMBER(F34)), IF(C34&lt;&gt;0, ((F34-C34)/C34), "EAD=0"), "")</f>
        <v/>
      </c>
      <c r="M34" s="907" t="str">
        <f t="shared" ref="M34:M40" si="18">IF(AND(ISNUMBER(D34), ISNUMBER(G34)), IF(D34&lt;&gt;0, ((G34-D34)/D34), "RWA=0"), "")</f>
        <v/>
      </c>
      <c r="N34" s="907" t="str">
        <f t="shared" si="16"/>
        <v/>
      </c>
      <c r="O34" s="907" t="str">
        <f t="shared" si="11"/>
        <v/>
      </c>
      <c r="P34" s="908" t="str">
        <f t="shared" si="12"/>
        <v/>
      </c>
      <c r="Q34" s="477"/>
      <c r="R34" s="477"/>
      <c r="S34" s="477"/>
      <c r="T34" s="1031"/>
      <c r="U34" s="938"/>
      <c r="V34" s="934"/>
      <c r="W34" s="935"/>
      <c r="X34" s="477"/>
      <c r="Y34" s="477"/>
      <c r="Z34" s="477"/>
      <c r="AA34" s="477"/>
      <c r="AB34" s="544"/>
    </row>
    <row r="35" spans="1:28" ht="15" customHeight="1" x14ac:dyDescent="0.25">
      <c r="A35" s="545"/>
      <c r="B35" s="1142" t="s">
        <v>722</v>
      </c>
      <c r="C35" s="930" t="str">
        <f>IF(AND(ISNUMBER(C14), ISNUMBER(C18),ISNUMBER(C19), ISNUMBER(C20), ISNUMBER(C21), ISNUMBER(C27),ISNUMBER(C28), ISNUMBER(C29), ISNUMBER(C30), ISNUMBER(C31), ISNUMBER(C32),ISNUMBER(C34),ISNUMBER(C33)),SUM(C14,C18,C19,C20,C21,C27,C28,C29,C30,C31,C32,C34,C33),"")</f>
        <v/>
      </c>
      <c r="D35" s="848" t="str">
        <f>IF(AND(ISNUMBER(D14), ISNUMBER(D18),ISNUMBER(D19), ISNUMBER(D20), ISNUMBER(D21), ISNUMBER(D27),ISNUMBER(D28), ISNUMBER(D29), ISNUMBER(D30), ISNUMBER(D31), ISNUMBER(D32),ISNUMBER(D34),ISNUMBER(D33)),SUM(D14,D18,D19,D20,D21,D27,D28,D29,D30,D31,D32,D34,D33),"")</f>
        <v/>
      </c>
      <c r="E35" s="848" t="str">
        <f>IF(AND(ISNUMBER(E14), ISNUMBER(E18), ISNUMBER(E21), ISNUMBER(E19), ISNUMBER(E20),ISNUMBER(E27), ISNUMBER(E29), ISNUMBER(E31), ISNUMBER(E34),ISNUMBER(E33)),SUM(E14,E18,E19,E20,E21,E27,E29,E31,E34,E33),"")</f>
        <v/>
      </c>
      <c r="F35" s="848" t="str">
        <f>IF(AND(ISNUMBER(F14), ISNUMBER(F18),ISNUMBER(F19), ISNUMBER(F20), ISNUMBER(F21), ISNUMBER(F27),ISNUMBER(F28), ISNUMBER(F29), ISNUMBER(F30), ISNUMBER(F31), ISNUMBER(F32),ISNUMBER(F34),ISNUMBER(F33)),SUM(F14,F18,F19,F20,F21,F27,F28,F29,F30,F31,F32,F34,F33),"")</f>
        <v/>
      </c>
      <c r="G35" s="848" t="str">
        <f>IF(AND(ISNUMBER(G14), ISNUMBER(G18),ISNUMBER(G19), ISNUMBER(G20), ISNUMBER(G21), ISNUMBER(G27),ISNUMBER(G28), ISNUMBER(G29), ISNUMBER(G30), ISNUMBER(G31), ISNUMBER(G32),ISNUMBER(G34),ISNUMBER(G33)),SUM(G14,G18,G19,G20,G21,G27,G28,G29,G30,G31,G32,G34,G33),"")</f>
        <v/>
      </c>
      <c r="H35" s="2174" t="str">
        <f>IF(AND(ISNUMBER(H14), ISNUMBER(H18), ISNUMBER(H21), ISNUMBER(H19), ISNUMBER(H20), ISNUMBER(H29), ISNUMBER(H31), ISNUMBER(H34),ISNUMBER(H33)),SUM(H14,H18,H19,H20,H21,H29,H31,H34,H33),"")</f>
        <v/>
      </c>
      <c r="I35" s="848" t="str">
        <f>IF(AND(ISNUMBER(I14), ISNUMBER(I18),ISNUMBER(I19), ISNUMBER(I20), ISNUMBER(I21), ISNUMBER(I27),ISNUMBER(I28), ISNUMBER(I29), ISNUMBER(I30), ISNUMBER(I31), ISNUMBER(I32),ISNUMBER(I34),ISNUMBER(I33)),SUM(I14,I18,I19,I20,I21,I27,I28,I29,I30,I31,I32,I34,I33),"")</f>
        <v/>
      </c>
      <c r="J35" s="849" t="str">
        <f>IF(AND(ISNUMBER(J14), ISNUMBER(J18),ISNUMBER(J19), ISNUMBER(J20), ISNUMBER(J21), ISNUMBER(J27),ISNUMBER(J28), ISNUMBER(J29), ISNUMBER(J30), ISNUMBER(J31), ISNUMBER(J32),ISNUMBER(J34),ISNUMBER(J33)),SUM(J14,J18,J19,J20,J21,J27,J28,J29,J30,J31,J32,J34,J33),"")</f>
        <v/>
      </c>
      <c r="K35" s="1031"/>
      <c r="L35" s="931" t="str">
        <f t="shared" si="17"/>
        <v/>
      </c>
      <c r="M35" s="932" t="str">
        <f t="shared" si="18"/>
        <v/>
      </c>
      <c r="N35" s="932" t="str">
        <f t="shared" si="16"/>
        <v/>
      </c>
      <c r="O35" s="932" t="str">
        <f t="shared" si="11"/>
        <v/>
      </c>
      <c r="P35" s="933" t="str">
        <f t="shared" si="12"/>
        <v/>
      </c>
      <c r="Q35" s="477"/>
      <c r="R35" s="477"/>
      <c r="S35" s="477"/>
      <c r="T35" s="1031"/>
      <c r="U35" s="522"/>
      <c r="V35" s="483"/>
      <c r="W35" s="518"/>
      <c r="X35" s="477"/>
      <c r="Y35" s="477"/>
      <c r="Z35" s="477"/>
      <c r="AA35" s="477"/>
      <c r="AB35" s="544"/>
    </row>
    <row r="36" spans="1:28" ht="15" customHeight="1" x14ac:dyDescent="0.25">
      <c r="A36" s="545"/>
      <c r="B36" s="237" t="s">
        <v>36</v>
      </c>
      <c r="C36" s="1847" t="str">
        <f>IF(ISNUMBER(Securitisation!E31), Securitisation!E31,"")</f>
        <v/>
      </c>
      <c r="D36" s="1037" t="str">
        <f>IF(ISNUMBER(Securitisation!F31), Securitisation!F31,"")</f>
        <v/>
      </c>
      <c r="E36" s="1848"/>
      <c r="F36" s="1037" t="str">
        <f>IF(ISNUMBER(Securitisation!I31), Securitisation!I31,"")</f>
        <v/>
      </c>
      <c r="G36" s="1037" t="str">
        <f>IF(ISNUMBER(Securitisation!J31), Securitisation!J31,"")</f>
        <v/>
      </c>
      <c r="H36" s="1848"/>
      <c r="I36" s="1037" t="str">
        <f>IF(ISNUMBER(Securitisation!I31), Securitisation!I31, "")</f>
        <v/>
      </c>
      <c r="J36" s="1849" t="str">
        <f>IF(ISNUMBER(Securitisation!K31), Securitisation!K31, "")</f>
        <v/>
      </c>
      <c r="K36" s="1031"/>
      <c r="L36" s="906" t="str">
        <f t="shared" si="17"/>
        <v/>
      </c>
      <c r="M36" s="907" t="str">
        <f t="shared" si="18"/>
        <v/>
      </c>
      <c r="N36" s="480"/>
      <c r="O36" s="907" t="str">
        <f t="shared" si="11"/>
        <v/>
      </c>
      <c r="P36" s="908" t="str">
        <f t="shared" si="12"/>
        <v/>
      </c>
      <c r="Q36" s="477"/>
      <c r="R36" s="477"/>
      <c r="S36" s="477"/>
      <c r="T36" s="1031"/>
      <c r="U36" s="522"/>
      <c r="V36" s="483"/>
      <c r="W36" s="518"/>
      <c r="X36" s="477"/>
      <c r="Y36" s="477"/>
      <c r="Z36" s="477"/>
      <c r="AA36" s="477"/>
      <c r="AB36" s="544"/>
    </row>
    <row r="37" spans="1:28" ht="15" customHeight="1" x14ac:dyDescent="0.25">
      <c r="A37" s="545"/>
      <c r="B37" s="273" t="s">
        <v>1431</v>
      </c>
      <c r="C37" s="1850" t="str">
        <f>IF(AND(ISNUMBER(C38), ISNUMBER(C39)), C38+C39, "")</f>
        <v/>
      </c>
      <c r="D37" s="269" t="str">
        <f>IF(AND(ISNUMBER(D38), ISNUMBER(D39)), D38+D39, "")</f>
        <v/>
      </c>
      <c r="E37" s="480"/>
      <c r="F37" s="269" t="str">
        <f>IF(AND(ISNUMBER(F38), ISNUMBER(F39)), F38+F39, "")</f>
        <v/>
      </c>
      <c r="G37" s="269" t="str">
        <f>IF(AND(ISNUMBER(G38), ISNUMBER(G39)), G38+G39, "")</f>
        <v/>
      </c>
      <c r="H37" s="480"/>
      <c r="I37" s="269" t="str">
        <f>IF(AND(ISNUMBER(I38), ISNUMBER(I39)), I38+I39, "")</f>
        <v/>
      </c>
      <c r="J37" s="203" t="str">
        <f>IF(AND(ISNUMBER(J38), ISNUMBER(J39)), J38+J39, "")</f>
        <v/>
      </c>
      <c r="K37" s="1031"/>
      <c r="L37" s="906" t="str">
        <f t="shared" si="17"/>
        <v/>
      </c>
      <c r="M37" s="907" t="str">
        <f t="shared" si="18"/>
        <v/>
      </c>
      <c r="N37" s="480"/>
      <c r="O37" s="480"/>
      <c r="P37" s="499"/>
      <c r="Q37" s="477"/>
      <c r="R37" s="477"/>
      <c r="S37" s="477"/>
      <c r="T37" s="1031"/>
      <c r="U37" s="522"/>
      <c r="V37" s="483"/>
      <c r="W37" s="518"/>
      <c r="X37" s="477"/>
      <c r="Y37" s="477"/>
      <c r="Z37" s="477"/>
      <c r="AA37" s="477"/>
      <c r="AB37" s="544"/>
    </row>
    <row r="38" spans="1:28" ht="15" customHeight="1" x14ac:dyDescent="0.25">
      <c r="A38" s="545"/>
      <c r="B38" s="565" t="s">
        <v>1509</v>
      </c>
      <c r="C38" s="1171"/>
      <c r="D38" s="312"/>
      <c r="E38" s="480"/>
      <c r="F38" s="312"/>
      <c r="G38" s="312"/>
      <c r="H38" s="480"/>
      <c r="I38" s="312"/>
      <c r="J38" s="1904"/>
      <c r="K38" s="1450"/>
      <c r="L38" s="906" t="str">
        <f t="shared" si="17"/>
        <v/>
      </c>
      <c r="M38" s="907" t="str">
        <f t="shared" si="18"/>
        <v/>
      </c>
      <c r="N38" s="480"/>
      <c r="O38" s="907" t="str">
        <f t="shared" ref="O38" si="19">IF(AND(ISNUMBER(F38), ISNUMBER(I38)), IF(F38&lt;&gt;0, ((I38-F38)/F38), "EAD=0"), "")</f>
        <v/>
      </c>
      <c r="P38" s="908" t="str">
        <f t="shared" ref="P38" si="20">IF(AND(ISNUMBER(G38), ISNUMBER(J38)), IF(G38&lt;&gt;0, ((J38-G38)/G38), "RWA=0"), "")</f>
        <v/>
      </c>
      <c r="Q38" s="477"/>
      <c r="R38" s="477"/>
      <c r="S38" s="477"/>
      <c r="T38" s="1450"/>
      <c r="U38" s="938"/>
      <c r="V38" s="934"/>
      <c r="W38" s="935"/>
      <c r="X38" s="477"/>
      <c r="Y38" s="477"/>
      <c r="Z38" s="477"/>
      <c r="AA38" s="477"/>
      <c r="AB38" s="544"/>
    </row>
    <row r="39" spans="1:28" ht="15" customHeight="1" x14ac:dyDescent="0.25">
      <c r="A39" s="545"/>
      <c r="B39" s="565" t="s">
        <v>1430</v>
      </c>
      <c r="C39" s="1171"/>
      <c r="D39" s="312"/>
      <c r="E39" s="480"/>
      <c r="F39" s="312"/>
      <c r="G39" s="312"/>
      <c r="H39" s="480"/>
      <c r="I39" s="269" t="str">
        <f>IF(ISNUMBER(F39), F39, "")</f>
        <v/>
      </c>
      <c r="J39" s="203" t="str">
        <f>IF(ISNUMBER(G39), G39, "")</f>
        <v/>
      </c>
      <c r="K39" s="1450"/>
      <c r="L39" s="906" t="str">
        <f t="shared" si="17"/>
        <v/>
      </c>
      <c r="M39" s="907" t="str">
        <f t="shared" si="18"/>
        <v/>
      </c>
      <c r="N39" s="480"/>
      <c r="O39" s="480"/>
      <c r="P39" s="499"/>
      <c r="Q39" s="477"/>
      <c r="R39" s="477"/>
      <c r="S39" s="477"/>
      <c r="T39" s="1450"/>
      <c r="U39" s="938"/>
      <c r="V39" s="934"/>
      <c r="W39" s="935"/>
      <c r="X39" s="477"/>
      <c r="Y39" s="477"/>
      <c r="Z39" s="477"/>
      <c r="AA39" s="477"/>
      <c r="AB39" s="544"/>
    </row>
    <row r="40" spans="1:28" ht="15" customHeight="1" x14ac:dyDescent="0.25">
      <c r="A40" s="545"/>
      <c r="B40" s="929" t="s">
        <v>879</v>
      </c>
      <c r="C40" s="928" t="str">
        <f>IF(AND(ISNUMBER(C35), ISNUMBER(C36), ISNUMBER(C37)),SUM(C35,C36,C37),"")</f>
        <v/>
      </c>
      <c r="D40" s="922" t="str">
        <f>IF(AND(ISNUMBER(D35), ISNUMBER(D36), ISNUMBER(D37)), SUM(D35:D37), "")</f>
        <v/>
      </c>
      <c r="E40" s="922" t="str">
        <f>IF(ISNUMBER(E35), E35, "")</f>
        <v/>
      </c>
      <c r="F40" s="921" t="str">
        <f>IF(AND(ISNUMBER(F35), ISNUMBER(F36), ISNUMBER(F37)), SUM(F35:F37), "")</f>
        <v/>
      </c>
      <c r="G40" s="922" t="str">
        <f>IF(AND(ISNUMBER(G35), ISNUMBER(G36), ISNUMBER(G37)), SUM(G35:G37), "")</f>
        <v/>
      </c>
      <c r="H40" s="922" t="str">
        <f>IF(ISNUMBER(H35), H35, "")</f>
        <v/>
      </c>
      <c r="I40" s="921" t="str">
        <f>IF(AND(ISNUMBER(I35), ISNUMBER(I36), ISNUMBER(I37)), SUM(I35:I37), "")</f>
        <v/>
      </c>
      <c r="J40" s="923" t="str">
        <f>IF(AND(ISNUMBER(J35), ISNUMBER(J36), ISNUMBER(J37)), SUM(J35:J37), "")</f>
        <v/>
      </c>
      <c r="L40" s="936" t="str">
        <f t="shared" si="17"/>
        <v/>
      </c>
      <c r="M40" s="939" t="str">
        <f t="shared" si="18"/>
        <v/>
      </c>
      <c r="N40" s="520"/>
      <c r="O40" s="939" t="str">
        <f t="shared" ref="O40" si="21">IF(AND(ISNUMBER(F40), ISNUMBER(I40)), IF(F40&lt;&gt;0, ((I40-F40)/F40), "EAD=0"), "")</f>
        <v/>
      </c>
      <c r="P40" s="937" t="str">
        <f t="shared" ref="P40" si="22">IF(AND(ISNUMBER(G40), ISNUMBER(J40)), IF(G40&lt;&gt;0, ((J40-G40)/G40), "RWA=0"), "")</f>
        <v/>
      </c>
      <c r="Q40" s="477"/>
      <c r="R40" s="477"/>
      <c r="S40" s="477"/>
      <c r="U40" s="523"/>
      <c r="V40" s="520"/>
      <c r="W40" s="521"/>
      <c r="X40" s="477"/>
      <c r="Y40" s="477"/>
      <c r="Z40" s="477"/>
      <c r="AA40" s="477"/>
      <c r="AB40" s="544"/>
    </row>
    <row r="41" spans="1:28" ht="60" customHeight="1" x14ac:dyDescent="0.25">
      <c r="A41" s="2012" t="s">
        <v>2128</v>
      </c>
      <c r="B41" s="130"/>
      <c r="C41" s="131"/>
      <c r="D41" s="123"/>
      <c r="E41" s="123"/>
      <c r="F41" s="123"/>
      <c r="G41" s="123"/>
      <c r="H41" s="123"/>
      <c r="I41" s="123"/>
      <c r="J41" s="123"/>
      <c r="K41" s="123"/>
      <c r="L41" s="123"/>
      <c r="M41" s="123"/>
      <c r="N41" s="123"/>
      <c r="O41" s="123"/>
      <c r="P41" s="123"/>
      <c r="Q41" s="123"/>
      <c r="R41" s="123"/>
      <c r="S41" s="123"/>
      <c r="T41" s="123"/>
      <c r="U41" s="123"/>
      <c r="V41" s="258"/>
      <c r="W41" s="258"/>
      <c r="X41" s="258"/>
      <c r="Y41" s="258"/>
      <c r="Z41" s="258"/>
      <c r="AA41" s="258"/>
      <c r="AB41" s="791"/>
    </row>
    <row r="42" spans="1:28" ht="15" customHeight="1" x14ac:dyDescent="0.25">
      <c r="A42" s="545"/>
      <c r="B42" s="2651" t="s">
        <v>651</v>
      </c>
      <c r="C42" s="2657" t="s">
        <v>701</v>
      </c>
      <c r="D42" s="2658"/>
      <c r="E42" s="2658"/>
      <c r="F42" s="2661" t="s">
        <v>702</v>
      </c>
      <c r="G42" s="2661"/>
      <c r="H42" s="852"/>
      <c r="I42" s="2636" t="s">
        <v>880</v>
      </c>
      <c r="J42" s="2636"/>
      <c r="K42" s="827"/>
      <c r="L42" s="2627" t="s">
        <v>703</v>
      </c>
      <c r="M42" s="2647"/>
      <c r="N42" s="2647"/>
      <c r="O42" s="2647"/>
      <c r="P42" s="2647"/>
      <c r="Q42" s="2647"/>
      <c r="R42" s="2647"/>
      <c r="S42" s="2648"/>
      <c r="T42" s="827"/>
      <c r="U42" s="2664" t="s">
        <v>632</v>
      </c>
      <c r="V42" s="2628"/>
      <c r="W42" s="2628"/>
      <c r="X42" s="2628"/>
      <c r="Y42" s="2628"/>
      <c r="Z42" s="2628"/>
      <c r="AA42" s="2629"/>
      <c r="AB42" s="544"/>
    </row>
    <row r="43" spans="1:28" ht="30" customHeight="1" x14ac:dyDescent="0.3">
      <c r="A43" s="545"/>
      <c r="B43" s="2641"/>
      <c r="C43" s="2659"/>
      <c r="D43" s="2660"/>
      <c r="E43" s="2660"/>
      <c r="F43" s="2661" t="s">
        <v>723</v>
      </c>
      <c r="G43" s="2661"/>
      <c r="H43" s="852"/>
      <c r="I43" s="2638"/>
      <c r="J43" s="2638"/>
      <c r="K43" s="827"/>
      <c r="L43" s="2612" t="s">
        <v>1984</v>
      </c>
      <c r="M43" s="2613"/>
      <c r="N43" s="524"/>
      <c r="O43" s="2613" t="s">
        <v>1119</v>
      </c>
      <c r="P43" s="2613"/>
      <c r="Q43" s="2650" t="s">
        <v>1523</v>
      </c>
      <c r="R43" s="2650"/>
      <c r="S43" s="2624"/>
      <c r="T43" s="827"/>
      <c r="U43" s="2612" t="s">
        <v>704</v>
      </c>
      <c r="V43" s="2613"/>
      <c r="W43" s="2613"/>
      <c r="X43" s="2613"/>
      <c r="Y43" s="2613" t="s">
        <v>724</v>
      </c>
      <c r="Z43" s="2613"/>
      <c r="AA43" s="2614"/>
      <c r="AB43" s="544"/>
    </row>
    <row r="44" spans="1:28" ht="45" customHeight="1" x14ac:dyDescent="0.25">
      <c r="A44" s="545"/>
      <c r="B44" s="2652"/>
      <c r="C44" s="1086" t="s">
        <v>725</v>
      </c>
      <c r="D44" s="1087" t="s">
        <v>41</v>
      </c>
      <c r="E44" s="1087" t="s">
        <v>726</v>
      </c>
      <c r="F44" s="1087" t="s">
        <v>725</v>
      </c>
      <c r="G44" s="1087" t="s">
        <v>41</v>
      </c>
      <c r="H44" s="834"/>
      <c r="I44" s="1087" t="s">
        <v>725</v>
      </c>
      <c r="J44" s="1088" t="s">
        <v>41</v>
      </c>
      <c r="K44" s="1089"/>
      <c r="L44" s="1086" t="s">
        <v>727</v>
      </c>
      <c r="M44" s="1087" t="s">
        <v>728</v>
      </c>
      <c r="N44" s="832"/>
      <c r="O44" s="1087" t="s">
        <v>727</v>
      </c>
      <c r="P44" s="1087" t="s">
        <v>728</v>
      </c>
      <c r="Q44" s="1087" t="s">
        <v>524</v>
      </c>
      <c r="R44" s="1087" t="s">
        <v>702</v>
      </c>
      <c r="S44" s="1088" t="s">
        <v>729</v>
      </c>
      <c r="T44" s="1089"/>
      <c r="U44" s="1092" t="s">
        <v>727</v>
      </c>
      <c r="V44" s="1091" t="s">
        <v>728</v>
      </c>
      <c r="W44" s="832"/>
      <c r="X44" s="1091" t="s">
        <v>1524</v>
      </c>
      <c r="Y44" s="1087" t="s">
        <v>727</v>
      </c>
      <c r="Z44" s="1087" t="s">
        <v>728</v>
      </c>
      <c r="AA44" s="1088" t="s">
        <v>1524</v>
      </c>
      <c r="AB44" s="544"/>
    </row>
    <row r="45" spans="1:28" ht="15" customHeight="1" x14ac:dyDescent="0.25">
      <c r="A45" s="545"/>
      <c r="B45" s="822" t="str">
        <f>SUBSTITUTE('Credit risk (SA)'!$B19, "; of which:", "")</f>
        <v>Sovereigns, PSEs, MDBs</v>
      </c>
      <c r="C45" s="909" t="str">
        <f>IF('General Info'!$C$11="No", 0, IF(ISNUMBER('Credit risk (SA)'!I19), 'Credit risk (SA)'!I19, ""))</f>
        <v/>
      </c>
      <c r="D45" s="846" t="str">
        <f>IF('General Info'!$C$11="No", 0, IF(ISNUMBER('Credit risk (SA)'!M19), 'Credit risk (SA)'!M19, ""))</f>
        <v/>
      </c>
      <c r="E45" s="909" t="str">
        <f>IF('General Info'!$C$11="No", 0, IF(ISNUMBER('Credit risk (SA)'!N19), 'Credit risk (SA)'!N19, ""))</f>
        <v/>
      </c>
      <c r="F45" s="846" t="str">
        <f>IF('General Info'!$C$11="No", 0, IF(ISNUMBER('Credit risk (SA)'!W19), 'Credit risk (SA)'!W19, ""))</f>
        <v/>
      </c>
      <c r="G45" s="846" t="str">
        <f>IF('General Info'!$C$11="No", 0, IF(ISNUMBER('Credit risk (SA)'!AA19), 'Credit risk (SA)'!AA19, ""))</f>
        <v/>
      </c>
      <c r="H45" s="912"/>
      <c r="I45" s="823" t="str">
        <f>IF(OR('General Info'!$C$11="No", 'General Info'!$C$19="No"), F45, IF(ISNUMBER('Credit risk (SA)'!AF19), 'Credit risk (SA)'!AF19, ""))</f>
        <v/>
      </c>
      <c r="J45" s="757" t="str">
        <f>IF(OR('General Info'!$C$11="No", 'General Info'!$C$19="No"), G45, IF(ISNUMBER('Credit risk (SA)'!AH19), 'Credit risk (SA)'!AH19, ""))</f>
        <v/>
      </c>
      <c r="K45" s="1031"/>
      <c r="L45" s="903" t="str">
        <f>IF(AND(ISNUMBER(C45), ISNUMBER(F45)), IF(C45&lt;&gt;0, ((F45-C45)/C45), "EAD=0"), "")</f>
        <v/>
      </c>
      <c r="M45" s="904" t="str">
        <f>IF(AND(ISNUMBER(D45), ISNUMBER(G45)), IF(D45&lt;&gt;0, ((G45-D45)/D45), "RWA=0"), "")</f>
        <v/>
      </c>
      <c r="N45" s="825"/>
      <c r="O45" s="904" t="str">
        <f>IF(AND(ISNUMBER(F45), ISNUMBER(I45)), IF(F45&lt;&gt;0, ((I45-F45)/F45), "EAD=0"), "")</f>
        <v/>
      </c>
      <c r="P45" s="904" t="str">
        <f>IF(AND(ISNUMBER(G45), ISNUMBER(J45)), IF(G45&lt;&gt;0, ((J45-G45)/G45), "RWA=0"), "")</f>
        <v/>
      </c>
      <c r="Q45" s="904" t="str">
        <f>IF(AND(ISNUMBER(C45), ISNUMBER(D45)), IF(C45&lt;&gt;0, (D45/C45), "EAD,RWA=0"), "")</f>
        <v/>
      </c>
      <c r="R45" s="904" t="str">
        <f>IF(AND(ISNUMBER(F45), ISNUMBER(G45)), IF(F45&lt;&gt;0, (G45/F45), "EAD,RWA=0"), "")</f>
        <v/>
      </c>
      <c r="S45" s="905" t="str">
        <f>IF(AND(ISNUMBER(I45), ISNUMBER(J45)), IF(I45&lt;&gt;0, (J45/I45), "EAD,RWA=0"), "")</f>
        <v/>
      </c>
      <c r="T45" s="1031"/>
      <c r="U45" s="818" t="str">
        <f>IF(ISNUMBER(L45), IF(ABS(L45)&gt;0.5, "Error: diff above 50%", IF(ABS(L45)&gt;=0.3, "Warning: diff 30-50%", "Diff below 30%")),"")</f>
        <v/>
      </c>
      <c r="V45" s="819" t="str">
        <f>IF(ISNUMBER(M45), IF(ABS(M45)&gt;0.5, "Error: diff above 50%", IF(ABS(M45)&gt;=0.3, "Warning: diff 30–50%", "Diff below 30%")),"")</f>
        <v/>
      </c>
      <c r="W45" s="825"/>
      <c r="X45" s="819" t="str">
        <f>IF(AND(AND(ISNUMBER(Q45), ISNUMBER(R45)), AND(Q45&lt;&gt;0, R45&lt;&gt;0)), IF(R45/Q45&gt;1.5, "Error: RW increase &gt; 50%", IF(R45/Q45&gt;=1.25, "Warning: RW increase 25–50%", IF(R45/Q45&gt;=0.9, "RW change -10% to +25%", IF(R45/Q45&gt;=0.8,"Warning: RW decrease 10–20%", "Error: RW decrease &gt; 20%")))), "")</f>
        <v/>
      </c>
      <c r="Y45" s="819" t="str">
        <f>IF(ISNUMBER(O45), IF(ABS(O45)&gt;0.5, "Error: diff above 50%", IF(ABS(O45)&gt;=0.3, "Warning: diff 30–50%", "Diff below 30%")),"")</f>
        <v/>
      </c>
      <c r="Z45" s="819" t="str">
        <f>IF(ISNUMBER(P45), IF(ABS(P45)&gt;0.5, "Error: diff above 50%", IF(ABS(P45)&gt;=0.3, "Warning: diff 30–50%", "Diff below 30%")),"")</f>
        <v/>
      </c>
      <c r="AA45" s="2168" t="str">
        <f>IF(AND(AND(ISNUMBER(R45), ISNUMBER(S45)), AND(R45&lt;&gt;0, S45&lt;&gt;0)),IF(ABS((S45/R45)-1)&gt;0.3, "Error: diff &gt; 30%", IF(ABS((S45/R45)-1)&gt;=0.15, "Warning: diff 15–30%", "")),"")</f>
        <v/>
      </c>
      <c r="AB45" s="544"/>
    </row>
    <row r="46" spans="1:28" ht="15" customHeight="1" x14ac:dyDescent="0.25">
      <c r="A46" s="545"/>
      <c r="B46" s="222" t="str">
        <f>SUBSTITUTE('Credit risk (SA)'!$B24, "; of which:", "")</f>
        <v>Banks (excluding covered bonds)</v>
      </c>
      <c r="C46" s="910" t="str">
        <f>IF('General Info'!$C$11="No", 0, IF(ISNUMBER('Credit risk (SA)'!I24), 'Credit risk (SA)'!I24, ""))</f>
        <v/>
      </c>
      <c r="D46" s="580" t="str">
        <f>IF('General Info'!$C$11="No", 0, IF(ISNUMBER('Credit risk (SA)'!M24), 'Credit risk (SA)'!M24, ""))</f>
        <v/>
      </c>
      <c r="E46" s="910" t="str">
        <f>IF('General Info'!$C$11="No", 0, IF(ISNUMBER('Credit risk (SA)'!N24), 'Credit risk (SA)'!N24, ""))</f>
        <v/>
      </c>
      <c r="F46" s="580" t="str">
        <f>IF('General Info'!$C$11="No", 0, IF(ISNUMBER('Credit risk (SA)'!W24), 'Credit risk (SA)'!W24, ""))</f>
        <v/>
      </c>
      <c r="G46" s="580" t="str">
        <f>IF('General Info'!$C$11="No", 0, IF(ISNUMBER('Credit risk (SA)'!AA24), 'Credit risk (SA)'!AA24, ""))</f>
        <v/>
      </c>
      <c r="H46" s="913"/>
      <c r="I46" s="479" t="str">
        <f>IF(OR('General Info'!$C$11="No", 'General Info'!$C$19="No"), F46, IF(ISNUMBER('Credit risk (SA)'!AF24), 'Credit risk (SA)'!AF24, ""))</f>
        <v/>
      </c>
      <c r="J46" s="1016" t="str">
        <f>IF(OR('General Info'!$C$11="No", 'General Info'!$C$19="No"), G46, IF(ISNUMBER('Credit risk (SA)'!AH24), 'Credit risk (SA)'!AH24, ""))</f>
        <v/>
      </c>
      <c r="K46" s="828"/>
      <c r="L46" s="906" t="str">
        <f t="shared" ref="L46:L64" si="23">IF(AND(ISNUMBER(C46), ISNUMBER(F46)), IF(C46&lt;&gt;0, ((F46-C46)/C46), "EAD=0"), "")</f>
        <v/>
      </c>
      <c r="M46" s="907" t="str">
        <f t="shared" ref="M46:M64" si="24">IF(AND(ISNUMBER(D46), ISNUMBER(G46)), IF(D46&lt;&gt;0, ((G46-D46)/D46), "RWA=0"), "")</f>
        <v/>
      </c>
      <c r="N46" s="483"/>
      <c r="O46" s="907" t="str">
        <f t="shared" ref="O46:O64" si="25">IF(AND(ISNUMBER(F46), ISNUMBER(I46)), IF(F46&lt;&gt;0, ((I46-F46)/F46), "EAD=0"), "")</f>
        <v/>
      </c>
      <c r="P46" s="907" t="str">
        <f t="shared" ref="P46:P64" si="26">IF(AND(ISNUMBER(G46), ISNUMBER(J46)), IF(G46&lt;&gt;0, ((J46-G46)/G46), "RWA=0"), "")</f>
        <v/>
      </c>
      <c r="Q46" s="907" t="str">
        <f t="shared" ref="Q46:Q64" si="27">IF(AND(ISNUMBER(C46), ISNUMBER(D46)), IF(C46&lt;&gt;0, (D46/C46), "EAD,RWA=0"), "")</f>
        <v/>
      </c>
      <c r="R46" s="907" t="str">
        <f t="shared" ref="R46:R64" si="28">IF(AND(ISNUMBER(F46), ISNUMBER(G46)), IF(F46&lt;&gt;0, (G46/F46), "EAD,RWA=0"), "")</f>
        <v/>
      </c>
      <c r="S46" s="908" t="str">
        <f t="shared" ref="S46:S64" si="29">IF(AND(ISNUMBER(I46), ISNUMBER(J46)), IF(I46&lt;&gt;0, (J46/I46), "EAD,RWA=0"), "")</f>
        <v/>
      </c>
      <c r="T46" s="828"/>
      <c r="U46" s="794" t="str">
        <f t="shared" ref="U46:U64" si="30">IF(ISNUMBER(L46), IF(ABS(L46)&gt;0.5, "Error: diff above 50%", IF(ABS(L46)&gt;=0.3, "Warning: diff 30-50%", "Diff below 30%")),"")</f>
        <v/>
      </c>
      <c r="V46" s="808" t="str">
        <f>IF(ISNUMBER(M46),IF(M46&gt;0,IF(M46&gt;0.75,"Error: diff above 75%",IF(M46&gt;=0.5,"Warning: diff 50–75%")),IF(ABS(M46)&gt;=0.3,"Error: RW decrease &gt; 30%",IF(ABS(M46)&gt;=0.15,"Warning: RW decrease &gt; 15%","Diff between -15-50%"))),"")</f>
        <v/>
      </c>
      <c r="W46" s="483"/>
      <c r="X46" s="808" t="str">
        <f>IF(AND(AND(ISNUMBER(Q46), ISNUMBER(R46)), AND(Q46&lt;&gt;0, R46&lt;&gt;0)), IF(R46/Q46&gt;1.75, "Error: RW increase &gt;75%", IF(R46/Q46&gt;=1.5, "Warning: RW increase 50–75%", IF(R46/Q46&gt;=0.9, "RW change -10% to +50%", IF(R46/Q46&gt;=0.8,"Warning: RW decrease 10–20%", "Error: RW decrease &gt; 20%")))), "")</f>
        <v/>
      </c>
      <c r="Y46" s="808" t="str">
        <f t="shared" ref="Y46:Y64" si="31">IF(ISNUMBER(O46), IF(ABS(O46)&gt;0.5, "Error: diff above 50%", IF(ABS(O46)&gt;=0.3, "Warning: diff 30–50%", "Diff below 30%")),"")</f>
        <v/>
      </c>
      <c r="Z46" s="808" t="str">
        <f t="shared" ref="Z46:Z64" si="32">IF(ISNUMBER(P46), IF(ABS(P46)&gt;0.5, "Error: diff above 50%", IF(ABS(P46)&gt;=0.3, "Warning: diff 30–50%", "Diff below 30%")),"")</f>
        <v/>
      </c>
      <c r="AA46" s="2169" t="str">
        <f t="shared" ref="AA46:AA63" si="33">IF(AND(AND(ISNUMBER(R46), ISNUMBER(S46)), AND(R46&lt;&gt;0, S46&lt;&gt;0)),IF(ABS((S46/R46)-1)&gt;0.3, "Error: diff &gt; 30%", IF(ABS((S46/R46)-1)&gt;=0.15, "Warning: diff 15–30%", "")),"")</f>
        <v/>
      </c>
      <c r="AB46" s="544"/>
    </row>
    <row r="47" spans="1:28" ht="15" customHeight="1" x14ac:dyDescent="0.25">
      <c r="A47" s="545"/>
      <c r="B47" s="222" t="str">
        <f>SUBSTITUTE('Credit risk (SA)'!$B51, "; of which:", "")</f>
        <v>Covered bonds</v>
      </c>
      <c r="C47" s="910" t="str">
        <f>IF('General Info'!$C$11="No", 0, IF(ISNUMBER('Credit risk (SA)'!I51), 'Credit risk (SA)'!I51, ""))</f>
        <v/>
      </c>
      <c r="D47" s="580" t="str">
        <f>IF('General Info'!$C$11="No", 0, IF(ISNUMBER('Credit risk (SA)'!M51), 'Credit risk (SA)'!M51, ""))</f>
        <v/>
      </c>
      <c r="E47" s="910" t="str">
        <f>IF('General Info'!$C$11="No", 0, IF(ISNUMBER('Credit risk (SA)'!N51), 'Credit risk (SA)'!N51, ""))</f>
        <v/>
      </c>
      <c r="F47" s="580" t="str">
        <f>IF('General Info'!$C$11="No", 0, IF(ISNUMBER('Credit risk (SA)'!W51), 'Credit risk (SA)'!W51, ""))</f>
        <v/>
      </c>
      <c r="G47" s="580" t="str">
        <f>IF('General Info'!$C$11="No", 0, IF(ISNUMBER('Credit risk (SA)'!AA51), 'Credit risk (SA)'!AA51, ""))</f>
        <v/>
      </c>
      <c r="H47" s="913"/>
      <c r="I47" s="479" t="str">
        <f>IF(OR('General Info'!$C$11="No", 'General Info'!$C$19="No"), F47, IF(ISNUMBER('Credit risk (SA)'!AF51), 'Credit risk (SA)'!AF51, ""))</f>
        <v/>
      </c>
      <c r="J47" s="1016" t="str">
        <f>IF(OR('General Info'!$C$11="No", 'General Info'!$C$19="No"), G47, IF(ISNUMBER('Credit risk (SA)'!AH51), 'Credit risk (SA)'!AH51, ""))</f>
        <v/>
      </c>
      <c r="K47" s="829"/>
      <c r="L47" s="906" t="str">
        <f t="shared" si="23"/>
        <v/>
      </c>
      <c r="M47" s="907" t="str">
        <f t="shared" si="24"/>
        <v/>
      </c>
      <c r="N47" s="483"/>
      <c r="O47" s="907" t="str">
        <f t="shared" si="25"/>
        <v/>
      </c>
      <c r="P47" s="907" t="str">
        <f t="shared" si="26"/>
        <v/>
      </c>
      <c r="Q47" s="907" t="str">
        <f t="shared" si="27"/>
        <v/>
      </c>
      <c r="R47" s="907" t="str">
        <f t="shared" si="28"/>
        <v/>
      </c>
      <c r="S47" s="908" t="str">
        <f t="shared" si="29"/>
        <v/>
      </c>
      <c r="T47" s="829"/>
      <c r="U47" s="794" t="str">
        <f t="shared" si="30"/>
        <v/>
      </c>
      <c r="V47" s="808" t="str">
        <f t="shared" ref="V47:V64" si="34">IF(ISNUMBER(M47), IF(ABS(M47)&gt;0.5, "Error: diff above 50%", IF(ABS(M47)&gt;=0.3, "Warning: diff 30–50%", "Diff below 30%")),"")</f>
        <v/>
      </c>
      <c r="W47" s="483"/>
      <c r="X47" s="808" t="str">
        <f t="shared" ref="X47:X64" si="35">IF(AND(AND(ISNUMBER(Q47), ISNUMBER(R47)), AND(Q47&lt;&gt;0, R47&lt;&gt;0)), IF(R47/Q47&gt;1.5, "Error: RW increase &gt; 50%", IF(R47/Q47&gt;=1.25, "Warning: RW increase 25–50%", IF(R47/Q47&gt;=0.9, "RW change -10% to +25%", IF(R47/Q47&gt;=0.8,"Warning: RW decrease 10–20%", "Error: RW decrease &gt; 20%")))), "")</f>
        <v/>
      </c>
      <c r="Y47" s="808" t="str">
        <f t="shared" si="31"/>
        <v/>
      </c>
      <c r="Z47" s="808" t="str">
        <f t="shared" si="32"/>
        <v/>
      </c>
      <c r="AA47" s="2169" t="str">
        <f t="shared" si="33"/>
        <v/>
      </c>
      <c r="AB47" s="544"/>
    </row>
    <row r="48" spans="1:28" ht="15" customHeight="1" x14ac:dyDescent="0.25">
      <c r="A48" s="545"/>
      <c r="B48" s="222" t="str">
        <f>SUBSTITUTE('Credit risk (SA)'!$B66, "; of which:", "")</f>
        <v>Corporates (excluding SMEs)</v>
      </c>
      <c r="C48" s="910" t="str">
        <f>IF('General Info'!$C$11="No", 0, IF(ISNUMBER('Credit risk (SA)'!I66), 'Credit risk (SA)'!I66, ""))</f>
        <v/>
      </c>
      <c r="D48" s="580" t="str">
        <f>IF('General Info'!$C$11="No", 0, IF(ISNUMBER('Credit risk (SA)'!M66), 'Credit risk (SA)'!M66, ""))</f>
        <v/>
      </c>
      <c r="E48" s="910" t="str">
        <f>IF('General Info'!$C$11="No", 0, IF(ISNUMBER('Credit risk (SA)'!N66), 'Credit risk (SA)'!N66, ""))</f>
        <v/>
      </c>
      <c r="F48" s="580" t="str">
        <f>IF('General Info'!$C$11="No", 0, IF(ISNUMBER('Credit risk (SA)'!W66), 'Credit risk (SA)'!W66, ""))</f>
        <v/>
      </c>
      <c r="G48" s="580" t="str">
        <f>IF('General Info'!$C$11="No", 0, IF(ISNUMBER('Credit risk (SA)'!AA66), 'Credit risk (SA)'!AA66, ""))</f>
        <v/>
      </c>
      <c r="H48" s="913"/>
      <c r="I48" s="479" t="str">
        <f>IF(OR('General Info'!$C$11="No", 'General Info'!$C$19="No"), F48, IF(ISNUMBER('Credit risk (SA)'!AF66), 'Credit risk (SA)'!AF66, ""))</f>
        <v/>
      </c>
      <c r="J48" s="1016" t="str">
        <f>IF(OR('General Info'!$C$11="No", 'General Info'!$C$19="No"), G48, IF(ISNUMBER('Credit risk (SA)'!AH66), 'Credit risk (SA)'!AH66, ""))</f>
        <v/>
      </c>
      <c r="K48" s="1031"/>
      <c r="L48" s="906" t="str">
        <f t="shared" si="23"/>
        <v/>
      </c>
      <c r="M48" s="907" t="str">
        <f t="shared" si="24"/>
        <v/>
      </c>
      <c r="N48" s="483"/>
      <c r="O48" s="907" t="str">
        <f t="shared" si="25"/>
        <v/>
      </c>
      <c r="P48" s="907" t="str">
        <f t="shared" si="26"/>
        <v/>
      </c>
      <c r="Q48" s="907" t="str">
        <f t="shared" si="27"/>
        <v/>
      </c>
      <c r="R48" s="907" t="str">
        <f t="shared" si="28"/>
        <v/>
      </c>
      <c r="S48" s="908" t="str">
        <f t="shared" si="29"/>
        <v/>
      </c>
      <c r="T48" s="1031"/>
      <c r="U48" s="794" t="str">
        <f t="shared" si="30"/>
        <v/>
      </c>
      <c r="V48" s="808" t="str">
        <f t="shared" si="34"/>
        <v/>
      </c>
      <c r="W48" s="483"/>
      <c r="X48" s="808" t="str">
        <f t="shared" si="35"/>
        <v/>
      </c>
      <c r="Y48" s="808" t="str">
        <f t="shared" si="31"/>
        <v/>
      </c>
      <c r="Z48" s="808" t="str">
        <f t="shared" si="32"/>
        <v/>
      </c>
      <c r="AA48" s="2169" t="str">
        <f t="shared" si="33"/>
        <v/>
      </c>
      <c r="AB48" s="544"/>
    </row>
    <row r="49" spans="1:28" ht="15" customHeight="1" x14ac:dyDescent="0.25">
      <c r="A49" s="545"/>
      <c r="B49" s="222" t="str">
        <f>'Credit risk (SA)'!$B78</f>
        <v>Corporate SME exposures</v>
      </c>
      <c r="C49" s="910" t="str">
        <f>IF('General Info'!$C$11="No", 0, IF(ISNUMBER('Credit risk (SA)'!I78), 'Credit risk (SA)'!I78, ""))</f>
        <v/>
      </c>
      <c r="D49" s="580" t="str">
        <f>IF('General Info'!$C$11="No", 0, IF(ISNUMBER('Credit risk (SA)'!M78), 'Credit risk (SA)'!M78, ""))</f>
        <v/>
      </c>
      <c r="E49" s="910" t="str">
        <f>IF('General Info'!$C$11="No", 0, IF(ISNUMBER('Credit risk (SA)'!N78), 'Credit risk (SA)'!N78, ""))</f>
        <v/>
      </c>
      <c r="F49" s="580" t="str">
        <f>IF('General Info'!$C$11="No", 0, IF(ISNUMBER('Credit risk (SA)'!W78), 'Credit risk (SA)'!W78, ""))</f>
        <v/>
      </c>
      <c r="G49" s="580" t="str">
        <f>IF('General Info'!$C$11="No", 0, IF(ISNUMBER('Credit risk (SA)'!AA78), 'Credit risk (SA)'!AA78, ""))</f>
        <v/>
      </c>
      <c r="H49" s="913"/>
      <c r="I49" s="479" t="str">
        <f>IF(OR('General Info'!$C$11="No", 'General Info'!$C$19="No"), F49, IF(ISNUMBER('Credit risk (SA)'!AF78), 'Credit risk (SA)'!AF78, ""))</f>
        <v/>
      </c>
      <c r="J49" s="1016" t="str">
        <f>IF(OR('General Info'!$C$11="No", 'General Info'!$C$19="No"), G49, IF(ISNUMBER('Credit risk (SA)'!AH78), 'Credit risk (SA)'!AH78, ""))</f>
        <v/>
      </c>
      <c r="K49" s="1031"/>
      <c r="L49" s="906" t="str">
        <f t="shared" si="23"/>
        <v/>
      </c>
      <c r="M49" s="907" t="str">
        <f t="shared" si="24"/>
        <v/>
      </c>
      <c r="N49" s="483"/>
      <c r="O49" s="907" t="str">
        <f t="shared" si="25"/>
        <v/>
      </c>
      <c r="P49" s="907" t="str">
        <f t="shared" si="26"/>
        <v/>
      </c>
      <c r="Q49" s="907" t="str">
        <f t="shared" si="27"/>
        <v/>
      </c>
      <c r="R49" s="907" t="str">
        <f t="shared" si="28"/>
        <v/>
      </c>
      <c r="S49" s="908" t="str">
        <f t="shared" si="29"/>
        <v/>
      </c>
      <c r="T49" s="1031"/>
      <c r="U49" s="794" t="str">
        <f t="shared" si="30"/>
        <v/>
      </c>
      <c r="V49" s="808" t="str">
        <f>IF(ISNUMBER(M49), IF(ABS(M49)&gt;0.5, "Error: diff above 50%", IF(ABS(M49)&gt;=0.3, "Warning: diff 30–50%", "Diff below 30%")),"")</f>
        <v/>
      </c>
      <c r="W49" s="483"/>
      <c r="X49" s="808" t="str">
        <f>IF(AND(AND(ISNUMBER(Q49), ISNUMBER(R49)), AND(Q49&lt;&gt;0, R49&lt;&gt;0)), IF(R49/Q49&gt;1.3, "Error: RW increase &gt; 30%", IF(R49/Q49&gt;=1.15, "Warning: RW increase 15–30%", IF(R49/Q49&gt;=0.9, "RW change -10% to +15%", IF(R49/Q49&gt;=0.8,"Warning: RW decrease 10–20%", "Error: RW decrease &gt; 20%")))), "")</f>
        <v/>
      </c>
      <c r="Y49" s="808" t="str">
        <f t="shared" si="31"/>
        <v/>
      </c>
      <c r="Z49" s="808" t="str">
        <f t="shared" si="32"/>
        <v/>
      </c>
      <c r="AA49" s="2169" t="str">
        <f t="shared" si="33"/>
        <v/>
      </c>
      <c r="AB49" s="544"/>
    </row>
    <row r="50" spans="1:28" ht="15" customHeight="1" x14ac:dyDescent="0.25">
      <c r="A50" s="545"/>
      <c r="B50" s="222" t="str">
        <f>SUBSTITUTE('Credit risk (SA)'!$B79, "; of which:", "")</f>
        <v>Specialised lending</v>
      </c>
      <c r="C50" s="910" t="str">
        <f>IF('General Info'!$C$11="No", 0, IF(ISNUMBER('Credit risk (SA)'!I79), 'Credit risk (SA)'!I79, ""))</f>
        <v/>
      </c>
      <c r="D50" s="580" t="str">
        <f>IF('General Info'!$C$11="No", 0, IF(ISNUMBER('Credit risk (SA)'!M79), 'Credit risk (SA)'!M79, ""))</f>
        <v/>
      </c>
      <c r="E50" s="910" t="str">
        <f>IF('General Info'!$C$11="No", 0, IF(ISNUMBER('Credit risk (SA)'!N79), 'Credit risk (SA)'!N79, ""))</f>
        <v/>
      </c>
      <c r="F50" s="580" t="str">
        <f>IF('General Info'!$C$11="No", 0, IF(ISNUMBER('Credit risk (SA)'!W79), 'Credit risk (SA)'!W79, ""))</f>
        <v/>
      </c>
      <c r="G50" s="580" t="str">
        <f>IF('General Info'!$C$11="No", 0, IF(ISNUMBER('Credit risk (SA)'!AA79), 'Credit risk (SA)'!AA79, ""))</f>
        <v/>
      </c>
      <c r="H50" s="913"/>
      <c r="I50" s="479" t="str">
        <f>IF(OR('General Info'!$C$11="No", 'General Info'!$C$19="No"), F50, IF(ISNUMBER('Credit risk (SA)'!AF79), 'Credit risk (SA)'!AF79, ""))</f>
        <v/>
      </c>
      <c r="J50" s="1016" t="str">
        <f>IF(OR('General Info'!$C$11="No", 'General Info'!$C$19="No"), G50, IF(ISNUMBER('Credit risk (SA)'!AH79), 'Credit risk (SA)'!AH79, ""))</f>
        <v/>
      </c>
      <c r="K50" s="1031"/>
      <c r="L50" s="906" t="str">
        <f t="shared" si="23"/>
        <v/>
      </c>
      <c r="M50" s="907" t="str">
        <f t="shared" si="24"/>
        <v/>
      </c>
      <c r="N50" s="483"/>
      <c r="O50" s="907" t="str">
        <f t="shared" si="25"/>
        <v/>
      </c>
      <c r="P50" s="907" t="str">
        <f t="shared" si="26"/>
        <v/>
      </c>
      <c r="Q50" s="907" t="str">
        <f t="shared" si="27"/>
        <v/>
      </c>
      <c r="R50" s="907" t="str">
        <f t="shared" si="28"/>
        <v/>
      </c>
      <c r="S50" s="908" t="str">
        <f t="shared" si="29"/>
        <v/>
      </c>
      <c r="T50" s="1031"/>
      <c r="U50" s="794" t="str">
        <f t="shared" si="30"/>
        <v/>
      </c>
      <c r="V50" s="808" t="str">
        <f t="shared" si="34"/>
        <v/>
      </c>
      <c r="W50" s="483"/>
      <c r="X50" s="808" t="str">
        <f t="shared" si="35"/>
        <v/>
      </c>
      <c r="Y50" s="808" t="str">
        <f t="shared" si="31"/>
        <v/>
      </c>
      <c r="Z50" s="808" t="str">
        <f t="shared" si="32"/>
        <v/>
      </c>
      <c r="AA50" s="2169" t="str">
        <f t="shared" si="33"/>
        <v/>
      </c>
      <c r="AB50" s="544"/>
    </row>
    <row r="51" spans="1:28" ht="15" customHeight="1" x14ac:dyDescent="0.25">
      <c r="A51" s="545"/>
      <c r="B51" s="507" t="str">
        <f>SUBSTITUTE('Credit risk (SA)'!$B87, "; of which:", "")</f>
        <v>Equity exposures</v>
      </c>
      <c r="C51" s="910" t="str">
        <f>IF('General Info'!$C$11="No", 0, IF(ISNUMBER('Credit risk (SA)'!I87), 'Credit risk (SA)'!I87, ""))</f>
        <v/>
      </c>
      <c r="D51" s="580" t="str">
        <f>IF('General Info'!$C$11="No", 0, IF(ISNUMBER('Credit risk (SA)'!M87), 'Credit risk (SA)'!M87, ""))</f>
        <v/>
      </c>
      <c r="E51" s="910" t="str">
        <f>IF('General Info'!$C$11="No", 0, IF(ISNUMBER('Credit risk (SA)'!N87), 'Credit risk (SA)'!N87, ""))</f>
        <v/>
      </c>
      <c r="F51" s="580" t="str">
        <f>IF('General Info'!$C$11="No", 0, IF(ISNUMBER('Credit risk (SA)'!W87), 'Credit risk (SA)'!W87, ""))</f>
        <v/>
      </c>
      <c r="G51" s="580" t="str">
        <f>IF('General Info'!$C$11="No", 0, IF(ISNUMBER('Credit risk (SA)'!AA87), 'Credit risk (SA)'!AA87, ""))</f>
        <v/>
      </c>
      <c r="H51" s="914"/>
      <c r="I51" s="479" t="str">
        <f>IF(OR('General Info'!$C$11="No", 'General Info'!$C$19="No"), F51, IF(ISNUMBER('Credit risk (SA)'!AF87), 'Credit risk (SA)'!AF87, ""))</f>
        <v/>
      </c>
      <c r="J51" s="1016" t="str">
        <f>IF(OR('General Info'!$C$11="No", 'General Info'!$C$19="No"), G51, IF(ISNUMBER('Credit risk (SA)'!AH87), 'Credit risk (SA)'!AH87, ""))</f>
        <v/>
      </c>
      <c r="K51" s="1031"/>
      <c r="L51" s="906" t="str">
        <f t="shared" si="23"/>
        <v/>
      </c>
      <c r="M51" s="907" t="str">
        <f t="shared" si="24"/>
        <v/>
      </c>
      <c r="N51" s="483"/>
      <c r="O51" s="907" t="str">
        <f t="shared" si="25"/>
        <v/>
      </c>
      <c r="P51" s="907" t="str">
        <f t="shared" si="26"/>
        <v/>
      </c>
      <c r="Q51" s="907" t="str">
        <f t="shared" si="27"/>
        <v/>
      </c>
      <c r="R51" s="907" t="str">
        <f t="shared" si="28"/>
        <v/>
      </c>
      <c r="S51" s="908" t="str">
        <f t="shared" si="29"/>
        <v/>
      </c>
      <c r="T51" s="1031"/>
      <c r="U51" s="794" t="str">
        <f t="shared" si="30"/>
        <v/>
      </c>
      <c r="V51" s="808" t="str">
        <f>IF(ISNUMBER(M46),IF(M46&gt;0,IF(M46&gt;3,"Error: diff above 300%",IF(M46&gt;=2.7,"Warning: diff 270–300%")),IF(ABS(M46)&gt;=0.3,"Error: RW decrease &gt; 30%",IF(ABS(M46)&gt;=0.15,"Warning: RW decrease &gt; 15%","Diff between -15-2700%"))),"")</f>
        <v/>
      </c>
      <c r="W51" s="483"/>
      <c r="X51" s="808" t="str">
        <f>IF(AND(AND(ISNUMBER(Q51), ISNUMBER(R51)), AND(Q51&lt;&gt;0, R51&lt;&gt;0)), IF(R51/Q51&gt;4, "Error: RW increase &gt; 300%", IF(R51/Q51&gt;=3.7, "Warning: RW increase 270–200%", IF(R51/Q51&gt;=0.9, "RW change -10% to +270%", IF(R51/Q51&gt;=0.8,"Warning: RW decrease 10–20%", "Error: RW decrease &gt; 20%")))), "")</f>
        <v/>
      </c>
      <c r="Y51" s="808" t="str">
        <f t="shared" si="31"/>
        <v/>
      </c>
      <c r="Z51" s="808" t="str">
        <f t="shared" si="32"/>
        <v/>
      </c>
      <c r="AA51" s="2169" t="str">
        <f t="shared" si="33"/>
        <v/>
      </c>
      <c r="AB51" s="544"/>
    </row>
    <row r="52" spans="1:28" ht="30" customHeight="1" x14ac:dyDescent="0.25">
      <c r="A52" s="545"/>
      <c r="B52" s="1090" t="str">
        <f>'Credit risk (SA)'!$B91</f>
        <v>Subordinated debt, capital instruments other than equity and other TLAC liabilities not deducted from capital</v>
      </c>
      <c r="C52" s="910" t="str">
        <f>IF('General Info'!$C$11="No", 0, IF(ISNUMBER('Credit risk (SA)'!I91), 'Credit risk (SA)'!I91, ""))</f>
        <v/>
      </c>
      <c r="D52" s="580" t="str">
        <f>IF('General Info'!$C$11="No", 0, IF(ISNUMBER('Credit risk (SA)'!M91), 'Credit risk (SA)'!M91, ""))</f>
        <v/>
      </c>
      <c r="E52" s="910" t="str">
        <f>IF('General Info'!$C$11="No", 0, IF(ISNUMBER('Credit risk (SA)'!N91), 'Credit risk (SA)'!N91, ""))</f>
        <v/>
      </c>
      <c r="F52" s="580" t="str">
        <f>IF('General Info'!$C$11="No", 0, IF(ISNUMBER('Credit risk (SA)'!W91), 'Credit risk (SA)'!W91, ""))</f>
        <v/>
      </c>
      <c r="G52" s="580" t="str">
        <f>IF('General Info'!$C$11="No", 0, IF(ISNUMBER('Credit risk (SA)'!AA91), 'Credit risk (SA)'!AA91, ""))</f>
        <v/>
      </c>
      <c r="H52" s="913"/>
      <c r="I52" s="479" t="str">
        <f>IF(OR('General Info'!$C$11="No", 'General Info'!$C$19="No"), F52, IF(ISNUMBER('Credit risk (SA)'!AF91), 'Credit risk (SA)'!AF91, ""))</f>
        <v/>
      </c>
      <c r="J52" s="1016" t="str">
        <f>IF(OR('General Info'!$C$11="No", 'General Info'!$C$19="No"), G52, IF(ISNUMBER('Credit risk (SA)'!AH91), 'Credit risk (SA)'!AH91, ""))</f>
        <v/>
      </c>
      <c r="K52" s="1031"/>
      <c r="L52" s="906" t="str">
        <f t="shared" si="23"/>
        <v/>
      </c>
      <c r="M52" s="907" t="str">
        <f t="shared" si="24"/>
        <v/>
      </c>
      <c r="N52" s="483"/>
      <c r="O52" s="907" t="str">
        <f t="shared" si="25"/>
        <v/>
      </c>
      <c r="P52" s="907" t="str">
        <f t="shared" si="26"/>
        <v/>
      </c>
      <c r="Q52" s="907" t="str">
        <f t="shared" si="27"/>
        <v/>
      </c>
      <c r="R52" s="907" t="str">
        <f t="shared" si="28"/>
        <v/>
      </c>
      <c r="S52" s="908" t="str">
        <f t="shared" si="29"/>
        <v/>
      </c>
      <c r="T52" s="1031"/>
      <c r="U52" s="794" t="str">
        <f t="shared" si="30"/>
        <v/>
      </c>
      <c r="V52" s="808" t="str">
        <f>IF(ISNUMBER(M47),IF(M47&gt;0,IF(M47&gt;3,"Error: diff above 300%",IF(M47&gt;=2.7,"Warning: diff 270–300%")),IF(ABS(M47)&gt;=0.3,"Error: RW decrease &gt; 30%",IF(ABS(M47)&gt;=0.15,"Warning: RW decrease &gt; 15%","Diff between -15-2700%"))),"")</f>
        <v/>
      </c>
      <c r="W52" s="483"/>
      <c r="X52" s="808" t="str">
        <f>IF(AND(AND(ISNUMBER(Q52), ISNUMBER(R52)), AND(Q52&lt;&gt;0, R52&lt;&gt;0)), IF(R52/Q52&gt;4, "Error: RW increase &gt; 300%", IF(R52/Q52&gt;=3.7, "Warning: RW increase 270–200%", IF(R52/Q52&gt;=0.9, "RW change -10% to +270%", IF(R52/Q52&gt;=0.8,"Warning: RW decrease 10–20%", "Error: RW decrease &gt; 20%")))), "")</f>
        <v/>
      </c>
      <c r="Y52" s="808" t="str">
        <f t="shared" si="31"/>
        <v/>
      </c>
      <c r="Z52" s="808" t="str">
        <f t="shared" si="32"/>
        <v/>
      </c>
      <c r="AA52" s="2169" t="str">
        <f t="shared" si="33"/>
        <v/>
      </c>
      <c r="AB52" s="544"/>
    </row>
    <row r="53" spans="1:28" ht="15" customHeight="1" x14ac:dyDescent="0.25">
      <c r="A53" s="545"/>
      <c r="B53" s="507" t="str">
        <f>SUBSTITUTE('Credit risk (SA)'!$B92, "; of which:", "")</f>
        <v>Equity investment in funds</v>
      </c>
      <c r="C53" s="910" t="str">
        <f>IF('General Info'!$C$11="No", 0, IF(ISNUMBER('Credit risk (SA)'!I92), 'Credit risk (SA)'!I92, ""))</f>
        <v/>
      </c>
      <c r="D53" s="580" t="str">
        <f>IF('General Info'!$C$11="No", 0, IF(ISNUMBER('Credit risk (SA)'!M92), 'Credit risk (SA)'!M92, ""))</f>
        <v/>
      </c>
      <c r="E53" s="910" t="str">
        <f>IF('General Info'!$C$11="No", 0, IF(ISNUMBER('Credit risk (SA)'!N92), 'Credit risk (SA)'!N92, ""))</f>
        <v/>
      </c>
      <c r="F53" s="580" t="str">
        <f>IF('General Info'!$C$11="No", 0, IF(ISNUMBER('Credit risk (SA)'!W92), 'Credit risk (SA)'!W92, ""))</f>
        <v/>
      </c>
      <c r="G53" s="580" t="str">
        <f>IF('General Info'!$C$11="No", 0, IF(ISNUMBER('Credit risk (SA)'!AA92), 'Credit risk (SA)'!AA92, ""))</f>
        <v/>
      </c>
      <c r="H53" s="913"/>
      <c r="I53" s="479" t="str">
        <f>IF(OR('General Info'!$C$11="No", 'General Info'!$C$19="No"), F53, IF(ISNUMBER('Credit risk (SA)'!AF92), 'Credit risk (SA)'!AF92, ""))</f>
        <v/>
      </c>
      <c r="J53" s="1016" t="str">
        <f>IF(OR('General Info'!$C$11="No", 'General Info'!$C$19="No"), G53, IF(ISNUMBER('Credit risk (SA)'!AH92), 'Credit risk (SA)'!AH92, ""))</f>
        <v/>
      </c>
      <c r="K53" s="1031"/>
      <c r="L53" s="906" t="str">
        <f t="shared" si="23"/>
        <v/>
      </c>
      <c r="M53" s="907" t="str">
        <f t="shared" si="24"/>
        <v/>
      </c>
      <c r="N53" s="483"/>
      <c r="O53" s="907" t="str">
        <f t="shared" si="25"/>
        <v/>
      </c>
      <c r="P53" s="907" t="str">
        <f t="shared" si="26"/>
        <v/>
      </c>
      <c r="Q53" s="907" t="str">
        <f t="shared" si="27"/>
        <v/>
      </c>
      <c r="R53" s="907" t="str">
        <f t="shared" si="28"/>
        <v/>
      </c>
      <c r="S53" s="908" t="str">
        <f t="shared" si="29"/>
        <v/>
      </c>
      <c r="T53" s="1031"/>
      <c r="U53" s="794" t="str">
        <f t="shared" si="30"/>
        <v/>
      </c>
      <c r="V53" s="808" t="str">
        <f t="shared" si="34"/>
        <v/>
      </c>
      <c r="W53" s="483"/>
      <c r="X53" s="808" t="str">
        <f t="shared" si="35"/>
        <v/>
      </c>
      <c r="Y53" s="808" t="str">
        <f t="shared" si="31"/>
        <v/>
      </c>
      <c r="Z53" s="808" t="str">
        <f t="shared" si="32"/>
        <v/>
      </c>
      <c r="AA53" s="2169" t="str">
        <f t="shared" si="33"/>
        <v/>
      </c>
      <c r="AB53" s="544"/>
    </row>
    <row r="54" spans="1:28" ht="15" customHeight="1" x14ac:dyDescent="0.25">
      <c r="A54" s="545"/>
      <c r="B54" s="222" t="str">
        <f>SUBSTITUTE('Credit risk (SA)'!$B95, "; of which:", "")</f>
        <v>Retail exposures</v>
      </c>
      <c r="C54" s="910" t="str">
        <f>IF('General Info'!$C$11="No", 0, IF(ISNUMBER('Credit risk (SA)'!I95), 'Credit risk (SA)'!I95, ""))</f>
        <v/>
      </c>
      <c r="D54" s="580" t="str">
        <f>IF('General Info'!$C$11="No", 0, IF(ISNUMBER('Credit risk (SA)'!M95), 'Credit risk (SA)'!M95, ""))</f>
        <v/>
      </c>
      <c r="E54" s="910" t="str">
        <f>IF('General Info'!$C$11="No", 0, IF(ISNUMBER('Credit risk (SA)'!N95), 'Credit risk (SA)'!N95, ""))</f>
        <v/>
      </c>
      <c r="F54" s="580" t="str">
        <f>IF('General Info'!$C$11="No", 0, IF(ISNUMBER('Credit risk (SA)'!W95), 'Credit risk (SA)'!W95, ""))</f>
        <v/>
      </c>
      <c r="G54" s="580" t="str">
        <f>IF('General Info'!$C$11="No", 0, IF(ISNUMBER('Credit risk (SA)'!AA95), 'Credit risk (SA)'!AA95, ""))</f>
        <v/>
      </c>
      <c r="H54" s="913"/>
      <c r="I54" s="479" t="str">
        <f>IF(OR('General Info'!$C$11="No", 'General Info'!$C$19="No"), F54, IF(ISNUMBER('Credit risk (SA)'!AF95), 'Credit risk (SA)'!AF95, ""))</f>
        <v/>
      </c>
      <c r="J54" s="1016" t="str">
        <f>IF(OR('General Info'!$C$11="No", 'General Info'!$C$19="No"), G54, IF(ISNUMBER('Credit risk (SA)'!AH95), 'Credit risk (SA)'!AH95, ""))</f>
        <v/>
      </c>
      <c r="K54" s="1031"/>
      <c r="L54" s="906" t="str">
        <f t="shared" si="23"/>
        <v/>
      </c>
      <c r="M54" s="907" t="str">
        <f t="shared" si="24"/>
        <v/>
      </c>
      <c r="N54" s="483"/>
      <c r="O54" s="907" t="str">
        <f t="shared" si="25"/>
        <v/>
      </c>
      <c r="P54" s="907" t="str">
        <f t="shared" si="26"/>
        <v/>
      </c>
      <c r="Q54" s="907" t="str">
        <f t="shared" si="27"/>
        <v/>
      </c>
      <c r="R54" s="907" t="str">
        <f t="shared" si="28"/>
        <v/>
      </c>
      <c r="S54" s="908" t="str">
        <f t="shared" si="29"/>
        <v/>
      </c>
      <c r="T54" s="1031"/>
      <c r="U54" s="794" t="str">
        <f t="shared" si="30"/>
        <v/>
      </c>
      <c r="V54" s="808" t="str">
        <f t="shared" si="34"/>
        <v/>
      </c>
      <c r="W54" s="483"/>
      <c r="X54" s="808" t="str">
        <f t="shared" si="35"/>
        <v/>
      </c>
      <c r="Y54" s="808" t="str">
        <f t="shared" si="31"/>
        <v/>
      </c>
      <c r="Z54" s="808" t="str">
        <f t="shared" si="32"/>
        <v/>
      </c>
      <c r="AA54" s="2169" t="str">
        <f t="shared" si="33"/>
        <v/>
      </c>
      <c r="AB54" s="544"/>
    </row>
    <row r="55" spans="1:28" ht="15" customHeight="1" x14ac:dyDescent="0.25">
      <c r="A55" s="545"/>
      <c r="B55" s="222" t="str">
        <f>'Credit risk (SA)'!$B99</f>
        <v>Exposures secured by real estate; of which:</v>
      </c>
      <c r="C55" s="910" t="str">
        <f>IF('General Info'!$C$11="No", 0, IF(ISNUMBER('Credit risk (SA)'!I99), 'Credit risk (SA)'!I99, ""))</f>
        <v/>
      </c>
      <c r="D55" s="580" t="str">
        <f>IF('General Info'!$C$11="No", 0, IF(ISNUMBER('Credit risk (SA)'!M99), 'Credit risk (SA)'!M99, ""))</f>
        <v/>
      </c>
      <c r="E55" s="910" t="str">
        <f>IF('General Info'!$C$11="No", 0, IF(ISNUMBER('Credit risk (SA)'!N99), 'Credit risk (SA)'!N99, ""))</f>
        <v/>
      </c>
      <c r="F55" s="580" t="str">
        <f>IF('General Info'!$C$11="No", 0, IF(ISNUMBER('Credit risk (SA)'!W99), 'Credit risk (SA)'!W99, ""))</f>
        <v/>
      </c>
      <c r="G55" s="580" t="str">
        <f>IF('General Info'!$C$11="No", 0, IF(ISNUMBER('Credit risk (SA)'!AA99), 'Credit risk (SA)'!AA99, ""))</f>
        <v/>
      </c>
      <c r="H55" s="913"/>
      <c r="I55" s="479" t="str">
        <f>IF(OR('General Info'!$C$11="No", 'General Info'!$C$19="No"), F55, IF(ISNUMBER('Credit risk (SA)'!AF99), 'Credit risk (SA)'!AF99, ""))</f>
        <v/>
      </c>
      <c r="J55" s="1016" t="str">
        <f>IF(OR('General Info'!$C$11="No", 'General Info'!$C$19="No"), G55, IF(ISNUMBER('Credit risk (SA)'!AH99), 'Credit risk (SA)'!AH99, ""))</f>
        <v/>
      </c>
      <c r="K55" s="1031"/>
      <c r="L55" s="906" t="str">
        <f t="shared" si="23"/>
        <v/>
      </c>
      <c r="M55" s="907" t="str">
        <f t="shared" si="24"/>
        <v/>
      </c>
      <c r="N55" s="483"/>
      <c r="O55" s="907" t="str">
        <f t="shared" si="25"/>
        <v/>
      </c>
      <c r="P55" s="907" t="str">
        <f t="shared" si="26"/>
        <v/>
      </c>
      <c r="Q55" s="907" t="str">
        <f t="shared" si="27"/>
        <v/>
      </c>
      <c r="R55" s="907" t="str">
        <f t="shared" si="28"/>
        <v/>
      </c>
      <c r="S55" s="908" t="str">
        <f t="shared" si="29"/>
        <v/>
      </c>
      <c r="T55" s="1031"/>
      <c r="U55" s="794" t="str">
        <f t="shared" si="30"/>
        <v/>
      </c>
      <c r="V55" s="808" t="str">
        <f t="shared" si="34"/>
        <v/>
      </c>
      <c r="W55" s="483"/>
      <c r="X55" s="808" t="str">
        <f t="shared" si="35"/>
        <v/>
      </c>
      <c r="Y55" s="808" t="str">
        <f t="shared" si="31"/>
        <v/>
      </c>
      <c r="Z55" s="808" t="str">
        <f t="shared" si="32"/>
        <v/>
      </c>
      <c r="AA55" s="2169" t="str">
        <f t="shared" si="33"/>
        <v/>
      </c>
      <c r="AB55" s="544"/>
    </row>
    <row r="56" spans="1:28" ht="15" customHeight="1" x14ac:dyDescent="0.25">
      <c r="A56" s="545"/>
      <c r="B56" s="240" t="str">
        <f>SUBSTITUTE('Credit risk (SA)'!$B100, "; of which:", "")</f>
        <v>general residential real estate</v>
      </c>
      <c r="C56" s="910" t="str">
        <f>IF('General Info'!$C$11="No", 0, IF(ISNUMBER('Credit risk (SA)'!I100), 'Credit risk (SA)'!I100, ""))</f>
        <v/>
      </c>
      <c r="D56" s="580" t="str">
        <f>IF('General Info'!$C$11="No", 0, IF(ISNUMBER('Credit risk (SA)'!M100), 'Credit risk (SA)'!M100, ""))</f>
        <v/>
      </c>
      <c r="E56" s="910" t="str">
        <f>IF('General Info'!$C$11="No", 0, IF(ISNUMBER('Credit risk (SA)'!N100), 'Credit risk (SA)'!N100, ""))</f>
        <v/>
      </c>
      <c r="F56" s="580" t="str">
        <f>IF('General Info'!$C$11="No", 0, IF(ISNUMBER('Credit risk (SA)'!W100), 'Credit risk (SA)'!W100, ""))</f>
        <v/>
      </c>
      <c r="G56" s="580" t="str">
        <f>IF('General Info'!$C$11="No", 0, IF(ISNUMBER('Credit risk (SA)'!AA100), 'Credit risk (SA)'!AA100, ""))</f>
        <v/>
      </c>
      <c r="H56" s="913"/>
      <c r="I56" s="479" t="str">
        <f>IF(OR('General Info'!$C$11="No", 'General Info'!$C$19="No"), F56, IF(ISNUMBER('Credit risk (SA)'!AF100), 'Credit risk (SA)'!AF100, ""))</f>
        <v/>
      </c>
      <c r="J56" s="1016" t="str">
        <f>IF(OR('General Info'!$C$11="No", 'General Info'!$C$19="No"), G56, IF(ISNUMBER('Credit risk (SA)'!AH100), 'Credit risk (SA)'!AH100, ""))</f>
        <v/>
      </c>
      <c r="K56" s="1031"/>
      <c r="L56" s="906" t="str">
        <f t="shared" si="23"/>
        <v/>
      </c>
      <c r="M56" s="907" t="str">
        <f t="shared" si="24"/>
        <v/>
      </c>
      <c r="N56" s="483"/>
      <c r="O56" s="907" t="str">
        <f t="shared" si="25"/>
        <v/>
      </c>
      <c r="P56" s="907" t="str">
        <f t="shared" si="26"/>
        <v/>
      </c>
      <c r="Q56" s="907" t="str">
        <f t="shared" si="27"/>
        <v/>
      </c>
      <c r="R56" s="907" t="str">
        <f t="shared" si="28"/>
        <v/>
      </c>
      <c r="S56" s="908" t="str">
        <f t="shared" si="29"/>
        <v/>
      </c>
      <c r="T56" s="1031"/>
      <c r="U56" s="794" t="str">
        <f t="shared" si="30"/>
        <v/>
      </c>
      <c r="V56" s="808" t="str">
        <f t="shared" si="34"/>
        <v/>
      </c>
      <c r="W56" s="483"/>
      <c r="X56" s="808" t="str">
        <f t="shared" si="35"/>
        <v/>
      </c>
      <c r="Y56" s="808" t="str">
        <f t="shared" si="31"/>
        <v/>
      </c>
      <c r="Z56" s="808" t="str">
        <f t="shared" si="32"/>
        <v/>
      </c>
      <c r="AA56" s="2169" t="str">
        <f t="shared" si="33"/>
        <v/>
      </c>
      <c r="AB56" s="544"/>
    </row>
    <row r="57" spans="1:28" ht="15" customHeight="1" x14ac:dyDescent="0.25">
      <c r="A57" s="545"/>
      <c r="B57" s="240" t="str">
        <f>SUBSTITUTE('Credit risk (SA)'!$B113, "; of which:", "")</f>
        <v>general commercial real estate</v>
      </c>
      <c r="C57" s="910" t="str">
        <f>IF('General Info'!$C$11="No", 0, IF(ISNUMBER('Credit risk (SA)'!I113), 'Credit risk (SA)'!I113, ""))</f>
        <v/>
      </c>
      <c r="D57" s="580" t="str">
        <f>IF('General Info'!$C$11="No", 0, IF(ISNUMBER('Credit risk (SA)'!M113), 'Credit risk (SA)'!M113, ""))</f>
        <v/>
      </c>
      <c r="E57" s="910" t="str">
        <f>IF('General Info'!$C$11="No", 0, IF(ISNUMBER('Credit risk (SA)'!N113), 'Credit risk (SA)'!N113, ""))</f>
        <v/>
      </c>
      <c r="F57" s="580" t="str">
        <f>IF('General Info'!$C$11="No", 0, IF(ISNUMBER('Credit risk (SA)'!W113), 'Credit risk (SA)'!W113, ""))</f>
        <v/>
      </c>
      <c r="G57" s="580" t="str">
        <f>IF('General Info'!$C$11="No", 0, IF(ISNUMBER('Credit risk (SA)'!AA113), 'Credit risk (SA)'!AA113, ""))</f>
        <v/>
      </c>
      <c r="H57" s="913"/>
      <c r="I57" s="479" t="str">
        <f>IF(OR('General Info'!$C$11="No", 'General Info'!$C$19="No"), F57, IF(ISNUMBER('Credit risk (SA)'!AF113), 'Credit risk (SA)'!AF113, ""))</f>
        <v/>
      </c>
      <c r="J57" s="1016" t="str">
        <f>IF(OR('General Info'!$C$11="No", 'General Info'!$C$19="No"), G57, IF(ISNUMBER('Credit risk (SA)'!AH113), 'Credit risk (SA)'!AH113, ""))</f>
        <v/>
      </c>
      <c r="K57" s="1031"/>
      <c r="L57" s="906" t="str">
        <f t="shared" si="23"/>
        <v/>
      </c>
      <c r="M57" s="907" t="str">
        <f t="shared" si="24"/>
        <v/>
      </c>
      <c r="N57" s="483"/>
      <c r="O57" s="907" t="str">
        <f t="shared" si="25"/>
        <v/>
      </c>
      <c r="P57" s="907" t="str">
        <f t="shared" si="26"/>
        <v/>
      </c>
      <c r="Q57" s="907" t="str">
        <f t="shared" si="27"/>
        <v/>
      </c>
      <c r="R57" s="907" t="str">
        <f t="shared" si="28"/>
        <v/>
      </c>
      <c r="S57" s="908" t="str">
        <f t="shared" si="29"/>
        <v/>
      </c>
      <c r="T57" s="1031"/>
      <c r="U57" s="794" t="str">
        <f t="shared" si="30"/>
        <v/>
      </c>
      <c r="V57" s="808" t="str">
        <f t="shared" si="34"/>
        <v/>
      </c>
      <c r="W57" s="483"/>
      <c r="X57" s="808" t="str">
        <f t="shared" si="35"/>
        <v/>
      </c>
      <c r="Y57" s="808" t="str">
        <f t="shared" si="31"/>
        <v/>
      </c>
      <c r="Z57" s="808" t="str">
        <f t="shared" si="32"/>
        <v/>
      </c>
      <c r="AA57" s="2169" t="str">
        <f t="shared" si="33"/>
        <v/>
      </c>
      <c r="AB57" s="544"/>
    </row>
    <row r="58" spans="1:28" ht="15" customHeight="1" x14ac:dyDescent="0.25">
      <c r="A58" s="545"/>
      <c r="B58" s="240" t="str">
        <f>SUBSTITUTE('Credit risk (SA)'!$B122, "; of which:", "")</f>
        <v>income producing residential real estate</v>
      </c>
      <c r="C58" s="910" t="str">
        <f>IF('General Info'!$C$11="No", 0, IF(ISNUMBER('Credit risk (SA)'!I122), 'Credit risk (SA)'!I122, ""))</f>
        <v/>
      </c>
      <c r="D58" s="580" t="str">
        <f>IF('General Info'!$C$11="No", 0, IF(ISNUMBER('Credit risk (SA)'!M122), 'Credit risk (SA)'!M122, ""))</f>
        <v/>
      </c>
      <c r="E58" s="910" t="str">
        <f>IF('General Info'!$C$11="No", 0, IF(ISNUMBER('Credit risk (SA)'!N122), 'Credit risk (SA)'!N122, ""))</f>
        <v/>
      </c>
      <c r="F58" s="580" t="str">
        <f>IF('General Info'!$C$11="No", 0, IF(ISNUMBER('Credit risk (SA)'!W122), 'Credit risk (SA)'!W122, ""))</f>
        <v/>
      </c>
      <c r="G58" s="580" t="str">
        <f>IF('General Info'!$C$11="No", 0, IF(ISNUMBER('Credit risk (SA)'!AA122), 'Credit risk (SA)'!AA122, ""))</f>
        <v/>
      </c>
      <c r="H58" s="913"/>
      <c r="I58" s="479" t="str">
        <f>IF(OR('General Info'!$C$11="No", 'General Info'!$C$19="No"), F58, IF(ISNUMBER('Credit risk (SA)'!AF122), 'Credit risk (SA)'!AF122, ""))</f>
        <v/>
      </c>
      <c r="J58" s="1016" t="str">
        <f>IF(OR('General Info'!$C$11="No", 'General Info'!$C$19="No"), G58, IF(ISNUMBER('Credit risk (SA)'!AH122), 'Credit risk (SA)'!AH122, ""))</f>
        <v/>
      </c>
      <c r="K58" s="1031"/>
      <c r="L58" s="906" t="str">
        <f t="shared" si="23"/>
        <v/>
      </c>
      <c r="M58" s="907" t="str">
        <f t="shared" si="24"/>
        <v/>
      </c>
      <c r="N58" s="483"/>
      <c r="O58" s="907" t="str">
        <f t="shared" si="25"/>
        <v/>
      </c>
      <c r="P58" s="907" t="str">
        <f t="shared" si="26"/>
        <v/>
      </c>
      <c r="Q58" s="907" t="str">
        <f t="shared" si="27"/>
        <v/>
      </c>
      <c r="R58" s="907" t="str">
        <f t="shared" si="28"/>
        <v/>
      </c>
      <c r="S58" s="908" t="str">
        <f t="shared" si="29"/>
        <v/>
      </c>
      <c r="T58" s="1031"/>
      <c r="U58" s="794" t="str">
        <f t="shared" si="30"/>
        <v/>
      </c>
      <c r="V58" s="808" t="str">
        <f t="shared" si="34"/>
        <v/>
      </c>
      <c r="W58" s="483"/>
      <c r="X58" s="808" t="str">
        <f t="shared" si="35"/>
        <v/>
      </c>
      <c r="Y58" s="808" t="str">
        <f t="shared" si="31"/>
        <v/>
      </c>
      <c r="Z58" s="808" t="str">
        <f t="shared" si="32"/>
        <v/>
      </c>
      <c r="AA58" s="2169" t="str">
        <f t="shared" si="33"/>
        <v/>
      </c>
      <c r="AB58" s="544"/>
    </row>
    <row r="59" spans="1:28" ht="15" customHeight="1" x14ac:dyDescent="0.25">
      <c r="A59" s="545"/>
      <c r="B59" s="240" t="str">
        <f>SUBSTITUTE('Credit risk (SA)'!$B130, "; of which:", "")</f>
        <v>income producing commercial real estate</v>
      </c>
      <c r="C59" s="910" t="str">
        <f>IF('General Info'!$C$11="No", 0, IF(ISNUMBER('Credit risk (SA)'!I130), 'Credit risk (SA)'!I130, ""))</f>
        <v/>
      </c>
      <c r="D59" s="580" t="str">
        <f>IF('General Info'!$C$11="No", 0, IF(ISNUMBER('Credit risk (SA)'!M130), 'Credit risk (SA)'!M130, ""))</f>
        <v/>
      </c>
      <c r="E59" s="910" t="str">
        <f>IF('General Info'!$C$11="No", 0, IF(ISNUMBER('Credit risk (SA)'!N130), 'Credit risk (SA)'!N130, ""))</f>
        <v/>
      </c>
      <c r="F59" s="580" t="str">
        <f>IF('General Info'!$C$11="No", 0, IF(ISNUMBER('Credit risk (SA)'!W130), 'Credit risk (SA)'!W130, ""))</f>
        <v/>
      </c>
      <c r="G59" s="580" t="str">
        <f>IF('General Info'!$C$11="No", 0, IF(ISNUMBER('Credit risk (SA)'!AA130), 'Credit risk (SA)'!AA130, ""))</f>
        <v/>
      </c>
      <c r="H59" s="913"/>
      <c r="I59" s="479" t="str">
        <f>IF(OR('General Info'!$C$11="No", 'General Info'!$C$19="No"), F59, IF(ISNUMBER('Credit risk (SA)'!AF130), 'Credit risk (SA)'!AF130, ""))</f>
        <v/>
      </c>
      <c r="J59" s="1016" t="str">
        <f>IF(OR('General Info'!$C$11="No", 'General Info'!$C$19="No"), G59, IF(ISNUMBER('Credit risk (SA)'!AH130), 'Credit risk (SA)'!AH130, ""))</f>
        <v/>
      </c>
      <c r="K59" s="1031"/>
      <c r="L59" s="906" t="str">
        <f t="shared" si="23"/>
        <v/>
      </c>
      <c r="M59" s="907" t="str">
        <f t="shared" si="24"/>
        <v/>
      </c>
      <c r="N59" s="483"/>
      <c r="O59" s="907" t="str">
        <f t="shared" si="25"/>
        <v/>
      </c>
      <c r="P59" s="907" t="str">
        <f t="shared" si="26"/>
        <v/>
      </c>
      <c r="Q59" s="907" t="str">
        <f t="shared" si="27"/>
        <v/>
      </c>
      <c r="R59" s="907" t="str">
        <f t="shared" si="28"/>
        <v/>
      </c>
      <c r="S59" s="908" t="str">
        <f t="shared" si="29"/>
        <v/>
      </c>
      <c r="T59" s="1031"/>
      <c r="U59" s="794" t="str">
        <f t="shared" si="30"/>
        <v/>
      </c>
      <c r="V59" s="808" t="str">
        <f t="shared" si="34"/>
        <v/>
      </c>
      <c r="W59" s="483"/>
      <c r="X59" s="808" t="str">
        <f t="shared" si="35"/>
        <v/>
      </c>
      <c r="Y59" s="808" t="str">
        <f t="shared" si="31"/>
        <v/>
      </c>
      <c r="Z59" s="808" t="str">
        <f t="shared" si="32"/>
        <v/>
      </c>
      <c r="AA59" s="2169" t="str">
        <f t="shared" si="33"/>
        <v/>
      </c>
      <c r="AB59" s="544"/>
    </row>
    <row r="60" spans="1:28" ht="15" customHeight="1" x14ac:dyDescent="0.25">
      <c r="A60" s="545"/>
      <c r="B60" s="240" t="str">
        <f>SUBSTITUTE('Credit risk (SA)'!$B135, "; of which:", "")</f>
        <v>land acquisition, development and construction</v>
      </c>
      <c r="C60" s="910" t="str">
        <f>IF('General Info'!$C$11="No", 0, IF(ISNUMBER('Credit risk (SA)'!I135), 'Credit risk (SA)'!I135, ""))</f>
        <v/>
      </c>
      <c r="D60" s="580" t="str">
        <f>IF('General Info'!$C$11="No", 0, IF(ISNUMBER('Credit risk (SA)'!M135), 'Credit risk (SA)'!M135, ""))</f>
        <v/>
      </c>
      <c r="E60" s="580" t="str">
        <f>IF('General Info'!$C$11="No", 0, IF(ISNUMBER('Credit risk (SA)'!N135), 'Credit risk (SA)'!N135, ""))</f>
        <v/>
      </c>
      <c r="F60" s="580" t="str">
        <f>IF('General Info'!$C$11="No", 0, IF(ISNUMBER('Credit risk (SA)'!W135), 'Credit risk (SA)'!W135, ""))</f>
        <v/>
      </c>
      <c r="G60" s="580" t="str">
        <f>IF('General Info'!$C$11="No", 0, IF(ISNUMBER('Credit risk (SA)'!AA135), 'Credit risk (SA)'!AA135, ""))</f>
        <v/>
      </c>
      <c r="H60" s="913"/>
      <c r="I60" s="479" t="str">
        <f>IF(OR('General Info'!$C$11="No", 'General Info'!$C$19="No"), F60, IF(ISNUMBER('Credit risk (SA)'!AF135), 'Credit risk (SA)'!AF135, ""))</f>
        <v/>
      </c>
      <c r="J60" s="1016" t="str">
        <f>IF(OR('General Info'!$C$11="No", 'General Info'!$C$19="No"), G60, IF(ISNUMBER('Credit risk (SA)'!AH135), 'Credit risk (SA)'!AH135, ""))</f>
        <v/>
      </c>
      <c r="K60" s="1031"/>
      <c r="L60" s="906" t="str">
        <f t="shared" si="23"/>
        <v/>
      </c>
      <c r="M60" s="907" t="str">
        <f t="shared" si="24"/>
        <v/>
      </c>
      <c r="N60" s="483"/>
      <c r="O60" s="907" t="str">
        <f t="shared" si="25"/>
        <v/>
      </c>
      <c r="P60" s="907" t="str">
        <f t="shared" si="26"/>
        <v/>
      </c>
      <c r="Q60" s="907" t="str">
        <f t="shared" si="27"/>
        <v/>
      </c>
      <c r="R60" s="907" t="str">
        <f t="shared" si="28"/>
        <v/>
      </c>
      <c r="S60" s="908" t="str">
        <f t="shared" si="29"/>
        <v/>
      </c>
      <c r="T60" s="1031"/>
      <c r="U60" s="794" t="str">
        <f t="shared" si="30"/>
        <v/>
      </c>
      <c r="V60" s="808" t="str">
        <f t="shared" si="34"/>
        <v/>
      </c>
      <c r="W60" s="483"/>
      <c r="X60" s="808" t="str">
        <f t="shared" si="35"/>
        <v/>
      </c>
      <c r="Y60" s="808" t="str">
        <f t="shared" si="31"/>
        <v/>
      </c>
      <c r="Z60" s="808" t="str">
        <f t="shared" si="32"/>
        <v/>
      </c>
      <c r="AA60" s="2169" t="str">
        <f t="shared" si="33"/>
        <v/>
      </c>
      <c r="AB60" s="544"/>
    </row>
    <row r="61" spans="1:28" ht="15" customHeight="1" x14ac:dyDescent="0.25">
      <c r="A61" s="545"/>
      <c r="B61" s="222" t="str">
        <f>SUBSTITUTE('Credit risk (SA)'!$B138, "; of which:", "")</f>
        <v>Defaulted exposures</v>
      </c>
      <c r="C61" s="910" t="str">
        <f>IF('General Info'!$C$11="No", 0, IF(ISNUMBER('Credit risk (SA)'!I138), 'Credit risk (SA)'!I138, ""))</f>
        <v/>
      </c>
      <c r="D61" s="580" t="str">
        <f>IF('General Info'!$C$11="No", 0, IF(ISNUMBER('Credit risk (SA)'!M138), 'Credit risk (SA)'!M138, ""))</f>
        <v/>
      </c>
      <c r="E61" s="499"/>
      <c r="F61" s="580" t="str">
        <f>IF('General Info'!$C$11="No", 0, IF(ISNUMBER('Credit risk (SA)'!W138), 'Credit risk (SA)'!W138, ""))</f>
        <v/>
      </c>
      <c r="G61" s="580" t="str">
        <f>IF('General Info'!$C$11="No", 0, IF(ISNUMBER('Credit risk (SA)'!AA138), 'Credit risk (SA)'!AA138, ""))</f>
        <v/>
      </c>
      <c r="H61" s="913"/>
      <c r="I61" s="479" t="str">
        <f>IF(OR('General Info'!$C$11="No", 'General Info'!$C$19="No"), F61, IF(ISNUMBER('Credit risk (SA)'!AF138), 'Credit risk (SA)'!AF138, ""))</f>
        <v/>
      </c>
      <c r="J61" s="1016" t="str">
        <f>IF(OR('General Info'!$C$11="No", 'General Info'!$C$19="No"), G61, IF(ISNUMBER('Credit risk (SA)'!AH138), 'Credit risk (SA)'!AH138, ""))</f>
        <v/>
      </c>
      <c r="K61" s="1031"/>
      <c r="L61" s="906" t="str">
        <f t="shared" si="23"/>
        <v/>
      </c>
      <c r="M61" s="907" t="str">
        <f t="shared" si="24"/>
        <v/>
      </c>
      <c r="N61" s="483"/>
      <c r="O61" s="907" t="str">
        <f t="shared" si="25"/>
        <v/>
      </c>
      <c r="P61" s="907" t="str">
        <f t="shared" si="26"/>
        <v/>
      </c>
      <c r="Q61" s="907" t="str">
        <f t="shared" si="27"/>
        <v/>
      </c>
      <c r="R61" s="907" t="str">
        <f t="shared" si="28"/>
        <v/>
      </c>
      <c r="S61" s="908" t="str">
        <f t="shared" si="29"/>
        <v/>
      </c>
      <c r="T61" s="1031"/>
      <c r="U61" s="794" t="str">
        <f t="shared" si="30"/>
        <v/>
      </c>
      <c r="V61" s="808" t="str">
        <f t="shared" si="34"/>
        <v/>
      </c>
      <c r="W61" s="483"/>
      <c r="X61" s="808" t="str">
        <f t="shared" si="35"/>
        <v/>
      </c>
      <c r="Y61" s="808" t="str">
        <f t="shared" si="31"/>
        <v/>
      </c>
      <c r="Z61" s="808" t="str">
        <f t="shared" si="32"/>
        <v/>
      </c>
      <c r="AA61" s="2169" t="str">
        <f t="shared" si="33"/>
        <v/>
      </c>
      <c r="AB61" s="544"/>
    </row>
    <row r="62" spans="1:28" ht="15" customHeight="1" x14ac:dyDescent="0.25">
      <c r="A62" s="545"/>
      <c r="B62" s="222" t="str">
        <f>'Credit risk (SA)'!$B141</f>
        <v>Failed trades and non-DVP transactions</v>
      </c>
      <c r="C62" s="910" t="str">
        <f>IF('General Info'!$C$11="No", 0, IF(ISNUMBER('Credit risk (SA)'!I141), 'Credit risk (SA)'!I141, ""))</f>
        <v/>
      </c>
      <c r="D62" s="580" t="str">
        <f>IF('General Info'!$C$11="No", 0, IF(ISNUMBER('Credit risk (SA)'!M141), 'Credit risk (SA)'!M141, ""))</f>
        <v/>
      </c>
      <c r="E62" s="499"/>
      <c r="F62" s="580" t="str">
        <f>IF('General Info'!$C$11="No", 0, IF(ISNUMBER('Credit risk (SA)'!W141), 'Credit risk (SA)'!W141, ""))</f>
        <v/>
      </c>
      <c r="G62" s="580" t="str">
        <f>IF('General Info'!$C$11="No", 0, IF(ISNUMBER('Credit risk (SA)'!AA141), 'Credit risk (SA)'!AA141, ""))</f>
        <v/>
      </c>
      <c r="H62" s="913"/>
      <c r="I62" s="479" t="str">
        <f>IF(OR('General Info'!$C$11="No", 'General Info'!$C$19="No"), F62, IF(ISNUMBER('Credit risk (SA)'!AF141), 'Credit risk (SA)'!AF141, ""))</f>
        <v/>
      </c>
      <c r="J62" s="1016" t="str">
        <f>IF(OR('General Info'!$C$11="No", 'General Info'!$C$19="No"), G62, IF(ISNUMBER('Credit risk (SA)'!AH141), 'Credit risk (SA)'!AH141, ""))</f>
        <v/>
      </c>
      <c r="K62" s="1031"/>
      <c r="L62" s="906" t="str">
        <f t="shared" si="23"/>
        <v/>
      </c>
      <c r="M62" s="907" t="str">
        <f t="shared" si="24"/>
        <v/>
      </c>
      <c r="N62" s="483"/>
      <c r="O62" s="907" t="str">
        <f t="shared" si="25"/>
        <v/>
      </c>
      <c r="P62" s="907" t="str">
        <f t="shared" si="26"/>
        <v/>
      </c>
      <c r="Q62" s="907" t="str">
        <f t="shared" si="27"/>
        <v/>
      </c>
      <c r="R62" s="907" t="str">
        <f t="shared" si="28"/>
        <v/>
      </c>
      <c r="S62" s="908" t="str">
        <f t="shared" si="29"/>
        <v/>
      </c>
      <c r="T62" s="1031"/>
      <c r="U62" s="794" t="str">
        <f t="shared" si="30"/>
        <v/>
      </c>
      <c r="V62" s="808" t="str">
        <f t="shared" si="34"/>
        <v/>
      </c>
      <c r="W62" s="483"/>
      <c r="X62" s="808" t="str">
        <f t="shared" si="35"/>
        <v/>
      </c>
      <c r="Y62" s="808" t="str">
        <f t="shared" si="31"/>
        <v/>
      </c>
      <c r="Z62" s="808" t="str">
        <f t="shared" si="32"/>
        <v/>
      </c>
      <c r="AA62" s="2169" t="str">
        <f t="shared" si="33"/>
        <v/>
      </c>
      <c r="AB62" s="544"/>
    </row>
    <row r="63" spans="1:28" ht="15" customHeight="1" x14ac:dyDescent="0.25">
      <c r="A63" s="545"/>
      <c r="B63" s="924" t="str">
        <f>'Credit risk (SA)'!$B142</f>
        <v>Other assets</v>
      </c>
      <c r="C63" s="916" t="str">
        <f>IF('General Info'!$C$11="No", 0, IF(ISNUMBER('Credit risk (SA)'!I142), 'Credit risk (SA)'!I142, ""))</f>
        <v/>
      </c>
      <c r="D63" s="917" t="str">
        <f>IF('General Info'!$C$11="No", 0, IF(ISNUMBER('Credit risk (SA)'!M142), 'Credit risk (SA)'!M142, ""))</f>
        <v/>
      </c>
      <c r="E63" s="917" t="str">
        <f>IF('General Info'!$C$11="No", 0, IF(ISNUMBER('Credit risk (SA)'!N142), 'Credit risk (SA)'!N142, ""))</f>
        <v/>
      </c>
      <c r="F63" s="917" t="str">
        <f>IF('General Info'!$C$11="No", 0, IF(ISNUMBER('Credit risk (SA)'!W142), 'Credit risk (SA)'!W142, ""))</f>
        <v/>
      </c>
      <c r="G63" s="917" t="str">
        <f>IF('General Info'!$C$11="No", 0, IF(ISNUMBER('Credit risk (SA)'!AA142), 'Credit risk (SA)'!AA142, ""))</f>
        <v/>
      </c>
      <c r="H63" s="925"/>
      <c r="I63" s="490" t="str">
        <f>IF(OR('General Info'!$C$11="No", 'General Info'!$C$19="No"), F63, IF(ISNUMBER('Credit risk (SA)'!AF142), 'Credit risk (SA)'!AF142, ""))</f>
        <v/>
      </c>
      <c r="J63" s="918" t="str">
        <f>IF(OR('General Info'!$C$11="No", 'General Info'!$C$19="No"), G63, IF(ISNUMBER('Credit risk (SA)'!AH142), 'Credit risk (SA)'!AH142, ""))</f>
        <v/>
      </c>
      <c r="K63" s="1031"/>
      <c r="L63" s="906" t="str">
        <f t="shared" si="23"/>
        <v/>
      </c>
      <c r="M63" s="907" t="str">
        <f t="shared" si="24"/>
        <v/>
      </c>
      <c r="N63" s="483"/>
      <c r="O63" s="907" t="str">
        <f t="shared" si="25"/>
        <v/>
      </c>
      <c r="P63" s="907" t="str">
        <f t="shared" si="26"/>
        <v/>
      </c>
      <c r="Q63" s="907" t="str">
        <f t="shared" si="27"/>
        <v/>
      </c>
      <c r="R63" s="907" t="str">
        <f t="shared" si="28"/>
        <v/>
      </c>
      <c r="S63" s="908" t="str">
        <f t="shared" si="29"/>
        <v/>
      </c>
      <c r="T63" s="1031"/>
      <c r="U63" s="794" t="str">
        <f t="shared" si="30"/>
        <v/>
      </c>
      <c r="V63" s="808" t="str">
        <f>IF(ISNUMBER(M63), IF(ABS(M63)&gt;0.3, "Error: diff above 30%", IF(ABS(M63)&gt;=0.15, "Warning: diff 15–30%", "Diff below 15%")),"")</f>
        <v/>
      </c>
      <c r="W63" s="483"/>
      <c r="X63" s="808" t="str">
        <f>IF(AND(AND(ISNUMBER(Q63), ISNUMBER(R63)), AND(Q63&lt;&gt;0, R63&lt;&gt;0)), IF(R63/Q63&gt;1.3, "Error: RW increase &gt; 30%", IF(R63/Q63&gt;=1.15, "Warning: RW increase 15–30%", IF(R63/Q63&gt;=0.9, "RW change -10% to +15%", IF(R63/Q63&gt;=0.8,"Warning: RW decrease 10–20%", "Error: RW decrease &gt; 20%")))), "")</f>
        <v/>
      </c>
      <c r="Y63" s="808" t="str">
        <f t="shared" si="31"/>
        <v/>
      </c>
      <c r="Z63" s="808" t="str">
        <f t="shared" si="32"/>
        <v/>
      </c>
      <c r="AA63" s="2169" t="str">
        <f t="shared" si="33"/>
        <v/>
      </c>
      <c r="AB63" s="544"/>
    </row>
    <row r="64" spans="1:28" ht="15" customHeight="1" x14ac:dyDescent="0.25">
      <c r="A64" s="545"/>
      <c r="B64" s="958" t="str">
        <f>'Credit risk (SA)'!$B143</f>
        <v>Total standardised approach</v>
      </c>
      <c r="C64" s="928" t="str">
        <f>IF(AND(ISNUMBER(C45),ISNUMBER(C46),ISNUMBER(C47),ISNUMBER(C48),ISNUMBER(C49),ISNUMBER(C50),ISNUMBER(C51),ISNUMBER(C52),ISNUMBER(C53),ISNUMBER(C54),ISNUMBER(C55),ISNUMBER(C61),ISNUMBER(C62),ISNUMBER(C63)),SUM(C45,C46,C47,C48,C49,C50,C51,C52,C53,C54,C55,C61,C62,C63),"")</f>
        <v/>
      </c>
      <c r="D64" s="921" t="str">
        <f>IF(AND(ISNUMBER(D45),ISNUMBER(D46),ISNUMBER(D47),ISNUMBER(D48),ISNUMBER(D49),ISNUMBER(D50),ISNUMBER(D51),ISNUMBER(D52),ISNUMBER(D53),ISNUMBER(D54),ISNUMBER(D55),ISNUMBER(D61),ISNUMBER(D62),ISNUMBER(D63)),SUM(D45,D46,D47,D48,D49,D50,D51,D52,D53,D54,D55,D61,D62,D63),"")</f>
        <v/>
      </c>
      <c r="E64" s="921" t="str">
        <f>IF(AND(ISNUMBER(E45),ISNUMBER(E46),ISNUMBER(E47),ISNUMBER(E48),ISNUMBER(E49),ISNUMBER(E50),ISNUMBER(E51),ISNUMBER(E52),ISNUMBER(E53),ISNUMBER(E54),ISNUMBER(E55),ISNUMBER(E63)),SUM(E45,E46,E47,E48,E49,E50,E51,E52,E53,E54,E55,E63),"")</f>
        <v/>
      </c>
      <c r="F64" s="921" t="str">
        <f>IF(AND(ISNUMBER(F45),ISNUMBER(F46),ISNUMBER(F47),ISNUMBER(F48),ISNUMBER(F49),ISNUMBER(F50),ISNUMBER(F51),ISNUMBER(F52),ISNUMBER(F53),ISNUMBER(F54),ISNUMBER(F55),ISNUMBER(F61),ISNUMBER(F62),ISNUMBER(F63)),SUM(F45,F46,F47,F48,F49,F50,F51,F52,F53,F54,F55,F61,F62,F63),"")</f>
        <v/>
      </c>
      <c r="G64" s="921" t="str">
        <f>IF(AND(ISNUMBER(G45),ISNUMBER(G46),ISNUMBER(G47),ISNUMBER(G48),ISNUMBER(G49),ISNUMBER(G50),ISNUMBER(G51),ISNUMBER(G52),ISNUMBER(G53),ISNUMBER(G54),ISNUMBER(G55),ISNUMBER(G61),ISNUMBER(G62),ISNUMBER(G63)),SUM(G45,G46,G47,G48,G49,G50,G51,G52,G53,G54,G55,G61,G62,G63),"")</f>
        <v/>
      </c>
      <c r="H64" s="911"/>
      <c r="I64" s="921" t="str">
        <f>IF(AND(ISNUMBER(I45),ISNUMBER(I46),ISNUMBER(I47),ISNUMBER(I48),ISNUMBER(I49),ISNUMBER(I50),ISNUMBER(I51),ISNUMBER(I52),ISNUMBER(I53),ISNUMBER(I54),ISNUMBER(I55),ISNUMBER(I61),ISNUMBER(I62),ISNUMBER(I63)),SUM(I45,I46,I47,I48,I49,I50,I51,I52,I53,I54,I55,I61,I62,I63),"")</f>
        <v/>
      </c>
      <c r="J64" s="926" t="str">
        <f>IF(AND(ISNUMBER(J45),ISNUMBER(J46),ISNUMBER(J47),ISNUMBER(J48),ISNUMBER(J49),ISNUMBER(J50),ISNUMBER(J51),ISNUMBER(J52),ISNUMBER(J53),ISNUMBER(J54),ISNUMBER(J55),ISNUMBER(J61),ISNUMBER(J62),ISNUMBER(J63)),SUM(J45,J46,J47,J48,J49,J50,J51,J52,J53,J54,J55,J61,J62,J63),"")</f>
        <v/>
      </c>
      <c r="K64" s="1031"/>
      <c r="L64" s="926" t="str">
        <f t="shared" si="23"/>
        <v/>
      </c>
      <c r="M64" s="926" t="str">
        <f t="shared" si="24"/>
        <v/>
      </c>
      <c r="N64" s="520"/>
      <c r="O64" s="926" t="str">
        <f t="shared" si="25"/>
        <v/>
      </c>
      <c r="P64" s="926" t="str">
        <f t="shared" si="26"/>
        <v/>
      </c>
      <c r="Q64" s="926" t="str">
        <f t="shared" si="27"/>
        <v/>
      </c>
      <c r="R64" s="926" t="str">
        <f t="shared" si="28"/>
        <v/>
      </c>
      <c r="S64" s="926" t="str">
        <f t="shared" si="29"/>
        <v/>
      </c>
      <c r="T64" s="1031"/>
      <c r="U64" s="1144" t="str">
        <f t="shared" si="30"/>
        <v/>
      </c>
      <c r="V64" s="820" t="str">
        <f t="shared" si="34"/>
        <v/>
      </c>
      <c r="W64" s="520"/>
      <c r="X64" s="820" t="str">
        <f t="shared" si="35"/>
        <v/>
      </c>
      <c r="Y64" s="820" t="str">
        <f t="shared" si="31"/>
        <v/>
      </c>
      <c r="Z64" s="820" t="str">
        <f t="shared" si="32"/>
        <v/>
      </c>
      <c r="AA64" s="2170" t="str">
        <f>IF(AND(AND(ISNUMBER(R64), ISNUMBER(S64)), AND(R64&lt;&gt;0, S64&lt;&gt;0)),IF(ABS((S64/R64)-1)&gt;0.3, "Error: diff &gt; 30%", IF(ABS((S64/R64)-1)&gt;=0.15, "Warning: diff 15–30%", "")),"")</f>
        <v/>
      </c>
      <c r="AB64" s="544"/>
    </row>
    <row r="65" spans="1:28" ht="60" customHeight="1" x14ac:dyDescent="0.25">
      <c r="A65" s="2171" t="s">
        <v>2129</v>
      </c>
      <c r="B65" s="130"/>
      <c r="C65" s="123"/>
      <c r="D65" s="123"/>
      <c r="E65" s="123"/>
      <c r="F65" s="123"/>
      <c r="G65" s="123"/>
      <c r="H65" s="123"/>
      <c r="I65" s="123"/>
      <c r="J65" s="123"/>
      <c r="K65" s="123"/>
      <c r="L65" s="123"/>
      <c r="M65" s="123"/>
      <c r="N65" s="123"/>
      <c r="O65" s="123"/>
      <c r="P65" s="123"/>
      <c r="Q65" s="123"/>
      <c r="R65" s="123"/>
      <c r="S65" s="123"/>
      <c r="T65" s="123"/>
      <c r="U65" s="123"/>
      <c r="V65" s="123"/>
      <c r="W65" s="477"/>
      <c r="X65" s="477"/>
      <c r="Y65" s="477"/>
      <c r="Z65" s="477"/>
      <c r="AA65" s="477"/>
      <c r="AB65" s="544"/>
    </row>
    <row r="66" spans="1:28" ht="15" customHeight="1" x14ac:dyDescent="0.25">
      <c r="A66" s="545"/>
      <c r="B66" s="2651" t="s">
        <v>651</v>
      </c>
      <c r="C66" s="2643" t="s">
        <v>701</v>
      </c>
      <c r="D66" s="2644"/>
      <c r="E66" s="2644"/>
      <c r="F66" s="2621" t="s">
        <v>702</v>
      </c>
      <c r="G66" s="2622"/>
      <c r="H66" s="2623"/>
      <c r="I66" s="2637" t="s">
        <v>880</v>
      </c>
      <c r="J66" s="2655"/>
      <c r="K66" s="827"/>
      <c r="L66" s="2627" t="s">
        <v>703</v>
      </c>
      <c r="M66" s="2647"/>
      <c r="N66" s="2647"/>
      <c r="O66" s="2647"/>
      <c r="P66" s="2647"/>
      <c r="Q66" s="2647"/>
      <c r="R66" s="2647"/>
      <c r="S66" s="2648"/>
      <c r="T66" s="827"/>
      <c r="U66" s="2628" t="s">
        <v>632</v>
      </c>
      <c r="V66" s="2628"/>
      <c r="W66" s="2628"/>
      <c r="X66" s="2628"/>
      <c r="Y66" s="2628"/>
      <c r="Z66" s="2628"/>
      <c r="AA66" s="2629"/>
      <c r="AB66" s="544"/>
    </row>
    <row r="67" spans="1:28" ht="15" customHeight="1" x14ac:dyDescent="0.3">
      <c r="A67" s="545"/>
      <c r="B67" s="2641"/>
      <c r="C67" s="2625" t="s">
        <v>688</v>
      </c>
      <c r="D67" s="2650"/>
      <c r="E67" s="2650"/>
      <c r="F67" s="2650" t="s">
        <v>688</v>
      </c>
      <c r="G67" s="2650"/>
      <c r="H67" s="2650"/>
      <c r="I67" s="2639"/>
      <c r="J67" s="2656"/>
      <c r="K67" s="830"/>
      <c r="L67" s="2653" t="s">
        <v>765</v>
      </c>
      <c r="M67" s="2654"/>
      <c r="N67" s="2654"/>
      <c r="O67" s="2650" t="s">
        <v>724</v>
      </c>
      <c r="P67" s="2650"/>
      <c r="Q67" s="2650" t="s">
        <v>1523</v>
      </c>
      <c r="R67" s="2650"/>
      <c r="S67" s="2624"/>
      <c r="T67" s="830"/>
      <c r="U67" s="2612" t="s">
        <v>704</v>
      </c>
      <c r="V67" s="2613"/>
      <c r="W67" s="2613"/>
      <c r="X67" s="2613"/>
      <c r="Y67" s="2613" t="s">
        <v>724</v>
      </c>
      <c r="Z67" s="2613"/>
      <c r="AA67" s="2614"/>
      <c r="AB67" s="544"/>
    </row>
    <row r="68" spans="1:28" ht="45" customHeight="1" x14ac:dyDescent="0.25">
      <c r="A68" s="545"/>
      <c r="B68" s="2652"/>
      <c r="C68" s="1086" t="s">
        <v>692</v>
      </c>
      <c r="D68" s="1087" t="s">
        <v>41</v>
      </c>
      <c r="E68" s="1087" t="s">
        <v>686</v>
      </c>
      <c r="F68" s="1087" t="s">
        <v>692</v>
      </c>
      <c r="G68" s="1087" t="s">
        <v>41</v>
      </c>
      <c r="H68" s="1087" t="s">
        <v>686</v>
      </c>
      <c r="I68" s="1087" t="s">
        <v>692</v>
      </c>
      <c r="J68" s="1088" t="s">
        <v>41</v>
      </c>
      <c r="K68" s="1089"/>
      <c r="L68" s="1086" t="s">
        <v>727</v>
      </c>
      <c r="M68" s="1087" t="s">
        <v>728</v>
      </c>
      <c r="N68" s="1087" t="s">
        <v>730</v>
      </c>
      <c r="O68" s="1087" t="s">
        <v>727</v>
      </c>
      <c r="P68" s="1087" t="s">
        <v>728</v>
      </c>
      <c r="Q68" s="1087" t="s">
        <v>524</v>
      </c>
      <c r="R68" s="1087" t="s">
        <v>702</v>
      </c>
      <c r="S68" s="1088" t="s">
        <v>729</v>
      </c>
      <c r="T68" s="1089"/>
      <c r="U68" s="1086" t="s">
        <v>727</v>
      </c>
      <c r="V68" s="1087" t="s">
        <v>728</v>
      </c>
      <c r="W68" s="1087" t="s">
        <v>730</v>
      </c>
      <c r="X68" s="1087" t="s">
        <v>1524</v>
      </c>
      <c r="Y68" s="1087" t="s">
        <v>727</v>
      </c>
      <c r="Z68" s="1087" t="s">
        <v>728</v>
      </c>
      <c r="AA68" s="1088" t="s">
        <v>1524</v>
      </c>
      <c r="AB68" s="544"/>
    </row>
    <row r="69" spans="1:28" ht="15" customHeight="1" x14ac:dyDescent="0.25">
      <c r="A69" s="545"/>
      <c r="B69" s="835" t="str">
        <f>SUBSTITUTE('Credit risk (IRB)'!$B$17, "; of which:", "")</f>
        <v>Large and mid-market general corporates</v>
      </c>
      <c r="C69" s="1230" t="str">
        <f>IF(AND('General Info'!$C$12="No", 'General Info'!$C$13="No"), 0, IF('General Info'!$C$14="No", IF(ISNUMBER('Credit risk (IRB)'!H17), 'Credit risk (IRB)'!H17, ""), IF(AND(ISNUMBER($F$69), ISNUMBER($F$88), ISNUMBER('Credit risk (IRB)'!H17)), IF($F$69+$F$88&gt;0, $F$69/($F$69+$F$88), 1) * 'Credit risk (IRB)'!H17, "")))</f>
        <v/>
      </c>
      <c r="D69" s="1230" t="str">
        <f>IF(AND('General Info'!$C$12="No", 'General Info'!$C$13="No"), 0, IF('General Info'!$C$14="No", IF(ISNUMBER('Credit risk (IRB)'!L17), 'Credit risk (IRB)'!L17, ""), IF(AND(ISNUMBER($F$69), ISNUMBER($F$88), ISNUMBER('Credit risk (IRB)'!L17)), IF($F$69+$F$88&gt;0, $F$69/($F$69+$F$88), 1) * 'Credit risk (IRB)'!L17, "")))</f>
        <v/>
      </c>
      <c r="E69" s="1230" t="str">
        <f>IF(AND('General Info'!$C$12="No", 'General Info'!$C$13="No"), 0, IF('General Info'!$C$14="No", IF(ISNUMBER('Credit risk (IRB)'!M17), 'Credit risk (IRB)'!M17, ""), IF(AND(ISNUMBER($F$69), ISNUMBER($F$88), ISNUMBER('Credit risk (IRB)'!M17)), IF($F$69+$F$88&gt;0, $F$69/($F$69+$F$88), 1) * 'Credit risk (IRB)'!M17, "")))</f>
        <v/>
      </c>
      <c r="F69" s="846" t="str">
        <f>IF(AND('General Info'!$C$12="No", 'General Info'!$C$13="No"), 0, IF(ISNUMBER('Credit risk (IRB)'!AU17),'Credit risk (IRB)'!AU17,""))</f>
        <v/>
      </c>
      <c r="G69" s="846" t="str">
        <f>IF(AND('General Info'!$C$12="No", 'General Info'!$C$13="No"), 0, IF(ISNUMBER('Credit risk (IRB)'!AY17),'Credit risk (IRB)'!AY17,""))</f>
        <v/>
      </c>
      <c r="H69" s="846" t="str">
        <f>IF(AND('General Info'!$C$12="No", 'General Info'!$C$13="No"), 0, IF(ISNUMBER('Credit risk (IRB)'!AZ17),'Credit risk (IRB)'!AZ17,""))</f>
        <v/>
      </c>
      <c r="I69" s="1230" t="str">
        <f>IF(AND('General Info'!$C$12="No", 'General Info'!$C$13="No"), 0, IF('General Info'!$C$14="No", IF(ISNUMBER('Credit risk (IRB)'!CO17), 'Credit risk (IRB)'!CO17, ""), IF(AND(ISNUMBER($F$69), ISNUMBER($F$88), ISNUMBER('Credit risk (IRB)'!CO17)), IF($F$69+$F$88&gt;0, $F$69/($F$69+$F$88) * 'Credit risk (IRB)'!CO17, 0), "")))</f>
        <v/>
      </c>
      <c r="J69" s="1230" t="str">
        <f>IF(AND('General Info'!$C$12="No", 'General Info'!$C$13="No"), 0, IF('General Info'!$C$14="No", IF(ISNUMBER('Credit risk (IRB)'!CQ17), 'Credit risk (IRB)'!CQ17, ""), IF(AND(ISNUMBER($F$69), ISNUMBER($F$88), ISNUMBER('Credit risk (IRB)'!CQ17)), IF($F$69+$F$88&gt;0, $F$69/($F$69+$F$88) * 'Credit risk (IRB)'!CQ17, 0), "")))</f>
        <v/>
      </c>
      <c r="K69" s="1031"/>
      <c r="L69" s="903" t="str">
        <f>IF(AND(ISNUMBER(C69), ISNUMBER(F69)), IF(C69&lt;&gt;0, ((F69-C69)/C69), "EAD=0"), "")</f>
        <v/>
      </c>
      <c r="M69" s="904" t="str">
        <f>IF(AND(ISNUMBER(D69), ISNUMBER(G69)), IF(D69&lt;&gt;0, ((G69-D69)/D69), "RWA=0"), "")</f>
        <v/>
      </c>
      <c r="N69" s="904" t="str">
        <f>IF(AND(ISNUMBER(E69), ISNUMBER(H69)), IF(E69&lt;&gt;0, ((H69-E69)/E69), "EL=0"), "")</f>
        <v/>
      </c>
      <c r="O69" s="904" t="str">
        <f>IF(AND(ISNUMBER(F69), ISNUMBER(I69)), IF(F69&lt;&gt;0, ((I69-F69)/F69), "EAD=0"), "")</f>
        <v/>
      </c>
      <c r="P69" s="904" t="str">
        <f>IF(AND(ISNUMBER(G69), ISNUMBER(J69)), IF(G69&lt;&gt;0, ((J69-G69)/G69), "RWA=0"), "")</f>
        <v/>
      </c>
      <c r="Q69" s="904" t="str">
        <f>IF(AND(ISNUMBER(C69), ISNUMBER(D69)), IF(C69&lt;&gt;0, (D69/C69), "EAD,RWA=0"), "")</f>
        <v/>
      </c>
      <c r="R69" s="904" t="str">
        <f>IF(AND(ISNUMBER(F69), ISNUMBER(G69)), IF(F69&lt;&gt;0, (G69/F69), "EAD,RWA=0"), "")</f>
        <v/>
      </c>
      <c r="S69" s="905" t="str">
        <f>IF(AND(ISNUMBER(I69), ISNUMBER(J69)), IF(I69&lt;&gt;0, (J69/I69), "EAD,RWA=0"), "")</f>
        <v/>
      </c>
      <c r="T69" s="1031"/>
      <c r="U69" s="818" t="str">
        <f>IF(ISNUMBER(L69), IF(ABS(L69)&gt;0.5, "Error: diff above 50%", IF(ABS(L69)&gt;=0.3, "Warning: diff 30–50%", "Diff below 30%")),"")</f>
        <v/>
      </c>
      <c r="V69" s="819" t="str">
        <f>IF(ISNUMBER(M69), IF(ABS(M69)&gt;0.5, "Error: diff above 50%", IF(ABS(M69)&gt;=0.3, "Warning: diff 30–50%", "Diff below 30%")),"")</f>
        <v/>
      </c>
      <c r="W69" s="819" t="str">
        <f>IF(ISNUMBER(N69), IF(ABS(N69)&gt;0.5,"Error: diff above 50%", IF(ABS(N69)&gt;=0.3, "Warning: diff 30–50%", "Diff below 30%")),"")</f>
        <v/>
      </c>
      <c r="X69" s="819" t="str">
        <f>IF(AND(AND(ISNUMBER(Q69), ISNUMBER(R69)), AND(Q69&lt;&gt;0, R69&lt;&gt;0)), IF(R69/Q69&gt;1.5,"Error: RW increase &gt; 50%", IF(R69/Q69&gt;=1.25, "Warning: RW increase 25–50%", IF(R69/Q69&gt;=0.9, "RW change -10% to +25%", IF(R69/Q69&gt;=0.8,"Warning: RW decrease 10–20%", "Error: RW decrease &gt; 20%")))), "")</f>
        <v/>
      </c>
      <c r="Y69" s="819" t="str">
        <f>IF(ISNUMBER(O69), IF(ABS(O69)&gt;0.5, "Error: diff above 50%", IF(ABS(O69)&gt;=0.3, "Warning: diff 30–50%", "Diff below 30%")),"")</f>
        <v/>
      </c>
      <c r="Z69" s="819" t="str">
        <f>IF(ISNUMBER(P69), IF(ABS(P69)&gt;0.5, "Error: diff above 50%", IF(ABS(P69)&gt;=0.3, "Warning: diff 30–50%", "Diff below 30%")),"")</f>
        <v/>
      </c>
      <c r="AA69" s="1143" t="str">
        <f>IF(AND(AND(ISNUMBER(R69), ISNUMBER(S69)), AND(R69&lt;&gt;0, S69&lt;&gt;0)), IF(S69/R69&gt;2, "Error: RW increase &gt; 100%", IF(S69/R69&gt;=1.8, "Warning: RW increase 80–100%", IF(S69/R69&gt;=0.9, "RW change -10% to +80%", IF(S69/R69&gt;=0.8, "Warning: RW decrease 10–20%", "Error: RW decrease &gt; 20%")))), "")</f>
        <v/>
      </c>
      <c r="AB69" s="544"/>
    </row>
    <row r="70" spans="1:28" ht="15" customHeight="1" x14ac:dyDescent="0.25">
      <c r="A70" s="545"/>
      <c r="B70" s="507" t="str">
        <f>SUBSTITUTE('Credit risk (IRB)'!$B$20, "; of which:", "")</f>
        <v>Specialised lending</v>
      </c>
      <c r="C70" s="1231" t="str">
        <f>IF(AND('General Info'!$C$12="No",'General Info'!$C$13="No"), 0, IF('General Info'!$C$14="No", IF(ISNUMBER('Credit risk (IRB)'!H20), 'Credit risk (IRB)'!H20, ""), IF(AND(ISNUMBER($F$70),ISNUMBER($F$89),ISNUMBER('Credit risk (IRB)'!H20)),IF($F$70+$F$89&gt;0,$F$70/($F$70+$F$89), 1) *'Credit risk (IRB)'!H20, "")))</f>
        <v/>
      </c>
      <c r="D70" s="1231" t="str">
        <f>IF(AND('General Info'!$C$12="No",'General Info'!$C$13="No"), 0, IF('General Info'!$C$14="No", IF(ISNUMBER('Credit risk (IRB)'!L20), 'Credit risk (IRB)'!L20, ""), IF(AND(ISNUMBER($F$70),ISNUMBER($F$89),ISNUMBER('Credit risk (IRB)'!L20)),IF($F$70+$F$89&gt;0,$F$70/($F$70+$F$89), 1) * 'Credit risk (IRB)'!L20, "")))</f>
        <v/>
      </c>
      <c r="E70" s="1231" t="str">
        <f>IF(AND('General Info'!$C$12="No",'General Info'!$C$13="No"), 0, IF('General Info'!$C$14="No", IF(ISNUMBER('Credit risk (IRB)'!M20), 'Credit risk (IRB)'!M20, ""), IF(AND(ISNUMBER($F$70),ISNUMBER($F$89),ISNUMBER('Credit risk (IRB)'!M20)),IF($F$70+$F$89&gt;0,$F$70/($F$70+$F$89), 1) * 'Credit risk (IRB)'!M20, "")))</f>
        <v/>
      </c>
      <c r="F70" s="580" t="str">
        <f>IF(AND('General Info'!$C$12="No", 'General Info'!$C$13="No"), 0, IF(ISNUMBER('Credit risk (IRB)'!AU20),'Credit risk (IRB)'!AU20,""))</f>
        <v/>
      </c>
      <c r="G70" s="580" t="str">
        <f>IF(AND('General Info'!$C$12="No", 'General Info'!$C$13="No"), 0, IF(ISNUMBER('Credit risk (IRB)'!AY20),'Credit risk (IRB)'!AY20,""))</f>
        <v/>
      </c>
      <c r="H70" s="580" t="str">
        <f>IF(AND('General Info'!$C$12="No", 'General Info'!$C$13="No"), 0, IF(ISNUMBER('Credit risk (IRB)'!AZ20),'Credit risk (IRB)'!AZ20,""))</f>
        <v/>
      </c>
      <c r="I70" s="1231" t="str">
        <f>IF(AND('General Info'!$C$12="No",'General Info'!$C$13="No"), 0, IF('General Info'!$C$14="No", IF(ISNUMBER('Credit risk (IRB)'!CO20), 'Credit risk (IRB)'!CO20, ""), IF(AND(ISNUMBER($F$70),ISNUMBER($F$89),ISNUMBER('Credit risk (IRB)'!CO20)),IF($F$70+$F$89&gt;0,$F$70/($F$70+$F$89)*'Credit risk (IRB)'!CO20, 0), "")))</f>
        <v/>
      </c>
      <c r="J70" s="1231" t="str">
        <f>IF(AND('General Info'!$C$12="No",'General Info'!$C$13="No"), 0, IF('General Info'!$C$14="No", IF(ISNUMBER('Credit risk (IRB)'!CQ20), 'Credit risk (IRB)'!CQ20, ""), IF(AND(ISNUMBER($F$70),ISNUMBER($F$89),ISNUMBER('Credit risk (IRB)'!CQ20)),IF($F$70+$F$89&gt;0,$F$70/($F$70+$F$89)*'Credit risk (IRB)'!CQ20, 0), "")))</f>
        <v/>
      </c>
      <c r="K70" s="1031"/>
      <c r="L70" s="906" t="str">
        <f t="shared" ref="L70:L83" si="36">IF(AND(ISNUMBER(C70), ISNUMBER(F70)), IF(C70&lt;&gt;0, ((F70-C70)/C70), "EAD=0"), "")</f>
        <v/>
      </c>
      <c r="M70" s="907" t="str">
        <f t="shared" ref="M70:M83" si="37">IF(AND(ISNUMBER(D70), ISNUMBER(G70)), IF(D70&lt;&gt;0, ((G70-D70)/D70), "RWA=0"), "")</f>
        <v/>
      </c>
      <c r="N70" s="907" t="str">
        <f t="shared" ref="N70:N83" si="38">IF(AND(ISNUMBER(E70), ISNUMBER(H70)), IF(E70&lt;&gt;0, ((H70-E70)/E70), "EL=0"), "")</f>
        <v/>
      </c>
      <c r="O70" s="907" t="str">
        <f t="shared" ref="O70:O83" si="39">IF(AND(ISNUMBER(F70), ISNUMBER(I70)), IF(F70&lt;&gt;0, ((I70-F70)/F70), "EAD=0"), "")</f>
        <v/>
      </c>
      <c r="P70" s="907" t="str">
        <f t="shared" ref="P70:P83" si="40">IF(AND(ISNUMBER(G70), ISNUMBER(J70)), IF(G70&lt;&gt;0, ((J70-G70)/G70), "RWA=0"), "")</f>
        <v/>
      </c>
      <c r="Q70" s="907" t="str">
        <f t="shared" ref="Q70:Q83" si="41">IF(AND(ISNUMBER(C70), ISNUMBER(D70)), IF(C70&lt;&gt;0, (D70/C70), "EAD,RWA=0"), "")</f>
        <v/>
      </c>
      <c r="R70" s="907" t="str">
        <f t="shared" ref="R70:R83" si="42">IF(AND(ISNUMBER(F70), ISNUMBER(G70)), IF(F70&lt;&gt;0, (G70/F70), "EAD,RWA=0"), "")</f>
        <v/>
      </c>
      <c r="S70" s="908" t="str">
        <f t="shared" ref="S70:S83" si="43">IF(AND(ISNUMBER(I70), ISNUMBER(J70)), IF(I70&lt;&gt;0, (J70/I70), "EAD,RWA=0"), "")</f>
        <v/>
      </c>
      <c r="T70" s="1031"/>
      <c r="U70" s="794" t="str">
        <f t="shared" ref="U70:U83" si="44">IF(ISNUMBER(L70), IF(ABS(L70)&gt;0.5, "Error: diff above 50%", IF(ABS(L70)&gt;=0.3, "Warning: diff 30–50%", "Diff below 30%")),"")</f>
        <v/>
      </c>
      <c r="V70" s="808" t="str">
        <f>IF(ISNUMBER(M70), IF(ABS(M70)&gt;0.75, "Error: diff above 75%", IF(ABS(M70)&gt;=0.5, "Warning: diff 50–75%", "Diff below 50%")),"")</f>
        <v/>
      </c>
      <c r="W70" s="808" t="str">
        <f t="shared" ref="W70:W83" si="45">IF(ISNUMBER(N70), IF(ABS(N70)&gt;0.5,"Error: diff above 50%", IF(ABS(N70)&gt;=0.3, "Warning: diff 30–50%", "Diff below 30%")),"")</f>
        <v/>
      </c>
      <c r="X70" s="808" t="str">
        <f t="shared" ref="X70:X83" si="46">IF(AND(AND(ISNUMBER(Q70), ISNUMBER(R70)), AND(Q70&lt;&gt;0, R70&lt;&gt;0)), IF(R70/Q70&gt;1.5,"Error: RW increase &gt; 50%", IF(R70/Q70&gt;=1.25, "Warning: RW increase 25–50%", IF(R70/Q70&gt;=0.9, "RW change -10% to +25%", IF(R70/Q70&gt;=0.8,"Warning: RW decrease 10–20%", "Error: RW decrease &gt; 20%")))), "")</f>
        <v/>
      </c>
      <c r="Y70" s="483"/>
      <c r="Z70" s="808" t="str">
        <f t="shared" ref="Z70:Z83" si="47">IF(ISNUMBER(P70), IF(ABS(P70)&gt;0.5, "Error: diff above 50%", IF(ABS(P70)&gt;=0.3, "Warning: diff 30–50%", "Diff below 30%")),"")</f>
        <v/>
      </c>
      <c r="AA70" s="795" t="str">
        <f>IF(AND(AND(ISNUMBER(R70), ISNUMBER(S70)), AND(R70&lt;&gt;0, S70&lt;&gt;0)), IF(S70/R70&gt;2, "Error: RW increase &gt; 100%", IF(S70/R70&gt;=1.75, "Warning: RW increase 75–100%", IF(S70/R70&gt;=0.9, "RW change -10% to +75%", IF(S70/R70&gt;=0.8, "Warning: RW decrease 10–20%", "Error: RW decrease &gt; 20%")))), "")</f>
        <v/>
      </c>
      <c r="AB70" s="544"/>
    </row>
    <row r="71" spans="1:28" ht="15" customHeight="1" x14ac:dyDescent="0.25">
      <c r="A71" s="545"/>
      <c r="B71" s="507" t="str">
        <f>'Credit risk (IRB)'!$B$36</f>
        <v>SME treated as corporate</v>
      </c>
      <c r="C71" s="1231" t="str">
        <f>IF(AND('General Info'!$C$12="No", 'General Info'!$C$13="No"), 0, IF('General Info'!$C$14="No", IF(ISNUMBER('Credit risk (IRB)'!H36), 'Credit risk (IRB)'!H36, ""), IF(AND(ISNUMBER($F$71), ISNUMBER($F$90), ISNUMBER('Credit risk (IRB)'!H36)), IF($F$71+$F$90&gt;0, $F$71/($F$71+$F$90), 1) * 'Credit risk (IRB)'!H36, "")))</f>
        <v/>
      </c>
      <c r="D71" s="1231" t="str">
        <f>IF(AND('General Info'!$C$12="No", 'General Info'!$C$13="No"), 0, IF('General Info'!$C$14="No", IF(ISNUMBER('Credit risk (IRB)'!L36), 'Credit risk (IRB)'!L36, ""), IF(AND(ISNUMBER($F$71), ISNUMBER($F$90), ISNUMBER('Credit risk (IRB)'!L36)), IF($F$71+$F$90&gt;0, $F$71/($F$71+$F$90), 1) * 'Credit risk (IRB)'!L36, "")))</f>
        <v/>
      </c>
      <c r="E71" s="1231" t="str">
        <f>IF(AND('General Info'!$C$12="No", 'General Info'!$C$13="No"), 0, IF('General Info'!$C$14="No", IF(ISNUMBER('Credit risk (IRB)'!M36), 'Credit risk (IRB)'!M36, ""), IF(AND(ISNUMBER($F$71), ISNUMBER($F$90), ISNUMBER('Credit risk (IRB)'!M36)), IF($F$71+$F$90&gt;0, $F$71/($F$71+$F$90), 1) * 'Credit risk (IRB)'!M36, "")))</f>
        <v/>
      </c>
      <c r="F71" s="580" t="str">
        <f>IF(AND('General Info'!$C$12="No", 'General Info'!$C$13="No"), 0, IF(ISNUMBER('Credit risk (IRB)'!AU36),'Credit risk (IRB)'!AU36,""))</f>
        <v/>
      </c>
      <c r="G71" s="580" t="str">
        <f>IF(AND('General Info'!$C$12="No", 'General Info'!$C$13="No"), 0, IF(ISNUMBER('Credit risk (IRB)'!AY36),'Credit risk (IRB)'!AY36,""))</f>
        <v/>
      </c>
      <c r="H71" s="580" t="str">
        <f>IF(AND('General Info'!$C$12="No", 'General Info'!$C$13="No"), 0, IF(ISNUMBER('Credit risk (IRB)'!AZ36),'Credit risk (IRB)'!AZ36,""))</f>
        <v/>
      </c>
      <c r="I71" s="1231" t="str">
        <f>IF(AND('General Info'!$C$12="No", 'General Info'!$C$13="No"), 0, IF('General Info'!$C$14="No", IF(ISNUMBER('Credit risk (IRB)'!CO36), 'Credit risk (IRB)'!CO36, ""), IF(AND(ISNUMBER($F$71), ISNUMBER($F$90), ISNUMBER('Credit risk (IRB)'!CO36)), IF($F$71+$F$90&gt;0, $F$71/($F$71+$F$90) * 'Credit risk (IRB)'!CO36, 0), "")))</f>
        <v/>
      </c>
      <c r="J71" s="1231" t="str">
        <f>IF(AND('General Info'!$C$12="No", 'General Info'!$C$13="No"), 0, IF('General Info'!$C$14="No", IF(ISNUMBER('Credit risk (IRB)'!CQ36), 'Credit risk (IRB)'!CQ36, ""), IF(AND(ISNUMBER($F$71), ISNUMBER($F$90), ISNUMBER('Credit risk (IRB)'!CQ36)), IF($F$71+$F$90&gt;0, $F$71/($F$71+$F$90) * 'Credit risk (IRB)'!CQ36, 0), "")))</f>
        <v/>
      </c>
      <c r="K71" s="1031"/>
      <c r="L71" s="906" t="str">
        <f t="shared" si="36"/>
        <v/>
      </c>
      <c r="M71" s="907" t="str">
        <f t="shared" si="37"/>
        <v/>
      </c>
      <c r="N71" s="907" t="str">
        <f t="shared" si="38"/>
        <v/>
      </c>
      <c r="O71" s="907" t="str">
        <f t="shared" si="39"/>
        <v/>
      </c>
      <c r="P71" s="907" t="str">
        <f t="shared" si="40"/>
        <v/>
      </c>
      <c r="Q71" s="907" t="str">
        <f t="shared" si="41"/>
        <v/>
      </c>
      <c r="R71" s="907" t="str">
        <f t="shared" si="42"/>
        <v/>
      </c>
      <c r="S71" s="908" t="str">
        <f t="shared" si="43"/>
        <v/>
      </c>
      <c r="T71" s="1031"/>
      <c r="U71" s="794" t="str">
        <f t="shared" si="44"/>
        <v/>
      </c>
      <c r="V71" s="808" t="str">
        <f t="shared" ref="V71:V83" si="48">IF(ISNUMBER(M71), IF(ABS(M71)&gt;0.5, "Error: diff above 50%", IF(ABS(M71)&gt;=0.3, "Warning: diff 30–50%", "Diff below 30%")),"")</f>
        <v/>
      </c>
      <c r="W71" s="808" t="str">
        <f t="shared" si="45"/>
        <v/>
      </c>
      <c r="X71" s="808" t="str">
        <f t="shared" si="46"/>
        <v/>
      </c>
      <c r="Y71" s="808" t="str">
        <f t="shared" ref="Y71:Y83" si="49">IF(ISNUMBER(O71), IF(ABS(O71)&gt;0.5, "Error: diff above 50%", IF(ABS(O71)&gt;=0.3, "Warning: diff 30–50%", "Diff below 30%")),"")</f>
        <v/>
      </c>
      <c r="Z71" s="808" t="str">
        <f t="shared" si="47"/>
        <v/>
      </c>
      <c r="AA71" s="795" t="str">
        <f>IF(AND(AND(ISNUMBER(R71), ISNUMBER(S71)), AND(R71&lt;&gt;0, S71&lt;&gt;0)), IF(S71/R71&gt;1.75, "Error: RW increase &gt; 75%", IF(S71/R71&gt;=1.5, "Warning: RW increase 50–75%", IF(S71/R71&gt;=0.9, "RW change -10% to +75%", IF(S71/R71&gt;=0.8, "Warning: RW decrease 10–20%", "Error: RW decrease &gt; 20%")))), "")</f>
        <v/>
      </c>
      <c r="AB71" s="544"/>
    </row>
    <row r="72" spans="1:28" ht="15" customHeight="1" x14ac:dyDescent="0.25">
      <c r="A72" s="545"/>
      <c r="B72" s="507" t="str">
        <f>'Credit risk (IRB)'!$B$37</f>
        <v>Financial institutions treated as corporates</v>
      </c>
      <c r="C72" s="1231" t="str">
        <f>IF(AND('General Info'!$C$12="No", 'General Info'!$C$13="No"), 0, IF('General Info'!$C$14="No", IF(ISNUMBER('Credit risk (IRB)'!H37), 'Credit risk (IRB)'!H37, ""), IF(AND(ISNUMBER($F$72), ISNUMBER($F$91), ISNUMBER('Credit risk (IRB)'!H37)), IF($F$72+$F$91&gt;0, $F$72/($F$72+$F$91), 1) * 'Credit risk (IRB)'!H37,"")))</f>
        <v/>
      </c>
      <c r="D72" s="1231" t="str">
        <f>IF(AND('General Info'!$C$12="No", 'General Info'!$C$13="No"), 0, IF('General Info'!$C$14="No", IF(ISNUMBER('Credit risk (IRB)'!L37), 'Credit risk (IRB)'!L37, ""), IF(AND(ISNUMBER($F$72), ISNUMBER($F$91), ISNUMBER('Credit risk (IRB)'!L37)), IF($F$72+$F$91&gt;0, $F$72/($F$72+$F$91), 1) * 'Credit risk (IRB)'!L37,"")))</f>
        <v/>
      </c>
      <c r="E72" s="1231" t="str">
        <f>IF(AND('General Info'!$C$12="No", 'General Info'!$C$13="No"), 0, IF('General Info'!$C$14="No", IF(ISNUMBER('Credit risk (IRB)'!M37), 'Credit risk (IRB)'!M37, ""), IF(AND(ISNUMBER($F$72), ISNUMBER($F$91), ISNUMBER('Credit risk (IRB)'!M37)), IF($F$72+$F$91&gt;0, $F$72/($F$72+$F$91), 1) * 'Credit risk (IRB)'!M37,"")))</f>
        <v/>
      </c>
      <c r="F72" s="580" t="str">
        <f>IF(AND('General Info'!$C$12="No", 'General Info'!$C$13="No"), 0, IF(ISNUMBER('Credit risk (IRB)'!AU37),'Credit risk (IRB)'!AU37,""))</f>
        <v/>
      </c>
      <c r="G72" s="580" t="str">
        <f>IF(AND('General Info'!$C$12="No", 'General Info'!$C$13="No"), 0, IF(ISNUMBER('Credit risk (IRB)'!AY37),'Credit risk (IRB)'!AY37,""))</f>
        <v/>
      </c>
      <c r="H72" s="580" t="str">
        <f>IF(AND('General Info'!$C$12="No", 'General Info'!$C$13="No"), 0, IF(ISNUMBER('Credit risk (IRB)'!AZ37),'Credit risk (IRB)'!AZ37,""))</f>
        <v/>
      </c>
      <c r="I72" s="1231" t="str">
        <f>IF(AND('General Info'!$C$12="No", 'General Info'!$C$13="No"), 0, IF('General Info'!$C$14="No", IF(ISNUMBER('Credit risk (IRB)'!CO37), 'Credit risk (IRB)'!CO37, ""), IF(AND(ISNUMBER($F$72), ISNUMBER($F$91), ISNUMBER('Credit risk (IRB)'!CO37)), IF($F$72+$F$91&gt;0, $F$72/($F$72+$F$91) * 'Credit risk (IRB)'!CO37, 0),"")))</f>
        <v/>
      </c>
      <c r="J72" s="1231" t="str">
        <f>IF(AND('General Info'!$C$12="No", 'General Info'!$C$13="No"), 0, IF('General Info'!$C$14="No", IF(ISNUMBER('Credit risk (IRB)'!CQ37), 'Credit risk (IRB)'!CQ37, ""), IF(AND(ISNUMBER($F$72), ISNUMBER($F$91), ISNUMBER('Credit risk (IRB)'!CQ37)), IF($F$72+$F$91&gt;0, $F$72/($F$72+$F$91) * 'Credit risk (IRB)'!CQ37, 0),"")))</f>
        <v/>
      </c>
      <c r="K72" s="1031"/>
      <c r="L72" s="906" t="str">
        <f t="shared" si="36"/>
        <v/>
      </c>
      <c r="M72" s="907" t="str">
        <f t="shared" si="37"/>
        <v/>
      </c>
      <c r="N72" s="907" t="str">
        <f t="shared" si="38"/>
        <v/>
      </c>
      <c r="O72" s="907" t="str">
        <f t="shared" si="39"/>
        <v/>
      </c>
      <c r="P72" s="907" t="str">
        <f t="shared" si="40"/>
        <v/>
      </c>
      <c r="Q72" s="907" t="str">
        <f t="shared" si="41"/>
        <v/>
      </c>
      <c r="R72" s="907" t="str">
        <f t="shared" si="42"/>
        <v/>
      </c>
      <c r="S72" s="908" t="str">
        <f t="shared" si="43"/>
        <v/>
      </c>
      <c r="T72" s="1031"/>
      <c r="U72" s="794" t="str">
        <f t="shared" si="44"/>
        <v/>
      </c>
      <c r="V72" s="808" t="str">
        <f t="shared" si="48"/>
        <v/>
      </c>
      <c r="W72" s="808" t="str">
        <f t="shared" si="45"/>
        <v/>
      </c>
      <c r="X72" s="808" t="str">
        <f t="shared" si="46"/>
        <v/>
      </c>
      <c r="Y72" s="808" t="str">
        <f t="shared" si="49"/>
        <v/>
      </c>
      <c r="Z72" s="808" t="str">
        <f t="shared" si="47"/>
        <v/>
      </c>
      <c r="AA72" s="795" t="str">
        <f>IF(AND(AND(ISNUMBER(R72), ISNUMBER(S72)), AND(R72&lt;&gt;0, S72&lt;&gt;0)), IF(S72/R72&gt;2, "Error: RW increase &gt; 100%", IF(S72/R72&gt;=1.8, "Warning: RW increase 80–100%", IF(S72/R72&gt;=0.9, "RW change -10% to +80%", IF(S72/R72&gt;=0.8, "Warning: RW decrease 10–20%", "Error: RW decrease &gt; 20%")))), "")</f>
        <v/>
      </c>
      <c r="AB72" s="544"/>
    </row>
    <row r="73" spans="1:28" ht="15" customHeight="1" x14ac:dyDescent="0.25">
      <c r="A73" s="545"/>
      <c r="B73" s="507" t="str">
        <f>'Credit risk (IRB)'!$B$38</f>
        <v>Sovereigns</v>
      </c>
      <c r="C73" s="1231" t="str">
        <f>IF(AND('General Info'!$C$12="No", 'General Info'!$C$13="No"), 0,IF('General Info'!$C$14="No", IF(ISNUMBER('Credit risk (IRB)'!H38), 'Credit risk (IRB)'!H38, ""),IF(AND(ISNUMBER($F$73), ISNUMBER($F$92), ISNUMBER('Credit risk (IRB)'!H38)), IF($F$73+$F$92&gt;0, $F$73/($F$73+$F$92), 1) * 'Credit risk (IRB)'!H38,"")))</f>
        <v/>
      </c>
      <c r="D73" s="1231" t="str">
        <f>IF(AND('General Info'!$C$12="No", 'General Info'!$C$13="No"), 0,IF('General Info'!$C$14="No", IF(ISNUMBER('Credit risk (IRB)'!L38), 'Credit risk (IRB)'!L38, ""),IF(AND(ISNUMBER($F$73), ISNUMBER($F$92), ISNUMBER('Credit risk (IRB)'!L38)), IF($F$73+$F$92&gt;0, $F$73/($F$73+$F$92), 1) * 'Credit risk (IRB)'!L38,"")))</f>
        <v/>
      </c>
      <c r="E73" s="1231" t="str">
        <f>IF(AND('General Info'!$C$12="No", 'General Info'!$C$13="No"), 0,IF('General Info'!$C$14="No", IF(ISNUMBER('Credit risk (IRB)'!M38), 'Credit risk (IRB)'!M38, ""),IF(AND(ISNUMBER($F$73), ISNUMBER($F$92), ISNUMBER('Credit risk (IRB)'!M38)), IF($F$73+$F$92&gt;0, $F$73/($F$73+$F$92), 1) * 'Credit risk (IRB)'!M38,"")))</f>
        <v/>
      </c>
      <c r="F73" s="580" t="str">
        <f>IF(AND('General Info'!$C$12="No", 'General Info'!$C$13="No"), 0, IF(ISNUMBER('Credit risk (IRB)'!AU38),'Credit risk (IRB)'!AU38,""))</f>
        <v/>
      </c>
      <c r="G73" s="580" t="str">
        <f>IF(AND('General Info'!$C$12="No", 'General Info'!$C$13="No"), 0, IF(ISNUMBER('Credit risk (IRB)'!AY38),'Credit risk (IRB)'!AY38,""))</f>
        <v/>
      </c>
      <c r="H73" s="580" t="str">
        <f>IF(AND('General Info'!$C$12="No", 'General Info'!$C$13="No"), 0, IF(ISNUMBER('Credit risk (IRB)'!AZ38),'Credit risk (IRB)'!AZ38,""))</f>
        <v/>
      </c>
      <c r="I73" s="1231" t="str">
        <f>IF(AND('General Info'!$C$12="No", 'General Info'!$C$13="No"), 0,IF('General Info'!$C$14="No", IF(ISNUMBER('Credit risk (IRB)'!CO38), 'Credit risk (IRB)'!CO38, ""),IF(AND(ISNUMBER($F$73), ISNUMBER($F$92), ISNUMBER('Credit risk (IRB)'!CO38)), IF($F$73+$F$92&gt;0, $F$73/($F$73+$F$92) * 'Credit risk (IRB)'!CO38, 0),"")))</f>
        <v/>
      </c>
      <c r="J73" s="1231" t="str">
        <f>IF(AND('General Info'!$C$12="No", 'General Info'!$C$13="No"), 0,IF('General Info'!$C$14="No", IF(ISNUMBER('Credit risk (IRB)'!CQ38), 'Credit risk (IRB)'!CQ38, ""),IF(AND(ISNUMBER($F$73), ISNUMBER($F$92), ISNUMBER('Credit risk (IRB)'!CQ38)), IF($F$73+$F$92&gt;0, $F$73/($F$73+$F$92) * 'Credit risk (IRB)'!CQ38, 0),"")))</f>
        <v/>
      </c>
      <c r="K73" s="1031"/>
      <c r="L73" s="906" t="str">
        <f t="shared" si="36"/>
        <v/>
      </c>
      <c r="M73" s="907" t="str">
        <f t="shared" si="37"/>
        <v/>
      </c>
      <c r="N73" s="907" t="str">
        <f t="shared" si="38"/>
        <v/>
      </c>
      <c r="O73" s="907" t="str">
        <f t="shared" si="39"/>
        <v/>
      </c>
      <c r="P73" s="907" t="str">
        <f t="shared" si="40"/>
        <v/>
      </c>
      <c r="Q73" s="907" t="str">
        <f t="shared" si="41"/>
        <v/>
      </c>
      <c r="R73" s="907" t="str">
        <f t="shared" si="42"/>
        <v/>
      </c>
      <c r="S73" s="908" t="str">
        <f t="shared" si="43"/>
        <v/>
      </c>
      <c r="T73" s="1031"/>
      <c r="U73" s="794" t="str">
        <f t="shared" si="44"/>
        <v/>
      </c>
      <c r="V73" s="808" t="str">
        <f t="shared" si="48"/>
        <v/>
      </c>
      <c r="W73" s="808" t="str">
        <f t="shared" si="45"/>
        <v/>
      </c>
      <c r="X73" s="808" t="str">
        <f>IF(AND(AND(ISNUMBER(Q73), ISNUMBER(R73)), AND(Q73&lt;&gt;0, R73&lt;&gt;0)), IF(ABS((R73/Q73)-1)&gt;0.2,"Error: RW change &gt; 20%", IF(ABS((R73/Q73)-1)&gt;=0.1, "Warning: RW change 10–20%","")),"")</f>
        <v/>
      </c>
      <c r="Y73" s="808" t="str">
        <f t="shared" si="49"/>
        <v/>
      </c>
      <c r="Z73" s="808" t="str">
        <f t="shared" si="47"/>
        <v/>
      </c>
      <c r="AA73" s="795" t="str">
        <f>IF(AND(AND(ISNUMBER(R73), ISNUMBER(S73)), AND(R73&lt;&gt;0, S73&lt;&gt;0)), IF(S73/R73&gt;2, "Error: RW increase &gt; 100%", IF(S73/R73&gt;=1.75, "Warning: RW increase 75-100%", IF(S73/R73&gt;=0.9, "RW change -10% to +75%", IF(S73/R73&gt;=0.8, "Warning: RW decrease 10–20%", "Error: RW decrease &gt; 20%")))), "")</f>
        <v/>
      </c>
      <c r="AB73" s="544"/>
    </row>
    <row r="74" spans="1:28" ht="15" customHeight="1" x14ac:dyDescent="0.25">
      <c r="A74" s="545"/>
      <c r="B74" s="507" t="str">
        <f>'Credit risk (IRB)'!$B$39</f>
        <v>Banks</v>
      </c>
      <c r="C74" s="1231" t="str">
        <f>IF(AND('General Info'!$C$12="No", 'General Info'!$C$13="No"), 0, IF('General Info'!$C$14="No", IF(ISNUMBER('Credit risk (IRB)'!H39), 'Credit risk (IRB)'!H39, ""), IF(AND(ISNUMBER($F$74), ISNUMBER($F$93), ISNUMBER('Credit risk (IRB)'!H39)), IF($F$74+$F$93&gt;0, $F$74/($F$74+$F$93), 1) * 'Credit risk (IRB)'!H39,"")))</f>
        <v/>
      </c>
      <c r="D74" s="1231" t="str">
        <f>IF(AND('General Info'!$C$12="No", 'General Info'!$C$13="No"), 0, IF('General Info'!$C$14="No", IF(ISNUMBER('Credit risk (IRB)'!L39), 'Credit risk (IRB)'!L39, ""), IF(AND(ISNUMBER($F$74), ISNUMBER($F$93), ISNUMBER('Credit risk (IRB)'!L39)), IF($F$74+$F$93&gt;0, $F$74/($F$74+$F$93), 1) * 'Credit risk (IRB)'!L39,"")))</f>
        <v/>
      </c>
      <c r="E74" s="1231" t="str">
        <f>IF(AND('General Info'!$C$12="No", 'General Info'!$C$13="No"), 0, IF('General Info'!$C$14="No", IF(ISNUMBER('Credit risk (IRB)'!M39), 'Credit risk (IRB)'!M39, ""), IF(AND(ISNUMBER($F$74), ISNUMBER($F$93), ISNUMBER('Credit risk (IRB)'!M39)), IF($F$74+$F$93&gt;0, $F$74/($F$74+$F$93), 1) * 'Credit risk (IRB)'!M39,"")))</f>
        <v/>
      </c>
      <c r="F74" s="580" t="str">
        <f>IF(AND('General Info'!$C$12="No", 'General Info'!$C$13="No"), 0, IF(ISNUMBER('Credit risk (IRB)'!AU39),'Credit risk (IRB)'!AU39,""))</f>
        <v/>
      </c>
      <c r="G74" s="580" t="str">
        <f>IF(AND('General Info'!$C$12="No", 'General Info'!$C$13="No"), 0, IF(ISNUMBER('Credit risk (IRB)'!AY39),'Credit risk (IRB)'!AY39,""))</f>
        <v/>
      </c>
      <c r="H74" s="580" t="str">
        <f>IF(AND('General Info'!$C$12="No", 'General Info'!$C$13="No"), 0, IF(ISNUMBER('Credit risk (IRB)'!AZ39),'Credit risk (IRB)'!AZ39,""))</f>
        <v/>
      </c>
      <c r="I74" s="1231" t="str">
        <f>IF(AND('General Info'!$C$12="No", 'General Info'!$C$13="No"), 0, IF('General Info'!$C$14="No", IF(ISNUMBER('Credit risk (IRB)'!CO39), 'Credit risk (IRB)'!CO39, ""), IF(AND(ISNUMBER($F$74), ISNUMBER($F$93), ISNUMBER('Credit risk (IRB)'!CO39)), IF($F$74+$F$93&gt;0, $F$74/($F$74+$F$93) * 'Credit risk (IRB)'!CO39, 0),"")))</f>
        <v/>
      </c>
      <c r="J74" s="1231" t="str">
        <f>IF(AND('General Info'!$C$12="No", 'General Info'!$C$13="No"), 0, IF('General Info'!$C$14="No", IF(ISNUMBER('Credit risk (IRB)'!CQ39), 'Credit risk (IRB)'!CQ39, ""), IF(AND(ISNUMBER($F$74), ISNUMBER($F$93), ISNUMBER('Credit risk (IRB)'!CQ39)), IF($F$74+$F$93&gt;0, $F$74/($F$74+$F$93) * 'Credit risk (IRB)'!CQ39, 0),"")))</f>
        <v/>
      </c>
      <c r="K74" s="1031"/>
      <c r="L74" s="906" t="str">
        <f t="shared" si="36"/>
        <v/>
      </c>
      <c r="M74" s="907" t="str">
        <f t="shared" si="37"/>
        <v/>
      </c>
      <c r="N74" s="907" t="str">
        <f t="shared" si="38"/>
        <v/>
      </c>
      <c r="O74" s="907" t="str">
        <f t="shared" si="39"/>
        <v/>
      </c>
      <c r="P74" s="907" t="str">
        <f t="shared" si="40"/>
        <v/>
      </c>
      <c r="Q74" s="907" t="str">
        <f t="shared" si="41"/>
        <v/>
      </c>
      <c r="R74" s="907" t="str">
        <f t="shared" si="42"/>
        <v/>
      </c>
      <c r="S74" s="908" t="str">
        <f t="shared" si="43"/>
        <v/>
      </c>
      <c r="T74" s="1031"/>
      <c r="U74" s="794" t="str">
        <f t="shared" si="44"/>
        <v/>
      </c>
      <c r="V74" s="808" t="str">
        <f t="shared" si="48"/>
        <v/>
      </c>
      <c r="W74" s="808" t="str">
        <f t="shared" si="45"/>
        <v/>
      </c>
      <c r="X74" s="808" t="str">
        <f t="shared" si="46"/>
        <v/>
      </c>
      <c r="Y74" s="808" t="str">
        <f t="shared" si="49"/>
        <v/>
      </c>
      <c r="Z74" s="808" t="str">
        <f t="shared" si="47"/>
        <v/>
      </c>
      <c r="AA74" s="795" t="str">
        <f>IF(AND(AND(ISNUMBER(R74), ISNUMBER(S74)), AND(R74&lt;&gt;0, S74&lt;&gt;0)), IF(S74/R74&gt;1.5, "Error: RW increase &gt; 50%", IF(S74/R74&gt;=1.25, "Warning: RW increase 25–50%", IF(S74/R74&gt;=0.9, "RW change -10% to +25%", IF(S74/R74&gt;=0.8, "Warning: RW decrease 10–20%", "Error: RW decrease &gt; 20%")))), "")</f>
        <v/>
      </c>
      <c r="AB74" s="544"/>
    </row>
    <row r="75" spans="1:28" ht="15" customHeight="1" x14ac:dyDescent="0.25">
      <c r="A75" s="545"/>
      <c r="B75" s="507" t="str">
        <f>'Credit risk (IRB)'!$B$40</f>
        <v>Retail residential mortgages</v>
      </c>
      <c r="C75" s="1231" t="str">
        <f>IF(AND('General Info'!$C$12="No", 'General Info'!$C$13="No"), 0, IF('General Info'!$C$14="No", IF(ISNUMBER('Credit risk (IRB)'!H40), 'Credit risk (IRB)'!H40, ""), IF(AND(ISNUMBER($F$75), ISNUMBER($F$94), ISNUMBER('Credit risk (IRB)'!H40)), IF($F$75+$F$94&gt;0, $F$75/($F$75+$F$94), 1) * 'Credit risk (IRB)'!H40,"")))</f>
        <v/>
      </c>
      <c r="D75" s="1231" t="str">
        <f>IF(AND('General Info'!$C$12="No", 'General Info'!$C$13="No"), 0, IF('General Info'!$C$14="No", IF(ISNUMBER('Credit risk (IRB)'!L40), 'Credit risk (IRB)'!L40, ""), IF(AND(ISNUMBER($F$75), ISNUMBER($F$94), ISNUMBER('Credit risk (IRB)'!L40)), IF($F$75+$F$94&gt;0, $F$75/($F$75+$F$94), 1) * 'Credit risk (IRB)'!L40,"")))</f>
        <v/>
      </c>
      <c r="E75" s="1231" t="str">
        <f>IF(AND('General Info'!$C$12="No", 'General Info'!$C$13="No"), 0, IF('General Info'!$C$14="No", IF(ISNUMBER('Credit risk (IRB)'!M40), 'Credit risk (IRB)'!M40, ""), IF(AND(ISNUMBER($F$75), ISNUMBER($F$94), ISNUMBER('Credit risk (IRB)'!M40)), IF($F$75+$F$94&gt;0, $F$75/($F$75+$F$94), 1) * 'Credit risk (IRB)'!M40,"")))</f>
        <v/>
      </c>
      <c r="F75" s="580" t="str">
        <f>IF(AND('General Info'!$C$12="No", 'General Info'!$C$13="No"), 0, IF(ISNUMBER('Credit risk (IRB)'!AU40),'Credit risk (IRB)'!AU40,""))</f>
        <v/>
      </c>
      <c r="G75" s="580" t="str">
        <f>IF(AND('General Info'!$C$12="No", 'General Info'!$C$13="No"), 0, IF(ISNUMBER('Credit risk (IRB)'!AY40),'Credit risk (IRB)'!AY40,""))</f>
        <v/>
      </c>
      <c r="H75" s="580" t="str">
        <f>IF(AND('General Info'!$C$12="No", 'General Info'!$C$13="No"), 0, IF(ISNUMBER('Credit risk (IRB)'!AZ40),'Credit risk (IRB)'!AZ40,""))</f>
        <v/>
      </c>
      <c r="I75" s="1231" t="str">
        <f>IF(AND('General Info'!$C$12="No", 'General Info'!$C$13="No"), 0, IF('General Info'!$C$14="No", IF(ISNUMBER('Credit risk (IRB)'!CO40), 'Credit risk (IRB)'!CO40, ""), IF(AND(ISNUMBER($F$75), ISNUMBER($F$94), ISNUMBER('Credit risk (IRB)'!CO40)), IF($F$75+$F$94&gt;0, $F$75/($F$75+$F$94) * 'Credit risk (IRB)'!CO40, 0),"")))</f>
        <v/>
      </c>
      <c r="J75" s="1231" t="str">
        <f>IF(AND('General Info'!$C$12="No", 'General Info'!$C$13="No"), 0, IF('General Info'!$C$14="No", IF(ISNUMBER('Credit risk (IRB)'!CQ40), 'Credit risk (IRB)'!CQ40, ""), IF(AND(ISNUMBER($F$75), ISNUMBER($F$94), ISNUMBER('Credit risk (IRB)'!CQ40)), IF($F$75+$F$94&gt;0, $F$75/($F$75+$F$94) * 'Credit risk (IRB)'!CQ40, 0),"")))</f>
        <v/>
      </c>
      <c r="K75" s="1031"/>
      <c r="L75" s="906" t="str">
        <f t="shared" si="36"/>
        <v/>
      </c>
      <c r="M75" s="907" t="str">
        <f t="shared" si="37"/>
        <v/>
      </c>
      <c r="N75" s="907" t="str">
        <f t="shared" si="38"/>
        <v/>
      </c>
      <c r="O75" s="907" t="str">
        <f t="shared" si="39"/>
        <v/>
      </c>
      <c r="P75" s="907" t="str">
        <f t="shared" si="40"/>
        <v/>
      </c>
      <c r="Q75" s="907" t="str">
        <f t="shared" si="41"/>
        <v/>
      </c>
      <c r="R75" s="907" t="str">
        <f t="shared" si="42"/>
        <v/>
      </c>
      <c r="S75" s="908" t="str">
        <f t="shared" si="43"/>
        <v/>
      </c>
      <c r="T75" s="1031"/>
      <c r="U75" s="794" t="str">
        <f t="shared" si="44"/>
        <v/>
      </c>
      <c r="V75" s="808" t="str">
        <f t="shared" si="48"/>
        <v/>
      </c>
      <c r="W75" s="808" t="str">
        <f t="shared" si="45"/>
        <v/>
      </c>
      <c r="X75" s="808" t="str">
        <f t="shared" si="46"/>
        <v/>
      </c>
      <c r="Y75" s="808" t="str">
        <f t="shared" si="49"/>
        <v/>
      </c>
      <c r="Z75" s="808" t="str">
        <f t="shared" si="47"/>
        <v/>
      </c>
      <c r="AA75" s="795" t="str">
        <f>IF(AND(AND(ISNUMBER(R75), ISNUMBER(S75)), AND(R75&lt;&gt;0, S75&lt;&gt;0)), IF(S75/R75&gt;2.75, "Error: RW increase &gt; 175%", IF(S75/R75&gt;=2.5, "Warning: RW increase 150–175%", IF(S75/R75&gt;=0.9, "RW change -10% to +175%", IF(S75/R75&gt;=0.8,"Warning: RW decrease 10–20%", "Error: RW decrease &gt; 20%")))), "")</f>
        <v/>
      </c>
      <c r="AB75" s="544"/>
    </row>
    <row r="76" spans="1:28" ht="15" customHeight="1" x14ac:dyDescent="0.25">
      <c r="A76" s="545"/>
      <c r="B76" s="507" t="str">
        <f>SUBSTITUTE('Credit risk (IRB)'!$B$41, "; of which:", "")</f>
        <v>Qualifying revolving retail exposures</v>
      </c>
      <c r="C76" s="1231" t="str">
        <f>IF(AND('General Info'!$C$12="No", 'General Info'!$C$13="No"), 0, IF('General Info'!$C$14="No", IF(ISNUMBER('Credit risk (IRB)'!H41), 'Credit risk (IRB)'!H41, ""), IF(AND(ISNUMBER($F$76), ISNUMBER($F$95), ISNUMBER('Credit risk (IRB)'!H41)), IF($F$76+$F$95&gt;0, $F$76/($F$76+$F$95), 1) * 'Credit risk (IRB)'!H41,"")))</f>
        <v/>
      </c>
      <c r="D76" s="1231" t="str">
        <f>IF(AND('General Info'!$C$12="No", 'General Info'!$C$13="No"), 0, IF('General Info'!$C$14="No", IF(ISNUMBER('Credit risk (IRB)'!L41), 'Credit risk (IRB)'!L41, ""), IF(AND(ISNUMBER($F$76), ISNUMBER($F$95), ISNUMBER('Credit risk (IRB)'!L41)), IF($F$76+$F$95&gt;0, $F$76/($F$76+$F$95), 1) * 'Credit risk (IRB)'!L41,"")))</f>
        <v/>
      </c>
      <c r="E76" s="1231" t="str">
        <f>IF(AND('General Info'!$C$12="No", 'General Info'!$C$13="No"), 0, IF('General Info'!$C$14="No", IF(ISNUMBER('Credit risk (IRB)'!M41), 'Credit risk (IRB)'!M41, ""), IF(AND(ISNUMBER($F$76), ISNUMBER($F$95), ISNUMBER('Credit risk (IRB)'!M41)), IF($F$76+$F$95&gt;0, $F$76/($F$76+$F$95), 1) * 'Credit risk (IRB)'!M41,"")))</f>
        <v/>
      </c>
      <c r="F76" s="580" t="str">
        <f>IF(AND('General Info'!$C$12="No", 'General Info'!$C$13="No"), 0, IF(ISNUMBER('Credit risk (IRB)'!AU41),'Credit risk (IRB)'!AU41,""))</f>
        <v/>
      </c>
      <c r="G76" s="580" t="str">
        <f>IF(AND('General Info'!$C$12="No", 'General Info'!$C$13="No"), 0, IF(ISNUMBER('Credit risk (IRB)'!AY41),'Credit risk (IRB)'!AY41,""))</f>
        <v/>
      </c>
      <c r="H76" s="580" t="str">
        <f>IF(AND('General Info'!$C$12="No", 'General Info'!$C$13="No"), 0, IF(ISNUMBER('Credit risk (IRB)'!AZ41),'Credit risk (IRB)'!AZ41,""))</f>
        <v/>
      </c>
      <c r="I76" s="1231" t="str">
        <f>IF(AND('General Info'!$C$12="No", 'General Info'!$C$13="No"), 0, IF('General Info'!$C$14="No", IF(ISNUMBER('Credit risk (IRB)'!CO41), 'Credit risk (IRB)'!CO41, ""), IF(AND(ISNUMBER($F$76), ISNUMBER($F$95), ISNUMBER('Credit risk (IRB)'!CO41)), IF($F$76+$F$95&gt;0, $F$76/($F$76+$F$95) * 'Credit risk (IRB)'!CO41, 0),"")))</f>
        <v/>
      </c>
      <c r="J76" s="1231" t="str">
        <f>IF(AND('General Info'!$C$12="No", 'General Info'!$C$13="No"), 0, IF('General Info'!$C$14="No", IF(ISNUMBER('Credit risk (IRB)'!CQ41), 'Credit risk (IRB)'!CQ41, ""), IF(AND(ISNUMBER($F$76), ISNUMBER($F$95), ISNUMBER('Credit risk (IRB)'!CQ41)), IF($F$76+$F$95&gt;0, $F$76/($F$76+$F$95) * 'Credit risk (IRB)'!CQ41, 0),"")))</f>
        <v/>
      </c>
      <c r="K76" s="1031"/>
      <c r="L76" s="906" t="str">
        <f t="shared" si="36"/>
        <v/>
      </c>
      <c r="M76" s="907" t="str">
        <f t="shared" si="37"/>
        <v/>
      </c>
      <c r="N76" s="907" t="str">
        <f t="shared" si="38"/>
        <v/>
      </c>
      <c r="O76" s="907" t="str">
        <f t="shared" si="39"/>
        <v/>
      </c>
      <c r="P76" s="907" t="str">
        <f t="shared" si="40"/>
        <v/>
      </c>
      <c r="Q76" s="907" t="str">
        <f t="shared" si="41"/>
        <v/>
      </c>
      <c r="R76" s="907" t="str">
        <f t="shared" si="42"/>
        <v/>
      </c>
      <c r="S76" s="908" t="str">
        <f t="shared" si="43"/>
        <v/>
      </c>
      <c r="T76" s="1031"/>
      <c r="U76" s="794" t="str">
        <f t="shared" si="44"/>
        <v/>
      </c>
      <c r="V76" s="808" t="str">
        <f t="shared" si="48"/>
        <v/>
      </c>
      <c r="W76" s="808" t="str">
        <f t="shared" si="45"/>
        <v/>
      </c>
      <c r="X76" s="808" t="str">
        <f t="shared" si="46"/>
        <v/>
      </c>
      <c r="Y76" s="808" t="str">
        <f t="shared" si="49"/>
        <v/>
      </c>
      <c r="Z76" s="808" t="str">
        <f t="shared" si="47"/>
        <v/>
      </c>
      <c r="AA76" s="795" t="str">
        <f>IF(AND(AND(ISNUMBER(R76), ISNUMBER(S76)), AND(R76&lt;&gt;0, S76&lt;&gt;0)), IF(S76/R76&gt;2.75, "Error: RW increase &gt; 175%", IF(S76/R76&gt;=2.5, "Warning: RW increase 150–175%", IF(S76/R76&gt;=0.9, "RW change -10% to +175%", IF(S76/R76&gt;=0.8,"Warning: RW decrease 10–20%", "Error: RW decrease &gt; 20%")))), "")</f>
        <v/>
      </c>
      <c r="AB76" s="544"/>
    </row>
    <row r="77" spans="1:28" ht="15" customHeight="1" x14ac:dyDescent="0.25">
      <c r="A77" s="545"/>
      <c r="B77" s="507" t="str">
        <f>'Credit risk (IRB)'!$B$44</f>
        <v>Other retail; of which:</v>
      </c>
      <c r="C77" s="1231" t="str">
        <f>IF(AND('General Info'!$C$12="No", 'General Info'!$C$13="No"), 0, IF('General Info'!$C$14="No", IF(ISNUMBER('Credit risk (IRB)'!H44), 'Credit risk (IRB)'!H44, ""), IF(AND(ISNUMBER($F$77), ISNUMBER($F$96), ISNUMBER('Credit risk (IRB)'!H44)), IF($F$77+$F$96&gt;0, $F$77/($F$77+$F$96), 1) * 'Credit risk (IRB)'!H44, "")))</f>
        <v/>
      </c>
      <c r="D77" s="1231" t="str">
        <f>IF(AND('General Info'!$C$12="No", 'General Info'!$C$13="No"), 0, IF('General Info'!$C$14="No", IF(ISNUMBER('Credit risk (IRB)'!L44), 'Credit risk (IRB)'!L44, ""), IF(AND(ISNUMBER($F$77), ISNUMBER($F$96), ISNUMBER('Credit risk (IRB)'!L44)), IF($F$77+$F$96&gt;0, $F$77/($F$77+$F$96), 1) * 'Credit risk (IRB)'!L44, "")))</f>
        <v/>
      </c>
      <c r="E77" s="1231" t="str">
        <f>IF(AND('General Info'!$C$12="No", 'General Info'!$C$13="No"), 0, IF('General Info'!$C$14="No", IF(ISNUMBER('Credit risk (IRB)'!M44), 'Credit risk (IRB)'!M44, ""), IF(AND(ISNUMBER($F$77), ISNUMBER($F$96), ISNUMBER('Credit risk (IRB)'!M44)), IF($F$77+$F$96&gt;0, $F$77/($F$77+$F$96), 1) * 'Credit risk (IRB)'!M44, "")))</f>
        <v/>
      </c>
      <c r="F77" s="580" t="str">
        <f>IF(AND('General Info'!$C$12="No", 'General Info'!$C$13="No"), 0, IF(ISNUMBER('Credit risk (IRB)'!AU44),'Credit risk (IRB)'!AU44,""))</f>
        <v/>
      </c>
      <c r="G77" s="580" t="str">
        <f>IF(AND('General Info'!$C$12="No", 'General Info'!$C$13="No"), 0, IF(ISNUMBER('Credit risk (IRB)'!AY44),'Credit risk (IRB)'!AY44,""))</f>
        <v/>
      </c>
      <c r="H77" s="580" t="str">
        <f>IF(AND('General Info'!$C$12="No", 'General Info'!$C$13="No"), 0, IF(ISNUMBER('Credit risk (IRB)'!AZ44),'Credit risk (IRB)'!AZ44,""))</f>
        <v/>
      </c>
      <c r="I77" s="1231" t="str">
        <f>IF(AND('General Info'!$C$12="No", 'General Info'!$C$13="No"), 0, IF('General Info'!$C$14="No", IF(ISNUMBER('Credit risk (IRB)'!CO44), 'Credit risk (IRB)'!CO44, ""), IF(AND(ISNUMBER($F$77), ISNUMBER($F$96), ISNUMBER('Credit risk (IRB)'!CO44)), IF($F$77+$F$96&gt;0, $F$77/($F$77+$F$96) * 'Credit risk (IRB)'!CO44, 0), "")))</f>
        <v/>
      </c>
      <c r="J77" s="1231" t="str">
        <f>IF(AND('General Info'!$C$12="No", 'General Info'!$C$13="No"), 0, IF('General Info'!$C$14="No", IF(ISNUMBER('Credit risk (IRB)'!CQ44), 'Credit risk (IRB)'!CQ44, ""), IF(AND(ISNUMBER($F$77), ISNUMBER($F$96), ISNUMBER('Credit risk (IRB)'!CQ44)), IF($F$77+$F$96&gt;0, $F$77/($F$77+$F$96) * 'Credit risk (IRB)'!CQ44, 0), "")))</f>
        <v/>
      </c>
      <c r="K77" s="1031"/>
      <c r="L77" s="906" t="str">
        <f t="shared" si="36"/>
        <v/>
      </c>
      <c r="M77" s="907" t="str">
        <f t="shared" si="37"/>
        <v/>
      </c>
      <c r="N77" s="907" t="str">
        <f t="shared" si="38"/>
        <v/>
      </c>
      <c r="O77" s="907" t="str">
        <f t="shared" si="39"/>
        <v/>
      </c>
      <c r="P77" s="907" t="str">
        <f t="shared" si="40"/>
        <v/>
      </c>
      <c r="Q77" s="907" t="str">
        <f t="shared" si="41"/>
        <v/>
      </c>
      <c r="R77" s="907" t="str">
        <f t="shared" si="42"/>
        <v/>
      </c>
      <c r="S77" s="908" t="str">
        <f t="shared" si="43"/>
        <v/>
      </c>
      <c r="T77" s="1031"/>
      <c r="U77" s="794" t="str">
        <f t="shared" si="44"/>
        <v/>
      </c>
      <c r="V77" s="808" t="str">
        <f t="shared" si="48"/>
        <v/>
      </c>
      <c r="W77" s="808" t="str">
        <f t="shared" si="45"/>
        <v/>
      </c>
      <c r="X77" s="808" t="str">
        <f t="shared" si="46"/>
        <v/>
      </c>
      <c r="Y77" s="808" t="str">
        <f t="shared" si="49"/>
        <v/>
      </c>
      <c r="Z77" s="808" t="str">
        <f t="shared" si="47"/>
        <v/>
      </c>
      <c r="AA77" s="795" t="str">
        <f>IF(AND(AND(ISNUMBER(R77), ISNUMBER(S77)), AND(R77&lt;&gt;0, S77&lt;&gt;0)), IF(S77/R77&gt;2.75, "Error: RW increase &gt; 175%", IF(S77/R77&gt;=2.5, "Warning: RW increase 150–175%", IF(S77/R77&gt;=0.9, "RW change -10% to +175%", IF(S77/R77&gt;=0.8,"Warning: RW decrease 10–20%", "Error: RW decrease &gt; 20%")))), "")</f>
        <v/>
      </c>
      <c r="AB77" s="544"/>
    </row>
    <row r="78" spans="1:28" ht="15" customHeight="1" x14ac:dyDescent="0.25">
      <c r="A78" s="545"/>
      <c r="B78" s="763" t="s">
        <v>872</v>
      </c>
      <c r="C78" s="1231" t="str">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
      </c>
      <c r="D78" s="1231" t="str">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
      </c>
      <c r="E78" s="1231" t="str">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
      </c>
      <c r="F78" s="580" t="str">
        <f>IF(AND('General Info'!$C$12="No", 'General Info'!$C$13="No"), 0, IF(AND(ISNUMBER('Credit risk (IRB)'!AU46), ISNUMBER('Credit risk (IRB)'!AU49)),'Credit risk (IRB)'!AU46+'Credit risk (IRB)'!AU49,""))</f>
        <v/>
      </c>
      <c r="G78" s="580" t="str">
        <f>IF(AND('General Info'!$C$12="No", 'General Info'!$C$13="No"), 0, IF(AND(ISNUMBER('Credit risk (IRB)'!AY46), ISNUMBER('Credit risk (IRB)'!AY49)),'Credit risk (IRB)'!AY46+'Credit risk (IRB)'!AY49,""))</f>
        <v/>
      </c>
      <c r="H78" s="580" t="str">
        <f>IF(AND('General Info'!$C$12="No", 'General Info'!$C$13="No"), 0, IF(AND(ISNUMBER('Credit risk (IRB)'!AZ46), ISNUMBER('Credit risk (IRB)'!AZ49)),'Credit risk (IRB)'!AZ46+'Credit risk (IRB)'!AZ49,""))</f>
        <v/>
      </c>
      <c r="I78" s="1231" t="str">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
      </c>
      <c r="J78" s="1231" t="str">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
      </c>
      <c r="K78" s="831"/>
      <c r="L78" s="906" t="str">
        <f t="shared" si="36"/>
        <v/>
      </c>
      <c r="M78" s="907" t="str">
        <f t="shared" si="37"/>
        <v/>
      </c>
      <c r="N78" s="907" t="str">
        <f t="shared" si="38"/>
        <v/>
      </c>
      <c r="O78" s="907" t="str">
        <f t="shared" si="39"/>
        <v/>
      </c>
      <c r="P78" s="907" t="str">
        <f t="shared" si="40"/>
        <v/>
      </c>
      <c r="Q78" s="907" t="str">
        <f t="shared" si="41"/>
        <v/>
      </c>
      <c r="R78" s="907" t="str">
        <f t="shared" si="42"/>
        <v/>
      </c>
      <c r="S78" s="908" t="str">
        <f t="shared" si="43"/>
        <v/>
      </c>
      <c r="T78" s="831"/>
      <c r="U78" s="794" t="str">
        <f t="shared" si="44"/>
        <v/>
      </c>
      <c r="V78" s="808" t="str">
        <f t="shared" si="48"/>
        <v/>
      </c>
      <c r="W78" s="808" t="str">
        <f t="shared" si="45"/>
        <v/>
      </c>
      <c r="X78" s="808" t="str">
        <f t="shared" si="46"/>
        <v/>
      </c>
      <c r="Y78" s="808" t="str">
        <f t="shared" si="49"/>
        <v/>
      </c>
      <c r="Z78" s="808" t="str">
        <f t="shared" si="47"/>
        <v/>
      </c>
      <c r="AA78" s="795" t="str">
        <f>IF(AND(AND(ISNUMBER(R78), ISNUMBER(S78)), AND(R78&lt;&gt;0, S78&lt;&gt;0)), IF(S78/R78&gt;2.75, "Error: RW increase &gt; 175%", IF(S78/R78&gt;=2.5, "Warning: RW increase 150–175%", IF(S78/R78&gt;=0.9, "RW change -10% to +175%", IF(S78/R78&gt;=0.8,"Warning: RW decrease 10–20%", "Error: RW decrease &gt; 20%")))), "")</f>
        <v/>
      </c>
      <c r="AB78" s="544"/>
    </row>
    <row r="79" spans="1:28" ht="15" customHeight="1" x14ac:dyDescent="0.25">
      <c r="A79" s="545"/>
      <c r="B79" s="507" t="str">
        <f>SUBSTITUTE('Credit risk (IRB)'!$B$55, "; of which:", "")</f>
        <v>Equity investment in funds</v>
      </c>
      <c r="C79" s="1231" t="str">
        <f>IF(AND('General Info'!$C$12="No", 'General Info'!$C$13="No"), 0, IF('General Info'!$C$14="No", IF(ISNUMBER('Credit risk (IRB)'!H55), 'Credit risk (IRB)'!H55, ""), IF(AND(ISNUMBER($F$79), ISNUMBER($F$99), ISNUMBER('Credit risk (IRB)'!H55)), IF($F$79+$F$99&gt;0, $F$79/($F$79+$F$99), 1) * 'Credit risk (IRB)'!H55, "")))</f>
        <v/>
      </c>
      <c r="D79" s="1231" t="str">
        <f>IF(AND('General Info'!$C$12="No", 'General Info'!$C$13="No"), 0, IF('General Info'!$C$14="No", IF(ISNUMBER('Credit risk (IRB)'!L55), 'Credit risk (IRB)'!L55, ""), IF(AND(ISNUMBER($F$79), ISNUMBER($F$99), ISNUMBER('Credit risk (IRB)'!L55)), IF($F$79+$F$99&gt;0, $F$79/($F$79+$F$99), 1) * 'Credit risk (IRB)'!L55, "")))</f>
        <v/>
      </c>
      <c r="E79" s="1231" t="str">
        <f>IF(AND('General Info'!$C$12="No", 'General Info'!$C$13="No"), 0, IF('General Info'!$C$14="No", IF(ISNUMBER('Credit risk (IRB)'!M55), 'Credit risk (IRB)'!M55, ""), IF(AND(ISNUMBER($F$79), ISNUMBER($F$99), ISNUMBER('Credit risk (IRB)'!M55)), IF($F$79+$F$99&gt;0, $F$79/($F$79+$F$99), 1) * 'Credit risk (IRB)'!M55, "")))</f>
        <v/>
      </c>
      <c r="F79" s="580" t="str">
        <f>IF(AND('General Info'!$C$12="No", 'General Info'!$C$13="No"), 0, IF(ISNUMBER('Credit risk (IRB)'!AU55),'Credit risk (IRB)'!AU55,""))</f>
        <v/>
      </c>
      <c r="G79" s="580" t="str">
        <f>IF(AND('General Info'!$C$12="No", 'General Info'!$C$13="No"), 0, IF(ISNUMBER('Credit risk (IRB)'!AY55),'Credit risk (IRB)'!AY55,""))</f>
        <v/>
      </c>
      <c r="H79" s="580" t="str">
        <f>IF(AND('General Info'!$C$12="No", 'General Info'!$C$13="No"), 0, IF(ISNUMBER('Credit risk (IRB)'!AZ55),'Credit risk (IRB)'!AZ55,""))</f>
        <v/>
      </c>
      <c r="I79" s="1231" t="str">
        <f>IF(AND('General Info'!$C$12="No", 'General Info'!$C$13="No"), 0, IF('General Info'!$C$14="No", IF(ISNUMBER('Credit risk (IRB)'!CO55), 'Credit risk (IRB)'!CO55, ""), IF(AND(ISNUMBER($F$79), ISNUMBER($F$99), ISNUMBER('Credit risk (IRB)'!CO55)), IF($F$79+$F$99&gt;0, $F$79/($F$79+$F$99) * 'Credit risk (IRB)'!CO55, 0), "")))</f>
        <v/>
      </c>
      <c r="J79" s="1231" t="str">
        <f>IF(AND('General Info'!$C$12="No", 'General Info'!$C$13="No"), 0, IF('General Info'!$C$14="No", IF(ISNUMBER('Credit risk (IRB)'!CQ55), 'Credit risk (IRB)'!CQ55, ""), IF(AND(ISNUMBER($F$79), ISNUMBER($F$99), ISNUMBER('Credit risk (IRB)'!CQ55)), IF($F$79+$F$99&gt;0, $F$79/($F$79+$F$99) * 'Credit risk (IRB)'!CQ55, 0), "")))</f>
        <v/>
      </c>
      <c r="K79" s="1031"/>
      <c r="L79" s="906" t="str">
        <f t="shared" si="36"/>
        <v/>
      </c>
      <c r="M79" s="907" t="str">
        <f t="shared" si="37"/>
        <v/>
      </c>
      <c r="N79" s="907" t="str">
        <f t="shared" si="38"/>
        <v/>
      </c>
      <c r="O79" s="907" t="str">
        <f t="shared" si="39"/>
        <v/>
      </c>
      <c r="P79" s="907" t="str">
        <f t="shared" si="40"/>
        <v/>
      </c>
      <c r="Q79" s="907" t="str">
        <f t="shared" si="41"/>
        <v/>
      </c>
      <c r="R79" s="907" t="str">
        <f t="shared" si="42"/>
        <v/>
      </c>
      <c r="S79" s="908" t="str">
        <f t="shared" si="43"/>
        <v/>
      </c>
      <c r="T79" s="1031"/>
      <c r="U79" s="794" t="str">
        <f t="shared" si="44"/>
        <v/>
      </c>
      <c r="V79" s="808" t="str">
        <f t="shared" si="48"/>
        <v/>
      </c>
      <c r="W79" s="808" t="str">
        <f t="shared" si="45"/>
        <v/>
      </c>
      <c r="X79" s="808" t="str">
        <f t="shared" si="46"/>
        <v/>
      </c>
      <c r="Y79" s="808" t="str">
        <f t="shared" si="49"/>
        <v/>
      </c>
      <c r="Z79" s="808" t="str">
        <f t="shared" si="47"/>
        <v/>
      </c>
      <c r="AA79" s="795" t="str">
        <f>IF(AND(AND(ISNUMBER(R79), ISNUMBER(S79)), AND(R79&lt;&gt;0, S79&lt;&gt;0)), IF(S79/R79&gt;1.2, "Error: RW increase &gt; 20%", IF(S79/R79&gt;=1.1, "Warning: RW increase 10–20%", IF(S79/R79&gt;=0.9, "RW change -10% to +25%", IF(S79/R79&gt;=0.8, "Warning: RW decrease 10–20%", "Error: RW decrease &gt; 20%")))), "")</f>
        <v/>
      </c>
      <c r="AB79" s="544"/>
    </row>
    <row r="80" spans="1:28" ht="15" customHeight="1" x14ac:dyDescent="0.25">
      <c r="A80" s="545"/>
      <c r="B80" s="507" t="str">
        <f>SUBSTITUTE('Credit risk (IRB)'!$B$58, "; of which:", "")</f>
        <v>Eligible purchased receivables</v>
      </c>
      <c r="C80" s="1231" t="str">
        <f>IF(AND('General Info'!$C$12="No", 'General Info'!$C$13="No"), 0, IF('General Info'!$C$14="No", IF(ISNUMBER('Credit risk (IRB)'!H58), 'Credit risk (IRB)'!H58, ""), IF(AND(ISNUMBER($F$80), ISNUMBER($F$100), ISNUMBER('Credit risk (IRB)'!H58)), IF($F$80+$F$100&gt;0, $F$80/($F$80+$F$100), 1) * 'Credit risk (IRB)'!H58, "")))</f>
        <v/>
      </c>
      <c r="D80" s="1231" t="str">
        <f>IF(AND('General Info'!$C$12="No", 'General Info'!$C$13="No"), 0, IF('General Info'!$C$14="No", IF(ISNUMBER('Credit risk (IRB)'!L58), 'Credit risk (IRB)'!L58, ""), IF(AND(ISNUMBER($F$80), ISNUMBER($F$100), ISNUMBER('Credit risk (IRB)'!L58)), IF($F$80+$F$100&gt;0, $F$80/($F$80+$F$100), 1) * 'Credit risk (IRB)'!L58, "")))</f>
        <v/>
      </c>
      <c r="E80" s="1231" t="str">
        <f>IF(AND('General Info'!$C$12="No", 'General Info'!$C$13="No"), 0, IF('General Info'!$C$14="No", IF(ISNUMBER('Credit risk (IRB)'!M58), 'Credit risk (IRB)'!M58, ""), IF(AND(ISNUMBER($F$80), ISNUMBER($F$100), ISNUMBER('Credit risk (IRB)'!M58)), IF($F$80+$F$100&gt;0, $F$80/($F$80+$F$100), 1) * 'Credit risk (IRB)'!M58, "")))</f>
        <v/>
      </c>
      <c r="F80" s="580" t="str">
        <f>IF(AND('General Info'!$C$12="No", 'General Info'!$C$13="No"), 0, IF(ISNUMBER('Credit risk (IRB)'!AU58),'Credit risk (IRB)'!AU58,""))</f>
        <v/>
      </c>
      <c r="G80" s="580" t="str">
        <f>IF(AND('General Info'!$C$12="No", 'General Info'!$C$13="No"), 0, IF(ISNUMBER('Credit risk (IRB)'!AY58),'Credit risk (IRB)'!AY58,""))</f>
        <v/>
      </c>
      <c r="H80" s="580" t="str">
        <f>IF(AND('General Info'!$C$12="No", 'General Info'!$C$13="No"), 0, IF(ISNUMBER('Credit risk (IRB)'!AZ58),'Credit risk (IRB)'!AZ58,""))</f>
        <v/>
      </c>
      <c r="I80" s="1231" t="str">
        <f>IF(AND('General Info'!$C$12="No", 'General Info'!$C$13="No"), 0, IF('General Info'!$C$14="No", IF(ISNUMBER('Credit risk (IRB)'!CO58), 'Credit risk (IRB)'!CO58, ""), IF(AND(ISNUMBER($F$80), ISNUMBER($F$100), ISNUMBER('Credit risk (IRB)'!CO58)), IF($F$80+$F$100&gt;0, $F$80/($F$80+$F$100) * 'Credit risk (IRB)'!CO58, 0), "")))</f>
        <v/>
      </c>
      <c r="J80" s="1231" t="str">
        <f>IF(AND('General Info'!$C$12="No", 'General Info'!$C$13="No"), 0, IF('General Info'!$C$14="No", IF(ISNUMBER('Credit risk (IRB)'!CQ58), 'Credit risk (IRB)'!CQ58, ""), IF(AND(ISNUMBER($F$80), ISNUMBER($F$100), ISNUMBER('Credit risk (IRB)'!CQ58)), IF($F$80+$F$100&gt;0, $F$80/($F$80+$F$100) * 'Credit risk (IRB)'!CQ58, 0), "")))</f>
        <v/>
      </c>
      <c r="K80" s="1031"/>
      <c r="L80" s="906" t="str">
        <f t="shared" si="36"/>
        <v/>
      </c>
      <c r="M80" s="907" t="str">
        <f t="shared" si="37"/>
        <v/>
      </c>
      <c r="N80" s="907" t="str">
        <f t="shared" si="38"/>
        <v/>
      </c>
      <c r="O80" s="907" t="str">
        <f t="shared" si="39"/>
        <v/>
      </c>
      <c r="P80" s="907" t="str">
        <f t="shared" si="40"/>
        <v/>
      </c>
      <c r="Q80" s="907" t="str">
        <f t="shared" si="41"/>
        <v/>
      </c>
      <c r="R80" s="907" t="str">
        <f t="shared" si="42"/>
        <v/>
      </c>
      <c r="S80" s="908" t="str">
        <f t="shared" si="43"/>
        <v/>
      </c>
      <c r="T80" s="1031"/>
      <c r="U80" s="794" t="str">
        <f>IF(ISNUMBER(L80), IF(ABS(L80)&gt;0.2, "Error: diff above 20%", IF(ABS(L80)&gt;=0.1, "Warning: diff 10–20%", "Diff below 10%")),"")</f>
        <v/>
      </c>
      <c r="V80" s="808" t="str">
        <f t="shared" si="48"/>
        <v/>
      </c>
      <c r="W80" s="808" t="str">
        <f t="shared" si="45"/>
        <v/>
      </c>
      <c r="X80" s="808" t="str">
        <f t="shared" si="46"/>
        <v/>
      </c>
      <c r="Y80" s="808" t="str">
        <f t="shared" si="49"/>
        <v/>
      </c>
      <c r="Z80" s="808" t="str">
        <f t="shared" si="47"/>
        <v/>
      </c>
      <c r="AA80" s="795" t="str">
        <f>IF(AND(AND(ISNUMBER(R80), ISNUMBER(S80)), AND(R80&lt;&gt;0, S80&lt;&gt;0)), IF(S80/R80&gt;1.2, "Error: RW increase &gt; 20%", IF(S80/R80&gt;=1.1, "Warning: RW increase 10–20%", IF(S80/R80&gt;=0.9, "RW change -10% to +25%", IF(S80/R80&gt;=0.8, "Warning: RW decrease 10–20%", "Error: RW decrease &gt; 20%")))), "")</f>
        <v/>
      </c>
      <c r="AB80" s="544"/>
    </row>
    <row r="81" spans="1:28" ht="15" customHeight="1" x14ac:dyDescent="0.25">
      <c r="A81" s="545"/>
      <c r="B81" s="507" t="str">
        <f>'Credit risk (IRB)'!$B$61</f>
        <v>Failed trades and non-DVP transactions</v>
      </c>
      <c r="C81" s="1231" t="str">
        <f>IF(AND('General Info'!$C$12="No", 'General Info'!$C$13="No"), 0, IF('General Info'!$C$14="No", IF(ISNUMBER('Credit risk (IRB)'!H61), 'Credit risk (IRB)'!H61, ""), IF(AND(ISNUMBER($F$81), ISNUMBER($F$101), ISNUMBER('Credit risk (IRB)'!H61)), IF($F$81+$F$101&gt;0, $F$81/($F$81+$F$101), 1) * 'Credit risk (IRB)'!H61, "")))</f>
        <v/>
      </c>
      <c r="D81" s="1231" t="str">
        <f>IF(AND('General Info'!$C$12="No", 'General Info'!$C$13="No"), 0, IF('General Info'!$C$14="No", IF(ISNUMBER('Credit risk (IRB)'!L61), 'Credit risk (IRB)'!L61, ""), IF(AND(ISNUMBER($F$81), ISNUMBER($F$101), ISNUMBER('Credit risk (IRB)'!L61)), IF($F$81+$F$101&gt;0, $F$81/($F$81+$F$101), 1) * 'Credit risk (IRB)'!L61, "")))</f>
        <v/>
      </c>
      <c r="E81" s="1231" t="str">
        <f>IF(AND('General Info'!$C$12="No", 'General Info'!$C$13="No"), 0, IF('General Info'!$C$14="No", IF(ISNUMBER('Credit risk (IRB)'!M61), 'Credit risk (IRB)'!M61, ""), IF(AND(ISNUMBER($F$81), ISNUMBER($F$101), ISNUMBER('Credit risk (IRB)'!M61)), IF($F$81+$F$101&gt;0, $F$81/($F$81+$F$101), 1) * 'Credit risk (IRB)'!M61, "")))</f>
        <v/>
      </c>
      <c r="F81" s="580" t="str">
        <f>IF(AND('General Info'!$C$12="No", 'General Info'!$C$13="No"), 0, IF(ISNUMBER('Credit risk (IRB)'!AU61),'Credit risk (IRB)'!AU61,""))</f>
        <v/>
      </c>
      <c r="G81" s="580" t="str">
        <f>IF(AND('General Info'!$C$12="No", 'General Info'!$C$13="No"), 0, IF(ISNUMBER('Credit risk (IRB)'!AY61),'Credit risk (IRB)'!AY61,""))</f>
        <v/>
      </c>
      <c r="H81" s="580" t="str">
        <f>IF(AND('General Info'!$C$12="No", 'General Info'!$C$13="No"), 0, IF(ISNUMBER('Credit risk (IRB)'!AZ61),'Credit risk (IRB)'!AZ61,""))</f>
        <v/>
      </c>
      <c r="I81" s="1231" t="str">
        <f>IF(AND('General Info'!$C$12="No", 'General Info'!$C$13="No"), 0, IF('General Info'!$C$14="No", IF(ISNUMBER('Credit risk (IRB)'!CO61), 'Credit risk (IRB)'!CO61, ""), IF(AND(ISNUMBER($F$81), ISNUMBER($F$101), ISNUMBER('Credit risk (IRB)'!CO61)), IF($F$81+$F$101&gt;0, $F$81/($F$81+$F$101) * 'Credit risk (IRB)'!CO61, 0), "")))</f>
        <v/>
      </c>
      <c r="J81" s="1231" t="str">
        <f>IF(AND('General Info'!$C$12="No", 'General Info'!$C$13="No"), 0, IF('General Info'!$C$14="No", IF(ISNUMBER('Credit risk (IRB)'!CQ61), 'Credit risk (IRB)'!CQ61, ""), IF(AND(ISNUMBER($F$81), ISNUMBER($F$101), ISNUMBER('Credit risk (IRB)'!CQ61)), IF($F$81+$F$101&gt;0, $F$81/($F$81+$F$101) * 'Credit risk (IRB)'!CQ61, 0), "")))</f>
        <v/>
      </c>
      <c r="K81" s="1031"/>
      <c r="L81" s="906" t="str">
        <f t="shared" si="36"/>
        <v/>
      </c>
      <c r="M81" s="907" t="str">
        <f t="shared" si="37"/>
        <v/>
      </c>
      <c r="N81" s="907" t="str">
        <f t="shared" si="38"/>
        <v/>
      </c>
      <c r="O81" s="907" t="str">
        <f t="shared" si="39"/>
        <v/>
      </c>
      <c r="P81" s="907" t="str">
        <f t="shared" si="40"/>
        <v/>
      </c>
      <c r="Q81" s="907" t="str">
        <f t="shared" si="41"/>
        <v/>
      </c>
      <c r="R81" s="907" t="str">
        <f t="shared" si="42"/>
        <v/>
      </c>
      <c r="S81" s="908" t="str">
        <f t="shared" si="43"/>
        <v/>
      </c>
      <c r="T81" s="1031"/>
      <c r="U81" s="794" t="str">
        <f t="shared" ref="U81:U82" si="50">IF(ISNUMBER(L81), IF(ABS(L81)&gt;0.2, "Error: diff above 20%", IF(ABS(L81)&gt;=0.1, "Warning: diff 10–20%", "Diff below 10%")),"")</f>
        <v/>
      </c>
      <c r="V81" s="808" t="str">
        <f t="shared" si="48"/>
        <v/>
      </c>
      <c r="W81" s="808" t="str">
        <f t="shared" si="45"/>
        <v/>
      </c>
      <c r="X81" s="808" t="str">
        <f t="shared" si="46"/>
        <v/>
      </c>
      <c r="Y81" s="808" t="str">
        <f t="shared" si="49"/>
        <v/>
      </c>
      <c r="Z81" s="808" t="str">
        <f t="shared" si="47"/>
        <v/>
      </c>
      <c r="AA81" s="795" t="str">
        <f>IF(AND(AND(ISNUMBER(R81), ISNUMBER(S81)), AND(R81&lt;&gt;0, S81&lt;&gt;0)), IF(S81/R81&gt;1.2, "Error: RW increase &gt; 20%", IF(S81/R81&gt;=1.1, "Warning: RW increase 10–20%", IF(S81/R81&gt;=0.9, "RW change -10% to +25%", IF(S81/R81&gt;=0.8, "Warning: RW decrease 10–20%", "Error: RW decrease &gt; 20%")))), "")</f>
        <v/>
      </c>
      <c r="AB81" s="544"/>
    </row>
    <row r="82" spans="1:28" ht="15" customHeight="1" x14ac:dyDescent="0.25">
      <c r="A82" s="545"/>
      <c r="B82" s="924" t="str">
        <f>SUBSTITUTE('Credit risk (IRB)'!$B$62, "; of which:", "")</f>
        <v>Other assets</v>
      </c>
      <c r="C82" s="1232" t="str">
        <f>IF(AND('General Info'!$C$12="No", 'General Info'!$C$13="No"), 0, IF('General Info'!$C$14="No", IF(ISNUMBER('Credit risk (IRB)'!H62), 'Credit risk (IRB)'!H62, ""), IF(AND(ISNUMBER($F$82), ISNUMBER($F$102),ISNUMBER('Credit risk (IRB)'!H62)), IF($F$82+$F$102&gt;0, $F$82/($F$82+$F$102), 1) * 'Credit risk (IRB)'!H62, "")))</f>
        <v/>
      </c>
      <c r="D82" s="1232" t="str">
        <f>IF(AND('General Info'!$C$12="No", 'General Info'!$C$13="No"), 0, IF('General Info'!$C$14="No", IF(ISNUMBER('Credit risk (IRB)'!L62), 'Credit risk (IRB)'!L62, ""), IF(AND(ISNUMBER($F$82), ISNUMBER($F$102),ISNUMBER('Credit risk (IRB)'!L62)), IF($F$82+$F$102&gt;0, $F$82/($F$82+$F$102), 1) * 'Credit risk (IRB)'!L62, "")))</f>
        <v/>
      </c>
      <c r="E82" s="1232" t="str">
        <f>IF(AND('General Info'!$C$12="No", 'General Info'!$C$13="No"), 0, IF('General Info'!$C$14="No", IF(ISNUMBER('Credit risk (IRB)'!M62), 'Credit risk (IRB)'!M62, ""), IF(AND(ISNUMBER($F$82), ISNUMBER($F$102),ISNUMBER('Credit risk (IRB)'!M62)), IF($F$82+$F$102&gt;0, $F$82/($F$82+$F$102), 1) * 'Credit risk (IRB)'!M62, "")))</f>
        <v/>
      </c>
      <c r="F82" s="917" t="str">
        <f>IF(AND('General Info'!$C$12="No", 'General Info'!$C$13="No"), 0, IF(ISNUMBER('Credit risk (IRB)'!AU62),'Credit risk (IRB)'!AU62,""))</f>
        <v/>
      </c>
      <c r="G82" s="917" t="str">
        <f>IF(AND('General Info'!$C$12="No", 'General Info'!$C$13="No"), 0, IF(ISNUMBER('Credit risk (IRB)'!AY62),'Credit risk (IRB)'!AY62,""))</f>
        <v/>
      </c>
      <c r="H82" s="917" t="str">
        <f>IF(AND('General Info'!$C$12="No", 'General Info'!$C$13="No"), 0, IF(ISNUMBER('Credit risk (IRB)'!AZ62),'Credit risk (IRB)'!AZ62,""))</f>
        <v/>
      </c>
      <c r="I82" s="1232" t="str">
        <f>IF(AND('General Info'!$C$12="No", 'General Info'!$C$13="No"), 0, IF('General Info'!$C$14="No", IF(ISNUMBER('Credit risk (IRB)'!CO62), 'Credit risk (IRB)'!CO62, ""), IF(AND(ISNUMBER($F$82), ISNUMBER($F$102),ISNUMBER('Credit risk (IRB)'!CO62)), IF($F$82+$F$102&gt;0, $F$82/($F$82+$F$102) * 'Credit risk (IRB)'!CO62, 0), "")))</f>
        <v/>
      </c>
      <c r="J82" s="1232" t="str">
        <f>IF(AND('General Info'!$C$12="No", 'General Info'!$C$13="No"), 0, IF('General Info'!$C$14="No", IF(ISNUMBER('Credit risk (IRB)'!CQ62), 'Credit risk (IRB)'!CQ62, ""), IF(AND(ISNUMBER($F$82), ISNUMBER($F$102),ISNUMBER('Credit risk (IRB)'!CQ62)), IF($F$82+$F$102&gt;0, $F$82/($F$82+$F$102) * 'Credit risk (IRB)'!CQ62, 0), "")))</f>
        <v/>
      </c>
      <c r="K82" s="1031"/>
      <c r="L82" s="906" t="str">
        <f t="shared" si="36"/>
        <v/>
      </c>
      <c r="M82" s="907" t="str">
        <f t="shared" si="37"/>
        <v/>
      </c>
      <c r="N82" s="907" t="str">
        <f t="shared" si="38"/>
        <v/>
      </c>
      <c r="O82" s="907" t="str">
        <f t="shared" si="39"/>
        <v/>
      </c>
      <c r="P82" s="907" t="str">
        <f t="shared" si="40"/>
        <v/>
      </c>
      <c r="Q82" s="907" t="str">
        <f t="shared" si="41"/>
        <v/>
      </c>
      <c r="R82" s="907" t="str">
        <f t="shared" si="42"/>
        <v/>
      </c>
      <c r="S82" s="908" t="str">
        <f t="shared" si="43"/>
        <v/>
      </c>
      <c r="T82" s="1031"/>
      <c r="U82" s="794" t="str">
        <f t="shared" si="50"/>
        <v/>
      </c>
      <c r="V82" s="808" t="str">
        <f t="shared" si="48"/>
        <v/>
      </c>
      <c r="W82" s="808" t="str">
        <f t="shared" si="45"/>
        <v/>
      </c>
      <c r="X82" s="808" t="str">
        <f t="shared" si="46"/>
        <v/>
      </c>
      <c r="Y82" s="808" t="str">
        <f t="shared" si="49"/>
        <v/>
      </c>
      <c r="Z82" s="808" t="str">
        <f t="shared" si="47"/>
        <v/>
      </c>
      <c r="AA82" s="795" t="str">
        <f>IF(AND(AND(ISNUMBER(R82), ISNUMBER(S82)), AND(R82&lt;&gt;0, S82&lt;&gt;0)), IF(S82/R82&gt;1.2, "Error: RW increase &gt; 20%", IF(S82/R82&gt;=1.1, "Warning: RW increase 10–20%", IF(S82/R82&gt;=0.9, "RW change -10% to +25%", IF(S82/R82&gt;=0.8, "Warning: RW decrease 10–20%", "Error: RW decrease &gt; 20%")))), "")</f>
        <v/>
      </c>
      <c r="AB82" s="544"/>
    </row>
    <row r="83" spans="1:28" ht="15" customHeight="1" x14ac:dyDescent="0.25">
      <c r="A83" s="545"/>
      <c r="B83" s="927" t="s">
        <v>1018</v>
      </c>
      <c r="C83" s="928" t="str">
        <f>IF(AND(ISNUMBER(C69), ISNUMBER(C70), ISNUMBER(C71), ISNUMBER(C72), ISNUMBER(C73), ISNUMBER(C74), ISNUMBER(C75), ISNUMBER(C77), ISNUMBER(C76), ISNUMBER(C79), ISNUMBER(C80), ISNUMBER(C81), ISNUMBER(C82)), SUM(C69:C77, C79:C82), "")</f>
        <v/>
      </c>
      <c r="D83" s="928" t="str">
        <f t="shared" ref="D83:J83" si="51">IF(AND(ISNUMBER(D69), ISNUMBER(D70), ISNUMBER(D71), ISNUMBER(D72), ISNUMBER(D73), ISNUMBER(D74), ISNUMBER(D75), ISNUMBER(D77), ISNUMBER(D76), ISNUMBER(D79), ISNUMBER(D80), ISNUMBER(D81), ISNUMBER(D82)), SUM(D69:D77, D79:D82), "")</f>
        <v/>
      </c>
      <c r="E83" s="928" t="str">
        <f t="shared" si="51"/>
        <v/>
      </c>
      <c r="F83" s="928" t="str">
        <f t="shared" si="51"/>
        <v/>
      </c>
      <c r="G83" s="928" t="str">
        <f t="shared" si="51"/>
        <v/>
      </c>
      <c r="H83" s="928" t="str">
        <f t="shared" si="51"/>
        <v/>
      </c>
      <c r="I83" s="928" t="str">
        <f t="shared" si="51"/>
        <v/>
      </c>
      <c r="J83" s="971" t="str">
        <f t="shared" si="51"/>
        <v/>
      </c>
      <c r="K83" s="1031"/>
      <c r="L83" s="928" t="str">
        <f t="shared" si="36"/>
        <v/>
      </c>
      <c r="M83" s="921" t="str">
        <f t="shared" si="37"/>
        <v/>
      </c>
      <c r="N83" s="921" t="str">
        <f t="shared" si="38"/>
        <v/>
      </c>
      <c r="O83" s="921" t="str">
        <f t="shared" si="39"/>
        <v/>
      </c>
      <c r="P83" s="921" t="str">
        <f t="shared" si="40"/>
        <v/>
      </c>
      <c r="Q83" s="921" t="str">
        <f t="shared" si="41"/>
        <v/>
      </c>
      <c r="R83" s="921" t="str">
        <f t="shared" si="42"/>
        <v/>
      </c>
      <c r="S83" s="926" t="str">
        <f t="shared" si="43"/>
        <v/>
      </c>
      <c r="T83" s="1031"/>
      <c r="U83" s="1144" t="str">
        <f t="shared" si="44"/>
        <v/>
      </c>
      <c r="V83" s="820" t="str">
        <f t="shared" si="48"/>
        <v/>
      </c>
      <c r="W83" s="820" t="str">
        <f t="shared" si="45"/>
        <v/>
      </c>
      <c r="X83" s="820" t="str">
        <f t="shared" si="46"/>
        <v/>
      </c>
      <c r="Y83" s="820" t="str">
        <f t="shared" si="49"/>
        <v/>
      </c>
      <c r="Z83" s="820" t="str">
        <f t="shared" si="47"/>
        <v/>
      </c>
      <c r="AA83" s="1145" t="str">
        <f>IF(AND(AND(ISNUMBER(R83), ISNUMBER(S83)), AND(R83&lt;&gt;0, S83&lt;&gt;0)), IF(S83/R83&gt;2, "Error: RW increase &gt; 100%", IF(S83/R83&gt;=1.75, "Warning: RW increase 75-100%", IF(S83/R83&gt;=0.9, "RW change -10% to +75%", IF(S83/R83&gt;=0.8, "Warning: RW decrease 10-20%", "Error: RW decrease &gt; 20%")))), "")</f>
        <v/>
      </c>
      <c r="AB83" s="544"/>
    </row>
    <row r="84" spans="1:28" ht="60" customHeight="1" x14ac:dyDescent="0.25">
      <c r="A84" s="2012" t="s">
        <v>2130</v>
      </c>
      <c r="B84" s="130"/>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791"/>
    </row>
    <row r="85" spans="1:28" ht="15" customHeight="1" x14ac:dyDescent="0.25">
      <c r="A85" s="545"/>
      <c r="B85" s="2640" t="s">
        <v>651</v>
      </c>
      <c r="C85" s="2643" t="s">
        <v>701</v>
      </c>
      <c r="D85" s="2644"/>
      <c r="E85" s="2644"/>
      <c r="F85" s="2621" t="s">
        <v>702</v>
      </c>
      <c r="G85" s="2623"/>
      <c r="H85" s="852"/>
      <c r="I85" s="2637" t="s">
        <v>880</v>
      </c>
      <c r="J85" s="2645"/>
      <c r="K85" s="827"/>
      <c r="L85" s="2627" t="s">
        <v>703</v>
      </c>
      <c r="M85" s="2647"/>
      <c r="N85" s="2647"/>
      <c r="O85" s="2647"/>
      <c r="P85" s="2647"/>
      <c r="Q85" s="2647"/>
      <c r="R85" s="2647"/>
      <c r="S85" s="2648"/>
      <c r="T85" s="827"/>
      <c r="U85" s="2628" t="s">
        <v>632</v>
      </c>
      <c r="V85" s="2628"/>
      <c r="W85" s="2628"/>
      <c r="X85" s="2628"/>
      <c r="Y85" s="2628"/>
      <c r="Z85" s="2628"/>
      <c r="AA85" s="2629"/>
      <c r="AB85" s="544"/>
    </row>
    <row r="86" spans="1:28" ht="30" customHeight="1" x14ac:dyDescent="0.3">
      <c r="A86" s="545"/>
      <c r="B86" s="2641"/>
      <c r="C86" s="2625" t="s">
        <v>688</v>
      </c>
      <c r="D86" s="2649"/>
      <c r="E86" s="2649"/>
      <c r="F86" s="2624" t="s">
        <v>688</v>
      </c>
      <c r="G86" s="2625"/>
      <c r="H86" s="852"/>
      <c r="I86" s="2639"/>
      <c r="J86" s="2646"/>
      <c r="K86" s="830"/>
      <c r="L86" s="2630" t="s">
        <v>765</v>
      </c>
      <c r="M86" s="2631"/>
      <c r="N86" s="524"/>
      <c r="O86" s="2650" t="s">
        <v>724</v>
      </c>
      <c r="P86" s="2650"/>
      <c r="Q86" s="2650" t="s">
        <v>1523</v>
      </c>
      <c r="R86" s="2650"/>
      <c r="S86" s="2624"/>
      <c r="T86" s="830"/>
      <c r="U86" s="2612" t="s">
        <v>704</v>
      </c>
      <c r="V86" s="2613"/>
      <c r="W86" s="2613"/>
      <c r="X86" s="2613"/>
      <c r="Y86" s="2613" t="s">
        <v>724</v>
      </c>
      <c r="Z86" s="2613"/>
      <c r="AA86" s="2614"/>
      <c r="AB86" s="544"/>
    </row>
    <row r="87" spans="1:28" ht="45" customHeight="1" x14ac:dyDescent="0.25">
      <c r="A87" s="545"/>
      <c r="B87" s="2642"/>
      <c r="C87" s="1086" t="s">
        <v>692</v>
      </c>
      <c r="D87" s="1102" t="s">
        <v>41</v>
      </c>
      <c r="E87" s="1102" t="s">
        <v>686</v>
      </c>
      <c r="F87" s="1087" t="s">
        <v>692</v>
      </c>
      <c r="G87" s="1087" t="s">
        <v>41</v>
      </c>
      <c r="H87" s="834"/>
      <c r="I87" s="1102" t="s">
        <v>692</v>
      </c>
      <c r="J87" s="1093" t="s">
        <v>41</v>
      </c>
      <c r="K87" s="1089"/>
      <c r="L87" s="1086" t="s">
        <v>727</v>
      </c>
      <c r="M87" s="1087" t="s">
        <v>728</v>
      </c>
      <c r="N87" s="832"/>
      <c r="O87" s="1087" t="s">
        <v>727</v>
      </c>
      <c r="P87" s="1087" t="s">
        <v>728</v>
      </c>
      <c r="Q87" s="1087" t="s">
        <v>524</v>
      </c>
      <c r="R87" s="1087" t="s">
        <v>702</v>
      </c>
      <c r="S87" s="1088" t="s">
        <v>729</v>
      </c>
      <c r="T87" s="1089"/>
      <c r="U87" s="1086" t="s">
        <v>727</v>
      </c>
      <c r="V87" s="1087" t="s">
        <v>728</v>
      </c>
      <c r="W87" s="832"/>
      <c r="X87" s="1087" t="s">
        <v>1524</v>
      </c>
      <c r="Y87" s="1087" t="s">
        <v>727</v>
      </c>
      <c r="Z87" s="1087" t="s">
        <v>728</v>
      </c>
      <c r="AA87" s="1088" t="s">
        <v>1524</v>
      </c>
      <c r="AB87" s="544"/>
    </row>
    <row r="88" spans="1:28" ht="15" customHeight="1" x14ac:dyDescent="0.25">
      <c r="A88" s="545"/>
      <c r="B88" s="507" t="str">
        <f>SUBSTITUTE('Credit risk (IRB)'!$B$17, "; of which:", "")</f>
        <v>Large and mid-market general corporates</v>
      </c>
      <c r="C88" s="1230" t="str">
        <f>IF(AND('General Info'!$C$12="No", 'General Info'!$C$13="No"), 0, IF('General Info'!$C$14="No", 0, IF(AND(ISNUMBER($F$69), ISNUMBER($F$88), ISNUMBER('Credit risk (IRB)'!H17)), IF($F$69+$F$88&gt;0, $F$88/($F$69+$F$88) * 'Credit risk (IRB)'!H17, 0), "")))</f>
        <v/>
      </c>
      <c r="D88" s="1230" t="str">
        <f>IF(AND('General Info'!$C$12="No", 'General Info'!$C$13="No"), 0, IF('General Info'!$C$14="No", 0, IF(AND(ISNUMBER($F$69), ISNUMBER($F$88), ISNUMBER('Credit risk (IRB)'!L17)), IF($F$69+$F$88&gt;0, $F$88/($F$69+$F$88) * 'Credit risk (IRB)'!L17, 0), "")))</f>
        <v/>
      </c>
      <c r="E88" s="1230" t="str">
        <f>IF(AND('General Info'!$C$12="No", 'General Info'!$C$13="No"), 0, IF('General Info'!$C$14="No", 0, IF(AND(ISNUMBER($F$69), ISNUMBER($F$88), ISNUMBER('Credit risk (IRB)'!M17)), IF($F$69+$F$88&gt;0, $F$88/($F$69+$F$88) * 'Credit risk (IRB)'!M17, 0), "")))</f>
        <v/>
      </c>
      <c r="F88" s="846" t="str">
        <f>IF(OR(AND('General Info'!$C$12="No", 'General Info'!$C$13="No"), 'General Info'!$C$14="No"), 0, IF(ISNUMBER('Credit risk (IRB)'!CE17), 'Credit risk (IRB)'!CE17, ""))</f>
        <v/>
      </c>
      <c r="G88" s="846" t="str">
        <f>IF(OR(AND('General Info'!$C$12="No", 'General Info'!$C$13="No"), 'General Info'!$C$14="No"), 0, IF(ISNUMBER('Credit risk (IRB)'!CI17), 'Credit risk (IRB)'!CI17, ""))</f>
        <v/>
      </c>
      <c r="H88" s="1130"/>
      <c r="I88" s="1230" t="str">
        <f>IF(AND('General Info'!$C$12="No", 'General Info'!$C$13="No"), 0, IF('General Info'!$C$14="No", 0, IF(AND(ISNUMBER($F$69), ISNUMBER($F$88), ISNUMBER('Credit risk (IRB)'!CO17)), IF($F$69+$F$88&gt;0, $F$88/($F$69+$F$88) * 'Credit risk (IRB)'!CO17, 0), "")))</f>
        <v/>
      </c>
      <c r="J88" s="1230" t="str">
        <f>IF(AND('General Info'!$C$12="No", 'General Info'!$C$13="No"), 0, IF('General Info'!$C$14="No", 0, IF(AND(ISNUMBER($F$69), ISNUMBER($F$88), ISNUMBER('Credit risk (IRB)'!CQ17)), IF($F$69+$F$88&gt;0, $F$88/($F$69+$F$88) * 'Credit risk (IRB)'!CQ17, 0), "")))</f>
        <v/>
      </c>
      <c r="K88" s="1089"/>
      <c r="L88" s="903" t="str">
        <f>IF(AND(ISNUMBER(C88), ISNUMBER(F88)), IF(C88&lt;&gt;0, ((F88-C88)/C88), "EAD=0"), "")</f>
        <v/>
      </c>
      <c r="M88" s="904" t="str">
        <f>IF(AND(ISNUMBER(D88), ISNUMBER(G88)), IF(D88&lt;&gt;0, ((G88-D88)/D88), "RWA=0"), "")</f>
        <v/>
      </c>
      <c r="N88" s="825"/>
      <c r="O88" s="904" t="str">
        <f>IF(AND(ISNUMBER(F88), ISNUMBER(I88)), IF(F88&lt;&gt;0, ((I88-F88)/F88), "EAD=0"), "")</f>
        <v/>
      </c>
      <c r="P88" s="904" t="str">
        <f>IF(AND(ISNUMBER(G88), ISNUMBER(J88)), IF(G88&lt;&gt;0, ((J88-G88)/G88), "RWA=0"), "")</f>
        <v/>
      </c>
      <c r="Q88" s="904" t="str">
        <f>IF(AND(ISNUMBER(C88), ISNUMBER(D88)), IF(C88&lt;&gt;0, (D88/C88), "EAD,RWA=0"), "")</f>
        <v/>
      </c>
      <c r="R88" s="904" t="str">
        <f>IF(AND(ISNUMBER(F88),ISNUMBER(G88)), IF(F88&lt;&gt;0, (G88/F88), "EAD,RWA=0"), "")</f>
        <v/>
      </c>
      <c r="S88" s="905" t="str">
        <f>IF(AND(ISNUMBER(I88), ISNUMBER(J88)), IF(I88&lt;&gt;0, (J88/I88), "EAD,RWA=0"), "")</f>
        <v/>
      </c>
      <c r="T88" s="1089"/>
      <c r="U88" s="818" t="str">
        <f>IF(ISNUMBER(L88), IF(ABS(L88)&gt;=0.5,"Error: diff above 50%", IF(ABS(L88)&gt;=0.3, "Warning: diff 30–50%", "Diff below 30%")),"")</f>
        <v/>
      </c>
      <c r="V88" s="819" t="str">
        <f>IF(ISNUMBER(M88), IF(ABS(M88)&gt;=0.5,"Error: diff above 50%", IF(ABS(M88)&gt;=0.3, "Warning: diff 30–50%", "Diff below 30%")),"")</f>
        <v/>
      </c>
      <c r="W88" s="825"/>
      <c r="X88" s="819" t="str">
        <f>IF(AND(AND(ISNUMBER(Q88), ISNUMBER(R88)), AND(Q88&lt;&gt;0, R88&lt;&gt;0)), IF(R88/Q88&gt;1.5, "Error: RW increase &gt; 50%", IF(R88/Q88&gt;=1.25, "Warning: RW increase 25–50%", IF(R88/Q88&gt;=0.9, "RW change -10% to +25%", IF(R88/Q88&gt;=0.8,"Warning: RW decrease 10–20%", "Error: RW decrease &gt; 20%")))), "")</f>
        <v/>
      </c>
      <c r="Y88" s="819" t="str">
        <f>IF(ISNUMBER(O88), IF(ABS(O88)&gt;0.5, "Error: diff above 50%", IF(ABS(O88)&gt;=0.3, "Warning: diff 30–50%", "Diff below 30%")), "")</f>
        <v/>
      </c>
      <c r="Z88" s="819" t="str">
        <f>IF(ISNUMBER(P88), IF(ABS(P88)&gt;0.5, "Error: diff above 50%", IF(ABS(P88)&gt;=0.3, "Warning: diff 30–50%", "Diff below 30%")), "")</f>
        <v/>
      </c>
      <c r="AA88" s="1143" t="str">
        <f>IF(AND(AND(ISNUMBER(R88), ISNUMBER(S88)), AND(R88&lt;&gt;0, S88&lt;&gt;0)), IF(S88/R88&gt;1.5, "Error: RW increase &gt; 50%", IF(S88/R88&gt;=1.25, "Warning: RW increase 25–50%", IF(S88/R88&gt;=0.9, "RW change -10% to +25%", IF(S88/R88&gt;=0.8, "Warning: RW decrease 10–20%", "Error: RW decrease &gt; 20%")))), "")</f>
        <v/>
      </c>
      <c r="AB88" s="544"/>
    </row>
    <row r="89" spans="1:28" ht="15" customHeight="1" x14ac:dyDescent="0.25">
      <c r="A89" s="545"/>
      <c r="B89" s="507" t="str">
        <f>SUBSTITUTE('Credit risk (IRB)'!$B$20, "; of which:", "")</f>
        <v>Specialised lending</v>
      </c>
      <c r="C89" s="1231" t="str">
        <f>IF(AND('General Info'!$C$12="No",'General Info'!$C$13="No"), 0, IF('General Info'!$C$14="No", 0, IF(AND(ISNUMBER($F$70),ISNUMBER($F$89),ISNUMBER('Credit risk (IRB)'!H20)),IF($F$70+$F$89&gt;0,$F$89/($F$70+$F$89)*'Credit risk (IRB)'!H20, 0), "")))</f>
        <v/>
      </c>
      <c r="D89" s="1231" t="str">
        <f>IF(AND('General Info'!$C$12="No",'General Info'!$C$13="No"), 0, IF('General Info'!$C$14="No", 0, IF(AND(ISNUMBER($F$70),ISNUMBER($F$89),ISNUMBER('Credit risk (IRB)'!L20)),IF($F$70+$F$89&gt;0,$F$89/($F$70+$F$89)*'Credit risk (IRB)'!L20, 0), "")))</f>
        <v/>
      </c>
      <c r="E89" s="1231" t="str">
        <f>IF(AND('General Info'!$C$12="No",'General Info'!$C$13="No"), 0, IF('General Info'!$C$14="No", 0, IF(AND(ISNUMBER($F$70),ISNUMBER($F$89),ISNUMBER('Credit risk (IRB)'!M20)),IF($F$70+$F$89&gt;0,$F$89/($F$70+$F$89)*'Credit risk (IRB)'!M20, 0), "")))</f>
        <v/>
      </c>
      <c r="F89" s="580" t="str">
        <f>IF(OR(AND('General Info'!$C$12="No", 'General Info'!$C$13="No"), 'General Info'!$C$14="No"), 0, IF(ISNUMBER('Credit risk (IRB)'!CE20), 'Credit risk (IRB)'!CE20, ""))</f>
        <v/>
      </c>
      <c r="G89" s="580" t="str">
        <f>IF(OR(AND('General Info'!$C$12="No", 'General Info'!$C$13="No"), 'General Info'!$C$14="No"), 0, IF(ISNUMBER('Credit risk (IRB)'!CI20), 'Credit risk (IRB)'!CI20, ""))</f>
        <v/>
      </c>
      <c r="H89" s="1132"/>
      <c r="I89" s="1231" t="str">
        <f>IF(AND('General Info'!$C$12="No",'General Info'!$C$13="No"), 0, IF('General Info'!$C$14="No", 0, IF(AND(ISNUMBER($F$70),ISNUMBER($F$89),ISNUMBER('Credit risk (IRB)'!CO20)),IF($F$70+$F$89&gt;0,$F$89/($F$70+$F$89)*'Credit risk (IRB)'!CO20, 0), "")))</f>
        <v/>
      </c>
      <c r="J89" s="1231" t="str">
        <f>IF(AND('General Info'!$C$12="No",'General Info'!$C$13="No"), 0, IF('General Info'!$C$14="No", 0, IF(AND(ISNUMBER($F$70),ISNUMBER($F$89),ISNUMBER('Credit risk (IRB)'!CQ20)),IF($F$70+$F$89&gt;0,$F$89/($F$70+$F$89)*'Credit risk (IRB)'!CQ20, 0), "")))</f>
        <v/>
      </c>
      <c r="K89" s="1089"/>
      <c r="L89" s="906" t="str">
        <f t="shared" ref="L89:L103" si="52">IF(AND(ISNUMBER(C89), ISNUMBER(F89)), IF(C89&lt;&gt;0, ((F89-C89)/C89), "EAD=0"), "")</f>
        <v/>
      </c>
      <c r="M89" s="907" t="str">
        <f t="shared" ref="M89:M103" si="53">IF(AND(ISNUMBER(D89), ISNUMBER(G89)), IF(D89&lt;&gt;0, ((G89-D89)/D89), "RWA=0"), "")</f>
        <v/>
      </c>
      <c r="N89" s="483"/>
      <c r="O89" s="907" t="str">
        <f t="shared" ref="O89:O103" si="54">IF(AND(ISNUMBER(F89), ISNUMBER(I89)), IF(F89&lt;&gt;0, ((I89-F89)/F89), "EAD=0"), "")</f>
        <v/>
      </c>
      <c r="P89" s="907" t="str">
        <f t="shared" ref="P89:P103" si="55">IF(AND(ISNUMBER(G89), ISNUMBER(J89)), IF(G89&lt;&gt;0, ((J89-G89)/G89), "RWA=0"), "")</f>
        <v/>
      </c>
      <c r="Q89" s="907" t="str">
        <f t="shared" ref="Q89:Q103" si="56">IF(AND(ISNUMBER(C89), ISNUMBER(D89)), IF(C89&lt;&gt;0, (D89/C89), "EAD,RWA=0"), "")</f>
        <v/>
      </c>
      <c r="R89" s="907" t="str">
        <f t="shared" ref="R89:R103" si="57">IF(AND(ISNUMBER(F89),ISNUMBER(G89)), IF(F89&lt;&gt;0, (G89/F89), "EAD,RWA=0"), "")</f>
        <v/>
      </c>
      <c r="S89" s="908" t="str">
        <f t="shared" ref="S89:S103" si="58">IF(AND(ISNUMBER(I89), ISNUMBER(J89)), IF(I89&lt;&gt;0, (J89/I89), "EAD,RWA=0"), "")</f>
        <v/>
      </c>
      <c r="T89" s="1089"/>
      <c r="U89" s="794" t="str">
        <f t="shared" ref="U89:U103" si="59">IF(ISNUMBER(L89), IF(ABS(L89)&gt;=0.5,"Error: diff above 50%", IF(ABS(L89)&gt;=0.3, "Warning: diff 30–50%", "Diff below 30%")),"")</f>
        <v/>
      </c>
      <c r="V89" s="808" t="str">
        <f t="shared" ref="V89:V103" si="60">IF(ISNUMBER(M89), IF(ABS(M89)&gt;=0.5,"Error: diff above 50%", IF(ABS(M89)&gt;=0.3, "Warning: diff 30–50%", "Diff below 30%")),"")</f>
        <v/>
      </c>
      <c r="W89" s="483"/>
      <c r="X89" s="808" t="str">
        <f t="shared" ref="X89:X103" si="61">IF(AND(AND(ISNUMBER(Q89), ISNUMBER(R89)), AND(Q89&lt;&gt;0, R89&lt;&gt;0)), IF(R89/Q89&gt;1.5, "Error: RW increase &gt; 50%", IF(R89/Q89&gt;=1.25, "Warning: RW increase 25–50%", IF(R89/Q89&gt;=0.9, "RW change -10% to +25%", IF(R89/Q89&gt;=0.8,"Warning: RW decrease 10–20%", "Error: RW decrease &gt; 20%")))), "")</f>
        <v/>
      </c>
      <c r="Y89" s="808" t="str">
        <f t="shared" ref="Y89:Y103" si="62">IF(ISNUMBER(O89), IF(ABS(O89)&gt;0.5, "Error: diff above 50%", IF(ABS(O89)&gt;=0.3, "Warning: diff 30–50%", "Diff below 30%")), "")</f>
        <v/>
      </c>
      <c r="Z89" s="808" t="str">
        <f t="shared" ref="Z89:Z103" si="63">IF(ISNUMBER(P89), IF(ABS(P89)&gt;0.5, "Error: diff above 50%", IF(ABS(P89)&gt;=0.3, "Warning: diff 30–50%", "Diff below 30%")), "")</f>
        <v/>
      </c>
      <c r="AA89" s="795" t="str">
        <f t="shared" ref="AA89:AA103" si="64">IF(AND(AND(ISNUMBER(R89), ISNUMBER(S89)), AND(R89&lt;&gt;0, S89&lt;&gt;0)), IF(S89/R89&gt;1.5, "Error: RW increase &gt; 50%", IF(S89/R89&gt;=1.25, "Warning: RW increase 25–50%", IF(S89/R89&gt;=0.9, "RW change -10% to +25%", IF(S89/R89&gt;=0.8, "Warning: RW decrease 10–20%", "Error: RW decrease &gt; 20%")))), "")</f>
        <v/>
      </c>
      <c r="AB89" s="544"/>
    </row>
    <row r="90" spans="1:28" ht="15" customHeight="1" x14ac:dyDescent="0.25">
      <c r="A90" s="545"/>
      <c r="B90" s="507" t="str">
        <f>'Credit risk (IRB)'!$B$36</f>
        <v>SME treated as corporate</v>
      </c>
      <c r="C90" s="1231" t="str">
        <f>IF(AND('General Info'!$C$12="No", 'General Info'!$C$13="No"), 0, IF('General Info'!$C$14="No", 0, IF(AND(ISNUMBER($F$71), ISNUMBER($F$90), ISNUMBER('Credit risk (IRB)'!H36)), IF($F$71+$F$90&gt;0, $F$90/($F$71+$F$90) * 'Credit risk (IRB)'!H36, 0), "")))</f>
        <v/>
      </c>
      <c r="D90" s="1231" t="str">
        <f>IF(AND('General Info'!$C$12="No", 'General Info'!$C$13="No"), 0, IF('General Info'!$C$14="No", 0, IF(AND(ISNUMBER($F$71), ISNUMBER($F$90), ISNUMBER('Credit risk (IRB)'!L36)), IF($F$71+$F$90&gt;0, $F$90/($F$71+$F$90) * 'Credit risk (IRB)'!L36, 0), "")))</f>
        <v/>
      </c>
      <c r="E90" s="1231" t="str">
        <f>IF(AND('General Info'!$C$12="No", 'General Info'!$C$13="No"), 0, IF('General Info'!$C$14="No", 0, IF(AND(ISNUMBER($F$71), ISNUMBER($F$90), ISNUMBER('Credit risk (IRB)'!M36)), IF($F$71+$F$90&gt;0, $F$90/($F$71+$F$90) * 'Credit risk (IRB)'!M36, 0), "")))</f>
        <v/>
      </c>
      <c r="F90" s="580" t="str">
        <f>IF(OR(AND('General Info'!$C$12="No", 'General Info'!$C$13="No"), 'General Info'!$C$14="No"), 0, IF(ISNUMBER('Credit risk (IRB)'!CE36), 'Credit risk (IRB)'!CE36, ""))</f>
        <v/>
      </c>
      <c r="G90" s="580" t="str">
        <f>IF(OR(AND('General Info'!$C$12="No", 'General Info'!$C$13="No"), 'General Info'!$C$14="No"), 0, IF(ISNUMBER('Credit risk (IRB)'!CI36), 'Credit risk (IRB)'!CI36, ""))</f>
        <v/>
      </c>
      <c r="H90" s="1132"/>
      <c r="I90" s="1231" t="str">
        <f>IF(AND('General Info'!$C$12="No", 'General Info'!$C$13="No"), 0, IF('General Info'!$C$14="No", 0, IF(AND(ISNUMBER($F$71), ISNUMBER($F$90), ISNUMBER('Credit risk (IRB)'!CO36)), IF($F$71+$F$90&gt;0, $F$90/($F$71+$F$90) * 'Credit risk (IRB)'!CO36, 0), "")))</f>
        <v/>
      </c>
      <c r="J90" s="1231" t="str">
        <f>IF(AND('General Info'!$C$12="No", 'General Info'!$C$13="No"), 0, IF('General Info'!$C$14="No", 0, IF(AND(ISNUMBER($F$71), ISNUMBER($F$90), ISNUMBER('Credit risk (IRB)'!CQ36)), IF($F$71+$F$90&gt;0, $F$90/($F$71+$F$90) * 'Credit risk (IRB)'!CQ36, 0), "")))</f>
        <v/>
      </c>
      <c r="K90" s="1089"/>
      <c r="L90" s="906" t="str">
        <f t="shared" si="52"/>
        <v/>
      </c>
      <c r="M90" s="907" t="str">
        <f t="shared" si="53"/>
        <v/>
      </c>
      <c r="N90" s="483"/>
      <c r="O90" s="907" t="str">
        <f t="shared" si="54"/>
        <v/>
      </c>
      <c r="P90" s="907" t="str">
        <f t="shared" si="55"/>
        <v/>
      </c>
      <c r="Q90" s="907" t="str">
        <f t="shared" si="56"/>
        <v/>
      </c>
      <c r="R90" s="907" t="str">
        <f t="shared" si="57"/>
        <v/>
      </c>
      <c r="S90" s="908" t="str">
        <f t="shared" si="58"/>
        <v/>
      </c>
      <c r="T90" s="1089"/>
      <c r="U90" s="794" t="str">
        <f t="shared" si="59"/>
        <v/>
      </c>
      <c r="V90" s="808" t="str">
        <f t="shared" si="60"/>
        <v/>
      </c>
      <c r="W90" s="483"/>
      <c r="X90" s="808" t="str">
        <f t="shared" si="61"/>
        <v/>
      </c>
      <c r="Y90" s="808" t="str">
        <f t="shared" si="62"/>
        <v/>
      </c>
      <c r="Z90" s="808" t="str">
        <f t="shared" si="63"/>
        <v/>
      </c>
      <c r="AA90" s="795" t="str">
        <f t="shared" si="64"/>
        <v/>
      </c>
      <c r="AB90" s="544"/>
    </row>
    <row r="91" spans="1:28" ht="15" customHeight="1" x14ac:dyDescent="0.25">
      <c r="A91" s="545"/>
      <c r="B91" s="507" t="str">
        <f>'Credit risk (IRB)'!$B$37</f>
        <v>Financial institutions treated as corporates</v>
      </c>
      <c r="C91" s="1231" t="str">
        <f>IF(AND('General Info'!$C$12="No", 'General Info'!$C$13="No"), 0, IF('General Info'!$C$14="No", 0, IF(AND(ISNUMBER($F$72), ISNUMBER($F$91), ISNUMBER('Credit risk (IRB)'!H37)), IF($F$72+$F$91&gt;0, $F$91/($F$72+$F$91) * 'Credit risk (IRB)'!H37, 0),"")))</f>
        <v/>
      </c>
      <c r="D91" s="1231" t="str">
        <f>IF(AND('General Info'!$C$12="No", 'General Info'!$C$13="No"), 0, IF('General Info'!$C$14="No", 0, IF(AND(ISNUMBER($F$72), ISNUMBER($F$91), ISNUMBER('Credit risk (IRB)'!L37)), IF($F$72+$F$91&gt;0, $F$91/($F$72+$F$91) * 'Credit risk (IRB)'!L37, 0),"")))</f>
        <v/>
      </c>
      <c r="E91" s="1231" t="str">
        <f>IF(AND('General Info'!$C$12="No", 'General Info'!$C$13="No"), 0, IF('General Info'!$C$14="No", 0, IF(AND(ISNUMBER($F$72), ISNUMBER($F$91), ISNUMBER('Credit risk (IRB)'!M37)), IF($F$72+$F$91&gt;0, $F$91/($F$72+$F$91) * 'Credit risk (IRB)'!M37, 0),"")))</f>
        <v/>
      </c>
      <c r="F91" s="580" t="str">
        <f>IF(OR(AND('General Info'!$C$12="No", 'General Info'!$C$13="No"), 'General Info'!$C$14="No"), 0, IF(ISNUMBER('Credit risk (IRB)'!CE37), 'Credit risk (IRB)'!CE37, ""))</f>
        <v/>
      </c>
      <c r="G91" s="580" t="str">
        <f>IF(OR(AND('General Info'!$C$12="No", 'General Info'!$C$13="No"), 'General Info'!$C$14="No"), 0, IF(ISNUMBER('Credit risk (IRB)'!CI37), 'Credit risk (IRB)'!CI37, ""))</f>
        <v/>
      </c>
      <c r="H91" s="1132"/>
      <c r="I91" s="1231" t="str">
        <f>IF(AND('General Info'!$C$12="No", 'General Info'!$C$13="No"), 0, IF('General Info'!$C$14="No", 0, IF(AND(ISNUMBER($F$72), ISNUMBER($F$91), ISNUMBER('Credit risk (IRB)'!CO37)), IF($F$72+$F$91&gt;0, $F$91/($F$72+$F$91) * 'Credit risk (IRB)'!CO37, 0),"")))</f>
        <v/>
      </c>
      <c r="J91" s="1231" t="str">
        <f>IF(AND('General Info'!$C$12="No", 'General Info'!$C$13="No"), 0, IF('General Info'!$C$14="No", 0, IF(AND(ISNUMBER($F$72), ISNUMBER($F$91), ISNUMBER('Credit risk (IRB)'!CQ37)), IF($F$72+$F$91&gt;0, $F$91/($F$72+$F$91) * 'Credit risk (IRB)'!CQ37, 0),"")))</f>
        <v/>
      </c>
      <c r="K91" s="1089"/>
      <c r="L91" s="906" t="str">
        <f t="shared" si="52"/>
        <v/>
      </c>
      <c r="M91" s="907" t="str">
        <f t="shared" si="53"/>
        <v/>
      </c>
      <c r="N91" s="483"/>
      <c r="O91" s="907" t="str">
        <f t="shared" si="54"/>
        <v/>
      </c>
      <c r="P91" s="907" t="str">
        <f t="shared" si="55"/>
        <v/>
      </c>
      <c r="Q91" s="907" t="str">
        <f t="shared" si="56"/>
        <v/>
      </c>
      <c r="R91" s="907" t="str">
        <f t="shared" si="57"/>
        <v/>
      </c>
      <c r="S91" s="908" t="str">
        <f t="shared" si="58"/>
        <v/>
      </c>
      <c r="T91" s="1089"/>
      <c r="U91" s="794" t="str">
        <f t="shared" si="59"/>
        <v/>
      </c>
      <c r="V91" s="808" t="str">
        <f t="shared" si="60"/>
        <v/>
      </c>
      <c r="W91" s="483"/>
      <c r="X91" s="808" t="str">
        <f t="shared" si="61"/>
        <v/>
      </c>
      <c r="Y91" s="808" t="str">
        <f t="shared" si="62"/>
        <v/>
      </c>
      <c r="Z91" s="808" t="str">
        <f t="shared" si="63"/>
        <v/>
      </c>
      <c r="AA91" s="795" t="str">
        <f t="shared" si="64"/>
        <v/>
      </c>
      <c r="AB91" s="544"/>
    </row>
    <row r="92" spans="1:28" ht="15" customHeight="1" x14ac:dyDescent="0.25">
      <c r="A92" s="545"/>
      <c r="B92" s="507" t="str">
        <f>'Credit risk (IRB)'!$B$38</f>
        <v>Sovereigns</v>
      </c>
      <c r="C92" s="1231" t="str">
        <f>IF(AND('General Info'!$C$12="No", 'General Info'!$C$13="No"), 0,IF('General Info'!$C$14="No", 0,IF(AND(ISNUMBER($F$73), ISNUMBER($F$92), ISNUMBER('Credit risk (IRB)'!H38)), IF($F$73+$F$92&gt;0, $F$92/($F$73+$F$92) * 'Credit risk (IRB)'!H38, 0),"")))</f>
        <v/>
      </c>
      <c r="D92" s="1231" t="str">
        <f>IF(AND('General Info'!$C$12="No", 'General Info'!$C$13="No"), 0,IF('General Info'!$C$14="No", 0,IF(AND(ISNUMBER($F$73), ISNUMBER($F$92), ISNUMBER('Credit risk (IRB)'!L38)), IF($F$73+$F$92&gt;0, $F$92/($F$73+$F$92) * 'Credit risk (IRB)'!L38, 0),"")))</f>
        <v/>
      </c>
      <c r="E92" s="1231" t="str">
        <f>IF(AND('General Info'!$C$12="No", 'General Info'!$C$13="No"), 0,IF('General Info'!$C$14="No", 0,IF(AND(ISNUMBER($F$73), ISNUMBER($F$92), ISNUMBER('Credit risk (IRB)'!M38)), IF($F$73+$F$92&gt;0, $F$92/($F$73+$F$92) * 'Credit risk (IRB)'!M38, 0),"")))</f>
        <v/>
      </c>
      <c r="F92" s="580" t="str">
        <f>IF(OR(AND('General Info'!$C$12="No", 'General Info'!$C$13="No"), 'General Info'!$C$14="No"), 0, IF(ISNUMBER('Credit risk (IRB)'!CE38), 'Credit risk (IRB)'!CE38, ""))</f>
        <v/>
      </c>
      <c r="G92" s="580" t="str">
        <f>IF(OR(AND('General Info'!$C$12="No", 'General Info'!$C$13="No"), 'General Info'!$C$14="No"), 0, IF(ISNUMBER('Credit risk (IRB)'!CI38), 'Credit risk (IRB)'!CI38, ""))</f>
        <v/>
      </c>
      <c r="H92" s="1132"/>
      <c r="I92" s="1231" t="str">
        <f>IF(AND('General Info'!$C$12="No", 'General Info'!$C$13="No"), 0,IF('General Info'!$C$14="No", 0,IF(AND(ISNUMBER($F$73), ISNUMBER($F$92), ISNUMBER('Credit risk (IRB)'!CO38)), IF($F$73+$F$92&gt;0, $F$92/($F$73+$F$92) * 'Credit risk (IRB)'!CO38, 0),"")))</f>
        <v/>
      </c>
      <c r="J92" s="1231" t="str">
        <f>IF(AND('General Info'!$C$12="No", 'General Info'!$C$13="No"), 0,IF('General Info'!$C$14="No", 0,IF(AND(ISNUMBER($F$73), ISNUMBER($F$92), ISNUMBER('Credit risk (IRB)'!CQ38)), IF($F$73+$F$92&gt;0, $F$92/($F$73+$F$92) * 'Credit risk (IRB)'!CQ38, 0),"")))</f>
        <v/>
      </c>
      <c r="K92" s="1089"/>
      <c r="L92" s="906" t="str">
        <f t="shared" si="52"/>
        <v/>
      </c>
      <c r="M92" s="907" t="str">
        <f t="shared" si="53"/>
        <v/>
      </c>
      <c r="N92" s="483"/>
      <c r="O92" s="907" t="str">
        <f t="shared" si="54"/>
        <v/>
      </c>
      <c r="P92" s="907" t="str">
        <f t="shared" si="55"/>
        <v/>
      </c>
      <c r="Q92" s="907" t="str">
        <f t="shared" si="56"/>
        <v/>
      </c>
      <c r="R92" s="907" t="str">
        <f t="shared" si="57"/>
        <v/>
      </c>
      <c r="S92" s="908" t="str">
        <f t="shared" si="58"/>
        <v/>
      </c>
      <c r="T92" s="1089"/>
      <c r="U92" s="794" t="str">
        <f t="shared" si="59"/>
        <v/>
      </c>
      <c r="V92" s="808" t="str">
        <f t="shared" si="60"/>
        <v/>
      </c>
      <c r="W92" s="483"/>
      <c r="X92" s="808" t="str">
        <f t="shared" si="61"/>
        <v/>
      </c>
      <c r="Y92" s="808" t="str">
        <f t="shared" si="62"/>
        <v/>
      </c>
      <c r="Z92" s="808" t="str">
        <f t="shared" si="63"/>
        <v/>
      </c>
      <c r="AA92" s="795" t="str">
        <f t="shared" si="64"/>
        <v/>
      </c>
      <c r="AB92" s="544"/>
    </row>
    <row r="93" spans="1:28" ht="15" customHeight="1" x14ac:dyDescent="0.25">
      <c r="A93" s="545"/>
      <c r="B93" s="507" t="str">
        <f>'Credit risk (IRB)'!$B$39</f>
        <v>Banks</v>
      </c>
      <c r="C93" s="1231" t="str">
        <f>IF(AND('General Info'!$C$12="No", 'General Info'!$C$13="No"), 0, IF('General Info'!$C$14="No", 0, IF(AND(ISNUMBER($F$74), ISNUMBER($F$93), ISNUMBER('Credit risk (IRB)'!H39)), IF($F$74+$F$93&gt;0, $F$93/($F$74+$F$93) * 'Credit risk (IRB)'!H39, 0),"")))</f>
        <v/>
      </c>
      <c r="D93" s="1231" t="str">
        <f>IF(AND('General Info'!$C$12="No", 'General Info'!$C$13="No"), 0, IF('General Info'!$C$14="No", 0, IF(AND(ISNUMBER($F$74), ISNUMBER($F$93), ISNUMBER('Credit risk (IRB)'!L39)), IF($F$74+$F$93&gt;0, $F$93/($F$74+$F$93) * 'Credit risk (IRB)'!L39, 0),"")))</f>
        <v/>
      </c>
      <c r="E93" s="1231" t="str">
        <f>IF(AND('General Info'!$C$12="No", 'General Info'!$C$13="No"), 0, IF('General Info'!$C$14="No", 0, IF(AND(ISNUMBER($F$74), ISNUMBER($F$93), ISNUMBER('Credit risk (IRB)'!M39)), IF($F$74+$F$93&gt;0, $F$93/($F$74+$F$93) * 'Credit risk (IRB)'!M39, 0),"")))</f>
        <v/>
      </c>
      <c r="F93" s="580" t="str">
        <f>IF(OR(AND('General Info'!$C$12="No", 'General Info'!$C$13="No"), 'General Info'!$C$14="No"), 0, IF(ISNUMBER('Credit risk (IRB)'!CE39), 'Credit risk (IRB)'!CE39, ""))</f>
        <v/>
      </c>
      <c r="G93" s="580" t="str">
        <f>IF(OR(AND('General Info'!$C$12="No", 'General Info'!$C$13="No"), 'General Info'!$C$14="No"), 0, IF(ISNUMBER('Credit risk (IRB)'!CI39), 'Credit risk (IRB)'!CI39, ""))</f>
        <v/>
      </c>
      <c r="H93" s="1131"/>
      <c r="I93" s="1231" t="str">
        <f>IF(AND('General Info'!$C$12="No", 'General Info'!$C$13="No"), 0, IF('General Info'!$C$14="No", 0, IF(AND(ISNUMBER($F$74), ISNUMBER($F$93), ISNUMBER('Credit risk (IRB)'!CO39)), IF($F$74+$F$93&gt;0, $F$93/($F$74+$F$93) * 'Credit risk (IRB)'!CO39, 0),"")))</f>
        <v/>
      </c>
      <c r="J93" s="1231" t="str">
        <f>IF(AND('General Info'!$C$12="No", 'General Info'!$C$13="No"), 0, IF('General Info'!$C$14="No", 0, IF(AND(ISNUMBER($F$74), ISNUMBER($F$93), ISNUMBER('Credit risk (IRB)'!CQ39)), IF($F$74+$F$93&gt;0, $F$93/($F$74+$F$93) * 'Credit risk (IRB)'!CQ39, 0),"")))</f>
        <v/>
      </c>
      <c r="K93" s="1089"/>
      <c r="L93" s="906" t="str">
        <f t="shared" si="52"/>
        <v/>
      </c>
      <c r="M93" s="907" t="str">
        <f t="shared" si="53"/>
        <v/>
      </c>
      <c r="N93" s="483"/>
      <c r="O93" s="907" t="str">
        <f t="shared" si="54"/>
        <v/>
      </c>
      <c r="P93" s="907" t="str">
        <f t="shared" si="55"/>
        <v/>
      </c>
      <c r="Q93" s="907" t="str">
        <f t="shared" si="56"/>
        <v/>
      </c>
      <c r="R93" s="907" t="str">
        <f t="shared" si="57"/>
        <v/>
      </c>
      <c r="S93" s="908" t="str">
        <f t="shared" si="58"/>
        <v/>
      </c>
      <c r="T93" s="1089"/>
      <c r="U93" s="794" t="str">
        <f t="shared" si="59"/>
        <v/>
      </c>
      <c r="V93" s="808" t="str">
        <f t="shared" si="60"/>
        <v/>
      </c>
      <c r="W93" s="483"/>
      <c r="X93" s="808" t="str">
        <f t="shared" si="61"/>
        <v/>
      </c>
      <c r="Y93" s="808" t="str">
        <f t="shared" si="62"/>
        <v/>
      </c>
      <c r="Z93" s="808" t="str">
        <f t="shared" si="63"/>
        <v/>
      </c>
      <c r="AA93" s="795" t="str">
        <f t="shared" si="64"/>
        <v/>
      </c>
      <c r="AB93" s="544"/>
    </row>
    <row r="94" spans="1:28" ht="15" customHeight="1" x14ac:dyDescent="0.25">
      <c r="A94" s="545"/>
      <c r="B94" s="507" t="str">
        <f>'Credit risk (IRB)'!$B$40</f>
        <v>Retail residential mortgages</v>
      </c>
      <c r="C94" s="1231" t="str">
        <f>IF(AND('General Info'!$C$12="No", 'General Info'!$C$13="No"), 0, IF('General Info'!$C$14="No", 0, IF(AND(ISNUMBER($F$75), ISNUMBER($F$94), ISNUMBER('Credit risk (IRB)'!H40)), IF($F$75+$F$94&gt;0, $F$94/($F$75+$F$94) * 'Credit risk (IRB)'!H40, 0),"")))</f>
        <v/>
      </c>
      <c r="D94" s="1231" t="str">
        <f>IF(AND('General Info'!$C$12="No", 'General Info'!$C$13="No"), 0, IF('General Info'!$C$14="No", 0, IF(AND(ISNUMBER($F$75), ISNUMBER($F$94), ISNUMBER('Credit risk (IRB)'!L40)), IF($F$75+$F$94&gt;0, $F$94/($F$75+$F$94) * 'Credit risk (IRB)'!L40, 0),"")))</f>
        <v/>
      </c>
      <c r="E94" s="1231" t="str">
        <f>IF(AND('General Info'!$C$12="No", 'General Info'!$C$13="No"), 0, IF('General Info'!$C$14="No", 0, IF(AND(ISNUMBER($F$75), ISNUMBER($F$94), ISNUMBER('Credit risk (IRB)'!M40)), IF($F$75+$F$94&gt;0, $F$94/($F$75+$F$94) * 'Credit risk (IRB)'!M40, 0),"")))</f>
        <v/>
      </c>
      <c r="F94" s="580" t="str">
        <f>IF(OR(AND('General Info'!$C$12="No", 'General Info'!$C$13="No"), 'General Info'!$C$14="No"), 0, IF(ISNUMBER('Credit risk (IRB)'!CE40), 'Credit risk (IRB)'!CE40, ""))</f>
        <v/>
      </c>
      <c r="G94" s="580" t="str">
        <f>IF(OR(AND('General Info'!$C$12="No", 'General Info'!$C$13="No"), 'General Info'!$C$14="No"), 0, IF(ISNUMBER('Credit risk (IRB)'!CI40), 'Credit risk (IRB)'!CI40, ""))</f>
        <v/>
      </c>
      <c r="H94" s="1131"/>
      <c r="I94" s="1231" t="str">
        <f>IF(AND('General Info'!$C$12="No", 'General Info'!$C$13="No"), 0, IF('General Info'!$C$14="No", 0, IF(AND(ISNUMBER($F$75), ISNUMBER($F$94), ISNUMBER('Credit risk (IRB)'!CO40)), IF($F$75+$F$94&gt;0, $F$94/($F$75+$F$94) * 'Credit risk (IRB)'!CO40, 0),"")))</f>
        <v/>
      </c>
      <c r="J94" s="1231" t="str">
        <f>IF(AND('General Info'!$C$12="No", 'General Info'!$C$13="No"), 0, IF('General Info'!$C$14="No", 0, IF(AND(ISNUMBER($F$75), ISNUMBER($F$94), ISNUMBER('Credit risk (IRB)'!CQ40)), IF($F$75+$F$94&gt;0, $F$94/($F$75+$F$94) * 'Credit risk (IRB)'!CQ40, 0),"")))</f>
        <v/>
      </c>
      <c r="K94" s="1089"/>
      <c r="L94" s="906" t="str">
        <f t="shared" si="52"/>
        <v/>
      </c>
      <c r="M94" s="907" t="str">
        <f t="shared" si="53"/>
        <v/>
      </c>
      <c r="N94" s="483"/>
      <c r="O94" s="907" t="str">
        <f t="shared" si="54"/>
        <v/>
      </c>
      <c r="P94" s="907" t="str">
        <f t="shared" si="55"/>
        <v/>
      </c>
      <c r="Q94" s="907" t="str">
        <f t="shared" si="56"/>
        <v/>
      </c>
      <c r="R94" s="907" t="str">
        <f t="shared" si="57"/>
        <v/>
      </c>
      <c r="S94" s="908" t="str">
        <f t="shared" si="58"/>
        <v/>
      </c>
      <c r="T94" s="1089"/>
      <c r="U94" s="794" t="str">
        <f t="shared" si="59"/>
        <v/>
      </c>
      <c r="V94" s="808" t="str">
        <f t="shared" si="60"/>
        <v/>
      </c>
      <c r="W94" s="483"/>
      <c r="X94" s="808" t="str">
        <f t="shared" si="61"/>
        <v/>
      </c>
      <c r="Y94" s="808" t="str">
        <f t="shared" si="62"/>
        <v/>
      </c>
      <c r="Z94" s="808" t="str">
        <f t="shared" si="63"/>
        <v/>
      </c>
      <c r="AA94" s="795" t="str">
        <f t="shared" si="64"/>
        <v/>
      </c>
      <c r="AB94" s="544"/>
    </row>
    <row r="95" spans="1:28" ht="15" customHeight="1" x14ac:dyDescent="0.25">
      <c r="A95" s="545"/>
      <c r="B95" s="507" t="str">
        <f>SUBSTITUTE('Credit risk (IRB)'!$B$41, "; of which:", "")</f>
        <v>Qualifying revolving retail exposures</v>
      </c>
      <c r="C95" s="1231" t="str">
        <f>IF(AND('General Info'!$C$12="No", 'General Info'!$C$13="No"), 0, IF('General Info'!$C$14="No", 0, IF(AND(ISNUMBER($F$76), ISNUMBER($F$95), ISNUMBER('Credit risk (IRB)'!H41)), IF($F$76+$F$95&gt;0, $F$95/($F$76+$F$95) * 'Credit risk (IRB)'!H41, 0),"")))</f>
        <v/>
      </c>
      <c r="D95" s="1231" t="str">
        <f>IF(AND('General Info'!$C$12="No", 'General Info'!$C$13="No"), 0, IF('General Info'!$C$14="No", 0, IF(AND(ISNUMBER($F$76), ISNUMBER($F$95), ISNUMBER('Credit risk (IRB)'!L41)), IF($F$76+$F$95&gt;0, $F$95/($F$76+$F$95) * 'Credit risk (IRB)'!L41, 0),"")))</f>
        <v/>
      </c>
      <c r="E95" s="1231" t="str">
        <f>IF(AND('General Info'!$C$12="No", 'General Info'!$C$13="No"), 0, IF('General Info'!$C$14="No", 0, IF(AND(ISNUMBER($F$76), ISNUMBER($F$95), ISNUMBER('Credit risk (IRB)'!M41)), IF($F$76+$F$95&gt;0, $F$95/($F$76+$F$95) * 'Credit risk (IRB)'!M41, 0),"")))</f>
        <v/>
      </c>
      <c r="F95" s="580" t="str">
        <f>IF(OR(AND('General Info'!$C$12="No", 'General Info'!$C$13="No"), 'General Info'!$C$14="No"), 0, IF(ISNUMBER('Credit risk (IRB)'!CE41), 'Credit risk (IRB)'!CE41, ""))</f>
        <v/>
      </c>
      <c r="G95" s="580" t="str">
        <f>IF(OR(AND('General Info'!$C$12="No", 'General Info'!$C$13="No"), 'General Info'!$C$14="No"), 0, IF(ISNUMBER('Credit risk (IRB)'!CI41), 'Credit risk (IRB)'!CI41, ""))</f>
        <v/>
      </c>
      <c r="H95" s="1131"/>
      <c r="I95" s="1231" t="str">
        <f>IF(AND('General Info'!$C$12="No", 'General Info'!$C$13="No"), 0, IF('General Info'!$C$14="No", 0, IF(AND(ISNUMBER($F$76), ISNUMBER($F$95), ISNUMBER('Credit risk (IRB)'!CO41)), IF($F$76+$F$95&gt;0, $F$95/($F$76+$F$95) * 'Credit risk (IRB)'!CO41, 0),"")))</f>
        <v/>
      </c>
      <c r="J95" s="1231" t="str">
        <f>IF(AND('General Info'!$C$12="No", 'General Info'!$C$13="No"), 0, IF('General Info'!$C$14="No", 0, IF(AND(ISNUMBER($F$76), ISNUMBER($F$95), ISNUMBER('Credit risk (IRB)'!CQ41)), IF($F$76+$F$95&gt;0, $F$95/($F$76+$F$95) * 'Credit risk (IRB)'!CQ41, 0),"")))</f>
        <v/>
      </c>
      <c r="K95" s="1089"/>
      <c r="L95" s="906" t="str">
        <f t="shared" si="52"/>
        <v/>
      </c>
      <c r="M95" s="907" t="str">
        <f t="shared" si="53"/>
        <v/>
      </c>
      <c r="N95" s="483"/>
      <c r="O95" s="907" t="str">
        <f t="shared" si="54"/>
        <v/>
      </c>
      <c r="P95" s="907" t="str">
        <f t="shared" si="55"/>
        <v/>
      </c>
      <c r="Q95" s="907" t="str">
        <f t="shared" si="56"/>
        <v/>
      </c>
      <c r="R95" s="907" t="str">
        <f t="shared" si="57"/>
        <v/>
      </c>
      <c r="S95" s="908" t="str">
        <f t="shared" si="58"/>
        <v/>
      </c>
      <c r="T95" s="1089"/>
      <c r="U95" s="794" t="str">
        <f t="shared" si="59"/>
        <v/>
      </c>
      <c r="V95" s="808" t="str">
        <f t="shared" si="60"/>
        <v/>
      </c>
      <c r="W95" s="483"/>
      <c r="X95" s="808" t="str">
        <f t="shared" si="61"/>
        <v/>
      </c>
      <c r="Y95" s="808" t="str">
        <f t="shared" si="62"/>
        <v/>
      </c>
      <c r="Z95" s="808" t="str">
        <f t="shared" si="63"/>
        <v/>
      </c>
      <c r="AA95" s="795" t="str">
        <f t="shared" si="64"/>
        <v/>
      </c>
      <c r="AB95" s="544"/>
    </row>
    <row r="96" spans="1:28" ht="15" customHeight="1" x14ac:dyDescent="0.25">
      <c r="A96" s="545"/>
      <c r="B96" s="507" t="str">
        <f>'Credit risk (IRB)'!$B$44</f>
        <v>Other retail; of which:</v>
      </c>
      <c r="C96" s="1231" t="str">
        <f>IF(AND('General Info'!$C$12="No", 'General Info'!$C$13="No"), 0, IF('General Info'!$C$14="No", 0, IF(AND(ISNUMBER($F$77), ISNUMBER($F$96), ISNUMBER('Credit risk (IRB)'!H44)), IF($F$77+$F$96&gt;0, $F$96/($F$77+$F$96) * 'Credit risk (IRB)'!H44, 0), "")))</f>
        <v/>
      </c>
      <c r="D96" s="1231" t="str">
        <f>IF(AND('General Info'!$C$12="No", 'General Info'!$C$13="No"), 0, IF('General Info'!$C$14="No", 0, IF(AND(ISNUMBER($F$77), ISNUMBER($F$96), ISNUMBER('Credit risk (IRB)'!L44)), IF($F$77+$F$96&gt;0, $F$96/($F$77+$F$96) * 'Credit risk (IRB)'!L44, 0), "")))</f>
        <v/>
      </c>
      <c r="E96" s="1231" t="str">
        <f>IF(AND('General Info'!$C$12="No", 'General Info'!$C$13="No"), 0, IF('General Info'!$C$14="No", 0, IF(AND(ISNUMBER($F$77), ISNUMBER($F$96), ISNUMBER('Credit risk (IRB)'!M44)), IF($F$77+$F$96&gt;0, $F$96/($F$77+$F$96) * 'Credit risk (IRB)'!M44, 0), "")))</f>
        <v/>
      </c>
      <c r="F96" s="580" t="str">
        <f>IF(OR(AND('General Info'!$C$12="No", 'General Info'!$C$13="No"), 'General Info'!$C$14="No"), 0, IF(ISNUMBER('Credit risk (IRB)'!CE44), 'Credit risk (IRB)'!CE44, ""))</f>
        <v/>
      </c>
      <c r="G96" s="580" t="str">
        <f>IF(OR(AND('General Info'!$C$12="No", 'General Info'!$C$13="No"), 'General Info'!$C$14="No"), 0, IF(ISNUMBER('Credit risk (IRB)'!CI44), 'Credit risk (IRB)'!CI44, ""))</f>
        <v/>
      </c>
      <c r="H96" s="1131"/>
      <c r="I96" s="1231" t="str">
        <f>IF(AND('General Info'!$C$12="No", 'General Info'!$C$13="No"), 0, IF('General Info'!$C$14="No", 0, IF(AND(ISNUMBER($F$77), ISNUMBER($F$96), ISNUMBER('Credit risk (IRB)'!CO44)), IF($F$77+$F$96&gt;0, $F$96/($F$77+$F$96) * 'Credit risk (IRB)'!CO44, 0), "")))</f>
        <v/>
      </c>
      <c r="J96" s="1231" t="str">
        <f>IF(AND('General Info'!$C$12="No", 'General Info'!$C$13="No"), 0, IF('General Info'!$C$14="No", 0, IF(AND(ISNUMBER($F$77), ISNUMBER($F$96), ISNUMBER('Credit risk (IRB)'!CQ44)), IF($F$77+$F$96&gt;0, $F$96/($F$77+$F$96) * 'Credit risk (IRB)'!CQ44, 0), "")))</f>
        <v/>
      </c>
      <c r="K96" s="1089"/>
      <c r="L96" s="906" t="str">
        <f t="shared" si="52"/>
        <v/>
      </c>
      <c r="M96" s="907" t="str">
        <f t="shared" si="53"/>
        <v/>
      </c>
      <c r="N96" s="483"/>
      <c r="O96" s="907" t="str">
        <f t="shared" si="54"/>
        <v/>
      </c>
      <c r="P96" s="907" t="str">
        <f t="shared" si="55"/>
        <v/>
      </c>
      <c r="Q96" s="907" t="str">
        <f t="shared" si="56"/>
        <v/>
      </c>
      <c r="R96" s="907" t="str">
        <f t="shared" si="57"/>
        <v/>
      </c>
      <c r="S96" s="908" t="str">
        <f t="shared" si="58"/>
        <v/>
      </c>
      <c r="T96" s="1089"/>
      <c r="U96" s="794" t="str">
        <f t="shared" si="59"/>
        <v/>
      </c>
      <c r="V96" s="808" t="str">
        <f t="shared" si="60"/>
        <v/>
      </c>
      <c r="W96" s="483"/>
      <c r="X96" s="808" t="str">
        <f t="shared" si="61"/>
        <v/>
      </c>
      <c r="Y96" s="808" t="str">
        <f t="shared" si="62"/>
        <v/>
      </c>
      <c r="Z96" s="808" t="str">
        <f t="shared" si="63"/>
        <v/>
      </c>
      <c r="AA96" s="795" t="str">
        <f t="shared" si="64"/>
        <v/>
      </c>
      <c r="AB96" s="544"/>
    </row>
    <row r="97" spans="1:28" ht="15" customHeight="1" x14ac:dyDescent="0.25">
      <c r="A97" s="545"/>
      <c r="B97" s="763" t="s">
        <v>872</v>
      </c>
      <c r="C97" s="1231" t="str">
        <f>IF(AND('General Info'!$C$12="No", 'General Info'!$C$13="No"), 0,IF('General Info'!$C$14="No", 0, IF(AND(ISNUMBER($F$78), ISNUMBER($F$97), ISNUMBER('Credit risk (IRB)'!H46), ISNUMBER('Credit risk (IRB)'!H49)), IF($F$78+$F$97&gt;0, $F$97/($F$78+$F$97) * ('Credit risk (IRB)'!H46+'Credit risk (IRB)'!H49), 0), "")))</f>
        <v/>
      </c>
      <c r="D97" s="1231" t="str">
        <f>IF(AND('General Info'!$C$12="No", 'General Info'!$C$13="No"), 0,IF('General Info'!$C$14="No", 0, IF(AND(ISNUMBER($F$78), ISNUMBER($F$97), ISNUMBER('Credit risk (IRB)'!L46), ISNUMBER('Credit risk (IRB)'!L49)), IF($F$78+$F$97&gt;0, $F$97/($F$78+$F$97) * ('Credit risk (IRB)'!L46+'Credit risk (IRB)'!L49), 0), "")))</f>
        <v/>
      </c>
      <c r="E97" s="1231" t="str">
        <f>IF(AND('General Info'!$C$12="No", 'General Info'!$C$13="No"), 0,IF('General Info'!$C$14="No", 0, IF(AND(ISNUMBER($F$78), ISNUMBER($F$97), ISNUMBER('Credit risk (IRB)'!M46), ISNUMBER('Credit risk (IRB)'!M49)), IF($F$78+$F$97&gt;0, $F$97/($F$78+$F$97) * ('Credit risk (IRB)'!M46+'Credit risk (IRB)'!M49), 0), "")))</f>
        <v/>
      </c>
      <c r="F97" s="580" t="str">
        <f>IF(OR(AND('General Info'!$C$12="No", 'General Info'!$C$13="No"), 'General Info'!$C$14="No"), 0, IF(AND(ISNUMBER('Credit risk (IRB)'!CE46), ISNUMBER('Credit risk (IRB)'!CE49)), 'Credit risk (IRB)'!CE46+'Credit risk (IRB)'!CE49, ""))</f>
        <v/>
      </c>
      <c r="G97" s="580" t="str">
        <f>IF(OR(AND('General Info'!$C$12="No", 'General Info'!$C$13="No"), 'General Info'!$C$14="No"), 0, IF(AND(ISNUMBER('Credit risk (IRB)'!CI46), ISNUMBER('Credit risk (IRB)'!CI49)), 'Credit risk (IRB)'!CI46+'Credit risk (IRB)'!CI49, ""))</f>
        <v/>
      </c>
      <c r="H97" s="1131"/>
      <c r="I97" s="1231" t="str">
        <f>IF(AND('General Info'!$C$12="No", 'General Info'!$C$13="No"), 0,IF('General Info'!$C$14="No", 0, IF(AND(ISNUMBER($F$78), ISNUMBER($F$97), ISNUMBER('Credit risk (IRB)'!CO46), ISNUMBER('Credit risk (IRB)'!CO49)), IF($F$78+$F$97&gt;0, $F$97/($F$78+$F$97) * ('Credit risk (IRB)'!CO46+'Credit risk (IRB)'!CO49), 0), "")))</f>
        <v/>
      </c>
      <c r="J97" s="1231" t="str">
        <f>IF(AND('General Info'!$C$12="No", 'General Info'!$C$13="No"), 0,IF('General Info'!$C$14="No", 0, IF(AND(ISNUMBER($F$78), ISNUMBER($F$97), ISNUMBER('Credit risk (IRB)'!CQ46), ISNUMBER('Credit risk (IRB)'!CQ49)), IF($F$78+$F$97&gt;0, $F$97/($F$78+$F$97) * ('Credit risk (IRB)'!CQ46+'Credit risk (IRB)'!CQ49), 0), "")))</f>
        <v/>
      </c>
      <c r="K97" s="1089"/>
      <c r="L97" s="906" t="str">
        <f t="shared" si="52"/>
        <v/>
      </c>
      <c r="M97" s="907" t="str">
        <f t="shared" si="53"/>
        <v/>
      </c>
      <c r="N97" s="483"/>
      <c r="O97" s="907" t="str">
        <f t="shared" si="54"/>
        <v/>
      </c>
      <c r="P97" s="907" t="str">
        <f t="shared" si="55"/>
        <v/>
      </c>
      <c r="Q97" s="907" t="str">
        <f t="shared" si="56"/>
        <v/>
      </c>
      <c r="R97" s="907" t="str">
        <f t="shared" si="57"/>
        <v/>
      </c>
      <c r="S97" s="908" t="str">
        <f t="shared" si="58"/>
        <v/>
      </c>
      <c r="T97" s="1089"/>
      <c r="U97" s="794" t="str">
        <f t="shared" si="59"/>
        <v/>
      </c>
      <c r="V97" s="808" t="str">
        <f t="shared" si="60"/>
        <v/>
      </c>
      <c r="W97" s="483"/>
      <c r="X97" s="808" t="str">
        <f t="shared" si="61"/>
        <v/>
      </c>
      <c r="Y97" s="808" t="str">
        <f t="shared" si="62"/>
        <v/>
      </c>
      <c r="Z97" s="808" t="str">
        <f t="shared" si="63"/>
        <v/>
      </c>
      <c r="AA97" s="795" t="str">
        <f t="shared" si="64"/>
        <v/>
      </c>
      <c r="AB97" s="544"/>
    </row>
    <row r="98" spans="1:28" ht="15" customHeight="1" x14ac:dyDescent="0.25">
      <c r="A98" s="545"/>
      <c r="B98" s="507" t="str">
        <f>SUBSTITUTE('Credit risk (IRB)'!$B$51, "; of which:", "")</f>
        <v>Equity exposures</v>
      </c>
      <c r="C98" s="910" t="str">
        <f>IF(AND('General Info'!$C$12="No", 'General Info'!$C$13="No"), 0, IF(ISNUMBER('Credit risk (IRB)'!H51), 'Credit risk (IRB)'!H51, ""))</f>
        <v/>
      </c>
      <c r="D98" s="910" t="str">
        <f>IF(AND('General Info'!$C$12="No", 'General Info'!$C$13="No"), 0, IF(ISNUMBER('Credit risk (IRB)'!L51), 'Credit risk (IRB)'!L51, ""))</f>
        <v/>
      </c>
      <c r="E98" s="910" t="str">
        <f>IF(AND('General Info'!$C$12="No", 'General Info'!$C$13="No"), 0, IF(ISNUMBER('Credit risk (IRB)'!M51), 'Credit risk (IRB)'!M51, ""))</f>
        <v/>
      </c>
      <c r="F98" s="580" t="str">
        <f>IF(AND('General Info'!$C$12="No", 'General Info'!$C$13="No"), 0, IF(ISNUMBER('Credit risk (IRB)'!CE51), 'Credit risk (IRB)'!CE51, ""))</f>
        <v/>
      </c>
      <c r="G98" s="580" t="str">
        <f>IF(AND('General Info'!$C$12="No", 'General Info'!$C$13="No"), 0, IF(ISNUMBER('Credit risk (IRB)'!CI51), 'Credit risk (IRB)'!CI51, ""))</f>
        <v/>
      </c>
      <c r="H98" s="480"/>
      <c r="I98" s="910" t="str">
        <f>IF(ISNUMBER(F98), F98, "")</f>
        <v/>
      </c>
      <c r="J98" s="910" t="str">
        <f>IF(ISNUMBER(G98), G98, "")</f>
        <v/>
      </c>
      <c r="K98" s="1031"/>
      <c r="L98" s="906" t="str">
        <f t="shared" si="52"/>
        <v/>
      </c>
      <c r="M98" s="907" t="str">
        <f t="shared" si="53"/>
        <v/>
      </c>
      <c r="N98" s="483"/>
      <c r="O98" s="907" t="str">
        <f t="shared" si="54"/>
        <v/>
      </c>
      <c r="P98" s="907" t="str">
        <f t="shared" si="55"/>
        <v/>
      </c>
      <c r="Q98" s="907" t="str">
        <f t="shared" si="56"/>
        <v/>
      </c>
      <c r="R98" s="907" t="str">
        <f t="shared" si="57"/>
        <v/>
      </c>
      <c r="S98" s="908" t="str">
        <f t="shared" si="58"/>
        <v/>
      </c>
      <c r="T98" s="1031"/>
      <c r="U98" s="794" t="str">
        <f t="shared" si="59"/>
        <v/>
      </c>
      <c r="V98" s="808" t="str">
        <f t="shared" si="60"/>
        <v/>
      </c>
      <c r="W98" s="483"/>
      <c r="X98" s="808" t="str">
        <f t="shared" si="61"/>
        <v/>
      </c>
      <c r="Y98" s="808" t="str">
        <f t="shared" si="62"/>
        <v/>
      </c>
      <c r="Z98" s="808" t="str">
        <f t="shared" si="63"/>
        <v/>
      </c>
      <c r="AA98" s="795" t="str">
        <f t="shared" si="64"/>
        <v/>
      </c>
      <c r="AB98" s="544"/>
    </row>
    <row r="99" spans="1:28" ht="15" customHeight="1" x14ac:dyDescent="0.25">
      <c r="A99" s="545"/>
      <c r="B99" s="507" t="str">
        <f>SUBSTITUTE('Credit risk (IRB)'!$B$55, "; of which:", "")</f>
        <v>Equity investment in funds</v>
      </c>
      <c r="C99" s="1231" t="str">
        <f>IF(AND('General Info'!$C$12="No", 'General Info'!$C$13="No"), 0, IF('General Info'!$C$14="No", 0, IF(AND(ISNUMBER($F$79), ISNUMBER($F$99), ISNUMBER('Credit risk (IRB)'!H55)), IF($F$79+$F$99&gt;0, $F$99/($F$79+$F$99) * 'Credit risk (IRB)'!H55, 0), "")))</f>
        <v/>
      </c>
      <c r="D99" s="1231" t="str">
        <f>IF(AND('General Info'!$C$12="No", 'General Info'!$C$13="No"), 0, IF('General Info'!$C$14="No", 0, IF(AND(ISNUMBER($F$79), ISNUMBER($F$99), ISNUMBER('Credit risk (IRB)'!L55)), IF($F$79+$F$99&gt;0, $F$99/($F$79+$F$99) * 'Credit risk (IRB)'!L55, 0), "")))</f>
        <v/>
      </c>
      <c r="E99" s="1231" t="str">
        <f>IF(AND('General Info'!$C$12="No", 'General Info'!$C$13="No"), 0, IF('General Info'!$C$14="No", 0, IF(AND(ISNUMBER($F$79), ISNUMBER($F$99), ISNUMBER('Credit risk (IRB)'!M55)), IF($F$79+$F$99&gt;0, $F$99/($F$79+$F$99) * 'Credit risk (IRB)'!M55, 0), "")))</f>
        <v/>
      </c>
      <c r="F99" s="580" t="str">
        <f>IF(OR(AND('General Info'!$C$12="No", 'General Info'!$C$13="No"), 'General Info'!$C$14="No"), 0, IF(ISNUMBER('Credit risk (IRB)'!CE55), 'Credit risk (IRB)'!CE55, ""))</f>
        <v/>
      </c>
      <c r="G99" s="580" t="str">
        <f>IF(OR(AND('General Info'!$C$12="No", 'General Info'!$C$13="No"), 'General Info'!$C$14="No"), 0, IF(ISNUMBER('Credit risk (IRB)'!CI55), 'Credit risk (IRB)'!CI55, ""))</f>
        <v/>
      </c>
      <c r="H99" s="480"/>
      <c r="I99" s="1231" t="str">
        <f>IF(AND('General Info'!$C$12="No", 'General Info'!$C$13="No"), 0, IF('General Info'!$C$14="No", 0, IF(AND(ISNUMBER($F$79), ISNUMBER($F$99), ISNUMBER('Credit risk (IRB)'!CO55)), IF($F$79+$F$99&gt;0, $F$99/($F$79+$F$99) * 'Credit risk (IRB)'!CO55, 0), "")))</f>
        <v/>
      </c>
      <c r="J99" s="1231" t="str">
        <f>IF(AND('General Info'!$C$12="No", 'General Info'!$C$13="No"), 0, IF('General Info'!$C$14="No", 0, IF(AND(ISNUMBER($F$79), ISNUMBER($F$99), ISNUMBER('Credit risk (IRB)'!CQ55)), IF($F$79+$F$99&gt;0, $F$99/($F$79+$F$99) * 'Credit risk (IRB)'!CQ55, 0), "")))</f>
        <v/>
      </c>
      <c r="K99" s="1031"/>
      <c r="L99" s="906" t="str">
        <f t="shared" si="52"/>
        <v/>
      </c>
      <c r="M99" s="907" t="str">
        <f t="shared" si="53"/>
        <v/>
      </c>
      <c r="N99" s="483"/>
      <c r="O99" s="907" t="str">
        <f t="shared" si="54"/>
        <v/>
      </c>
      <c r="P99" s="907" t="str">
        <f t="shared" si="55"/>
        <v/>
      </c>
      <c r="Q99" s="907" t="str">
        <f t="shared" si="56"/>
        <v/>
      </c>
      <c r="R99" s="907" t="str">
        <f t="shared" si="57"/>
        <v/>
      </c>
      <c r="S99" s="908" t="str">
        <f t="shared" si="58"/>
        <v/>
      </c>
      <c r="T99" s="1031"/>
      <c r="U99" s="794" t="str">
        <f t="shared" si="59"/>
        <v/>
      </c>
      <c r="V99" s="808" t="str">
        <f t="shared" si="60"/>
        <v/>
      </c>
      <c r="W99" s="483"/>
      <c r="X99" s="808" t="str">
        <f t="shared" si="61"/>
        <v/>
      </c>
      <c r="Y99" s="808" t="str">
        <f t="shared" si="62"/>
        <v/>
      </c>
      <c r="Z99" s="808" t="str">
        <f t="shared" si="63"/>
        <v/>
      </c>
      <c r="AA99" s="795" t="str">
        <f t="shared" si="64"/>
        <v/>
      </c>
      <c r="AB99" s="544"/>
    </row>
    <row r="100" spans="1:28" ht="15" customHeight="1" x14ac:dyDescent="0.25">
      <c r="A100" s="545"/>
      <c r="B100" s="507" t="str">
        <f>SUBSTITUTE('Credit risk (IRB)'!$B$58, "; of which:", "")</f>
        <v>Eligible purchased receivables</v>
      </c>
      <c r="C100" s="1231" t="str">
        <f>IF(AND('General Info'!$C$12="No", 'General Info'!$C$13="No"), 0, IF('General Info'!$C$14="No", 0, IF(AND(ISNUMBER($F$80), ISNUMBER($F$100), ISNUMBER('Credit risk (IRB)'!H58)), IF($F$80+$F$100&gt;0, $F$100/($F$80+$F$100) * 'Credit risk (IRB)'!H58, 0), "")))</f>
        <v/>
      </c>
      <c r="D100" s="1231" t="str">
        <f>IF(AND('General Info'!$C$12="No", 'General Info'!$C$13="No"), 0, IF('General Info'!$C$14="No", 0, IF(AND(ISNUMBER($F$80), ISNUMBER($F$100), ISNUMBER('Credit risk (IRB)'!L58)), IF($F$80+$F$100&gt;0, $F$100/($F$80+$F$100) * 'Credit risk (IRB)'!L58, 0), "")))</f>
        <v/>
      </c>
      <c r="E100" s="1231" t="str">
        <f>IF(AND('General Info'!$C$12="No", 'General Info'!$C$13="No"), 0, IF('General Info'!$C$14="No", 0, IF(AND(ISNUMBER($F$80), ISNUMBER($F$100), ISNUMBER('Credit risk (IRB)'!M58)), IF($F$80+$F$100&gt;0, $F$100/($F$80+$F$100) * 'Credit risk (IRB)'!M58, 0), "")))</f>
        <v/>
      </c>
      <c r="F100" s="580" t="str">
        <f>IF(OR(AND('General Info'!$C$12="No", 'General Info'!$C$13="No"), 'General Info'!$C$14="No"), 0, IF(ISNUMBER('Credit risk (IRB)'!CE58), 'Credit risk (IRB)'!CE58, ""))</f>
        <v/>
      </c>
      <c r="G100" s="580" t="str">
        <f>IF(OR(AND('General Info'!$C$12="No", 'General Info'!$C$13="No"), 'General Info'!$C$14="No"), 0, IF(ISNUMBER('Credit risk (IRB)'!CI58), 'Credit risk (IRB)'!CI58, ""))</f>
        <v/>
      </c>
      <c r="H100" s="480"/>
      <c r="I100" s="1231" t="str">
        <f>IF(AND('General Info'!$C$12="No", 'General Info'!$C$13="No"), 0, IF('General Info'!$C$14="No", 0, IF(AND(ISNUMBER($F$80), ISNUMBER($F$100), ISNUMBER('Credit risk (IRB)'!CO58)), IF($F$80+$F$100&gt;0, $F$100/($F$80+$F$100) * 'Credit risk (IRB)'!CO58, 0), "")))</f>
        <v/>
      </c>
      <c r="J100" s="1231" t="str">
        <f>IF(AND('General Info'!$C$12="No", 'General Info'!$C$13="No"), 0, IF('General Info'!$C$14="No", 0, IF(AND(ISNUMBER($F$80), ISNUMBER($F$100), ISNUMBER('Credit risk (IRB)'!CQ58)), IF($F$80+$F$100&gt;0, $F$100/($F$80+$F$100) * 'Credit risk (IRB)'!CQ58, 0), "")))</f>
        <v/>
      </c>
      <c r="K100" s="1031"/>
      <c r="L100" s="906" t="str">
        <f t="shared" si="52"/>
        <v/>
      </c>
      <c r="M100" s="907" t="str">
        <f t="shared" si="53"/>
        <v/>
      </c>
      <c r="N100" s="483"/>
      <c r="O100" s="907" t="str">
        <f t="shared" si="54"/>
        <v/>
      </c>
      <c r="P100" s="907" t="str">
        <f t="shared" si="55"/>
        <v/>
      </c>
      <c r="Q100" s="907" t="str">
        <f t="shared" si="56"/>
        <v/>
      </c>
      <c r="R100" s="907" t="str">
        <f t="shared" si="57"/>
        <v/>
      </c>
      <c r="S100" s="908" t="str">
        <f t="shared" si="58"/>
        <v/>
      </c>
      <c r="T100" s="1031"/>
      <c r="U100" s="794" t="str">
        <f t="shared" si="59"/>
        <v/>
      </c>
      <c r="V100" s="808" t="str">
        <f t="shared" si="60"/>
        <v/>
      </c>
      <c r="W100" s="483"/>
      <c r="X100" s="808" t="str">
        <f t="shared" si="61"/>
        <v/>
      </c>
      <c r="Y100" s="808" t="str">
        <f t="shared" si="62"/>
        <v/>
      </c>
      <c r="Z100" s="808" t="str">
        <f t="shared" si="63"/>
        <v/>
      </c>
      <c r="AA100" s="795" t="str">
        <f t="shared" si="64"/>
        <v/>
      </c>
      <c r="AB100" s="544"/>
    </row>
    <row r="101" spans="1:28" ht="15" customHeight="1" x14ac:dyDescent="0.25">
      <c r="A101" s="545"/>
      <c r="B101" s="507" t="str">
        <f>'Credit risk (IRB)'!$B$61</f>
        <v>Failed trades and non-DVP transactions</v>
      </c>
      <c r="C101" s="1231" t="str">
        <f>IF(AND('General Info'!$C$12="No", 'General Info'!$C$13="No"), 0, IF('General Info'!$C$14="No", 0, IF(AND(ISNUMBER($F$81), ISNUMBER($F$101), ISNUMBER('Credit risk (IRB)'!H61)), IF($F$81+$F$101&gt;0, $F$101/($F$81+$F$101) * 'Credit risk (IRB)'!H61, 0), "")))</f>
        <v/>
      </c>
      <c r="D101" s="1231" t="str">
        <f>IF(AND('General Info'!$C$12="No", 'General Info'!$C$13="No"), 0, IF('General Info'!$C$14="No", 0, IF(AND(ISNUMBER($F$81), ISNUMBER($F$101), ISNUMBER('Credit risk (IRB)'!L61)), IF($F$81+$F$101&gt;0, $F$101/($F$81+$F$101) * 'Credit risk (IRB)'!L61, 0), "")))</f>
        <v/>
      </c>
      <c r="E101" s="1231" t="str">
        <f>IF(AND('General Info'!$C$12="No", 'General Info'!$C$13="No"), 0, IF('General Info'!$C$14="No", 0, IF(AND(ISNUMBER($F$81), ISNUMBER($F$101), ISNUMBER('Credit risk (IRB)'!M61)), IF($F$81+$F$101&gt;0, $F$101/($F$81+$F$101) * 'Credit risk (IRB)'!M61, 0), "")))</f>
        <v/>
      </c>
      <c r="F101" s="580" t="str">
        <f>IF(OR(AND('General Info'!$C$12="No", 'General Info'!$C$13="No"), 'General Info'!$C$14="No"), 0, IF(ISNUMBER('Credit risk (IRB)'!CE61), 'Credit risk (IRB)'!CE61, ""))</f>
        <v/>
      </c>
      <c r="G101" s="580" t="str">
        <f>IF(OR(AND('General Info'!$C$12="No", 'General Info'!$C$13="No"), 'General Info'!$C$14="No"), 0, IF(ISNUMBER('Credit risk (IRB)'!CI61), 'Credit risk (IRB)'!CI61, ""))</f>
        <v/>
      </c>
      <c r="H101" s="480"/>
      <c r="I101" s="1231" t="str">
        <f>IF(AND('General Info'!$C$12="No", 'General Info'!$C$13="No"), 0, IF('General Info'!$C$14="No", 0, IF(AND(ISNUMBER($F$81), ISNUMBER($F$101), ISNUMBER('Credit risk (IRB)'!CO61)), IF($F$81+$F$101&gt;0, $F$101/($F$81+$F$101) * 'Credit risk (IRB)'!CO61, 0), "")))</f>
        <v/>
      </c>
      <c r="J101" s="1231" t="str">
        <f>IF(AND('General Info'!$C$12="No", 'General Info'!$C$13="No"), 0, IF('General Info'!$C$14="No", 0, IF(AND(ISNUMBER($F$81), ISNUMBER($F$101), ISNUMBER('Credit risk (IRB)'!CQ61)), IF($F$81+$F$101&gt;0, $F$101/($F$81+$F$101) * 'Credit risk (IRB)'!CQ61, 0), "")))</f>
        <v/>
      </c>
      <c r="K101" s="1031"/>
      <c r="L101" s="906" t="str">
        <f t="shared" si="52"/>
        <v/>
      </c>
      <c r="M101" s="907" t="str">
        <f t="shared" si="53"/>
        <v/>
      </c>
      <c r="N101" s="483"/>
      <c r="O101" s="907" t="str">
        <f t="shared" si="54"/>
        <v/>
      </c>
      <c r="P101" s="907" t="str">
        <f t="shared" si="55"/>
        <v/>
      </c>
      <c r="Q101" s="907" t="str">
        <f t="shared" si="56"/>
        <v/>
      </c>
      <c r="R101" s="907" t="str">
        <f t="shared" si="57"/>
        <v/>
      </c>
      <c r="S101" s="908" t="str">
        <f t="shared" si="58"/>
        <v/>
      </c>
      <c r="T101" s="1031"/>
      <c r="U101" s="794" t="str">
        <f t="shared" si="59"/>
        <v/>
      </c>
      <c r="V101" s="808" t="str">
        <f t="shared" si="60"/>
        <v/>
      </c>
      <c r="W101" s="483"/>
      <c r="X101" s="808" t="str">
        <f t="shared" si="61"/>
        <v/>
      </c>
      <c r="Y101" s="808" t="str">
        <f t="shared" si="62"/>
        <v/>
      </c>
      <c r="Z101" s="808" t="str">
        <f t="shared" si="63"/>
        <v/>
      </c>
      <c r="AA101" s="795" t="str">
        <f t="shared" si="64"/>
        <v/>
      </c>
      <c r="AB101" s="544"/>
    </row>
    <row r="102" spans="1:28" ht="15" customHeight="1" x14ac:dyDescent="0.25">
      <c r="A102" s="545"/>
      <c r="B102" s="924" t="str">
        <f>SUBSTITUTE('Credit risk (IRB)'!$B$62, "; of which:", "")</f>
        <v>Other assets</v>
      </c>
      <c r="C102" s="1232" t="str">
        <f>IF(AND('General Info'!$C$12="No", 'General Info'!$C$13="No"), 0, IF('General Info'!$C$14="No", 0, IF(AND(ISNUMBER($F$82), ISNUMBER($F$102),ISNUMBER('Credit risk (IRB)'!H62)), IF($F$82+$F$102&gt;0, $F$102/($F$82+$F$102) * 'Credit risk (IRB)'!H62, 0), "")))</f>
        <v/>
      </c>
      <c r="D102" s="1232" t="str">
        <f>IF(AND('General Info'!$C$12="No", 'General Info'!$C$13="No"), 0, IF('General Info'!$C$14="No", 0, IF(AND(ISNUMBER($F$82), ISNUMBER($F$102),ISNUMBER('Credit risk (IRB)'!L62)), IF($F$82+$F$102&gt;0, $F$102/($F$82+$F$102) * 'Credit risk (IRB)'!L62, 0), "")))</f>
        <v/>
      </c>
      <c r="E102" s="1232" t="str">
        <f>IF(AND('General Info'!$C$12="No", 'General Info'!$C$13="No"), 0, IF('General Info'!$C$14="No", 0, IF(AND(ISNUMBER($F$82), ISNUMBER($F$102),ISNUMBER('Credit risk (IRB)'!M62)), IF($F$82+$F$102&gt;0, $F$102/($F$82+$F$102) * 'Credit risk (IRB)'!M62, 0), "")))</f>
        <v/>
      </c>
      <c r="F102" s="580" t="str">
        <f>IF(OR(AND('General Info'!$C$12="No", 'General Info'!$C$13="No"), 'General Info'!$C$14="No"), 0, IF(ISNUMBER('Credit risk (IRB)'!CE62), 'Credit risk (IRB)'!CE62, ""))</f>
        <v/>
      </c>
      <c r="G102" s="580" t="str">
        <f>IF(OR(AND('General Info'!$C$12="No", 'General Info'!$C$13="No"), 'General Info'!$C$14="No"), 0, IF(ISNUMBER('Credit risk (IRB)'!CI62), 'Credit risk (IRB)'!CI62, ""))</f>
        <v/>
      </c>
      <c r="H102" s="491"/>
      <c r="I102" s="1232" t="str">
        <f>IF(AND('General Info'!$C$12="No", 'General Info'!$C$13="No"), 0, IF('General Info'!$C$14="No", 0, IF(AND(ISNUMBER($F$82), ISNUMBER($F$102),ISNUMBER('Credit risk (IRB)'!CO62)), IF($F$82+$F$102&gt;0, $F$102/($F$82+$F$102) * 'Credit risk (IRB)'!CO62, 0), "")))</f>
        <v/>
      </c>
      <c r="J102" s="1232" t="str">
        <f>IF(AND('General Info'!$C$12="No", 'General Info'!$C$13="No"), 0, IF('General Info'!$C$14="No", 0, IF(AND(ISNUMBER($F$82), ISNUMBER($F$102),ISNUMBER('Credit risk (IRB)'!CQ62)), IF($F$82+$F$102&gt;0, $F$102/($F$82+$F$102) * 'Credit risk (IRB)'!CQ62, 0), "")))</f>
        <v/>
      </c>
      <c r="K102" s="1031"/>
      <c r="L102" s="906" t="str">
        <f t="shared" si="52"/>
        <v/>
      </c>
      <c r="M102" s="907" t="str">
        <f t="shared" si="53"/>
        <v/>
      </c>
      <c r="N102" s="483"/>
      <c r="O102" s="907" t="str">
        <f t="shared" si="54"/>
        <v/>
      </c>
      <c r="P102" s="907" t="str">
        <f t="shared" si="55"/>
        <v/>
      </c>
      <c r="Q102" s="907" t="str">
        <f t="shared" si="56"/>
        <v/>
      </c>
      <c r="R102" s="907" t="str">
        <f t="shared" si="57"/>
        <v/>
      </c>
      <c r="S102" s="908" t="str">
        <f t="shared" si="58"/>
        <v/>
      </c>
      <c r="T102" s="1031"/>
      <c r="U102" s="794" t="str">
        <f t="shared" si="59"/>
        <v/>
      </c>
      <c r="V102" s="808" t="str">
        <f t="shared" si="60"/>
        <v/>
      </c>
      <c r="W102" s="483"/>
      <c r="X102" s="808" t="str">
        <f t="shared" si="61"/>
        <v/>
      </c>
      <c r="Y102" s="808" t="str">
        <f t="shared" si="62"/>
        <v/>
      </c>
      <c r="Z102" s="808" t="str">
        <f t="shared" si="63"/>
        <v/>
      </c>
      <c r="AA102" s="795" t="str">
        <f t="shared" si="64"/>
        <v/>
      </c>
      <c r="AB102" s="544"/>
    </row>
    <row r="103" spans="1:28" ht="15" customHeight="1" x14ac:dyDescent="0.25">
      <c r="A103" s="545"/>
      <c r="B103" s="927" t="s">
        <v>1019</v>
      </c>
      <c r="C103" s="928" t="str">
        <f>IF(AND(ISNUMBER(C88), ISNUMBER(C89), ISNUMBER(C90), ISNUMBER(C91), ISNUMBER(C92), ISNUMBER(C93), ISNUMBER(C94), ISNUMBER(C95), ISNUMBER(C96), ISNUMBER(C98), ISNUMBER(C99), ISNUMBER(C100), ISNUMBER(C101), ISNUMBER(C102)), SUM(C88:C96, C98:C102), "")</f>
        <v/>
      </c>
      <c r="D103" s="928" t="str">
        <f>IF(AND(ISNUMBER(D88), ISNUMBER(D89), ISNUMBER(D90), ISNUMBER(D91), ISNUMBER(D92), ISNUMBER(D93), ISNUMBER(D94), ISNUMBER(D95), ISNUMBER(D96), ISNUMBER(D98), ISNUMBER(D99), ISNUMBER(D100), ISNUMBER(D101), ISNUMBER(D102)), SUM(D88:D96, D98:D102), "")</f>
        <v/>
      </c>
      <c r="E103" s="928" t="str">
        <f>IF(AND(ISNUMBER(E88), ISNUMBER(E89), ISNUMBER(E90), ISNUMBER(E91), ISNUMBER(E92), ISNUMBER(E93), ISNUMBER(E94), ISNUMBER(E95), ISNUMBER(E96), ISNUMBER(E98), ISNUMBER(E99), ISNUMBER(E100), ISNUMBER(E101), ISNUMBER(E102)), SUM(E88:E96, E98:E102), "")</f>
        <v/>
      </c>
      <c r="F103" s="928" t="str">
        <f>IF(AND(ISNUMBER(F88), ISNUMBER(F89), ISNUMBER(F90), ISNUMBER(F91), ISNUMBER(F92), ISNUMBER(F93), ISNUMBER(F94), ISNUMBER(F95), ISNUMBER(F96), ISNUMBER(F98), ISNUMBER(F99), ISNUMBER(F100), ISNUMBER(F101), ISNUMBER(F102)), SUM(F88:F96, F98:F102), "")</f>
        <v/>
      </c>
      <c r="G103" s="928" t="str">
        <f>IF(AND(ISNUMBER(G88), ISNUMBER(G89), ISNUMBER(G90), ISNUMBER(G91), ISNUMBER(G92), ISNUMBER(G93), ISNUMBER(G94), ISNUMBER(G95), ISNUMBER(G96), ISNUMBER(G98), ISNUMBER(G99), ISNUMBER(G100), ISNUMBER(G101), ISNUMBER(G102)), SUM(G88:G96, G98:G102), "")</f>
        <v/>
      </c>
      <c r="H103" s="500"/>
      <c r="I103" s="928" t="str">
        <f>IF(AND(ISNUMBER(I88), ISNUMBER(I89), ISNUMBER(I90), ISNUMBER(I91), ISNUMBER(I92), ISNUMBER(I93), ISNUMBER(I94), ISNUMBER(I95), ISNUMBER(I96), ISNUMBER(I98), ISNUMBER(I99), ISNUMBER(I100), ISNUMBER(I101), ISNUMBER(I102)), SUM(I88:I96, I98:I102), "")</f>
        <v/>
      </c>
      <c r="J103" s="926" t="str">
        <f>IF(AND(ISNUMBER(J88), ISNUMBER(J89), ISNUMBER(J90), ISNUMBER(J91), ISNUMBER(J92), ISNUMBER(J93), ISNUMBER(J94), ISNUMBER(J95), ISNUMBER(J96), ISNUMBER(J98), ISNUMBER(J99), ISNUMBER(J100), ISNUMBER(J101), ISNUMBER(J102)), SUM(J88:J96, J98:J102), "")</f>
        <v/>
      </c>
      <c r="K103" s="1031"/>
      <c r="L103" s="928" t="str">
        <f t="shared" si="52"/>
        <v/>
      </c>
      <c r="M103" s="921" t="str">
        <f t="shared" si="53"/>
        <v/>
      </c>
      <c r="N103" s="520"/>
      <c r="O103" s="921" t="str">
        <f t="shared" si="54"/>
        <v/>
      </c>
      <c r="P103" s="921" t="str">
        <f t="shared" si="55"/>
        <v/>
      </c>
      <c r="Q103" s="921" t="str">
        <f t="shared" si="56"/>
        <v/>
      </c>
      <c r="R103" s="921" t="str">
        <f t="shared" si="57"/>
        <v/>
      </c>
      <c r="S103" s="926" t="str">
        <f t="shared" si="58"/>
        <v/>
      </c>
      <c r="T103" s="1031"/>
      <c r="U103" s="1144" t="str">
        <f t="shared" si="59"/>
        <v/>
      </c>
      <c r="V103" s="820" t="str">
        <f t="shared" si="60"/>
        <v/>
      </c>
      <c r="W103" s="520"/>
      <c r="X103" s="820" t="str">
        <f t="shared" si="61"/>
        <v/>
      </c>
      <c r="Y103" s="820" t="str">
        <f t="shared" si="62"/>
        <v/>
      </c>
      <c r="Z103" s="820" t="str">
        <f t="shared" si="63"/>
        <v/>
      </c>
      <c r="AA103" s="1145" t="str">
        <f t="shared" si="64"/>
        <v/>
      </c>
      <c r="AB103" s="544"/>
    </row>
    <row r="104" spans="1:28" ht="15" customHeight="1" x14ac:dyDescent="0.25">
      <c r="A104" s="545"/>
      <c r="B104" s="477"/>
      <c r="C104" s="1146"/>
      <c r="D104" s="205"/>
      <c r="E104" s="205"/>
      <c r="F104" s="205"/>
      <c r="G104" s="205"/>
      <c r="H104" s="205"/>
      <c r="I104" s="205"/>
      <c r="J104" s="205"/>
      <c r="M104" s="205"/>
      <c r="N104" s="205"/>
      <c r="O104" s="205"/>
      <c r="P104" s="205"/>
      <c r="Q104" s="205"/>
      <c r="R104" s="205"/>
      <c r="S104" s="205"/>
      <c r="V104" s="205"/>
      <c r="W104" s="205"/>
      <c r="X104" s="205"/>
      <c r="Y104" s="205"/>
      <c r="Z104" s="205"/>
      <c r="AB104" s="544"/>
    </row>
    <row r="105" spans="1:28" ht="60" customHeight="1" x14ac:dyDescent="0.25">
      <c r="A105" s="978" t="s">
        <v>2131</v>
      </c>
      <c r="B105" s="755"/>
      <c r="C105" s="837"/>
      <c r="D105" s="754"/>
      <c r="E105" s="754"/>
      <c r="F105" s="754"/>
      <c r="G105" s="754"/>
      <c r="H105" s="754"/>
      <c r="I105" s="754"/>
      <c r="J105" s="754"/>
      <c r="K105" s="754"/>
      <c r="L105" s="754"/>
      <c r="M105" s="754"/>
      <c r="N105" s="754"/>
      <c r="O105" s="754"/>
      <c r="P105" s="754"/>
      <c r="Q105" s="754"/>
      <c r="R105" s="754"/>
      <c r="S105" s="754"/>
      <c r="T105" s="754"/>
      <c r="U105" s="754"/>
      <c r="V105" s="754"/>
      <c r="W105" s="1021"/>
      <c r="X105" s="1021"/>
      <c r="Y105" s="1021"/>
      <c r="Z105" s="1021"/>
      <c r="AA105" s="1021"/>
      <c r="AB105" s="1022"/>
    </row>
    <row r="106" spans="1:28" ht="15" customHeight="1" x14ac:dyDescent="0.25">
      <c r="A106" s="545"/>
      <c r="B106" s="2651" t="s">
        <v>881</v>
      </c>
      <c r="C106" s="2657" t="s">
        <v>701</v>
      </c>
      <c r="D106" s="2658"/>
      <c r="E106" s="2658"/>
      <c r="F106" s="2615" t="s">
        <v>702</v>
      </c>
      <c r="G106" s="2616"/>
      <c r="H106" s="2617"/>
      <c r="I106" s="2636" t="s">
        <v>880</v>
      </c>
      <c r="J106" s="2637"/>
      <c r="K106" s="123"/>
      <c r="L106" s="2626" t="s">
        <v>703</v>
      </c>
      <c r="M106" s="2626"/>
      <c r="N106" s="2626"/>
      <c r="O106" s="2626"/>
      <c r="P106" s="2627"/>
      <c r="Q106" s="205"/>
      <c r="R106" s="205"/>
      <c r="S106" s="205"/>
      <c r="T106" s="827"/>
      <c r="V106" s="205"/>
      <c r="W106" s="205"/>
      <c r="X106" s="205"/>
      <c r="Y106" s="205"/>
      <c r="Z106" s="205"/>
      <c r="AB106" s="544"/>
    </row>
    <row r="107" spans="1:28" ht="30" customHeight="1" x14ac:dyDescent="0.25">
      <c r="A107" s="545"/>
      <c r="B107" s="2641"/>
      <c r="C107" s="2659"/>
      <c r="D107" s="2660"/>
      <c r="E107" s="2660"/>
      <c r="F107" s="2618"/>
      <c r="G107" s="2619"/>
      <c r="H107" s="2620"/>
      <c r="I107" s="2638"/>
      <c r="J107" s="2639"/>
      <c r="K107" s="123"/>
      <c r="L107" s="2632" t="s">
        <v>704</v>
      </c>
      <c r="M107" s="2633"/>
      <c r="N107" s="2633"/>
      <c r="O107" s="2634" t="s">
        <v>1118</v>
      </c>
      <c r="P107" s="2635"/>
      <c r="Q107" s="205"/>
      <c r="R107" s="205"/>
      <c r="S107" s="205"/>
      <c r="T107" s="827"/>
      <c r="V107" s="205"/>
      <c r="W107" s="205"/>
      <c r="X107" s="205"/>
      <c r="Y107" s="205"/>
      <c r="Z107" s="205"/>
      <c r="AB107" s="544"/>
    </row>
    <row r="108" spans="1:28" ht="45" customHeight="1" x14ac:dyDescent="0.25">
      <c r="A108" s="856"/>
      <c r="B108" s="2652"/>
      <c r="C108" s="1086" t="s">
        <v>653</v>
      </c>
      <c r="D108" s="1087" t="s">
        <v>41</v>
      </c>
      <c r="E108" s="1087" t="s">
        <v>686</v>
      </c>
      <c r="F108" s="1095" t="s">
        <v>653</v>
      </c>
      <c r="G108" s="1087" t="s">
        <v>41</v>
      </c>
      <c r="H108" s="1087" t="s">
        <v>686</v>
      </c>
      <c r="I108" s="1094" t="s">
        <v>653</v>
      </c>
      <c r="J108" s="1088" t="s">
        <v>41</v>
      </c>
      <c r="K108" s="123"/>
      <c r="L108" s="1086" t="s">
        <v>705</v>
      </c>
      <c r="M108" s="1087" t="s">
        <v>706</v>
      </c>
      <c r="N108" s="1087" t="s">
        <v>707</v>
      </c>
      <c r="O108" s="1087" t="s">
        <v>708</v>
      </c>
      <c r="P108" s="1088" t="s">
        <v>706</v>
      </c>
      <c r="Q108" s="205"/>
      <c r="R108" s="205"/>
      <c r="S108" s="205"/>
      <c r="T108" s="1089"/>
      <c r="V108" s="205"/>
      <c r="W108" s="205"/>
      <c r="X108" s="205"/>
      <c r="Y108" s="205"/>
      <c r="Z108" s="205"/>
      <c r="AB108" s="544"/>
    </row>
    <row r="109" spans="1:28" ht="15" customHeight="1" x14ac:dyDescent="0.25">
      <c r="A109" s="545"/>
      <c r="B109" s="702" t="s">
        <v>193</v>
      </c>
      <c r="C109" s="1147" t="str">
        <f t="shared" ref="C109:J109" si="65">IF(ISNUMBER(C40), C40, "")</f>
        <v/>
      </c>
      <c r="D109" s="1148" t="str">
        <f t="shared" si="65"/>
        <v/>
      </c>
      <c r="E109" s="1148" t="str">
        <f t="shared" si="65"/>
        <v/>
      </c>
      <c r="F109" s="1149" t="str">
        <f t="shared" si="65"/>
        <v/>
      </c>
      <c r="G109" s="1148" t="str">
        <f t="shared" si="65"/>
        <v/>
      </c>
      <c r="H109" s="1148" t="str">
        <f t="shared" si="65"/>
        <v/>
      </c>
      <c r="I109" s="1148" t="str">
        <f t="shared" si="65"/>
        <v/>
      </c>
      <c r="J109" s="1149" t="str">
        <f t="shared" si="65"/>
        <v/>
      </c>
      <c r="K109" s="123"/>
      <c r="L109" s="903" t="str">
        <f>IF(AND(ISNUMBER(C109), ISNUMBER(F109)), IF(C109&lt;&gt;0, ((F109-C109)/C109), "EAD=0"), "")</f>
        <v/>
      </c>
      <c r="M109" s="904" t="str">
        <f>IF(AND(ISNUMBER(D109), ISNUMBER(G109)), IF(D109&lt;&gt;0, ((G109-D109)/D109), "RWA=0"), "")</f>
        <v/>
      </c>
      <c r="N109" s="904" t="str">
        <f>IF(AND(ISNUMBER(E109), ISNUMBER(H109)), IF(E109&lt;&gt;0, ((H109-E109)/E109), "EL=0"), "")</f>
        <v/>
      </c>
      <c r="O109" s="904" t="str">
        <f>IF(AND(ISNUMBER(F109), ISNUMBER(I109)), IF(F109&lt;&gt;0, ((I109-F109)/F109), "EAD=0"), "")</f>
        <v/>
      </c>
      <c r="P109" s="905" t="str">
        <f>IF(AND(ISNUMBER(G109), ISNUMBER(J109)), IF(G109&lt;&gt;0, ((J109-G109)/G109), "RWA=0"), "")</f>
        <v/>
      </c>
      <c r="Q109" s="205"/>
      <c r="R109" s="205"/>
      <c r="S109" s="205"/>
      <c r="V109" s="205"/>
      <c r="W109" s="205"/>
      <c r="X109" s="205"/>
      <c r="Y109" s="205"/>
      <c r="Z109" s="205"/>
      <c r="AB109" s="544"/>
    </row>
    <row r="110" spans="1:28" ht="15" customHeight="1" x14ac:dyDescent="0.25">
      <c r="A110" s="397"/>
      <c r="B110" s="844" t="s">
        <v>1121</v>
      </c>
      <c r="C110" s="1150"/>
      <c r="D110" s="269" t="str">
        <f>IF(ISNUMBER('CCR and CVA'!C79), 12.5*'CCR and CVA'!C79, "")</f>
        <v/>
      </c>
      <c r="E110" s="1151"/>
      <c r="F110" s="1152"/>
      <c r="G110" s="269">
        <f>IF(ISNUMBER('CCR and CVA'!C122), 12.5*'CCR and CVA'!C122, "")</f>
        <v>0</v>
      </c>
      <c r="H110" s="1152"/>
      <c r="I110" s="1152"/>
      <c r="J110" s="203">
        <f>IF(ISNUMBER('CCR and CVA'!D122), 12.5*'CCR and CVA'!D122, "")</f>
        <v>0</v>
      </c>
      <c r="K110" s="123"/>
      <c r="L110" s="1153"/>
      <c r="M110" s="907" t="str">
        <f t="shared" ref="M110:M115" si="66">IF(AND(ISNUMBER(D110), ISNUMBER(G110)), IF(D110&lt;&gt;0, ((G110-D110)/D110), "RWA=0"), "")</f>
        <v/>
      </c>
      <c r="N110" s="1154"/>
      <c r="O110" s="1154"/>
      <c r="P110" s="908" t="str">
        <f t="shared" ref="P110:P111" si="67">IF(AND(ISNUMBER(G110), ISNUMBER(J110)), IF(G110&lt;&gt;0, ((J110-G110)/G110), "RWA=0"), "")</f>
        <v>RWA=0</v>
      </c>
      <c r="Q110" s="205"/>
      <c r="R110" s="205"/>
      <c r="S110" s="205"/>
      <c r="T110" s="191"/>
      <c r="U110" s="258"/>
      <c r="V110" s="258"/>
      <c r="W110" s="258"/>
      <c r="X110" s="258"/>
      <c r="Y110" s="258"/>
      <c r="Z110" s="258"/>
      <c r="AA110" s="258"/>
      <c r="AB110" s="791"/>
    </row>
    <row r="111" spans="1:28" ht="15" customHeight="1" x14ac:dyDescent="0.25">
      <c r="A111" s="397"/>
      <c r="B111" s="636" t="s">
        <v>238</v>
      </c>
      <c r="C111" s="1155"/>
      <c r="D111" s="269" t="str">
        <f>IF(AND('General Info'!$C$48="No", 'General Info'!$C$49="No"), 0, IF(ISNUMBER(TB!G5), 12.5*TB!G5, ""))</f>
        <v/>
      </c>
      <c r="E111" s="1154"/>
      <c r="F111" s="1156"/>
      <c r="G111" s="269" t="str">
        <f>IF(AND('General Info'!$D$48="No", 'General Info'!$D$49="No"), 0, IF(TB!H6=Parameters!D613, IF(AND(TB!H7="Yes", ISNUMBER(TB!G7)), 12.5*TB!G7, ""), IF(AND(TB!H9="Yes", ISNUMBER(TB!G9)), 12.5*TB!G9, "")))</f>
        <v/>
      </c>
      <c r="H111" s="1156"/>
      <c r="I111" s="1156"/>
      <c r="J111" s="203" t="str">
        <f>IF(AND('General Info'!$D$48="No", 'General Info'!$D$49="No"), 0, IF('General Info'!D48=Parameters!D609, IF(ISNUMBER(TB!G7), 12.5*TB!G7, ""), IF(ISNUMBER(TB!G11), 12.5*TB!G11, "")))</f>
        <v/>
      </c>
      <c r="K111" s="123"/>
      <c r="L111" s="1153"/>
      <c r="M111" s="907" t="str">
        <f t="shared" si="66"/>
        <v/>
      </c>
      <c r="N111" s="1154"/>
      <c r="O111" s="1154"/>
      <c r="P111" s="908" t="str">
        <f t="shared" si="67"/>
        <v/>
      </c>
      <c r="Q111" s="205"/>
      <c r="R111" s="205"/>
      <c r="S111" s="205"/>
      <c r="T111" s="191"/>
      <c r="U111" s="258"/>
      <c r="V111" s="258"/>
      <c r="W111" s="258"/>
      <c r="X111" s="258"/>
      <c r="Y111" s="258"/>
      <c r="Z111" s="258"/>
      <c r="AA111" s="258"/>
      <c r="AB111" s="791"/>
    </row>
    <row r="112" spans="1:28" ht="15" customHeight="1" x14ac:dyDescent="0.25">
      <c r="A112" s="397"/>
      <c r="B112" s="636" t="s">
        <v>269</v>
      </c>
      <c r="C112" s="1155"/>
      <c r="D112" s="269" t="str">
        <f>IF(AND(ISNUMBER(OpRisk!N89), ISNUMBER(OpRisk!N96)), OpRisk!N89+OpRisk!N96,"")</f>
        <v/>
      </c>
      <c r="E112" s="1154"/>
      <c r="F112" s="1156"/>
      <c r="G112" s="269" t="str">
        <f>IF(AND(ISNUMBER(OpRisk!N106), ISNUMBER(OpRisk!N107)), OpRisk!N106+OpRisk!N107, "")</f>
        <v/>
      </c>
      <c r="H112" s="1156"/>
      <c r="I112" s="1156"/>
      <c r="J112" s="203" t="str">
        <f>IF(AND(ISNUMBER(OpRisk!N106), ISNUMBER(OpRisk!N107)), OpRisk!N106+OpRisk!N107, "")</f>
        <v/>
      </c>
      <c r="K112" s="123"/>
      <c r="L112" s="1153"/>
      <c r="M112" s="907" t="str">
        <f t="shared" si="66"/>
        <v/>
      </c>
      <c r="N112" s="1154"/>
      <c r="O112" s="1154"/>
      <c r="P112" s="1156"/>
      <c r="Q112" s="205"/>
      <c r="R112" s="205"/>
      <c r="S112" s="205"/>
      <c r="T112" s="191"/>
      <c r="U112" s="258"/>
      <c r="V112" s="258"/>
      <c r="W112" s="258"/>
      <c r="X112" s="258"/>
      <c r="Y112" s="258"/>
      <c r="Z112" s="258"/>
      <c r="AA112" s="258"/>
      <c r="AB112" s="791"/>
    </row>
    <row r="113" spans="1:28" ht="15" hidden="1" customHeight="1" x14ac:dyDescent="0.25">
      <c r="A113" s="397"/>
      <c r="B113" s="636" t="s">
        <v>119</v>
      </c>
      <c r="C113" s="1155"/>
      <c r="D113" s="1157"/>
      <c r="E113" s="1154"/>
      <c r="F113" s="1156"/>
      <c r="G113" s="1157"/>
      <c r="H113" s="1156"/>
      <c r="I113" s="1156"/>
      <c r="J113" s="1158"/>
      <c r="K113" s="123"/>
      <c r="L113" s="1153"/>
      <c r="M113" s="907" t="str">
        <f t="shared" si="66"/>
        <v/>
      </c>
      <c r="N113" s="1154"/>
      <c r="O113" s="1154"/>
      <c r="P113" s="1156"/>
      <c r="Q113" s="205"/>
      <c r="R113" s="205"/>
      <c r="S113" s="205"/>
      <c r="T113" s="191"/>
      <c r="U113" s="258"/>
      <c r="V113" s="258"/>
      <c r="W113" s="258"/>
      <c r="X113" s="258"/>
      <c r="Y113" s="258"/>
      <c r="Z113" s="258"/>
      <c r="AA113" s="258"/>
      <c r="AB113" s="791"/>
    </row>
    <row r="114" spans="1:28" ht="15" customHeight="1" x14ac:dyDescent="0.25">
      <c r="A114" s="397"/>
      <c r="B114" s="636" t="s">
        <v>120</v>
      </c>
      <c r="C114" s="1159"/>
      <c r="D114" s="577"/>
      <c r="E114" s="1160"/>
      <c r="F114" s="1161"/>
      <c r="G114" s="860"/>
      <c r="H114" s="1161"/>
      <c r="I114" s="1161"/>
      <c r="J114" s="1060"/>
      <c r="K114" s="123"/>
      <c r="L114" s="1153"/>
      <c r="M114" s="907" t="str">
        <f t="shared" si="66"/>
        <v/>
      </c>
      <c r="N114" s="1154"/>
      <c r="O114" s="1154"/>
      <c r="P114" s="908" t="str">
        <f t="shared" ref="P114:P115" si="68">IF(AND(ISNUMBER(G114), ISNUMBER(J114)), IF(G114&lt;&gt;0, ((J114-G114)/G114), "RWA=0"), "")</f>
        <v/>
      </c>
      <c r="Q114" s="205"/>
      <c r="R114" s="205"/>
      <c r="S114" s="205"/>
      <c r="T114" s="191"/>
      <c r="U114" s="258"/>
      <c r="V114" s="258"/>
      <c r="W114" s="258"/>
      <c r="X114" s="258"/>
      <c r="Y114" s="258"/>
      <c r="Z114" s="258"/>
      <c r="AA114" s="258"/>
      <c r="AB114" s="791"/>
    </row>
    <row r="115" spans="1:28" ht="15" customHeight="1" x14ac:dyDescent="0.25">
      <c r="A115" s="397"/>
      <c r="B115" s="929" t="s">
        <v>866</v>
      </c>
      <c r="C115" s="1163"/>
      <c r="D115" s="921" t="str">
        <f>IF(AND(ISNUMBER(D109), ISNUMBER(D110), ISNUMBER(D111), ISNUMBER(D112)), SUM(D109:D112, D114), "")</f>
        <v/>
      </c>
      <c r="E115" s="1164"/>
      <c r="F115" s="1164"/>
      <c r="G115" s="921" t="str">
        <f>IF(AND(ISNUMBER(G109), ISNUMBER(G110), ISNUMBER(G111), ISNUMBER(G112), ISNUMBER(G114)), SUM(G109:G112, G114), "")</f>
        <v/>
      </c>
      <c r="H115" s="1164"/>
      <c r="I115" s="1164"/>
      <c r="J115" s="926" t="str">
        <f>IF(AND(ISNUMBER(J109), ISNUMBER(J110), ISNUMBER(J111), ISNUMBER(J112), ISNUMBER(J114)), SUM(J109:J112, J114), "")</f>
        <v/>
      </c>
      <c r="K115" s="123"/>
      <c r="L115" s="1163"/>
      <c r="M115" s="921" t="str">
        <f t="shared" si="66"/>
        <v/>
      </c>
      <c r="N115" s="1164"/>
      <c r="O115" s="1164"/>
      <c r="P115" s="926" t="str">
        <f t="shared" si="68"/>
        <v/>
      </c>
      <c r="Q115" s="205"/>
      <c r="R115" s="205"/>
      <c r="S115" s="205"/>
      <c r="T115" s="192"/>
      <c r="U115" s="258"/>
      <c r="V115" s="258"/>
      <c r="W115" s="258"/>
      <c r="X115" s="258"/>
      <c r="Y115" s="258"/>
      <c r="Z115" s="258"/>
      <c r="AA115" s="258"/>
      <c r="AB115" s="791"/>
    </row>
    <row r="116" spans="1:28" ht="15" customHeight="1" x14ac:dyDescent="0.25">
      <c r="A116" s="1165"/>
      <c r="B116" s="803"/>
      <c r="C116" s="803"/>
      <c r="D116" s="803"/>
      <c r="E116" s="803"/>
      <c r="F116" s="803"/>
      <c r="G116" s="803"/>
      <c r="H116" s="803"/>
      <c r="I116" s="803"/>
      <c r="J116" s="803"/>
      <c r="K116" s="841"/>
      <c r="L116" s="803"/>
      <c r="M116" s="803"/>
      <c r="N116" s="803"/>
      <c r="O116" s="803"/>
      <c r="P116" s="803"/>
      <c r="Q116" s="803"/>
      <c r="R116" s="803"/>
      <c r="S116" s="803"/>
      <c r="T116" s="803"/>
      <c r="U116" s="525"/>
      <c r="V116" s="525"/>
      <c r="W116" s="525"/>
      <c r="X116" s="525"/>
      <c r="Y116" s="525"/>
      <c r="Z116" s="525"/>
      <c r="AA116" s="525"/>
      <c r="AB116" s="1023"/>
    </row>
    <row r="117" spans="1:28" ht="60" customHeight="1" x14ac:dyDescent="0.25">
      <c r="A117" s="2012" t="s">
        <v>2132</v>
      </c>
      <c r="B117" s="130"/>
      <c r="C117" s="131"/>
      <c r="D117" s="123"/>
      <c r="E117" s="123"/>
      <c r="F117" s="123"/>
      <c r="G117" s="123"/>
      <c r="H117" s="123"/>
      <c r="I117" s="123"/>
      <c r="J117" s="123"/>
      <c r="K117" s="123"/>
      <c r="L117" s="123"/>
      <c r="M117" s="123"/>
      <c r="N117" s="123"/>
      <c r="O117" s="123"/>
      <c r="P117" s="123"/>
      <c r="Q117" s="123"/>
      <c r="R117" s="123"/>
      <c r="S117" s="123"/>
      <c r="T117" s="123"/>
      <c r="U117" s="258"/>
      <c r="V117" s="258"/>
      <c r="W117" s="258"/>
      <c r="X117" s="258"/>
      <c r="Y117" s="258"/>
      <c r="Z117" s="258"/>
      <c r="AA117" s="258"/>
      <c r="AB117" s="791"/>
    </row>
    <row r="118" spans="1:28" ht="37.5" customHeight="1" x14ac:dyDescent="0.25">
      <c r="A118" s="1166"/>
      <c r="B118" s="1167"/>
      <c r="C118" s="2668" t="s">
        <v>1527</v>
      </c>
      <c r="D118" s="2670" t="s">
        <v>1528</v>
      </c>
      <c r="E118" s="2670"/>
      <c r="F118" s="477"/>
      <c r="G118" s="477"/>
      <c r="H118" s="477"/>
      <c r="I118" s="192"/>
      <c r="J118" s="192"/>
      <c r="K118" s="192"/>
      <c r="L118" s="192"/>
      <c r="M118" s="192"/>
      <c r="N118" s="192"/>
      <c r="O118" s="192"/>
      <c r="P118" s="192"/>
      <c r="Q118" s="192"/>
      <c r="R118" s="192"/>
      <c r="S118" s="192"/>
      <c r="T118" s="192"/>
      <c r="U118" s="258"/>
      <c r="V118" s="258"/>
      <c r="W118" s="258"/>
      <c r="X118" s="258"/>
      <c r="Y118" s="258"/>
      <c r="Z118" s="258"/>
      <c r="AA118" s="258"/>
      <c r="AB118" s="791"/>
    </row>
    <row r="119" spans="1:28" ht="37.5" customHeight="1" x14ac:dyDescent="0.25">
      <c r="A119" s="1025"/>
      <c r="B119" s="1168"/>
      <c r="C119" s="2669"/>
      <c r="D119" s="2024" t="s">
        <v>1529</v>
      </c>
      <c r="E119" s="2023" t="s">
        <v>1530</v>
      </c>
      <c r="F119" s="477"/>
      <c r="G119" s="477"/>
      <c r="H119" s="477"/>
      <c r="I119" s="192"/>
      <c r="J119" s="192"/>
      <c r="K119" s="192"/>
      <c r="L119" s="192"/>
      <c r="M119" s="192"/>
      <c r="N119" s="192"/>
      <c r="O119" s="192"/>
      <c r="P119" s="192"/>
      <c r="Q119" s="192"/>
      <c r="R119" s="192"/>
      <c r="S119" s="192"/>
      <c r="T119" s="191"/>
      <c r="U119" s="258"/>
      <c r="V119" s="258"/>
      <c r="W119" s="258"/>
      <c r="X119" s="258"/>
      <c r="Y119" s="258"/>
      <c r="Z119" s="258"/>
      <c r="AA119" s="258"/>
      <c r="AB119" s="791"/>
    </row>
    <row r="120" spans="1:28" ht="15" customHeight="1" x14ac:dyDescent="0.25">
      <c r="A120" s="1025"/>
      <c r="B120" s="1454" t="s">
        <v>514</v>
      </c>
      <c r="C120" s="1455"/>
      <c r="D120" s="1456" t="str">
        <f>Parameters!$F$8</f>
        <v>Yes</v>
      </c>
      <c r="E120" s="1457"/>
      <c r="F120" s="477"/>
      <c r="G120" s="477"/>
      <c r="H120" s="477"/>
      <c r="I120" s="192"/>
      <c r="J120" s="192"/>
      <c r="K120" s="192"/>
      <c r="L120" s="192"/>
      <c r="M120" s="192"/>
      <c r="N120" s="192"/>
      <c r="O120" s="192"/>
      <c r="P120" s="192"/>
      <c r="Q120" s="192"/>
      <c r="R120" s="192"/>
      <c r="S120" s="192"/>
      <c r="T120" s="191"/>
      <c r="U120" s="258"/>
      <c r="V120" s="258"/>
      <c r="W120" s="258"/>
      <c r="X120" s="258"/>
      <c r="Y120" s="258"/>
      <c r="Z120" s="258"/>
      <c r="AA120" s="258"/>
      <c r="AB120" s="791"/>
    </row>
    <row r="121" spans="1:28" ht="15" customHeight="1" x14ac:dyDescent="0.25">
      <c r="A121" s="1166"/>
      <c r="B121" s="1452" t="s">
        <v>66</v>
      </c>
      <c r="C121" s="1153"/>
      <c r="D121" s="1396"/>
      <c r="E121" s="1156"/>
      <c r="F121" s="477"/>
      <c r="G121" s="477"/>
      <c r="H121" s="477"/>
      <c r="I121" s="192"/>
      <c r="J121" s="192"/>
      <c r="K121" s="192"/>
      <c r="L121" s="192"/>
      <c r="M121" s="192"/>
      <c r="N121" s="192"/>
      <c r="O121" s="192"/>
      <c r="P121" s="192"/>
      <c r="Q121" s="192"/>
      <c r="R121" s="192"/>
      <c r="S121" s="192"/>
      <c r="T121" s="192"/>
      <c r="U121" s="258"/>
      <c r="V121" s="258"/>
      <c r="W121" s="258"/>
      <c r="X121" s="258"/>
      <c r="Y121" s="258"/>
      <c r="Z121" s="258"/>
      <c r="AA121" s="258"/>
      <c r="AB121" s="791"/>
    </row>
    <row r="122" spans="1:28" ht="15" customHeight="1" x14ac:dyDescent="0.25">
      <c r="A122" s="1166"/>
      <c r="B122" s="1453" t="s">
        <v>228</v>
      </c>
      <c r="C122" s="1162"/>
      <c r="D122" s="1160"/>
      <c r="E122" s="1170" t="str">
        <f>IF(AND(ISNUMBER(DefCap!F64),ISNUMBER(DefCap!F81),ISNUMBER(DefCap!F104)),DefCap!F64+DefCap!F81+DefCap!F104,"")</f>
        <v/>
      </c>
      <c r="F122" s="477"/>
      <c r="G122" s="477"/>
      <c r="H122" s="477"/>
      <c r="I122" s="192"/>
      <c r="J122" s="192"/>
      <c r="K122" s="192"/>
      <c r="L122" s="192"/>
      <c r="M122" s="192"/>
      <c r="N122" s="192"/>
      <c r="O122" s="192"/>
      <c r="P122" s="192"/>
      <c r="Q122" s="192"/>
      <c r="R122" s="192"/>
      <c r="S122" s="192"/>
      <c r="T122" s="192"/>
      <c r="U122" s="258"/>
      <c r="V122" s="258"/>
      <c r="W122" s="258"/>
      <c r="X122" s="258"/>
      <c r="Y122" s="258"/>
      <c r="Z122" s="258"/>
      <c r="AA122" s="258"/>
      <c r="AB122" s="791"/>
    </row>
    <row r="123" spans="1:28" ht="15" customHeight="1" x14ac:dyDescent="0.25">
      <c r="A123" s="1166"/>
      <c r="B123" s="1453" t="s">
        <v>236</v>
      </c>
      <c r="C123" s="1162"/>
      <c r="D123" s="312"/>
      <c r="E123" s="1156"/>
      <c r="F123" s="477"/>
      <c r="G123" s="477"/>
      <c r="H123" s="477"/>
      <c r="I123" s="192"/>
      <c r="J123" s="192"/>
      <c r="K123" s="192"/>
      <c r="L123" s="192"/>
      <c r="M123" s="192"/>
      <c r="N123" s="192"/>
      <c r="O123" s="192"/>
      <c r="P123" s="192"/>
      <c r="Q123" s="192"/>
      <c r="R123" s="192"/>
      <c r="S123" s="192"/>
      <c r="T123" s="192"/>
      <c r="U123" s="258"/>
      <c r="V123" s="258"/>
      <c r="W123" s="258"/>
      <c r="X123" s="258"/>
      <c r="Y123" s="258"/>
      <c r="Z123" s="258"/>
      <c r="AA123" s="258"/>
      <c r="AB123" s="791"/>
    </row>
    <row r="124" spans="1:28" ht="15" customHeight="1" x14ac:dyDescent="0.25">
      <c r="A124" s="1166"/>
      <c r="B124" s="1451" t="s">
        <v>237</v>
      </c>
      <c r="C124" s="1458"/>
      <c r="D124" s="1459"/>
      <c r="E124" s="1180"/>
      <c r="F124" s="477"/>
      <c r="G124" s="477"/>
      <c r="H124" s="477"/>
      <c r="I124" s="192"/>
      <c r="J124" s="192"/>
      <c r="K124" s="192"/>
      <c r="L124" s="192"/>
      <c r="M124" s="192"/>
      <c r="N124" s="192"/>
      <c r="O124" s="192"/>
      <c r="P124" s="192"/>
      <c r="Q124" s="192"/>
      <c r="R124" s="192"/>
      <c r="S124" s="192"/>
      <c r="T124" s="192"/>
      <c r="U124" s="258"/>
      <c r="V124" s="258"/>
      <c r="W124" s="258"/>
      <c r="X124" s="258"/>
      <c r="Y124" s="258"/>
      <c r="Z124" s="258"/>
      <c r="AA124" s="258"/>
      <c r="AB124" s="791"/>
    </row>
    <row r="125" spans="1:28" ht="15" customHeight="1" x14ac:dyDescent="0.25">
      <c r="A125" s="838"/>
      <c r="B125" s="637"/>
      <c r="C125" s="1168"/>
      <c r="D125" s="803"/>
      <c r="E125" s="803"/>
      <c r="F125" s="803"/>
      <c r="G125" s="803"/>
      <c r="H125" s="803"/>
      <c r="I125" s="803"/>
      <c r="J125" s="803"/>
      <c r="K125" s="803"/>
      <c r="L125" s="803"/>
      <c r="M125" s="803"/>
      <c r="N125" s="803"/>
      <c r="O125" s="803"/>
      <c r="P125" s="803"/>
      <c r="Q125" s="803"/>
      <c r="R125" s="803"/>
      <c r="S125" s="803"/>
      <c r="T125" s="803"/>
      <c r="U125" s="525"/>
      <c r="V125" s="525"/>
      <c r="W125" s="525"/>
      <c r="X125" s="525"/>
      <c r="Y125" s="525"/>
      <c r="Z125" s="525"/>
      <c r="AA125" s="525"/>
      <c r="AB125" s="1023"/>
    </row>
    <row r="126" spans="1:28" ht="60" customHeight="1" x14ac:dyDescent="0.25">
      <c r="A126" s="2012" t="s">
        <v>2133</v>
      </c>
      <c r="B126" s="130"/>
      <c r="C126" s="131"/>
      <c r="D126" s="123"/>
      <c r="E126" s="123"/>
      <c r="F126" s="123"/>
      <c r="G126" s="123"/>
      <c r="H126" s="123"/>
      <c r="I126" s="123"/>
      <c r="J126" s="123"/>
      <c r="K126" s="123"/>
      <c r="L126" s="123"/>
      <c r="M126" s="123"/>
      <c r="N126" s="123"/>
      <c r="O126" s="123"/>
      <c r="P126" s="123"/>
      <c r="Q126" s="123"/>
      <c r="R126" s="123"/>
      <c r="S126" s="123"/>
      <c r="T126" s="123"/>
      <c r="U126" s="258"/>
      <c r="V126" s="258"/>
      <c r="W126" s="258"/>
      <c r="X126" s="258"/>
      <c r="Y126" s="258"/>
      <c r="Z126" s="258"/>
      <c r="AA126" s="258"/>
      <c r="AB126" s="791"/>
    </row>
    <row r="127" spans="1:28" ht="37.5" customHeight="1" x14ac:dyDescent="0.25">
      <c r="A127" s="397"/>
      <c r="B127" s="2675"/>
      <c r="C127" s="2668" t="s">
        <v>1527</v>
      </c>
      <c r="D127" s="2670" t="s">
        <v>1528</v>
      </c>
      <c r="E127" s="2670"/>
      <c r="F127" s="1096"/>
      <c r="G127" s="2671" t="s">
        <v>1533</v>
      </c>
      <c r="H127" s="1096"/>
      <c r="I127" s="1096"/>
      <c r="J127" s="2671" t="s">
        <v>1535</v>
      </c>
      <c r="K127" s="1096"/>
      <c r="L127" s="1096"/>
      <c r="M127" s="1096"/>
      <c r="N127" s="1096"/>
      <c r="O127" s="1096"/>
      <c r="P127" s="1096"/>
      <c r="Q127" s="1096"/>
      <c r="R127" s="1096"/>
      <c r="S127" s="1096"/>
      <c r="T127" s="192"/>
      <c r="U127" s="258"/>
      <c r="V127" s="258"/>
      <c r="W127" s="258"/>
      <c r="X127" s="258"/>
      <c r="Y127" s="258"/>
      <c r="Z127" s="258"/>
      <c r="AA127" s="258"/>
      <c r="AB127" s="791"/>
    </row>
    <row r="128" spans="1:28" ht="37.5" customHeight="1" x14ac:dyDescent="0.25">
      <c r="A128" s="1166"/>
      <c r="B128" s="2676"/>
      <c r="C128" s="2669"/>
      <c r="D128" s="2024" t="s">
        <v>1529</v>
      </c>
      <c r="E128" s="2023" t="s">
        <v>1530</v>
      </c>
      <c r="F128" s="1096"/>
      <c r="G128" s="2672"/>
      <c r="H128" s="1096"/>
      <c r="I128" s="1096"/>
      <c r="J128" s="2672"/>
      <c r="K128" s="1096"/>
      <c r="L128" s="1096"/>
      <c r="M128" s="1096"/>
      <c r="N128" s="1096"/>
      <c r="O128" s="1096"/>
      <c r="P128" s="1096"/>
      <c r="Q128" s="1096"/>
      <c r="R128" s="1096"/>
      <c r="S128" s="1096"/>
      <c r="T128" s="192"/>
      <c r="U128" s="258"/>
      <c r="V128" s="258"/>
      <c r="W128" s="258"/>
      <c r="X128" s="258"/>
      <c r="Y128" s="258"/>
      <c r="Z128" s="258"/>
      <c r="AA128" s="258"/>
      <c r="AB128" s="791"/>
    </row>
    <row r="129" spans="1:28" ht="15" customHeight="1" x14ac:dyDescent="0.25">
      <c r="A129" s="1166"/>
      <c r="B129" s="743" t="s">
        <v>514</v>
      </c>
      <c r="C129" s="1172"/>
      <c r="D129" s="836" t="str">
        <f>Parameters!$F$8</f>
        <v>Yes</v>
      </c>
      <c r="E129" s="1169"/>
      <c r="F129" s="1096"/>
      <c r="G129" s="842"/>
      <c r="H129" s="1096"/>
      <c r="I129" s="1096"/>
      <c r="J129" s="842"/>
      <c r="K129" s="1096"/>
      <c r="L129" s="1096"/>
      <c r="M129" s="1096"/>
      <c r="N129" s="1096"/>
      <c r="O129" s="1096"/>
      <c r="P129" s="1096"/>
      <c r="Q129" s="1096"/>
      <c r="R129" s="1096"/>
      <c r="S129" s="1096"/>
      <c r="T129" s="192"/>
      <c r="U129" s="258"/>
      <c r="V129" s="258"/>
      <c r="W129" s="258"/>
      <c r="X129" s="258"/>
      <c r="Y129" s="258"/>
      <c r="Z129" s="258"/>
      <c r="AA129" s="258"/>
      <c r="AB129" s="791"/>
    </row>
    <row r="130" spans="1:28" ht="15" customHeight="1" x14ac:dyDescent="0.25">
      <c r="A130" s="397"/>
      <c r="B130" s="752" t="s">
        <v>1020</v>
      </c>
      <c r="C130" s="1173" t="str">
        <f>IF(ISNUMBER(D115), D115+C124, "")</f>
        <v/>
      </c>
      <c r="D130" s="1174" t="str">
        <f>IF(AND(ISNUMBER(D115),ISNUMBER(D121),ISNUMBER(D123),ISNUMBER(D124)), D115+D121+D123+D124, "")</f>
        <v/>
      </c>
      <c r="E130" s="1175" t="str">
        <f>IF(AND(ISNUMBER(D115),ISNUMBER(D121),ISNUMBER(E122),ISNUMBER(D123),ISNUMBER(D124)), D115+D121+E122+D123+D124, "")</f>
        <v/>
      </c>
      <c r="F130" s="1176"/>
      <c r="G130" s="1177" t="str">
        <f>IF(AND(ISNUMBER(G115),ISNUMBER(D121),ISNUMBER(D123),ISNUMBER(D124)), G115+D121+D123+D124, "")</f>
        <v/>
      </c>
      <c r="H130" s="1176"/>
      <c r="I130" s="1176"/>
      <c r="J130" s="1177" t="str">
        <f>IF(AND(ISNUMBER(J115),ISNUMBER(D121),ISNUMBER(D123),ISNUMBER(D124)), J115+D121+D123+D124, "")</f>
        <v/>
      </c>
      <c r="K130" s="1176"/>
      <c r="L130" s="1176"/>
      <c r="M130" s="1176"/>
      <c r="N130" s="1176"/>
      <c r="O130" s="1176"/>
      <c r="P130" s="1176"/>
      <c r="Q130" s="1176"/>
      <c r="R130" s="1176"/>
      <c r="S130" s="1176"/>
      <c r="T130" s="192"/>
      <c r="U130" s="258"/>
      <c r="V130" s="258"/>
      <c r="W130" s="258"/>
      <c r="X130" s="258"/>
      <c r="Y130" s="258"/>
      <c r="Z130" s="258"/>
      <c r="AA130" s="258"/>
      <c r="AB130" s="791"/>
    </row>
    <row r="131" spans="1:28" ht="15" customHeight="1" x14ac:dyDescent="0.25">
      <c r="A131" s="397"/>
      <c r="B131" s="192" t="s">
        <v>882</v>
      </c>
      <c r="C131" s="1178"/>
      <c r="D131" s="269" t="str">
        <f>IF(AND(ISNUMBER(D130), ISNUMBER(D132)), D132-D130, "")</f>
        <v/>
      </c>
      <c r="E131" s="1178"/>
      <c r="F131" s="1176"/>
      <c r="G131" s="1017" t="str">
        <f>IF(AND(ISNUMBER(G130), ISNUMBER(G132)), G132-G130, "")</f>
        <v/>
      </c>
      <c r="H131" s="192"/>
      <c r="I131" s="1176"/>
      <c r="J131" s="1178"/>
      <c r="K131" s="1176"/>
      <c r="L131" s="1176"/>
      <c r="M131" s="1176"/>
      <c r="N131" s="1176"/>
      <c r="O131" s="1176"/>
      <c r="P131" s="1176"/>
      <c r="Q131" s="1176"/>
      <c r="R131" s="1176"/>
      <c r="S131" s="1176"/>
      <c r="T131" s="192"/>
      <c r="U131" s="258"/>
      <c r="V131" s="258"/>
      <c r="W131" s="258"/>
      <c r="X131" s="258"/>
      <c r="Y131" s="258"/>
      <c r="Z131" s="258"/>
      <c r="AA131" s="258"/>
      <c r="AB131" s="791"/>
    </row>
    <row r="132" spans="1:28" ht="15" customHeight="1" x14ac:dyDescent="0.25">
      <c r="A132" s="397"/>
      <c r="B132" s="249" t="s">
        <v>1021</v>
      </c>
      <c r="C132" s="1163"/>
      <c r="D132" s="1179"/>
      <c r="E132" s="1180"/>
      <c r="F132" s="1176"/>
      <c r="G132" s="1181" t="str">
        <f>IF(AND(ISNUMBER(G130), ISNUMBER(J130)), MAX(G130, 0.725*J130), "")</f>
        <v/>
      </c>
      <c r="H132" s="1096"/>
      <c r="I132" s="1096"/>
      <c r="J132" s="1180"/>
      <c r="K132" s="1176"/>
      <c r="L132" s="1176"/>
      <c r="M132" s="1176"/>
      <c r="N132" s="1176"/>
      <c r="O132" s="1176"/>
      <c r="P132" s="1176"/>
      <c r="Q132" s="1176"/>
      <c r="R132" s="1176"/>
      <c r="S132" s="1176"/>
      <c r="T132" s="192"/>
      <c r="U132" s="258"/>
      <c r="V132" s="258"/>
      <c r="W132" s="258"/>
      <c r="X132" s="258"/>
      <c r="Y132" s="258"/>
      <c r="Z132" s="258"/>
      <c r="AA132" s="258"/>
      <c r="AB132" s="791"/>
    </row>
    <row r="133" spans="1:28" ht="30" customHeight="1" x14ac:dyDescent="0.25">
      <c r="A133" s="1166"/>
      <c r="B133" s="191"/>
      <c r="C133" s="191"/>
      <c r="D133" s="192"/>
      <c r="E133" s="192"/>
      <c r="F133" s="192"/>
      <c r="G133" s="192"/>
      <c r="H133" s="1096"/>
      <c r="I133" s="1096"/>
      <c r="J133" s="192"/>
      <c r="K133" s="192"/>
      <c r="L133" s="192"/>
      <c r="M133" s="192"/>
      <c r="N133" s="192"/>
      <c r="O133" s="192"/>
      <c r="P133" s="192"/>
      <c r="Q133" s="192"/>
      <c r="R133" s="192"/>
      <c r="S133" s="192"/>
      <c r="T133" s="192"/>
      <c r="U133" s="258"/>
      <c r="V133" s="258"/>
      <c r="W133" s="258"/>
      <c r="X133" s="258"/>
      <c r="Y133" s="258"/>
      <c r="Z133" s="258"/>
      <c r="AA133" s="258"/>
      <c r="AB133" s="791"/>
    </row>
    <row r="134" spans="1:28" ht="37.5" customHeight="1" x14ac:dyDescent="0.25">
      <c r="A134" s="397"/>
      <c r="B134" s="2673" t="s">
        <v>115</v>
      </c>
      <c r="C134" s="2668" t="s">
        <v>1531</v>
      </c>
      <c r="D134" s="2670" t="s">
        <v>1532</v>
      </c>
      <c r="E134" s="2670"/>
      <c r="F134" s="1096"/>
      <c r="G134" s="2671" t="s">
        <v>1534</v>
      </c>
      <c r="H134" s="1096"/>
      <c r="I134" s="1096"/>
      <c r="J134" s="1096"/>
      <c r="K134" s="1096"/>
      <c r="L134" s="1096"/>
      <c r="M134" s="1096"/>
      <c r="N134" s="1096"/>
      <c r="O134" s="1096"/>
      <c r="P134" s="1096"/>
      <c r="Q134" s="1096"/>
      <c r="R134" s="1096"/>
      <c r="S134" s="1096"/>
      <c r="T134" s="192"/>
      <c r="U134" s="258"/>
      <c r="V134" s="258"/>
      <c r="W134" s="258"/>
      <c r="X134" s="258"/>
      <c r="Y134" s="258"/>
      <c r="Z134" s="258"/>
      <c r="AA134" s="258"/>
      <c r="AB134" s="791"/>
    </row>
    <row r="135" spans="1:28" ht="37.5" customHeight="1" x14ac:dyDescent="0.25">
      <c r="A135" s="397"/>
      <c r="B135" s="2674"/>
      <c r="C135" s="2669"/>
      <c r="D135" s="2024" t="s">
        <v>1529</v>
      </c>
      <c r="E135" s="2023" t="s">
        <v>1530</v>
      </c>
      <c r="F135" s="1096"/>
      <c r="G135" s="2672"/>
      <c r="H135" s="1096"/>
      <c r="I135" s="1096"/>
      <c r="J135" s="1096"/>
      <c r="K135" s="1096"/>
      <c r="L135" s="1096"/>
      <c r="M135" s="1096"/>
      <c r="N135" s="1096"/>
      <c r="O135" s="1096"/>
      <c r="P135" s="1096"/>
      <c r="Q135" s="1096"/>
      <c r="R135" s="1096"/>
      <c r="S135" s="1096"/>
      <c r="T135" s="192"/>
      <c r="U135" s="258"/>
      <c r="V135" s="258"/>
      <c r="W135" s="258"/>
      <c r="X135" s="258"/>
      <c r="Y135" s="258"/>
      <c r="Z135" s="258"/>
      <c r="AA135" s="258"/>
      <c r="AB135" s="791"/>
    </row>
    <row r="136" spans="1:28" ht="15" customHeight="1" x14ac:dyDescent="0.25">
      <c r="A136" s="397"/>
      <c r="B136" s="1182" t="s">
        <v>4</v>
      </c>
      <c r="C136" s="1183" t="str">
        <f>IF(AND(ISNUMBER('General Info'!C59),ISNUMBER(C130)),'General Info'!C59/C130,"")</f>
        <v/>
      </c>
      <c r="D136" s="1184" t="str">
        <f>IF(AND(ISNUMBER('General Info'!D59),ISNUMBER(D130)),'General Info'!D59/D130,"")</f>
        <v/>
      </c>
      <c r="E136" s="1183" t="str">
        <f>IF(AND(ISNUMBER('General Info'!E59),ISNUMBER(E130)),'General Info'!E59/E130,"")</f>
        <v/>
      </c>
      <c r="F136" s="1185"/>
      <c r="G136" s="1186" t="str">
        <f>IF(AND(ISNUMBER('General Info'!D59),ISNUMBER(G130)),'General Info'!D59/G130,"")</f>
        <v/>
      </c>
      <c r="H136" s="1096"/>
      <c r="I136" s="1096"/>
      <c r="J136" s="1185"/>
      <c r="K136" s="1185"/>
      <c r="L136" s="1185"/>
      <c r="M136" s="1185"/>
      <c r="N136" s="1185"/>
      <c r="O136" s="1185"/>
      <c r="P136" s="1185"/>
      <c r="Q136" s="1185"/>
      <c r="R136" s="1185"/>
      <c r="S136" s="1185"/>
      <c r="T136" s="192"/>
      <c r="U136" s="258"/>
      <c r="V136" s="258"/>
      <c r="W136" s="258"/>
      <c r="X136" s="258"/>
      <c r="Y136" s="258"/>
      <c r="Z136" s="258"/>
      <c r="AA136" s="258"/>
      <c r="AB136" s="791"/>
    </row>
    <row r="137" spans="1:28" ht="15" customHeight="1" x14ac:dyDescent="0.25">
      <c r="A137" s="397"/>
      <c r="B137" s="869" t="s">
        <v>5</v>
      </c>
      <c r="C137" s="1187" t="str">
        <f>IF(AND(ISNUMBER('General Info'!C66),ISNUMBER(C130)),'General Info'!C66/C130,"")</f>
        <v/>
      </c>
      <c r="D137" s="1188" t="str">
        <f>IF(AND(ISNUMBER('General Info'!D66),ISNUMBER(D130)),'General Info'!D66/D130,"")</f>
        <v/>
      </c>
      <c r="E137" s="1187" t="str">
        <f>IF(AND(ISNUMBER('General Info'!E66),ISNUMBER(E130)),'General Info'!E66/E130,"")</f>
        <v/>
      </c>
      <c r="F137" s="1185"/>
      <c r="G137" s="1189" t="str">
        <f>IF(AND(ISNUMBER('General Info'!D66),ISNUMBER(G130)),'General Info'!D66/G130,"")</f>
        <v/>
      </c>
      <c r="H137" s="1185"/>
      <c r="I137" s="1185"/>
      <c r="J137" s="1185"/>
      <c r="K137" s="1185"/>
      <c r="L137" s="1185"/>
      <c r="M137" s="1185"/>
      <c r="N137" s="1185"/>
      <c r="O137" s="1185"/>
      <c r="P137" s="1185"/>
      <c r="Q137" s="1185"/>
      <c r="R137" s="1185"/>
      <c r="S137" s="1185"/>
      <c r="T137" s="192"/>
      <c r="U137" s="258"/>
      <c r="V137" s="258"/>
      <c r="W137" s="258"/>
      <c r="X137" s="258"/>
      <c r="Y137" s="258"/>
      <c r="Z137" s="258"/>
      <c r="AA137" s="258"/>
      <c r="AB137" s="791"/>
    </row>
    <row r="138" spans="1:28" ht="15" customHeight="1" x14ac:dyDescent="0.25">
      <c r="A138" s="397"/>
      <c r="B138" s="330" t="s">
        <v>24</v>
      </c>
      <c r="C138" s="1190" t="str">
        <f>IF(AND(ISNUMBER('General Info'!C58),ISNUMBER(C130)),'General Info'!C58/C130,"")</f>
        <v/>
      </c>
      <c r="D138" s="1191" t="str">
        <f>IF(AND(ISNUMBER('General Info'!D58),ISNUMBER(D130)),'General Info'!D58/D130,"")</f>
        <v/>
      </c>
      <c r="E138" s="1190" t="str">
        <f>IF(AND(ISNUMBER('General Info'!E58),ISNUMBER(E130)),'General Info'!E58/E130,"")</f>
        <v/>
      </c>
      <c r="F138" s="1185"/>
      <c r="G138" s="1192" t="str">
        <f>IF(AND(ISNUMBER('General Info'!D58),ISNUMBER(G130)),'General Info'!D58/G130,"")</f>
        <v/>
      </c>
      <c r="H138" s="1185"/>
      <c r="I138" s="1185"/>
      <c r="J138" s="1185"/>
      <c r="K138" s="1185"/>
      <c r="L138" s="1185"/>
      <c r="M138" s="1185"/>
      <c r="N138" s="1185"/>
      <c r="O138" s="1185"/>
      <c r="P138" s="1185"/>
      <c r="Q138" s="1185"/>
      <c r="R138" s="1185"/>
      <c r="S138" s="1185"/>
      <c r="T138" s="192"/>
      <c r="U138" s="258"/>
      <c r="V138" s="258"/>
      <c r="W138" s="258"/>
      <c r="X138" s="258"/>
      <c r="Y138" s="258"/>
      <c r="Z138" s="258"/>
      <c r="AA138" s="258"/>
      <c r="AB138" s="791"/>
    </row>
    <row r="139" spans="1:28" ht="15" customHeight="1" x14ac:dyDescent="0.25">
      <c r="A139" s="397"/>
      <c r="B139" s="724" t="s">
        <v>932</v>
      </c>
      <c r="C139" s="1193"/>
      <c r="D139" s="1184" t="str">
        <f>IF(AND(ISNUMBER('General Info'!D59), ISNUMBER(D132)),'General Info'!D59/D132,"")</f>
        <v/>
      </c>
      <c r="E139" s="1194"/>
      <c r="F139" s="1185"/>
      <c r="G139" s="1186" t="str">
        <f>IF(AND(ISNUMBER('General Info'!D59),ISNUMBER(G132)),'General Info'!D59/G132,"")</f>
        <v/>
      </c>
      <c r="H139" s="1185"/>
      <c r="I139" s="1185"/>
      <c r="J139" s="1185"/>
      <c r="K139" s="1185"/>
      <c r="L139" s="1185"/>
      <c r="M139" s="1185"/>
      <c r="N139" s="1185"/>
      <c r="O139" s="1185"/>
      <c r="P139" s="1185"/>
      <c r="Q139" s="1185"/>
      <c r="R139" s="1185"/>
      <c r="S139" s="1185"/>
      <c r="T139" s="192"/>
      <c r="U139" s="258"/>
      <c r="V139" s="258"/>
      <c r="W139" s="258"/>
      <c r="X139" s="258"/>
      <c r="Y139" s="258"/>
      <c r="Z139" s="258"/>
      <c r="AA139" s="258"/>
      <c r="AB139" s="791"/>
    </row>
    <row r="140" spans="1:28" ht="15" customHeight="1" x14ac:dyDescent="0.25">
      <c r="A140" s="397"/>
      <c r="B140" s="869" t="s">
        <v>933</v>
      </c>
      <c r="C140" s="1195"/>
      <c r="D140" s="1188" t="str">
        <f>IF(AND(ISNUMBER('General Info'!D66),ISNUMBER(D132)),'General Info'!D66/D132,"")</f>
        <v/>
      </c>
      <c r="E140" s="1196"/>
      <c r="F140" s="1185"/>
      <c r="G140" s="1189" t="str">
        <f>IF(AND(ISNUMBER('General Info'!D66),ISNUMBER(G132)),'General Info'!D66/G132,"")</f>
        <v/>
      </c>
      <c r="H140" s="1185"/>
      <c r="I140" s="1185"/>
      <c r="J140" s="1185"/>
      <c r="K140" s="1185"/>
      <c r="L140" s="1185"/>
      <c r="M140" s="1185"/>
      <c r="N140" s="1185"/>
      <c r="O140" s="1185"/>
      <c r="P140" s="1185"/>
      <c r="Q140" s="1185"/>
      <c r="R140" s="1185"/>
      <c r="S140" s="1185"/>
      <c r="T140" s="192"/>
      <c r="U140" s="258"/>
      <c r="V140" s="258"/>
      <c r="W140" s="258"/>
      <c r="X140" s="258"/>
      <c r="Y140" s="258"/>
      <c r="Z140" s="258"/>
      <c r="AA140" s="258"/>
      <c r="AB140" s="791"/>
    </row>
    <row r="141" spans="1:28" ht="15" customHeight="1" x14ac:dyDescent="0.25">
      <c r="A141" s="397"/>
      <c r="B141" s="330" t="s">
        <v>934</v>
      </c>
      <c r="C141" s="1197"/>
      <c r="D141" s="1191" t="str">
        <f>IF(AND(ISNUMBER('General Info'!D58),ISNUMBER(D132)),'General Info'!D58/D132,"")</f>
        <v/>
      </c>
      <c r="E141" s="1198"/>
      <c r="F141" s="1185"/>
      <c r="G141" s="1192" t="str">
        <f>IF(AND(ISNUMBER('General Info'!D58),ISNUMBER(G132)),'General Info'!D58/G132,"")</f>
        <v/>
      </c>
      <c r="H141" s="1185"/>
      <c r="I141" s="1185"/>
      <c r="J141" s="1185"/>
      <c r="K141" s="1185"/>
      <c r="L141" s="1185"/>
      <c r="M141" s="1185"/>
      <c r="N141" s="1185"/>
      <c r="O141" s="1185"/>
      <c r="P141" s="1185"/>
      <c r="Q141" s="1185"/>
      <c r="R141" s="1185"/>
      <c r="S141" s="1185"/>
      <c r="T141" s="192"/>
      <c r="U141" s="258"/>
      <c r="V141" s="258"/>
      <c r="W141" s="258"/>
      <c r="X141" s="258"/>
      <c r="Y141" s="258"/>
      <c r="Z141" s="258"/>
      <c r="AA141" s="258"/>
      <c r="AB141" s="791"/>
    </row>
    <row r="142" spans="1:28" ht="15" customHeight="1" x14ac:dyDescent="0.25">
      <c r="A142" s="838"/>
      <c r="B142" s="637"/>
      <c r="C142" s="1168"/>
      <c r="D142" s="803"/>
      <c r="E142" s="803"/>
      <c r="F142" s="803"/>
      <c r="G142" s="803"/>
      <c r="H142" s="803"/>
      <c r="I142" s="803"/>
      <c r="J142" s="803"/>
      <c r="K142" s="803"/>
      <c r="L142" s="803"/>
      <c r="M142" s="803"/>
      <c r="N142" s="803"/>
      <c r="O142" s="803"/>
      <c r="P142" s="803"/>
      <c r="Q142" s="803"/>
      <c r="R142" s="803"/>
      <c r="S142" s="803"/>
      <c r="T142" s="803"/>
      <c r="U142" s="525"/>
      <c r="V142" s="525"/>
      <c r="W142" s="525"/>
      <c r="X142" s="525"/>
      <c r="Y142" s="525"/>
      <c r="Z142" s="525"/>
      <c r="AA142" s="525"/>
      <c r="AB142" s="1023"/>
    </row>
    <row r="143" spans="1:28" ht="60" customHeight="1" x14ac:dyDescent="0.25">
      <c r="A143" s="978" t="s">
        <v>2134</v>
      </c>
      <c r="B143" s="1983"/>
      <c r="C143" s="1984"/>
      <c r="D143" s="1985"/>
      <c r="E143" s="1985"/>
      <c r="F143" s="1985"/>
      <c r="G143" s="1985"/>
      <c r="H143" s="1985"/>
      <c r="I143" s="1985"/>
      <c r="J143" s="1985"/>
      <c r="K143" s="1985"/>
      <c r="L143" s="1985"/>
      <c r="M143" s="1985"/>
      <c r="N143" s="1985"/>
      <c r="O143" s="1985"/>
      <c r="P143" s="1985"/>
      <c r="Q143" s="1985"/>
      <c r="R143" s="1985"/>
      <c r="S143" s="1985"/>
      <c r="T143" s="1985"/>
      <c r="U143" s="1078"/>
      <c r="V143" s="1078"/>
      <c r="W143" s="1078"/>
      <c r="X143" s="1078"/>
      <c r="Y143" s="1078"/>
      <c r="Z143" s="1078"/>
      <c r="AA143" s="1078"/>
      <c r="AB143" s="1022"/>
    </row>
    <row r="144" spans="1:28" ht="15" customHeight="1" x14ac:dyDescent="0.25">
      <c r="A144" s="397"/>
      <c r="B144" s="822" t="s">
        <v>1510</v>
      </c>
      <c r="C144" s="1986"/>
      <c r="D144" s="1982" t="str">
        <f>IF(AND(ISNUMBER(D130), ISNUMBER(D145)), D145-D130, "")</f>
        <v/>
      </c>
      <c r="E144" s="192"/>
      <c r="F144" s="192"/>
      <c r="G144" s="192"/>
      <c r="H144" s="192"/>
      <c r="I144" s="192"/>
      <c r="J144" s="192"/>
      <c r="K144" s="192"/>
      <c r="L144" s="192"/>
      <c r="M144" s="192"/>
      <c r="N144" s="192"/>
      <c r="O144" s="192"/>
      <c r="P144" s="192"/>
      <c r="Q144" s="192"/>
      <c r="R144" s="192"/>
      <c r="S144" s="192"/>
      <c r="T144" s="192"/>
      <c r="U144" s="258"/>
      <c r="V144" s="258"/>
      <c r="W144" s="258"/>
      <c r="X144" s="258"/>
      <c r="Y144" s="258"/>
      <c r="Z144" s="258"/>
      <c r="AA144" s="258"/>
      <c r="AB144" s="258"/>
    </row>
    <row r="145" spans="1:28" ht="15" customHeight="1" x14ac:dyDescent="0.25">
      <c r="A145" s="397"/>
      <c r="B145" s="237" t="s">
        <v>1521</v>
      </c>
      <c r="C145" s="2011"/>
      <c r="D145" s="1989"/>
      <c r="E145" s="192"/>
      <c r="F145" s="192"/>
      <c r="G145" s="192"/>
      <c r="H145" s="192"/>
      <c r="I145" s="192"/>
      <c r="J145" s="192"/>
      <c r="K145" s="192"/>
      <c r="L145" s="192"/>
      <c r="M145" s="192"/>
      <c r="N145" s="192"/>
      <c r="O145" s="192"/>
      <c r="P145" s="192"/>
      <c r="Q145" s="192"/>
      <c r="R145" s="192"/>
      <c r="S145" s="192"/>
      <c r="T145" s="192"/>
      <c r="U145" s="258"/>
      <c r="V145" s="258"/>
      <c r="W145" s="258"/>
      <c r="X145" s="258"/>
      <c r="Y145" s="258"/>
      <c r="Z145" s="258"/>
      <c r="AA145" s="258"/>
      <c r="AB145" s="258"/>
    </row>
    <row r="146" spans="1:28" ht="15" customHeight="1" x14ac:dyDescent="0.25">
      <c r="A146" s="397"/>
      <c r="B146" s="197" t="s">
        <v>882</v>
      </c>
      <c r="C146" s="2011"/>
      <c r="D146" s="1017" t="str">
        <f>IF(AND(ISNUMBER(D145), ISNUMBER(D147)), D147-D145, "")</f>
        <v/>
      </c>
      <c r="E146" s="192"/>
      <c r="F146" s="192"/>
      <c r="G146" s="192"/>
      <c r="H146" s="192"/>
      <c r="I146" s="192"/>
      <c r="J146" s="192"/>
      <c r="K146" s="192"/>
      <c r="L146" s="192"/>
      <c r="M146" s="192"/>
      <c r="N146" s="192"/>
      <c r="O146" s="192"/>
      <c r="P146" s="192"/>
      <c r="Q146" s="192"/>
      <c r="R146" s="192"/>
      <c r="S146" s="192"/>
      <c r="T146" s="192"/>
      <c r="U146" s="258"/>
      <c r="V146" s="258"/>
      <c r="W146" s="258"/>
      <c r="X146" s="258"/>
      <c r="Y146" s="258"/>
      <c r="Z146" s="258"/>
      <c r="AA146" s="258"/>
      <c r="AB146" s="258"/>
    </row>
    <row r="147" spans="1:28" ht="15" customHeight="1" x14ac:dyDescent="0.25">
      <c r="A147" s="397"/>
      <c r="B147" s="237" t="s">
        <v>1511</v>
      </c>
      <c r="C147" s="1988"/>
      <c r="D147" s="1989"/>
      <c r="E147" s="192"/>
      <c r="F147" s="192"/>
      <c r="G147" s="192"/>
      <c r="H147" s="192"/>
      <c r="I147" s="192"/>
      <c r="J147" s="192"/>
      <c r="K147" s="192"/>
      <c r="L147" s="192"/>
      <c r="M147" s="192"/>
      <c r="N147" s="192"/>
      <c r="O147" s="192"/>
      <c r="P147" s="192"/>
      <c r="Q147" s="192"/>
      <c r="R147" s="192"/>
      <c r="S147" s="192"/>
      <c r="T147" s="192"/>
      <c r="U147" s="258"/>
      <c r="V147" s="258"/>
      <c r="W147" s="258"/>
      <c r="X147" s="258"/>
      <c r="Y147" s="258"/>
      <c r="Z147" s="258"/>
      <c r="AA147" s="258"/>
      <c r="AB147" s="258"/>
    </row>
    <row r="148" spans="1:28" ht="15" customHeight="1" x14ac:dyDescent="0.25">
      <c r="A148" s="397"/>
      <c r="B148" s="869" t="s">
        <v>1512</v>
      </c>
      <c r="C148" s="1988"/>
      <c r="D148" s="1187" t="str">
        <f>IF(AND(ISNUMBER('General Info'!D59), ISNUMBER(D147)),'General Info'!D59/D147,"")</f>
        <v/>
      </c>
      <c r="E148" s="192"/>
      <c r="F148" s="192"/>
      <c r="G148" s="192"/>
      <c r="H148" s="192"/>
      <c r="I148" s="192"/>
      <c r="J148" s="192"/>
      <c r="K148" s="192"/>
      <c r="L148" s="192"/>
      <c r="M148" s="192"/>
      <c r="N148" s="192"/>
      <c r="O148" s="192"/>
      <c r="P148" s="192"/>
      <c r="Q148" s="192"/>
      <c r="R148" s="192"/>
      <c r="S148" s="192"/>
      <c r="T148" s="192"/>
      <c r="U148" s="258"/>
      <c r="V148" s="258"/>
      <c r="W148" s="258"/>
      <c r="X148" s="258"/>
      <c r="Y148" s="258"/>
      <c r="Z148" s="258"/>
      <c r="AA148" s="258"/>
      <c r="AB148" s="258"/>
    </row>
    <row r="149" spans="1:28" ht="15" customHeight="1" x14ac:dyDescent="0.25">
      <c r="A149" s="397"/>
      <c r="B149" s="869" t="s">
        <v>1513</v>
      </c>
      <c r="C149" s="1988"/>
      <c r="D149" s="1187" t="str">
        <f>IF(AND(ISNUMBER('General Info'!D66),ISNUMBER(D147)),'General Info'!D66/D147,"")</f>
        <v/>
      </c>
      <c r="E149" s="192"/>
      <c r="F149" s="192"/>
      <c r="G149" s="192"/>
      <c r="H149" s="192"/>
      <c r="I149" s="192"/>
      <c r="J149" s="192"/>
      <c r="K149" s="192"/>
      <c r="L149" s="192"/>
      <c r="M149" s="192"/>
      <c r="N149" s="192"/>
      <c r="O149" s="192"/>
      <c r="P149" s="192"/>
      <c r="Q149" s="192"/>
      <c r="R149" s="192"/>
      <c r="S149" s="192"/>
      <c r="T149" s="192"/>
      <c r="U149" s="258"/>
      <c r="V149" s="258"/>
      <c r="W149" s="258"/>
      <c r="X149" s="258"/>
      <c r="Y149" s="258"/>
      <c r="Z149" s="258"/>
      <c r="AA149" s="258"/>
      <c r="AB149" s="258"/>
    </row>
    <row r="150" spans="1:28" ht="15" customHeight="1" x14ac:dyDescent="0.25">
      <c r="A150" s="397"/>
      <c r="B150" s="330" t="s">
        <v>1514</v>
      </c>
      <c r="C150" s="1987"/>
      <c r="D150" s="1190" t="str">
        <f>IF(AND(ISNUMBER('General Info'!D58),ISNUMBER(D147)),'General Info'!D58/D147,"")</f>
        <v/>
      </c>
      <c r="E150" s="192"/>
      <c r="F150" s="192"/>
      <c r="G150" s="192"/>
      <c r="H150" s="192"/>
      <c r="I150" s="192"/>
      <c r="J150" s="192"/>
      <c r="K150" s="192"/>
      <c r="L150" s="192"/>
      <c r="M150" s="192"/>
      <c r="N150" s="192"/>
      <c r="O150" s="192"/>
      <c r="P150" s="192"/>
      <c r="Q150" s="192"/>
      <c r="R150" s="192"/>
      <c r="S150" s="192"/>
      <c r="T150" s="192"/>
      <c r="U150" s="258"/>
      <c r="V150" s="258"/>
      <c r="W150" s="258"/>
      <c r="X150" s="258"/>
      <c r="Y150" s="258"/>
      <c r="Z150" s="258"/>
      <c r="AA150" s="258"/>
      <c r="AB150" s="258"/>
    </row>
    <row r="151" spans="1:28" ht="15" customHeight="1" x14ac:dyDescent="0.25">
      <c r="A151" s="2003"/>
      <c r="B151" s="637"/>
      <c r="C151" s="1168"/>
      <c r="D151" s="803"/>
      <c r="E151" s="803"/>
      <c r="F151" s="803"/>
      <c r="G151" s="803"/>
      <c r="H151" s="803"/>
      <c r="I151" s="803"/>
      <c r="J151" s="803"/>
      <c r="K151" s="803"/>
      <c r="L151" s="803"/>
      <c r="M151" s="803"/>
      <c r="N151" s="803"/>
      <c r="O151" s="803"/>
      <c r="P151" s="803"/>
      <c r="Q151" s="803"/>
      <c r="R151" s="803"/>
      <c r="S151" s="803"/>
      <c r="T151" s="803"/>
      <c r="U151" s="525"/>
      <c r="V151" s="525"/>
      <c r="W151" s="525"/>
      <c r="X151" s="525"/>
      <c r="Y151" s="525"/>
      <c r="Z151" s="525"/>
      <c r="AA151" s="525"/>
      <c r="AB151" s="525"/>
    </row>
    <row r="152" spans="1:28" ht="15" hidden="1" customHeight="1" x14ac:dyDescent="0.25">
      <c r="A152" s="1981"/>
      <c r="B152" s="1981"/>
      <c r="C152" s="191"/>
      <c r="D152" s="192"/>
      <c r="E152" s="192"/>
      <c r="F152" s="192"/>
      <c r="G152" s="192"/>
      <c r="H152" s="192"/>
      <c r="I152" s="192"/>
      <c r="J152" s="192"/>
      <c r="K152" s="192"/>
      <c r="L152" s="192"/>
      <c r="M152" s="192"/>
      <c r="N152" s="192"/>
      <c r="O152" s="192"/>
      <c r="P152" s="192"/>
      <c r="Q152" s="192"/>
      <c r="R152" s="192"/>
      <c r="S152" s="192"/>
      <c r="T152" s="192"/>
      <c r="U152" s="258"/>
      <c r="V152" s="258"/>
      <c r="W152" s="258"/>
      <c r="X152" s="258"/>
      <c r="Y152" s="258"/>
      <c r="Z152" s="258"/>
      <c r="AA152" s="258"/>
      <c r="AB152" s="258"/>
    </row>
    <row r="153" spans="1:28" ht="15" hidden="1" customHeight="1" x14ac:dyDescent="0.25">
      <c r="A153" s="1981"/>
      <c r="B153" s="1981"/>
      <c r="C153" s="191"/>
      <c r="D153" s="192"/>
      <c r="E153" s="192"/>
      <c r="F153" s="192"/>
      <c r="G153" s="192"/>
      <c r="H153" s="192"/>
      <c r="I153" s="192"/>
      <c r="J153" s="192"/>
      <c r="K153" s="192"/>
      <c r="L153" s="192"/>
      <c r="M153" s="192"/>
      <c r="N153" s="192"/>
      <c r="O153" s="192"/>
      <c r="P153" s="192"/>
      <c r="Q153" s="192"/>
      <c r="R153" s="192"/>
      <c r="S153" s="192"/>
      <c r="T153" s="192"/>
      <c r="U153" s="258"/>
      <c r="V153" s="258"/>
      <c r="W153" s="258"/>
      <c r="X153" s="258"/>
      <c r="Y153" s="258"/>
      <c r="Z153" s="258"/>
      <c r="AA153" s="258"/>
      <c r="AB153" s="258"/>
    </row>
    <row r="154" spans="1:28" ht="15" hidden="1" customHeight="1" x14ac:dyDescent="0.25">
      <c r="A154" s="1981"/>
      <c r="B154" s="1981"/>
      <c r="C154" s="191"/>
      <c r="D154" s="192"/>
      <c r="E154" s="192"/>
      <c r="F154" s="192"/>
      <c r="G154" s="192"/>
      <c r="H154" s="192"/>
      <c r="I154" s="192"/>
      <c r="J154" s="192"/>
      <c r="K154" s="192"/>
      <c r="L154" s="192"/>
      <c r="M154" s="192"/>
      <c r="N154" s="192"/>
      <c r="O154" s="192"/>
      <c r="P154" s="192"/>
      <c r="Q154" s="192"/>
      <c r="R154" s="192"/>
      <c r="S154" s="192"/>
      <c r="T154" s="192"/>
      <c r="U154" s="258"/>
      <c r="V154" s="258"/>
      <c r="W154" s="258"/>
      <c r="X154" s="258"/>
      <c r="Y154" s="258"/>
      <c r="Z154" s="258"/>
      <c r="AA154" s="258"/>
      <c r="AB154" s="258"/>
    </row>
    <row r="155" spans="1:28" ht="15" hidden="1" customHeight="1" x14ac:dyDescent="0.25">
      <c r="A155" s="1981"/>
      <c r="B155" s="1981"/>
      <c r="C155" s="191"/>
      <c r="D155" s="192"/>
      <c r="E155" s="192"/>
      <c r="F155" s="192"/>
      <c r="G155" s="192"/>
      <c r="H155" s="192"/>
      <c r="I155" s="192"/>
      <c r="J155" s="192"/>
      <c r="K155" s="192"/>
      <c r="L155" s="192"/>
      <c r="M155" s="192"/>
      <c r="N155" s="192"/>
      <c r="O155" s="192"/>
      <c r="P155" s="192"/>
      <c r="Q155" s="192"/>
      <c r="R155" s="192"/>
      <c r="S155" s="192"/>
      <c r="T155" s="192"/>
      <c r="U155" s="258"/>
      <c r="V155" s="258"/>
      <c r="W155" s="258"/>
      <c r="X155" s="258"/>
      <c r="Y155" s="258"/>
      <c r="Z155" s="258"/>
      <c r="AA155" s="258"/>
      <c r="AB155" s="258"/>
    </row>
    <row r="156" spans="1:28" ht="15" hidden="1" customHeight="1" x14ac:dyDescent="0.25"/>
    <row r="157" spans="1:28" ht="15" hidden="1" customHeight="1" x14ac:dyDescent="0.25"/>
    <row r="158" spans="1:28" ht="15" hidden="1" customHeight="1" x14ac:dyDescent="0.25"/>
    <row r="159" spans="1:28" ht="15" hidden="1" customHeight="1" x14ac:dyDescent="0.25"/>
  </sheetData>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F37:G39 I37:J39 D113:D114 G113:G114 J113:J114 C124 D132 D145 D147">
    <cfRule type="cellIs" dxfId="1650" priority="109" stopIfTrue="1" operator="lessThan">
      <formula>0</formula>
    </cfRule>
  </conditionalFormatting>
  <conditionalFormatting sqref="A1:AB1048576">
    <cfRule type="cellIs" dxfId="1649" priority="106"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5" stopIfTrue="1" operator="beginsWith" id="{733E0582-9018-4FE2-AD2B-E6FB41034AA8}">
            <xm:f>LEFT(A1,LEN("RW change"))="RW change"</xm:f>
            <xm:f>"RW change"</xm:f>
            <x14:dxf>
              <fill>
                <patternFill>
                  <bgColor theme="0"/>
                </patternFill>
              </fill>
            </x14:dxf>
          </x14:cfRule>
          <x14:cfRule type="beginsWith" priority="104" stopIfTrue="1" operator="beginsWith" id="{F8BE1CBB-76F9-430F-8F6D-F8EFF44EBAF3}">
            <xm:f>LEFT(A1,LEN("Error: "))="Error: "</xm:f>
            <xm:f>"Error: "</xm:f>
            <x14:dxf>
              <font>
                <b/>
                <i val="0"/>
                <color rgb="FFAA322F"/>
              </font>
              <fill>
                <patternFill patternType="solid">
                  <bgColor theme="0"/>
                </patternFill>
              </fill>
            </x14:dxf>
          </x14:cfRule>
          <x14:cfRule type="beginsWith" priority="105" stopIfTrue="1" operator="beginsWith" id="{0523153E-4273-4458-B0DA-5D540B046E05}">
            <xm:f>LEFT(A1,LEN("Warning: "))="Warning: "</xm:f>
            <xm:f>"Warning: "</xm:f>
            <x14:dxf>
              <font>
                <color rgb="FFAA322F"/>
              </font>
              <fill>
                <patternFill patternType="solid">
                  <bgColor theme="0"/>
                </patternFill>
              </fill>
            </x14:dxf>
          </x14:cfRule>
          <xm:sqref>A1:AB1048576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FFEC72"/>
  </sheetPr>
  <dimension ref="A1:G124"/>
  <sheetViews>
    <sheetView zoomScale="70" zoomScaleNormal="70" workbookViewId="0">
      <pane ySplit="4" topLeftCell="A5" activePane="bottomLeft" state="frozen"/>
      <selection pane="bottomLeft"/>
    </sheetView>
  </sheetViews>
  <sheetFormatPr defaultColWidth="0" defaultRowHeight="0" customHeight="1" zeroHeight="1" x14ac:dyDescent="0.25"/>
  <cols>
    <col min="1" max="1" width="1.7109375" style="125" customWidth="1"/>
    <col min="2" max="2" width="20.7109375" style="159" customWidth="1"/>
    <col min="3" max="3" width="150.7109375" style="159" customWidth="1"/>
    <col min="4" max="4" width="18.7109375" style="182" customWidth="1"/>
    <col min="5" max="6" width="18.7109375" style="159" customWidth="1"/>
    <col min="7" max="7" width="1.7109375" style="185" customWidth="1"/>
    <col min="8" max="16384" width="16.85546875" hidden="1"/>
  </cols>
  <sheetData>
    <row r="1" spans="1:7" ht="30" customHeight="1" x14ac:dyDescent="0.55000000000000004">
      <c r="A1" s="132" t="s">
        <v>194</v>
      </c>
      <c r="B1" s="133"/>
      <c r="C1" s="463"/>
      <c r="D1" s="405" t="str">
        <f>CONCATENATE("Reporting unit: ", 'General Info'!$C$7, " ", 'General Info'!$C$5)</f>
        <v xml:space="preserve">Reporting unit: 1 </v>
      </c>
      <c r="E1" s="134"/>
      <c r="F1" s="134"/>
      <c r="G1" s="114"/>
    </row>
    <row r="2" spans="1:7" ht="15" customHeight="1" x14ac:dyDescent="0.25">
      <c r="A2" s="168"/>
      <c r="B2" s="169"/>
      <c r="C2" s="528"/>
      <c r="D2" s="666"/>
      <c r="E2" s="170"/>
      <c r="F2" s="171"/>
      <c r="G2" s="67"/>
    </row>
    <row r="3" spans="1:7" ht="15" customHeight="1" x14ac:dyDescent="0.25">
      <c r="A3" s="63"/>
      <c r="B3" s="1125"/>
      <c r="C3" s="1126" t="s">
        <v>281</v>
      </c>
      <c r="D3" s="1127" t="str">
        <f>Parameters!$F$8</f>
        <v>Yes</v>
      </c>
      <c r="E3" s="1128" t="str">
        <f>Parameters!$F$9</f>
        <v>Yes</v>
      </c>
      <c r="F3" s="1129" t="str">
        <f>Parameters!$F$9</f>
        <v>Yes</v>
      </c>
      <c r="G3" s="67"/>
    </row>
    <row r="4" spans="1:7" ht="15" customHeight="1" x14ac:dyDescent="0.25">
      <c r="A4" s="168"/>
      <c r="B4" s="169"/>
      <c r="C4" s="528"/>
      <c r="D4" s="666"/>
      <c r="E4" s="170"/>
      <c r="F4" s="171"/>
      <c r="G4" s="67"/>
    </row>
    <row r="5" spans="1:7" ht="60" customHeight="1" x14ac:dyDescent="0.25">
      <c r="A5" s="194" t="s">
        <v>2135</v>
      </c>
      <c r="B5" s="59"/>
      <c r="C5" s="395"/>
      <c r="D5" s="395"/>
      <c r="E5" s="59"/>
      <c r="F5" s="88"/>
      <c r="G5" s="60"/>
    </row>
    <row r="6" spans="1:7" ht="30" customHeight="1" x14ac:dyDescent="0.25">
      <c r="B6" s="135" t="s">
        <v>1637</v>
      </c>
      <c r="C6" s="569" t="s">
        <v>56</v>
      </c>
      <c r="D6" s="667" t="s">
        <v>1501</v>
      </c>
      <c r="E6" s="120" t="s">
        <v>226</v>
      </c>
      <c r="F6" s="89"/>
      <c r="G6" s="105"/>
    </row>
    <row r="7" spans="1:7" ht="15" customHeight="1" x14ac:dyDescent="0.25">
      <c r="A7" s="63"/>
      <c r="B7" s="167"/>
      <c r="C7" s="638" t="s">
        <v>67</v>
      </c>
      <c r="D7" s="668"/>
      <c r="E7" s="13"/>
      <c r="F7" s="89"/>
      <c r="G7" s="67"/>
    </row>
    <row r="8" spans="1:7" ht="30" customHeight="1" x14ac:dyDescent="0.25">
      <c r="A8" s="63"/>
      <c r="B8" s="157" t="s">
        <v>1597</v>
      </c>
      <c r="C8" s="639" t="s">
        <v>592</v>
      </c>
      <c r="D8" s="473"/>
      <c r="E8" s="13"/>
      <c r="F8" s="89"/>
      <c r="G8" s="67"/>
    </row>
    <row r="9" spans="1:7" ht="30" customHeight="1" x14ac:dyDescent="0.25">
      <c r="A9" s="63"/>
      <c r="B9" s="157" t="s">
        <v>1597</v>
      </c>
      <c r="C9" s="639" t="s">
        <v>593</v>
      </c>
      <c r="D9" s="473"/>
      <c r="E9" s="13"/>
      <c r="F9" s="89"/>
      <c r="G9" s="67"/>
    </row>
    <row r="10" spans="1:7" ht="30" customHeight="1" x14ac:dyDescent="0.25">
      <c r="A10" s="63"/>
      <c r="B10" s="157" t="s">
        <v>589</v>
      </c>
      <c r="C10" s="639" t="s">
        <v>590</v>
      </c>
      <c r="D10" s="149"/>
      <c r="E10" s="13"/>
      <c r="F10" s="89"/>
      <c r="G10" s="67"/>
    </row>
    <row r="11" spans="1:7" ht="30" customHeight="1" x14ac:dyDescent="0.25">
      <c r="A11" s="63"/>
      <c r="B11" s="157" t="s">
        <v>589</v>
      </c>
      <c r="C11" s="639" t="s">
        <v>591</v>
      </c>
      <c r="D11" s="149"/>
      <c r="E11" s="13"/>
      <c r="F11" s="89"/>
      <c r="G11" s="67"/>
    </row>
    <row r="12" spans="1:7" ht="15" customHeight="1" x14ac:dyDescent="0.25">
      <c r="A12" s="63"/>
      <c r="B12" s="61"/>
      <c r="C12" s="639" t="s">
        <v>1498</v>
      </c>
      <c r="D12" s="473"/>
      <c r="E12" s="36"/>
      <c r="F12" s="108"/>
      <c r="G12" s="67"/>
    </row>
    <row r="13" spans="1:7" ht="15" customHeight="1" x14ac:dyDescent="0.25">
      <c r="A13" s="63"/>
      <c r="B13" s="157" t="s">
        <v>1612</v>
      </c>
      <c r="C13" s="640" t="s">
        <v>88</v>
      </c>
      <c r="D13" s="473"/>
      <c r="E13" s="13"/>
      <c r="F13" s="108"/>
      <c r="G13" s="67"/>
    </row>
    <row r="14" spans="1:7" ht="15" customHeight="1" x14ac:dyDescent="0.25">
      <c r="A14" s="63"/>
      <c r="B14" s="61"/>
      <c r="C14" s="640" t="s">
        <v>89</v>
      </c>
      <c r="D14" s="473"/>
      <c r="E14" s="36"/>
      <c r="F14" s="108"/>
      <c r="G14" s="67"/>
    </row>
    <row r="15" spans="1:7" ht="15" customHeight="1" x14ac:dyDescent="0.25">
      <c r="A15" s="63"/>
      <c r="B15" s="61"/>
      <c r="C15" s="641" t="s">
        <v>12</v>
      </c>
      <c r="D15" s="92"/>
      <c r="E15" s="13"/>
      <c r="F15" s="108"/>
      <c r="G15" s="67"/>
    </row>
    <row r="16" spans="1:7" ht="15" customHeight="1" x14ac:dyDescent="0.25">
      <c r="A16" s="63"/>
      <c r="B16" s="157" t="s">
        <v>1598</v>
      </c>
      <c r="C16" s="640" t="s">
        <v>65</v>
      </c>
      <c r="D16" s="669"/>
      <c r="E16" s="13"/>
      <c r="F16" s="108"/>
      <c r="G16" s="67"/>
    </row>
    <row r="17" spans="1:7" ht="15" customHeight="1" x14ac:dyDescent="0.25">
      <c r="A17" s="63"/>
      <c r="B17" s="157" t="s">
        <v>1598</v>
      </c>
      <c r="C17" s="640" t="s">
        <v>90</v>
      </c>
      <c r="D17" s="473"/>
      <c r="E17" s="13"/>
      <c r="F17" s="108"/>
      <c r="G17" s="67"/>
    </row>
    <row r="18" spans="1:7" ht="15" customHeight="1" x14ac:dyDescent="0.25">
      <c r="A18" s="63"/>
      <c r="B18" s="61"/>
      <c r="C18" s="640" t="s">
        <v>91</v>
      </c>
      <c r="D18" s="473"/>
      <c r="E18" s="13"/>
      <c r="F18" s="108"/>
      <c r="G18" s="67"/>
    </row>
    <row r="19" spans="1:7" ht="15" customHeight="1" x14ac:dyDescent="0.25">
      <c r="A19" s="63"/>
      <c r="B19" s="61"/>
      <c r="C19" s="641" t="s">
        <v>11</v>
      </c>
      <c r="D19" s="92"/>
      <c r="E19" s="13"/>
      <c r="F19" s="108"/>
      <c r="G19" s="67"/>
    </row>
    <row r="20" spans="1:7" ht="15" customHeight="1" x14ac:dyDescent="0.25">
      <c r="A20" s="63"/>
      <c r="B20" s="61"/>
      <c r="C20" s="640" t="s">
        <v>65</v>
      </c>
      <c r="D20" s="473"/>
      <c r="E20" s="13"/>
      <c r="F20" s="108"/>
      <c r="G20" s="67"/>
    </row>
    <row r="21" spans="1:7" ht="15" customHeight="1" x14ac:dyDescent="0.25">
      <c r="A21" s="63"/>
      <c r="B21" s="61"/>
      <c r="C21" s="640" t="s">
        <v>90</v>
      </c>
      <c r="D21" s="473"/>
      <c r="E21" s="13"/>
      <c r="F21" s="108"/>
      <c r="G21" s="67"/>
    </row>
    <row r="22" spans="1:7" ht="15" customHeight="1" x14ac:dyDescent="0.25">
      <c r="A22" s="63"/>
      <c r="B22" s="72"/>
      <c r="C22" s="945" t="s">
        <v>92</v>
      </c>
      <c r="D22" s="681"/>
      <c r="E22" s="24"/>
      <c r="F22" s="108"/>
      <c r="G22" s="67"/>
    </row>
    <row r="23" spans="1:7" ht="15" customHeight="1" x14ac:dyDescent="0.25">
      <c r="A23" s="63"/>
      <c r="B23" s="74"/>
      <c r="C23" s="658" t="s">
        <v>196</v>
      </c>
      <c r="D23" s="946" t="str">
        <f>IF(AND(ISNUMBER(D14),ISNUMBER(D18),ISNUMBER(D22)),D14+D18+D22,"")</f>
        <v/>
      </c>
      <c r="E23" s="22"/>
      <c r="F23" s="89"/>
      <c r="G23" s="67"/>
    </row>
    <row r="24" spans="1:7" ht="15" customHeight="1" x14ac:dyDescent="0.25">
      <c r="A24" s="63"/>
      <c r="B24" s="64"/>
      <c r="C24" s="65"/>
      <c r="D24" s="66"/>
      <c r="E24" s="66"/>
      <c r="F24" s="66"/>
      <c r="G24" s="67"/>
    </row>
    <row r="25" spans="1:7" ht="60" customHeight="1" x14ac:dyDescent="0.25">
      <c r="A25" s="194" t="s">
        <v>2136</v>
      </c>
      <c r="B25" s="59"/>
      <c r="C25" s="395"/>
      <c r="D25" s="395"/>
      <c r="E25" s="59"/>
      <c r="F25" s="59"/>
      <c r="G25" s="60"/>
    </row>
    <row r="26" spans="1:7" ht="30" customHeight="1" x14ac:dyDescent="0.25">
      <c r="A26" s="195" t="s">
        <v>2137</v>
      </c>
      <c r="B26" s="69"/>
      <c r="C26" s="69"/>
      <c r="D26" s="69"/>
      <c r="E26" s="69"/>
      <c r="F26" s="69"/>
      <c r="G26" s="70"/>
    </row>
    <row r="27" spans="1:7" ht="30" customHeight="1" x14ac:dyDescent="0.25">
      <c r="B27" s="135" t="s">
        <v>1637</v>
      </c>
      <c r="C27" s="642" t="s">
        <v>56</v>
      </c>
      <c r="D27" s="667" t="s">
        <v>1501</v>
      </c>
      <c r="E27" s="126" t="s">
        <v>226</v>
      </c>
      <c r="F27" s="69"/>
      <c r="G27" s="105"/>
    </row>
    <row r="28" spans="1:7" ht="60" customHeight="1" x14ac:dyDescent="0.25">
      <c r="A28" s="63"/>
      <c r="B28" s="769" t="s">
        <v>1613</v>
      </c>
      <c r="C28" s="643" t="s">
        <v>1499</v>
      </c>
      <c r="D28" s="670"/>
      <c r="E28" s="71"/>
      <c r="F28" s="69"/>
      <c r="G28" s="67"/>
    </row>
    <row r="29" spans="1:7" ht="15" customHeight="1" x14ac:dyDescent="0.25">
      <c r="A29" s="63"/>
      <c r="B29" s="266" t="s">
        <v>1613</v>
      </c>
      <c r="C29" s="129" t="s">
        <v>198</v>
      </c>
      <c r="D29" s="35"/>
      <c r="E29" s="36"/>
      <c r="F29" s="69"/>
      <c r="G29" s="67"/>
    </row>
    <row r="30" spans="1:7" ht="15" customHeight="1" x14ac:dyDescent="0.25">
      <c r="A30" s="63"/>
      <c r="B30" s="61"/>
      <c r="C30" s="129" t="s">
        <v>199</v>
      </c>
      <c r="D30" s="671"/>
      <c r="E30" s="62"/>
      <c r="F30" s="69"/>
      <c r="G30" s="67"/>
    </row>
    <row r="31" spans="1:7" ht="15" customHeight="1" x14ac:dyDescent="0.25">
      <c r="A31" s="63"/>
      <c r="B31" s="61"/>
      <c r="C31" s="129" t="s">
        <v>87</v>
      </c>
      <c r="D31" s="137" t="str">
        <f>IF(AND(ISNUMBER(D28),ISNUMBER(D29),ISNUMBER(D30)),SUM(D28:D30),"")</f>
        <v/>
      </c>
      <c r="E31" s="118" t="str">
        <f>IF(AND(ISNUMBER(E28),ISNUMBER(E29),ISNUMBER(E30)),SUM(E28:E30),"")</f>
        <v/>
      </c>
      <c r="F31" s="69"/>
      <c r="G31" s="67"/>
    </row>
    <row r="32" spans="1:7" ht="15" customHeight="1" x14ac:dyDescent="0.25">
      <c r="A32" s="63"/>
      <c r="B32" s="550" t="s">
        <v>1614</v>
      </c>
      <c r="C32" s="644" t="s">
        <v>200</v>
      </c>
      <c r="D32" s="672"/>
      <c r="E32" s="84"/>
      <c r="F32" s="69"/>
      <c r="G32" s="67"/>
    </row>
    <row r="33" spans="1:7" ht="15" customHeight="1" x14ac:dyDescent="0.25">
      <c r="A33" s="63"/>
      <c r="B33" s="74"/>
      <c r="C33" s="652" t="s">
        <v>57</v>
      </c>
      <c r="D33" s="677" t="str">
        <f>IF(AND(ISNUMBER(D31),ISNUMBER(D32)),SUM(D31:D32),"")</f>
        <v/>
      </c>
      <c r="E33" s="82" t="str">
        <f>IF(AND(ISNUMBER(E31),ISNUMBER(E32)),SUM(E31:E32),"")</f>
        <v/>
      </c>
      <c r="F33" s="69"/>
      <c r="G33" s="67"/>
    </row>
    <row r="34" spans="1:7" ht="45" customHeight="1" x14ac:dyDescent="0.25">
      <c r="A34" s="196" t="s">
        <v>2138</v>
      </c>
      <c r="B34" s="69"/>
      <c r="C34" s="69"/>
      <c r="D34" s="69"/>
      <c r="E34" s="69"/>
      <c r="F34" s="69"/>
      <c r="G34" s="70"/>
    </row>
    <row r="35" spans="1:7" ht="30" customHeight="1" x14ac:dyDescent="0.25">
      <c r="B35" s="135" t="s">
        <v>1637</v>
      </c>
      <c r="C35" s="642" t="s">
        <v>56</v>
      </c>
      <c r="D35" s="667" t="s">
        <v>1501</v>
      </c>
      <c r="E35" s="126" t="s">
        <v>226</v>
      </c>
      <c r="F35" s="120" t="s">
        <v>227</v>
      </c>
      <c r="G35" s="105"/>
    </row>
    <row r="36" spans="1:7" ht="15" customHeight="1" x14ac:dyDescent="0.25">
      <c r="A36" s="63"/>
      <c r="B36" s="2036" t="s">
        <v>1615</v>
      </c>
      <c r="C36" s="645" t="s">
        <v>201</v>
      </c>
      <c r="D36" s="670"/>
      <c r="E36" s="71"/>
      <c r="F36" s="71"/>
      <c r="G36" s="67"/>
    </row>
    <row r="37" spans="1:7" ht="15" customHeight="1" x14ac:dyDescent="0.25">
      <c r="A37" s="63"/>
      <c r="B37" s="157" t="s">
        <v>1615</v>
      </c>
      <c r="C37" s="646" t="s">
        <v>202</v>
      </c>
      <c r="D37" s="35"/>
      <c r="E37" s="36"/>
      <c r="F37" s="36"/>
      <c r="G37" s="67"/>
    </row>
    <row r="38" spans="1:7" ht="15" customHeight="1" x14ac:dyDescent="0.25">
      <c r="A38" s="63"/>
      <c r="B38" s="157" t="s">
        <v>1599</v>
      </c>
      <c r="C38" s="647" t="s">
        <v>203</v>
      </c>
      <c r="D38" s="35"/>
      <c r="E38" s="36"/>
      <c r="F38" s="36"/>
      <c r="G38" s="67"/>
    </row>
    <row r="39" spans="1:7" ht="15" customHeight="1" x14ac:dyDescent="0.25">
      <c r="A39" s="63"/>
      <c r="B39" s="466" t="s">
        <v>1562</v>
      </c>
      <c r="C39" s="647" t="s">
        <v>204</v>
      </c>
      <c r="D39" s="35"/>
      <c r="E39" s="36"/>
      <c r="F39" s="36"/>
      <c r="G39" s="67"/>
    </row>
    <row r="40" spans="1:7" ht="15" customHeight="1" x14ac:dyDescent="0.25">
      <c r="A40" s="63"/>
      <c r="B40" s="466" t="s">
        <v>1562</v>
      </c>
      <c r="C40" s="647" t="s">
        <v>205</v>
      </c>
      <c r="D40" s="671"/>
      <c r="E40" s="62"/>
      <c r="F40" s="36"/>
      <c r="G40" s="67"/>
    </row>
    <row r="41" spans="1:7" ht="15" customHeight="1" x14ac:dyDescent="0.25">
      <c r="A41" s="63"/>
      <c r="B41" s="750" t="s">
        <v>1597</v>
      </c>
      <c r="C41" s="1035" t="s">
        <v>997</v>
      </c>
      <c r="D41" s="673" t="str">
        <f>IF(ISNUMBER(D12),D12,"")</f>
        <v/>
      </c>
      <c r="E41" s="124" t="str">
        <f>IF(ISNUMBER(E12),E12,"")</f>
        <v/>
      </c>
      <c r="F41" s="36"/>
      <c r="G41" s="67"/>
    </row>
    <row r="42" spans="1:7" ht="15" customHeight="1" x14ac:dyDescent="0.25">
      <c r="A42" s="63"/>
      <c r="B42" s="750" t="s">
        <v>1616</v>
      </c>
      <c r="C42" s="176" t="s">
        <v>206</v>
      </c>
      <c r="D42" s="671"/>
      <c r="E42" s="62"/>
      <c r="F42" s="36"/>
      <c r="G42" s="67"/>
    </row>
    <row r="43" spans="1:7" ht="30" customHeight="1" x14ac:dyDescent="0.25">
      <c r="A43" s="63"/>
      <c r="B43" s="157" t="s">
        <v>1633</v>
      </c>
      <c r="C43" s="648" t="s">
        <v>207</v>
      </c>
      <c r="D43" s="671"/>
      <c r="E43" s="62"/>
      <c r="F43" s="36"/>
      <c r="G43" s="67"/>
    </row>
    <row r="44" spans="1:7" ht="15" customHeight="1" x14ac:dyDescent="0.25">
      <c r="A44" s="63"/>
      <c r="B44" s="750" t="s">
        <v>1617</v>
      </c>
      <c r="C44" s="649" t="s">
        <v>208</v>
      </c>
      <c r="D44" s="671"/>
      <c r="E44" s="62"/>
      <c r="F44" s="36"/>
      <c r="G44" s="67"/>
    </row>
    <row r="45" spans="1:7" ht="15" customHeight="1" x14ac:dyDescent="0.25">
      <c r="A45" s="63"/>
      <c r="B45" s="157" t="s">
        <v>1634</v>
      </c>
      <c r="C45" s="650" t="s">
        <v>1635</v>
      </c>
      <c r="D45" s="671"/>
      <c r="E45" s="62"/>
      <c r="F45" s="36"/>
      <c r="G45" s="67"/>
    </row>
    <row r="46" spans="1:7" ht="15" customHeight="1" x14ac:dyDescent="0.25">
      <c r="A46" s="63"/>
      <c r="B46" s="157" t="s">
        <v>1559</v>
      </c>
      <c r="C46" s="646" t="s">
        <v>209</v>
      </c>
      <c r="D46" s="671"/>
      <c r="E46" s="31"/>
      <c r="F46" s="36"/>
      <c r="G46" s="67"/>
    </row>
    <row r="47" spans="1:7" ht="15" customHeight="1" x14ac:dyDescent="0.25">
      <c r="A47" s="63"/>
      <c r="B47" s="173" t="s">
        <v>195</v>
      </c>
      <c r="C47" s="646" t="s">
        <v>229</v>
      </c>
      <c r="D47" s="17"/>
      <c r="E47" s="28"/>
      <c r="F47" s="118" t="str">
        <f>IF(ISNUMBER(D47),12.5*D47,"")</f>
        <v/>
      </c>
      <c r="G47" s="67"/>
    </row>
    <row r="48" spans="1:7" ht="15" customHeight="1" x14ac:dyDescent="0.25">
      <c r="A48" s="63"/>
      <c r="B48" s="173" t="s">
        <v>195</v>
      </c>
      <c r="C48" s="646" t="s">
        <v>230</v>
      </c>
      <c r="D48" s="17"/>
      <c r="E48" s="28"/>
      <c r="F48" s="118" t="str">
        <f>IF(ISNUMBER(D48),12.5*D48,"")</f>
        <v/>
      </c>
      <c r="G48" s="67"/>
    </row>
    <row r="49" spans="1:7" ht="15" customHeight="1" x14ac:dyDescent="0.25">
      <c r="A49" s="63"/>
      <c r="B49" s="173" t="s">
        <v>195</v>
      </c>
      <c r="C49" s="646" t="s">
        <v>231</v>
      </c>
      <c r="D49" s="17"/>
      <c r="E49" s="28"/>
      <c r="F49" s="118" t="str">
        <f>IF(ISNUMBER(D49),12.5*D49,"")</f>
        <v/>
      </c>
      <c r="G49" s="67"/>
    </row>
    <row r="50" spans="1:7" ht="15" customHeight="1" x14ac:dyDescent="0.25">
      <c r="A50" s="63"/>
      <c r="B50" s="173" t="s">
        <v>195</v>
      </c>
      <c r="C50" s="646" t="s">
        <v>232</v>
      </c>
      <c r="D50" s="17"/>
      <c r="E50" s="28"/>
      <c r="F50" s="118" t="str">
        <f>IF(ISNUMBER(D50),12.5*D50,"")</f>
        <v/>
      </c>
      <c r="G50" s="67"/>
    </row>
    <row r="51" spans="1:7" ht="15" customHeight="1" x14ac:dyDescent="0.25">
      <c r="A51" s="1463"/>
      <c r="B51" s="61"/>
      <c r="C51" s="650" t="s">
        <v>1049</v>
      </c>
      <c r="D51" s="674"/>
      <c r="E51" s="674"/>
      <c r="F51" s="1297"/>
      <c r="G51" s="441"/>
    </row>
    <row r="52" spans="1:7" ht="15" customHeight="1" x14ac:dyDescent="0.25">
      <c r="A52" s="63"/>
      <c r="B52" s="61"/>
      <c r="C52" s="650" t="str">
        <f>"Other CET1 deductions to be made before the threshold deductions (excluding adjustments reported in row " &amp; ROW(C51) &amp;")"</f>
        <v>Other CET1 deductions to be made before the threshold deductions (excluding adjustments reported in row 51)</v>
      </c>
      <c r="D52" s="674"/>
      <c r="E52" s="30"/>
      <c r="F52" s="148"/>
      <c r="G52" s="67"/>
    </row>
    <row r="53" spans="1:7" ht="15" customHeight="1" x14ac:dyDescent="0.25">
      <c r="A53" s="63"/>
      <c r="B53" s="61"/>
      <c r="C53" s="174" t="s">
        <v>30</v>
      </c>
      <c r="D53" s="675" t="str">
        <f>IF(AND(ISNUMBER(D33), COUNT(D36:D46)=ROWS(D36:D46)), D33-SUM(D36:D52), "")</f>
        <v/>
      </c>
      <c r="E53" s="87" t="str">
        <f>IF(AND(ISNUMBER(E33), COUNT(E36:E46)=ROWS(E36:E46)), E33-SUM(E36:E46, E51), "")</f>
        <v/>
      </c>
      <c r="F53" s="87" t="str">
        <f>IF(COUNT(F36:F46)=ROWS(F36:F46), SUM(F36:F50, F52), "")</f>
        <v/>
      </c>
      <c r="G53" s="67"/>
    </row>
    <row r="54" spans="1:7" ht="28.5" x14ac:dyDescent="0.25">
      <c r="A54" s="63"/>
      <c r="B54" s="157" t="s">
        <v>1621</v>
      </c>
      <c r="C54" s="1035" t="s">
        <v>1636</v>
      </c>
      <c r="D54" s="672"/>
      <c r="E54" s="84"/>
      <c r="F54" s="91"/>
      <c r="G54" s="67"/>
    </row>
    <row r="55" spans="1:7" ht="15" customHeight="1" x14ac:dyDescent="0.25">
      <c r="A55" s="63"/>
      <c r="B55" s="61"/>
      <c r="C55" s="174" t="s">
        <v>30</v>
      </c>
      <c r="D55" s="675" t="str">
        <f>IF(AND(ISNUMBER(D53),ISNUMBER(D54)),D53-D54,"")</f>
        <v/>
      </c>
      <c r="E55" s="87" t="str">
        <f>IF(AND(ISNUMBER(E53),ISNUMBER(E54)),E53-E54,"")</f>
        <v/>
      </c>
      <c r="F55" s="87" t="str">
        <f>IF(AND(ISNUMBER(F53),ISNUMBER(F54)),F53+F54,"")</f>
        <v/>
      </c>
      <c r="G55" s="67"/>
    </row>
    <row r="56" spans="1:7" ht="30" customHeight="1" x14ac:dyDescent="0.25">
      <c r="A56" s="63"/>
      <c r="B56" s="157" t="s">
        <v>1565</v>
      </c>
      <c r="C56" s="1035" t="s">
        <v>1627</v>
      </c>
      <c r="D56" s="671"/>
      <c r="E56" s="62"/>
      <c r="F56" s="91"/>
      <c r="G56" s="67"/>
    </row>
    <row r="57" spans="1:7" ht="15" customHeight="1" x14ac:dyDescent="0.25">
      <c r="A57" s="63"/>
      <c r="B57" s="157" t="s">
        <v>1600</v>
      </c>
      <c r="C57" s="176" t="s">
        <v>212</v>
      </c>
      <c r="D57" s="671"/>
      <c r="E57" s="62"/>
      <c r="F57" s="91"/>
      <c r="G57" s="67"/>
    </row>
    <row r="58" spans="1:7" ht="15" customHeight="1" x14ac:dyDescent="0.25">
      <c r="A58" s="63"/>
      <c r="B58" s="61"/>
      <c r="C58" s="176" t="s">
        <v>213</v>
      </c>
      <c r="D58" s="671"/>
      <c r="E58" s="62"/>
      <c r="F58" s="91"/>
      <c r="G58" s="67"/>
    </row>
    <row r="59" spans="1:7" ht="15" customHeight="1" x14ac:dyDescent="0.25">
      <c r="A59" s="63"/>
      <c r="B59" s="61"/>
      <c r="C59" s="174" t="s">
        <v>31</v>
      </c>
      <c r="D59" s="675" t="str">
        <f>IF(AND(ISNUMBER(D55),ISNUMBER(D56),ISNUMBER(D57),ISNUMBER(D58)),D55-SUM(D56:D58),"")</f>
        <v/>
      </c>
      <c r="E59" s="87" t="str">
        <f>IF(AND(ISNUMBER(E55),ISNUMBER(E56),ISNUMBER(E57),ISNUMBER(E58)), E55-SUM(E56:E58),"")</f>
        <v/>
      </c>
      <c r="F59" s="87" t="str">
        <f>IF(AND(ISNUMBER(F55),ISNUMBER(F56),ISNUMBER(F57),ISNUMBER(F58)), F55+SUM(F56:F58),"")</f>
        <v/>
      </c>
      <c r="G59" s="67"/>
    </row>
    <row r="60" spans="1:7" ht="15" customHeight="1" x14ac:dyDescent="0.25">
      <c r="A60" s="63"/>
      <c r="B60" s="61"/>
      <c r="C60" s="129" t="s">
        <v>58</v>
      </c>
      <c r="D60" s="676" t="str">
        <f>IF(AND(ISNUMBER(D81),ISNUMBER(D82)),D81-D82,"")</f>
        <v/>
      </c>
      <c r="E60" s="124" t="str">
        <f>IF(AND(ISNUMBER(E81),ISNUMBER(E82)),E81-E82,"")</f>
        <v/>
      </c>
      <c r="F60" s="28"/>
      <c r="G60" s="67"/>
    </row>
    <row r="61" spans="1:7" ht="30" customHeight="1" x14ac:dyDescent="0.25">
      <c r="A61" s="63"/>
      <c r="B61" s="72"/>
      <c r="C61" s="644" t="s">
        <v>214</v>
      </c>
      <c r="D61" s="672"/>
      <c r="E61" s="84"/>
      <c r="F61" s="91"/>
      <c r="G61" s="67"/>
    </row>
    <row r="62" spans="1:7" ht="15" customHeight="1" x14ac:dyDescent="0.25">
      <c r="A62" s="63"/>
      <c r="B62" s="110" t="s">
        <v>195</v>
      </c>
      <c r="C62" s="644" t="s">
        <v>249</v>
      </c>
      <c r="D62" s="674"/>
      <c r="E62" s="28"/>
      <c r="F62" s="118" t="str">
        <f>IF(ISNUMBER(D62),-12.5*D62,"")</f>
        <v/>
      </c>
      <c r="G62" s="67"/>
    </row>
    <row r="63" spans="1:7" ht="15" customHeight="1" x14ac:dyDescent="0.25">
      <c r="A63" s="63"/>
      <c r="B63" s="72"/>
      <c r="C63" s="651" t="s">
        <v>210</v>
      </c>
      <c r="D63" s="674"/>
      <c r="E63" s="30"/>
      <c r="F63" s="34"/>
      <c r="G63" s="67"/>
    </row>
    <row r="64" spans="1:7" ht="15" customHeight="1" x14ac:dyDescent="0.25">
      <c r="A64" s="63"/>
      <c r="B64" s="61"/>
      <c r="C64" s="947" t="s">
        <v>215</v>
      </c>
      <c r="D64" s="675" t="str">
        <f>IF(AND(ISNUMBER(D33),ISNUMBER(D65)),D33-D65,"")</f>
        <v/>
      </c>
      <c r="E64" s="87" t="str">
        <f>IF(AND(ISNUMBER(E33),ISNUMBER(E65)),E33-E65,"")</f>
        <v/>
      </c>
      <c r="F64" s="87" t="str">
        <f>IF(AND(ISNUMBER(F59),ISNUMBER(F61)),SUM(F59,F61:F63),"")</f>
        <v/>
      </c>
      <c r="G64" s="67"/>
    </row>
    <row r="65" spans="1:7" ht="15" customHeight="1" x14ac:dyDescent="0.25">
      <c r="A65" s="63"/>
      <c r="B65" s="74"/>
      <c r="C65" s="652" t="s">
        <v>216</v>
      </c>
      <c r="D65" s="677" t="str">
        <f>IF(AND(ISNUMBER(D59),ISNUMBER(D60),ISNUMBER(D61)),D59-SUM(D60:D63),"")</f>
        <v/>
      </c>
      <c r="E65" s="82" t="str">
        <f>IF(AND(ISNUMBER(E59),ISNUMBER(E60),ISNUMBER(E61)),E59-SUM(E60:E61),"")</f>
        <v/>
      </c>
      <c r="F65" s="22"/>
      <c r="G65" s="67"/>
    </row>
    <row r="66" spans="1:7" ht="15" customHeight="1" x14ac:dyDescent="0.25">
      <c r="A66" s="63"/>
      <c r="B66" s="75"/>
      <c r="C66" s="75"/>
      <c r="D66" s="189"/>
      <c r="E66" s="189"/>
      <c r="F66" s="189"/>
      <c r="G66" s="67"/>
    </row>
    <row r="67" spans="1:7" ht="60" customHeight="1" x14ac:dyDescent="0.25">
      <c r="A67" s="194" t="s">
        <v>2139</v>
      </c>
      <c r="B67" s="59"/>
      <c r="C67" s="395"/>
      <c r="D67" s="395"/>
      <c r="E67" s="59"/>
      <c r="F67" s="59"/>
      <c r="G67" s="60"/>
    </row>
    <row r="68" spans="1:7" ht="30" customHeight="1" x14ac:dyDescent="0.25">
      <c r="A68" s="195" t="s">
        <v>2140</v>
      </c>
      <c r="B68" s="69"/>
      <c r="C68" s="69"/>
      <c r="D68" s="69"/>
      <c r="E68" s="69"/>
      <c r="F68" s="69"/>
      <c r="G68" s="70"/>
    </row>
    <row r="69" spans="1:7" ht="30" customHeight="1" x14ac:dyDescent="0.25">
      <c r="B69" s="135" t="s">
        <v>1637</v>
      </c>
      <c r="C69" s="653" t="s">
        <v>56</v>
      </c>
      <c r="D69" s="667" t="s">
        <v>1501</v>
      </c>
      <c r="E69" s="85" t="s">
        <v>226</v>
      </c>
      <c r="F69" s="69"/>
      <c r="G69" s="105"/>
    </row>
    <row r="70" spans="1:7" ht="15" customHeight="1" x14ac:dyDescent="0.25">
      <c r="A70" s="63"/>
      <c r="B70" s="2038" t="s">
        <v>1618</v>
      </c>
      <c r="C70" s="2042" t="s">
        <v>1629</v>
      </c>
      <c r="D70" s="678"/>
      <c r="E70" s="77"/>
      <c r="F70" s="69"/>
      <c r="G70" s="67"/>
    </row>
    <row r="71" spans="1:7" ht="15" customHeight="1" x14ac:dyDescent="0.25">
      <c r="A71" s="63"/>
      <c r="B71" s="2037" t="s">
        <v>1614</v>
      </c>
      <c r="C71" s="654" t="s">
        <v>271</v>
      </c>
      <c r="D71" s="671"/>
      <c r="E71" s="62"/>
      <c r="F71" s="69"/>
      <c r="G71" s="67"/>
    </row>
    <row r="72" spans="1:7" ht="15" customHeight="1" x14ac:dyDescent="0.25">
      <c r="A72" s="63"/>
      <c r="B72" s="74"/>
      <c r="C72" s="658" t="s">
        <v>270</v>
      </c>
      <c r="D72" s="677" t="str">
        <f>IF(AND(ISNUMBER(D70),ISNUMBER(D71)),SUM(D70:D71),"")</f>
        <v/>
      </c>
      <c r="E72" s="82" t="str">
        <f>IF(AND(ISNUMBER(E70),ISNUMBER(E71)),SUM(E70:E71),"")</f>
        <v/>
      </c>
      <c r="F72" s="69"/>
      <c r="G72" s="67"/>
    </row>
    <row r="73" spans="1:7" ht="60" customHeight="1" x14ac:dyDescent="0.25">
      <c r="A73" s="196" t="s">
        <v>2141</v>
      </c>
      <c r="B73" s="69"/>
      <c r="C73" s="69"/>
      <c r="D73" s="69"/>
      <c r="E73" s="69"/>
      <c r="F73" s="69"/>
      <c r="G73" s="70"/>
    </row>
    <row r="74" spans="1:7" ht="30" customHeight="1" x14ac:dyDescent="0.25">
      <c r="B74" s="135" t="s">
        <v>1637</v>
      </c>
      <c r="C74" s="653" t="s">
        <v>56</v>
      </c>
      <c r="D74" s="667" t="s">
        <v>1501</v>
      </c>
      <c r="E74" s="85" t="s">
        <v>226</v>
      </c>
      <c r="F74" s="158" t="s">
        <v>227</v>
      </c>
      <c r="G74" s="105"/>
    </row>
    <row r="75" spans="1:7" ht="15" customHeight="1" x14ac:dyDescent="0.25">
      <c r="A75" s="63"/>
      <c r="B75" s="2040" t="s">
        <v>1620</v>
      </c>
      <c r="C75" s="655" t="s">
        <v>233</v>
      </c>
      <c r="D75" s="678"/>
      <c r="E75" s="77"/>
      <c r="F75" s="77"/>
      <c r="G75" s="67"/>
    </row>
    <row r="76" spans="1:7" ht="15" customHeight="1" x14ac:dyDescent="0.25">
      <c r="A76" s="63"/>
      <c r="B76" s="466" t="s">
        <v>1562</v>
      </c>
      <c r="C76" s="302" t="s">
        <v>221</v>
      </c>
      <c r="D76" s="671"/>
      <c r="E76" s="62"/>
      <c r="F76" s="62"/>
      <c r="G76" s="67"/>
    </row>
    <row r="77" spans="1:7" ht="30" customHeight="1" x14ac:dyDescent="0.25">
      <c r="A77" s="63"/>
      <c r="B77" s="466" t="s">
        <v>1621</v>
      </c>
      <c r="C77" s="1967" t="s">
        <v>1636</v>
      </c>
      <c r="D77" s="671"/>
      <c r="E77" s="62"/>
      <c r="F77" s="62"/>
      <c r="G77" s="67"/>
    </row>
    <row r="78" spans="1:7" ht="30" customHeight="1" x14ac:dyDescent="0.25">
      <c r="A78" s="63"/>
      <c r="B78" s="466" t="s">
        <v>1565</v>
      </c>
      <c r="C78" s="1967" t="s">
        <v>1627</v>
      </c>
      <c r="D78" s="671"/>
      <c r="E78" s="62"/>
      <c r="F78" s="62"/>
      <c r="G78" s="67"/>
    </row>
    <row r="79" spans="1:7" ht="15" customHeight="1" x14ac:dyDescent="0.25">
      <c r="A79" s="63"/>
      <c r="B79" s="61"/>
      <c r="C79" s="462" t="s">
        <v>218</v>
      </c>
      <c r="D79" s="674"/>
      <c r="E79" s="30"/>
      <c r="F79" s="148"/>
      <c r="G79" s="67"/>
    </row>
    <row r="80" spans="1:7" ht="15" customHeight="1" x14ac:dyDescent="0.25">
      <c r="A80" s="63"/>
      <c r="B80" s="72"/>
      <c r="C80" s="86" t="s">
        <v>62</v>
      </c>
      <c r="D80" s="150" t="str">
        <f>IF(AND(ISNUMBER(D104),ISNUMBER(D105)),D104-D105,"")</f>
        <v/>
      </c>
      <c r="E80" s="354" t="str">
        <f>IF(AND(ISNUMBER(E104),ISNUMBER(E105)),E104-E105,"")</f>
        <v/>
      </c>
      <c r="F80" s="30"/>
      <c r="G80" s="67"/>
    </row>
    <row r="81" spans="1:7" ht="15" customHeight="1" x14ac:dyDescent="0.25">
      <c r="A81" s="63"/>
      <c r="B81" s="72"/>
      <c r="C81" s="948" t="s">
        <v>32</v>
      </c>
      <c r="D81" s="675" t="str">
        <f>IF(AND(ISNUMBER(D75),ISNUMBER(D76),ISNUMBER(D77),ISNUMBER(D78),ISNUMBER(D80)),SUM(D75:D80),"")</f>
        <v/>
      </c>
      <c r="E81" s="87" t="str">
        <f>IF(AND(ISNUMBER(E75),ISNUMBER(E76),ISNUMBER(E77),ISNUMBER(E78),ISNUMBER(E80)),SUM(E75:E78,E80),"")</f>
        <v/>
      </c>
      <c r="F81" s="87" t="str">
        <f>IF(AND(ISNUMBER(F75),ISNUMBER(F76),ISNUMBER(F77),ISNUMBER(F78)),SUM(F75:F79),"")</f>
        <v/>
      </c>
      <c r="G81" s="67"/>
    </row>
    <row r="82" spans="1:7" ht="15" customHeight="1" x14ac:dyDescent="0.25">
      <c r="A82" s="63"/>
      <c r="B82" s="72"/>
      <c r="C82" s="656" t="s">
        <v>63</v>
      </c>
      <c r="D82" s="679" t="str">
        <f>IF(AND(ISNUMBER(D72),ISNUMBER(D81)),MIN(D72,D81),"")</f>
        <v/>
      </c>
      <c r="E82" s="96" t="str">
        <f>IF(AND(ISNUMBER(E72),ISNUMBER(E81)),MIN(E72,E81),"")</f>
        <v/>
      </c>
      <c r="F82" s="30"/>
      <c r="G82" s="67"/>
    </row>
    <row r="83" spans="1:7" ht="15" customHeight="1" x14ac:dyDescent="0.25">
      <c r="A83" s="63"/>
      <c r="B83" s="74"/>
      <c r="C83" s="652" t="s">
        <v>219</v>
      </c>
      <c r="D83" s="677" t="str">
        <f>IF(AND(ISNUMBER(D72),ISNUMBER(D82)),D72-D82,"")</f>
        <v/>
      </c>
      <c r="E83" s="82" t="str">
        <f>IF(AND(ISNUMBER(E72),ISNUMBER(E82)),E72-E82,"")</f>
        <v/>
      </c>
      <c r="F83" s="22"/>
      <c r="G83" s="67"/>
    </row>
    <row r="84" spans="1:7" ht="15" customHeight="1" x14ac:dyDescent="0.25">
      <c r="A84" s="63"/>
      <c r="B84" s="75"/>
      <c r="C84" s="76"/>
      <c r="D84" s="189"/>
      <c r="E84" s="189"/>
      <c r="F84" s="189"/>
      <c r="G84" s="67"/>
    </row>
    <row r="85" spans="1:7" ht="60" customHeight="1" x14ac:dyDescent="0.25">
      <c r="A85" s="194" t="s">
        <v>2142</v>
      </c>
      <c r="B85" s="59"/>
      <c r="C85" s="395"/>
      <c r="D85" s="395"/>
      <c r="E85" s="59"/>
      <c r="F85" s="59"/>
      <c r="G85" s="60"/>
    </row>
    <row r="86" spans="1:7" ht="30" customHeight="1" x14ac:dyDescent="0.25">
      <c r="A86" s="195" t="s">
        <v>2143</v>
      </c>
      <c r="B86" s="69"/>
      <c r="C86" s="69"/>
      <c r="D86" s="69"/>
      <c r="E86" s="69"/>
      <c r="F86" s="69"/>
      <c r="G86" s="70"/>
    </row>
    <row r="87" spans="1:7" ht="30" customHeight="1" x14ac:dyDescent="0.25">
      <c r="B87" s="135" t="s">
        <v>1637</v>
      </c>
      <c r="C87" s="949" t="s">
        <v>56</v>
      </c>
      <c r="D87" s="667" t="s">
        <v>1501</v>
      </c>
      <c r="E87" s="950" t="s">
        <v>226</v>
      </c>
      <c r="F87" s="69"/>
      <c r="G87" s="105"/>
    </row>
    <row r="88" spans="1:7" ht="15" customHeight="1" x14ac:dyDescent="0.25">
      <c r="A88" s="63"/>
      <c r="B88" s="2039" t="s">
        <v>1619</v>
      </c>
      <c r="C88" s="1967" t="s">
        <v>1625</v>
      </c>
      <c r="D88" s="671"/>
      <c r="E88" s="62"/>
      <c r="F88" s="69"/>
      <c r="G88" s="67"/>
    </row>
    <row r="89" spans="1:7" ht="15" customHeight="1" x14ac:dyDescent="0.25">
      <c r="A89" s="63"/>
      <c r="B89" s="2039" t="s">
        <v>1614</v>
      </c>
      <c r="C89" s="1967" t="s">
        <v>1500</v>
      </c>
      <c r="D89" s="671"/>
      <c r="E89" s="62"/>
      <c r="F89" s="69"/>
      <c r="G89" s="67"/>
    </row>
    <row r="90" spans="1:7" ht="15" customHeight="1" x14ac:dyDescent="0.25">
      <c r="A90" s="63"/>
      <c r="B90" s="27"/>
      <c r="C90" s="83" t="s">
        <v>121</v>
      </c>
      <c r="D90" s="161" t="str">
        <f>IF(ISNUMBER($D23),$D23,"")</f>
        <v/>
      </c>
      <c r="E90" s="9" t="str">
        <f>IF(ISNUMBER($D23),$D23,"")</f>
        <v/>
      </c>
      <c r="F90" s="69"/>
      <c r="G90" s="67"/>
    </row>
    <row r="91" spans="1:7" ht="15" customHeight="1" x14ac:dyDescent="0.25">
      <c r="A91" s="63"/>
      <c r="B91" s="93"/>
      <c r="C91" s="94" t="s">
        <v>235</v>
      </c>
      <c r="D91" s="674"/>
      <c r="E91" s="34"/>
      <c r="F91" s="2"/>
      <c r="G91" s="67"/>
    </row>
    <row r="92" spans="1:7" ht="15" customHeight="1" x14ac:dyDescent="0.25">
      <c r="A92" s="63"/>
      <c r="B92" s="74"/>
      <c r="C92" s="652" t="s">
        <v>220</v>
      </c>
      <c r="D92" s="677" t="str">
        <f>IF(AND(ISNUMBER(D88),ISNUMBER(D89),ISNUMBER(D90)),SUM(D88:D91),"")</f>
        <v/>
      </c>
      <c r="E92" s="82" t="str">
        <f>IF(AND(ISNUMBER(E88),ISNUMBER(E89),ISNUMBER(E90)),SUM(E88:E91),"")</f>
        <v/>
      </c>
      <c r="F92" s="69"/>
      <c r="G92" s="67"/>
    </row>
    <row r="93" spans="1:7" ht="60" customHeight="1" x14ac:dyDescent="0.25">
      <c r="A93" s="196" t="s">
        <v>2144</v>
      </c>
      <c r="B93" s="69"/>
      <c r="C93" s="69"/>
      <c r="D93" s="69"/>
      <c r="E93" s="69"/>
      <c r="F93" s="69"/>
      <c r="G93" s="70"/>
    </row>
    <row r="94" spans="1:7" ht="30" customHeight="1" x14ac:dyDescent="0.25">
      <c r="B94" s="135" t="s">
        <v>1637</v>
      </c>
      <c r="C94" s="653" t="s">
        <v>56</v>
      </c>
      <c r="D94" s="667" t="s">
        <v>1501</v>
      </c>
      <c r="E94" s="85" t="s">
        <v>226</v>
      </c>
      <c r="F94" s="158" t="s">
        <v>227</v>
      </c>
      <c r="G94" s="105"/>
    </row>
    <row r="95" spans="1:7" ht="15" customHeight="1" x14ac:dyDescent="0.25">
      <c r="A95" s="63"/>
      <c r="B95" s="2040" t="s">
        <v>1620</v>
      </c>
      <c r="C95" s="655" t="s">
        <v>234</v>
      </c>
      <c r="D95" s="670"/>
      <c r="E95" s="303"/>
      <c r="F95" s="289"/>
      <c r="G95" s="67"/>
    </row>
    <row r="96" spans="1:7" ht="15" customHeight="1" x14ac:dyDescent="0.25">
      <c r="A96" s="63"/>
      <c r="B96" s="466" t="s">
        <v>1562</v>
      </c>
      <c r="C96" s="302" t="s">
        <v>217</v>
      </c>
      <c r="D96" s="35"/>
      <c r="E96" s="25"/>
      <c r="F96" s="36"/>
      <c r="G96" s="67"/>
    </row>
    <row r="97" spans="1:7" ht="15" customHeight="1" x14ac:dyDescent="0.25">
      <c r="A97" s="300"/>
      <c r="B97" s="466" t="s">
        <v>1562</v>
      </c>
      <c r="C97" s="380" t="s">
        <v>518</v>
      </c>
      <c r="D97" s="161" t="str">
        <f>IF('Supervisory information'!$C$23="Yes", IF(ISNUMBER('TLAC holdings'!D4), 'TLAC holdings'!D4, ""), 0)</f>
        <v/>
      </c>
      <c r="E97" s="32" t="str">
        <f>IF('Supervisory information'!$C$23="Yes", IF(ISNUMBER('TLAC holdings'!E4), 'TLAC holdings'!E4, ""), 0)</f>
        <v/>
      </c>
      <c r="F97" s="9" t="str">
        <f>IF('Supervisory information'!$C$23="Yes", IF(ISNUMBER('TLAC holdings'!F4), 'TLAC holdings'!F4, ""), 0)</f>
        <v/>
      </c>
      <c r="G97" s="67"/>
    </row>
    <row r="98" spans="1:7" ht="30" customHeight="1" x14ac:dyDescent="0.25">
      <c r="A98" s="63"/>
      <c r="B98" s="466" t="s">
        <v>1621</v>
      </c>
      <c r="C98" s="83" t="s">
        <v>211</v>
      </c>
      <c r="D98" s="35"/>
      <c r="E98" s="25"/>
      <c r="F98" s="36"/>
      <c r="G98" s="67"/>
    </row>
    <row r="99" spans="1:7" ht="45" customHeight="1" x14ac:dyDescent="0.25">
      <c r="A99" s="300"/>
      <c r="B99" s="296" t="s">
        <v>1563</v>
      </c>
      <c r="C99" s="2041" t="s">
        <v>1626</v>
      </c>
      <c r="D99" s="161" t="str">
        <f>IF('Supervisory information'!$C$23="Yes", IF(ISNUMBER('TLAC holdings'!D5), 'TLAC holdings'!D5, ""), 0)</f>
        <v/>
      </c>
      <c r="E99" s="32" t="str">
        <f>IF('Supervisory information'!$C$23="Yes", IF(ISNUMBER('TLAC holdings'!E5), 'TLAC holdings'!E5, ""), 0)</f>
        <v/>
      </c>
      <c r="F99" s="9" t="str">
        <f>IF('Supervisory information'!$C$23="Yes", IF(ISNUMBER('TLAC holdings'!F5), 'TLAC holdings'!F5, ""), 0)</f>
        <v/>
      </c>
      <c r="G99" s="67"/>
    </row>
    <row r="100" spans="1:7" ht="30" customHeight="1" x14ac:dyDescent="0.25">
      <c r="A100" s="300"/>
      <c r="B100" s="296" t="s">
        <v>1564</v>
      </c>
      <c r="C100" s="1967" t="s">
        <v>1624</v>
      </c>
      <c r="D100" s="161" t="str">
        <f>IF('Supervisory information'!$C$23="Yes", IF(ISNUMBER('TLAC holdings'!D6), 'TLAC holdings'!D6, ""), 0)</f>
        <v/>
      </c>
      <c r="E100" s="32" t="str">
        <f>IF('Supervisory information'!$C$23="Yes", IF(ISNUMBER('TLAC holdings'!E6), 'TLAC holdings'!E6, ""), 0)</f>
        <v/>
      </c>
      <c r="F100" s="9" t="str">
        <f>IF('Supervisory information'!$C$23="Yes", IF(ISNUMBER('TLAC holdings'!F6), 'TLAC holdings'!F6, ""), 0)</f>
        <v/>
      </c>
      <c r="G100" s="67"/>
    </row>
    <row r="101" spans="1:7" ht="30" customHeight="1" x14ac:dyDescent="0.25">
      <c r="A101" s="63"/>
      <c r="B101" s="466" t="s">
        <v>1565</v>
      </c>
      <c r="C101" s="1967" t="s">
        <v>1627</v>
      </c>
      <c r="D101" s="35"/>
      <c r="E101" s="25"/>
      <c r="F101" s="36"/>
      <c r="G101" s="67"/>
    </row>
    <row r="102" spans="1:7" ht="45" customHeight="1" x14ac:dyDescent="0.25">
      <c r="A102" s="300"/>
      <c r="B102" s="466" t="s">
        <v>1565</v>
      </c>
      <c r="C102" s="1967" t="s">
        <v>1628</v>
      </c>
      <c r="D102" s="150" t="str">
        <f>IF('Supervisory information'!$C$23="Yes", IF(ISNUMBER('TLAC holdings'!D7), 'TLAC holdings'!D7, ""), 0)</f>
        <v/>
      </c>
      <c r="E102" s="32" t="str">
        <f>IF('Supervisory information'!$C$23="Yes", IF(ISNUMBER('TLAC holdings'!E7), 'TLAC holdings'!E7, ""), 0)</f>
        <v/>
      </c>
      <c r="F102" s="9" t="str">
        <f>IF('Supervisory information'!$C$23="Yes", IF(ISNUMBER('TLAC holdings'!F7), 'TLAC holdings'!F7, ""), 0)</f>
        <v/>
      </c>
      <c r="G102" s="67"/>
    </row>
    <row r="103" spans="1:7" ht="15" customHeight="1" x14ac:dyDescent="0.25">
      <c r="A103" s="63"/>
      <c r="B103" s="72"/>
      <c r="C103" s="951" t="s">
        <v>222</v>
      </c>
      <c r="D103" s="674"/>
      <c r="E103" s="29"/>
      <c r="F103" s="62"/>
      <c r="G103" s="67"/>
    </row>
    <row r="104" spans="1:7" ht="15" customHeight="1" x14ac:dyDescent="0.25">
      <c r="A104" s="63"/>
      <c r="B104" s="72"/>
      <c r="C104" s="948" t="s">
        <v>223</v>
      </c>
      <c r="D104" s="675" t="str">
        <f>IF(COUNT(D95:D102)=ROWS(D95:D102), SUM(D95:D103), "")</f>
        <v/>
      </c>
      <c r="E104" s="87" t="str">
        <f>IF(COUNT(E95:E102)=ROWS(E95:E102),SUM(E95:E102),"")</f>
        <v/>
      </c>
      <c r="F104" s="87" t="str">
        <f>IF(COUNT(F95:F103)=ROWS(F95:F103), SUM(F95:F103), "")</f>
        <v/>
      </c>
      <c r="G104" s="67"/>
    </row>
    <row r="105" spans="1:7" ht="15" customHeight="1" x14ac:dyDescent="0.25">
      <c r="A105" s="63"/>
      <c r="B105" s="72"/>
      <c r="C105" s="657" t="s">
        <v>224</v>
      </c>
      <c r="D105" s="679" t="str">
        <f>IF(AND(ISNUMBER(D92),ISNUMBER(D104)),MIN(D92,D104),"")</f>
        <v/>
      </c>
      <c r="E105" s="96" t="str">
        <f>IF(AND(ISNUMBER(E92),ISNUMBER(E104)),MIN(E92,E104),"")</f>
        <v/>
      </c>
      <c r="F105" s="30"/>
      <c r="G105" s="67"/>
    </row>
    <row r="106" spans="1:7" ht="15" customHeight="1" x14ac:dyDescent="0.25">
      <c r="A106" s="63"/>
      <c r="B106" s="74"/>
      <c r="C106" s="658" t="s">
        <v>225</v>
      </c>
      <c r="D106" s="677" t="str">
        <f>IF(AND(ISNUMBER(D92),ISNUMBER(D105)),D92-D105,"")</f>
        <v/>
      </c>
      <c r="E106" s="82" t="str">
        <f>IF(AND(ISNUMBER(E92),ISNUMBER(E105)),E92-E105,"")</f>
        <v/>
      </c>
      <c r="F106" s="22"/>
      <c r="G106" s="67"/>
    </row>
    <row r="107" spans="1:7" ht="15" customHeight="1" x14ac:dyDescent="0.25">
      <c r="A107" s="63"/>
      <c r="B107" s="75"/>
      <c r="C107" s="76"/>
      <c r="D107" s="189"/>
      <c r="E107" s="189"/>
      <c r="F107" s="189"/>
      <c r="G107" s="67"/>
    </row>
    <row r="108" spans="1:7" ht="60" customHeight="1" x14ac:dyDescent="0.25">
      <c r="A108" s="2677" t="s">
        <v>2145</v>
      </c>
      <c r="B108" s="2678"/>
      <c r="C108" s="2678"/>
      <c r="D108" s="2678"/>
      <c r="E108" s="2678"/>
      <c r="F108" s="2678"/>
      <c r="G108" s="60"/>
    </row>
    <row r="109" spans="1:7" ht="30" customHeight="1" x14ac:dyDescent="0.25">
      <c r="A109" s="112"/>
      <c r="B109" s="135" t="s">
        <v>1637</v>
      </c>
      <c r="C109" s="659"/>
      <c r="D109" s="667" t="s">
        <v>1501</v>
      </c>
      <c r="E109" s="85" t="s">
        <v>226</v>
      </c>
      <c r="G109" s="105"/>
    </row>
    <row r="110" spans="1:7" ht="15" customHeight="1" x14ac:dyDescent="0.25">
      <c r="A110" s="112"/>
      <c r="B110" s="95"/>
      <c r="C110" s="660" t="s">
        <v>277</v>
      </c>
      <c r="D110" s="680"/>
      <c r="E110" s="11"/>
      <c r="G110" s="105"/>
    </row>
    <row r="111" spans="1:7" ht="15" customHeight="1" x14ac:dyDescent="0.25">
      <c r="A111" s="112"/>
      <c r="B111" s="61"/>
      <c r="C111" s="661" t="s">
        <v>266</v>
      </c>
      <c r="D111" s="473"/>
      <c r="E111" s="36"/>
      <c r="G111" s="105"/>
    </row>
    <row r="112" spans="1:7" ht="15" customHeight="1" x14ac:dyDescent="0.25">
      <c r="A112" s="112"/>
      <c r="B112" s="61"/>
      <c r="C112" s="661" t="s">
        <v>267</v>
      </c>
      <c r="D112" s="473"/>
      <c r="E112" s="36"/>
      <c r="G112" s="105"/>
    </row>
    <row r="113" spans="1:7" ht="15" customHeight="1" x14ac:dyDescent="0.25">
      <c r="A113" s="287"/>
      <c r="B113" s="72"/>
      <c r="C113" s="661" t="s">
        <v>268</v>
      </c>
      <c r="D113" s="681"/>
      <c r="E113" s="62"/>
      <c r="F113" s="182"/>
      <c r="G113" s="105"/>
    </row>
    <row r="114" spans="1:7" ht="15" customHeight="1" x14ac:dyDescent="0.25">
      <c r="A114" s="112"/>
      <c r="B114" s="61"/>
      <c r="C114" s="662" t="s">
        <v>519</v>
      </c>
      <c r="D114" s="35"/>
      <c r="E114" s="36"/>
      <c r="G114" s="105"/>
    </row>
    <row r="115" spans="1:7" ht="15" customHeight="1" x14ac:dyDescent="0.25">
      <c r="A115" s="287"/>
      <c r="B115" s="301" t="s">
        <v>1622</v>
      </c>
      <c r="C115" s="663" t="s">
        <v>1623</v>
      </c>
      <c r="D115" s="35"/>
      <c r="E115" s="36"/>
      <c r="F115" s="182"/>
      <c r="G115" s="105"/>
    </row>
    <row r="116" spans="1:7" ht="15" customHeight="1" x14ac:dyDescent="0.25">
      <c r="A116" s="287"/>
      <c r="B116" s="74"/>
      <c r="C116" s="664" t="str">
        <f>CONCATENATE("Check: row ", ROW(C115), " ≤ row ", ROW(C114))</f>
        <v>Check: row 115 ≤ row 114</v>
      </c>
      <c r="D116" s="561" t="str">
        <f>IF(AND(ISNUMBER(D114),ISNUMBER(D115)), IF(D115&lt;=SUM(D114), "Pass"," Fail"), "")</f>
        <v/>
      </c>
      <c r="E116" s="554" t="str">
        <f>IF(AND(ISNUMBER(E114),ISNUMBER(E115)), IF(E115&lt;=SUM(E114), "Pass"," Fail"), "")</f>
        <v/>
      </c>
      <c r="F116" s="182"/>
      <c r="G116" s="105"/>
    </row>
    <row r="117" spans="1:7" ht="15" customHeight="1" x14ac:dyDescent="0.25">
      <c r="A117" s="68"/>
      <c r="B117" s="95"/>
      <c r="C117" s="660" t="s">
        <v>278</v>
      </c>
      <c r="D117" s="680"/>
      <c r="E117" s="11"/>
      <c r="F117" s="69"/>
      <c r="G117" s="70"/>
    </row>
    <row r="118" spans="1:7" ht="15" customHeight="1" x14ac:dyDescent="0.25">
      <c r="A118" s="68"/>
      <c r="B118" s="61"/>
      <c r="C118" s="661" t="s">
        <v>266</v>
      </c>
      <c r="D118" s="473"/>
      <c r="E118" s="36"/>
      <c r="F118" s="69"/>
      <c r="G118" s="70"/>
    </row>
    <row r="119" spans="1:7" ht="15" customHeight="1" x14ac:dyDescent="0.25">
      <c r="A119" s="68"/>
      <c r="B119" s="61"/>
      <c r="C119" s="661" t="s">
        <v>267</v>
      </c>
      <c r="D119" s="473"/>
      <c r="E119" s="36"/>
      <c r="F119" s="69"/>
      <c r="G119" s="70"/>
    </row>
    <row r="120" spans="1:7" ht="15" customHeight="1" x14ac:dyDescent="0.25">
      <c r="A120" s="299"/>
      <c r="B120" s="72"/>
      <c r="C120" s="661" t="s">
        <v>268</v>
      </c>
      <c r="D120" s="681"/>
      <c r="E120" s="62"/>
      <c r="F120" s="69"/>
      <c r="G120" s="70"/>
    </row>
    <row r="121" spans="1:7" ht="15" customHeight="1" x14ac:dyDescent="0.25">
      <c r="A121" s="68"/>
      <c r="B121" s="61"/>
      <c r="C121" s="662" t="s">
        <v>519</v>
      </c>
      <c r="D121" s="35"/>
      <c r="E121" s="36"/>
      <c r="F121" s="69"/>
      <c r="G121" s="70"/>
    </row>
    <row r="122" spans="1:7" ht="15" customHeight="1" x14ac:dyDescent="0.25">
      <c r="A122" s="299"/>
      <c r="B122" s="301" t="s">
        <v>1622</v>
      </c>
      <c r="C122" s="663" t="s">
        <v>1623</v>
      </c>
      <c r="D122" s="35"/>
      <c r="E122" s="36"/>
      <c r="F122" s="69"/>
      <c r="G122" s="70"/>
    </row>
    <row r="123" spans="1:7" ht="15" customHeight="1" x14ac:dyDescent="0.25">
      <c r="A123" s="299"/>
      <c r="B123" s="74"/>
      <c r="C123" s="664" t="str">
        <f>CONCATENATE("Check: row ", ROW(C122), " ≤ row ", ROW(C121))</f>
        <v>Check: row 122 ≤ row 121</v>
      </c>
      <c r="D123" s="561" t="str">
        <f>IF(AND(ISNUMBER(D121), ISNUMBER(D122)), IF(D122&lt;=SUM(D121), "Pass", "Fail"), "")</f>
        <v/>
      </c>
      <c r="E123" s="554" t="str">
        <f>IF(AND(ISNUMBER(E121), ISNUMBER(E122)), IF(E122&lt;=SUM(E121), "Pass", "Fail"), "")</f>
        <v/>
      </c>
      <c r="F123" s="69"/>
      <c r="G123" s="70"/>
    </row>
    <row r="124" spans="1:7" ht="15" customHeight="1" x14ac:dyDescent="0.25">
      <c r="A124" s="78"/>
      <c r="B124" s="79"/>
      <c r="C124" s="665"/>
      <c r="D124" s="682"/>
      <c r="E124" s="190"/>
      <c r="F124" s="190"/>
      <c r="G124" s="80"/>
    </row>
  </sheetData>
  <dataConsolidate/>
  <mergeCells count="1">
    <mergeCell ref="A108:F108"/>
  </mergeCells>
  <conditionalFormatting sqref="D8:D14 E12 E14 D16:D18 D20:D22 D31:E32 D36:E40 D44:E46 D47:D50 D52 D54:E54 D56:E58 D61:E61 D62:D63 D70:E71 D75:E78 D79 D88:E89 D91:E91 D103 D111:E115 D118:E122 D95:E102 F97">
    <cfRule type="cellIs" dxfId="1645" priority="17" stopIfTrue="1" operator="lessThan">
      <formula>0</formula>
    </cfRule>
  </conditionalFormatting>
  <conditionalFormatting sqref="A1:G1048576">
    <cfRule type="cellIs" dxfId="1644" priority="2" stopIfTrue="1" operator="equal">
      <formula>"Pass"</formula>
    </cfRule>
    <cfRule type="cellIs" dxfId="1643"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09" customWidth="1"/>
    <col min="2" max="2" width="14.7109375" style="183" customWidth="1"/>
    <col min="3" max="3" width="150.7109375" style="183" customWidth="1"/>
    <col min="4" max="4" width="18.7109375" style="182" customWidth="1"/>
    <col min="5" max="5" width="18.7109375" style="183" customWidth="1"/>
    <col min="6" max="6" width="18.7109375" style="182" customWidth="1"/>
    <col min="7" max="7" width="1.7109375" style="109" customWidth="1"/>
    <col min="8" max="16384" width="9.140625" hidden="1"/>
  </cols>
  <sheetData>
    <row r="1" spans="1:7" ht="30" customHeight="1" x14ac:dyDescent="0.55000000000000004">
      <c r="A1" s="472" t="s">
        <v>517</v>
      </c>
      <c r="B1" s="423"/>
      <c r="C1" s="361"/>
      <c r="D1" s="291" t="str">
        <f>CONCATENATE("Reporting unit: ", 'General Info'!$C$7, " ", 'General Info'!$C$5)</f>
        <v xml:space="preserve">Reporting unit: 1 </v>
      </c>
      <c r="E1" s="405"/>
      <c r="F1" s="405"/>
      <c r="G1" s="437"/>
    </row>
    <row r="2" spans="1:7" ht="45" customHeight="1" x14ac:dyDescent="0.35">
      <c r="A2" s="201"/>
      <c r="B2" s="223"/>
      <c r="C2" s="224"/>
      <c r="D2" s="224"/>
      <c r="E2" s="224"/>
      <c r="F2" s="224"/>
      <c r="G2" s="225"/>
    </row>
    <row r="3" spans="1:7" ht="45" customHeight="1" x14ac:dyDescent="0.25">
      <c r="A3" s="125"/>
      <c r="B3" s="294" t="s">
        <v>1637</v>
      </c>
      <c r="C3" s="569" t="s">
        <v>56</v>
      </c>
      <c r="D3" s="689" t="s">
        <v>197</v>
      </c>
      <c r="E3" s="293" t="s">
        <v>226</v>
      </c>
      <c r="F3" s="293" t="s">
        <v>227</v>
      </c>
      <c r="G3" s="105"/>
    </row>
    <row r="4" spans="1:7" ht="15" customHeight="1" x14ac:dyDescent="0.25">
      <c r="A4" s="125"/>
      <c r="B4" s="295" t="s">
        <v>1562</v>
      </c>
      <c r="C4" s="685" t="s">
        <v>518</v>
      </c>
      <c r="D4" s="690"/>
      <c r="E4" s="227"/>
      <c r="F4" s="227"/>
      <c r="G4" s="105"/>
    </row>
    <row r="5" spans="1:7" ht="45" customHeight="1" x14ac:dyDescent="0.25">
      <c r="A5" s="125"/>
      <c r="B5" s="296" t="s">
        <v>1563</v>
      </c>
      <c r="C5" s="686" t="s">
        <v>1630</v>
      </c>
      <c r="D5" s="690"/>
      <c r="E5" s="227"/>
      <c r="F5" s="227"/>
      <c r="G5" s="105"/>
    </row>
    <row r="6" spans="1:7" ht="30" customHeight="1" x14ac:dyDescent="0.25">
      <c r="A6" s="125"/>
      <c r="B6" s="296" t="s">
        <v>1564</v>
      </c>
      <c r="C6" s="686" t="s">
        <v>1631</v>
      </c>
      <c r="D6" s="690"/>
      <c r="E6" s="227"/>
      <c r="F6" s="227"/>
      <c r="G6" s="105"/>
    </row>
    <row r="7" spans="1:7" ht="45" customHeight="1" x14ac:dyDescent="0.25">
      <c r="A7" s="125"/>
      <c r="B7" s="297" t="s">
        <v>1565</v>
      </c>
      <c r="C7" s="687" t="s">
        <v>1628</v>
      </c>
      <c r="D7" s="691"/>
      <c r="E7" s="298"/>
      <c r="F7" s="298"/>
      <c r="G7" s="105"/>
    </row>
    <row r="8" spans="1:7" ht="15" customHeight="1" x14ac:dyDescent="0.25">
      <c r="A8" s="470"/>
      <c r="B8" s="229"/>
      <c r="C8" s="688"/>
      <c r="D8" s="688"/>
      <c r="E8" s="292"/>
      <c r="F8" s="292"/>
      <c r="G8" s="236"/>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164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8"/>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09" customWidth="1"/>
    <col min="2" max="2" width="140.7109375" style="183" customWidth="1"/>
    <col min="3" max="3" width="20.7109375" style="182" customWidth="1"/>
    <col min="4" max="4" width="20.7109375" style="183" customWidth="1"/>
    <col min="5" max="5" width="1.7109375" style="109" customWidth="1"/>
    <col min="6" max="16384" width="9.140625" hidden="1"/>
  </cols>
  <sheetData>
    <row r="1" spans="1:5" ht="30" customHeight="1" x14ac:dyDescent="0.55000000000000004">
      <c r="A1" s="376" t="s">
        <v>459</v>
      </c>
      <c r="B1" s="361"/>
      <c r="C1" s="291" t="str">
        <f>CONCATENATE("Reporting unit: ", 'General Info'!$C$7, " ", 'General Info'!$C$5)</f>
        <v xml:space="preserve">Reporting unit: 1 </v>
      </c>
      <c r="D1" s="111"/>
      <c r="E1" s="114"/>
    </row>
    <row r="2" spans="1:5" ht="45" customHeight="1" x14ac:dyDescent="0.35">
      <c r="A2" s="201" t="s">
        <v>2146</v>
      </c>
      <c r="B2" s="223"/>
      <c r="C2" s="224"/>
      <c r="D2" s="224"/>
      <c r="E2" s="225"/>
    </row>
    <row r="3" spans="1:5" ht="30" customHeight="1" x14ac:dyDescent="0.25">
      <c r="A3" s="125"/>
      <c r="B3" s="1279"/>
      <c r="C3" s="1280" t="s">
        <v>628</v>
      </c>
      <c r="D3" s="1281" t="s">
        <v>629</v>
      </c>
      <c r="E3" s="105"/>
    </row>
    <row r="4" spans="1:5" ht="15" customHeight="1" x14ac:dyDescent="0.25">
      <c r="A4" s="125"/>
      <c r="B4" s="1284" t="s">
        <v>460</v>
      </c>
      <c r="C4" s="692"/>
      <c r="D4" s="208"/>
      <c r="E4" s="105"/>
    </row>
    <row r="5" spans="1:5" ht="15" customHeight="1" x14ac:dyDescent="0.25">
      <c r="A5" s="125"/>
      <c r="B5" s="1284" t="s">
        <v>461</v>
      </c>
      <c r="C5" s="693" t="str">
        <f>IF(AND(ISNUMBER(C6), ISNUMBER(C7), ISNUMBER(C8)), SUM(C6:C8), "")</f>
        <v/>
      </c>
      <c r="D5" s="209" t="str">
        <f>IF(AND(ISNUMBER(D6), ISNUMBER(D7), ISNUMBER(D8)), SUM(D6:D8), "")</f>
        <v/>
      </c>
      <c r="E5" s="105"/>
    </row>
    <row r="6" spans="1:5" ht="15" customHeight="1" x14ac:dyDescent="0.25">
      <c r="A6" s="125"/>
      <c r="B6" s="1285" t="s">
        <v>462</v>
      </c>
      <c r="C6" s="690"/>
      <c r="D6" s="227"/>
      <c r="E6" s="105"/>
    </row>
    <row r="7" spans="1:5" ht="15" customHeight="1" x14ac:dyDescent="0.25">
      <c r="A7" s="125"/>
      <c r="B7" s="1285" t="s">
        <v>463</v>
      </c>
      <c r="C7" s="690"/>
      <c r="D7" s="227"/>
      <c r="E7" s="105"/>
    </row>
    <row r="8" spans="1:5" ht="15" customHeight="1" x14ac:dyDescent="0.25">
      <c r="A8" s="125"/>
      <c r="B8" s="1285" t="s">
        <v>464</v>
      </c>
      <c r="C8" s="690"/>
      <c r="D8" s="227"/>
      <c r="E8" s="105"/>
    </row>
    <row r="9" spans="1:5" ht="15" customHeight="1" x14ac:dyDescent="0.25">
      <c r="A9" s="125"/>
      <c r="B9" s="1286" t="s">
        <v>465</v>
      </c>
      <c r="C9" s="694" t="str">
        <f>IF(AND(ISNUMBER(C4), ISNUMBER(C5)), C4-C5, "")</f>
        <v/>
      </c>
      <c r="D9" s="228" t="str">
        <f>IF(AND(ISNUMBER(D4), ISNUMBER(D5)), D4-D5, "")</f>
        <v/>
      </c>
      <c r="E9" s="105"/>
    </row>
    <row r="10" spans="1:5" ht="15" customHeight="1" x14ac:dyDescent="0.25">
      <c r="A10" s="470"/>
      <c r="B10" s="1276"/>
      <c r="C10" s="694"/>
      <c r="D10" s="230"/>
      <c r="E10" s="236"/>
    </row>
    <row r="11" spans="1:5" ht="45" customHeight="1" x14ac:dyDescent="0.35">
      <c r="A11" s="201" t="s">
        <v>2147</v>
      </c>
      <c r="B11" s="223"/>
      <c r="C11" s="224"/>
      <c r="D11" s="224"/>
      <c r="E11" s="225"/>
    </row>
    <row r="12" spans="1:5" ht="30" customHeight="1" x14ac:dyDescent="0.25">
      <c r="A12" s="125"/>
      <c r="B12" s="1279"/>
      <c r="C12" s="385" t="s">
        <v>628</v>
      </c>
      <c r="D12" s="226" t="s">
        <v>629</v>
      </c>
      <c r="E12" s="105"/>
    </row>
    <row r="13" spans="1:5" ht="15" customHeight="1" x14ac:dyDescent="0.25">
      <c r="A13" s="125"/>
      <c r="B13" s="1287" t="s">
        <v>971</v>
      </c>
      <c r="C13" s="692"/>
      <c r="D13" s="208"/>
      <c r="E13" s="105"/>
    </row>
    <row r="14" spans="1:5" ht="30" customHeight="1" x14ac:dyDescent="0.25">
      <c r="A14" s="125"/>
      <c r="B14" s="1288" t="s">
        <v>972</v>
      </c>
      <c r="C14" s="690"/>
      <c r="D14" s="227"/>
      <c r="E14" s="105"/>
    </row>
    <row r="15" spans="1:5" ht="15" customHeight="1" x14ac:dyDescent="0.25">
      <c r="A15" s="125"/>
      <c r="B15" s="1285" t="s">
        <v>973</v>
      </c>
      <c r="C15" s="695"/>
      <c r="D15" s="270"/>
      <c r="E15" s="105"/>
    </row>
    <row r="16" spans="1:5" ht="15" customHeight="1" x14ac:dyDescent="0.25">
      <c r="A16" s="125"/>
      <c r="B16" s="231" t="str">
        <f>CONCATENATE("Check: row ", ROW(B15), " ≤ row ", ROW(B14))</f>
        <v>Check: row 15 ≤ row 14</v>
      </c>
      <c r="C16" s="612" t="str">
        <f>IF(AND(ISNUMBER(C14), ISNUMBER(C15)), IF(C15&lt;=SUM(C14),"Pass","Fail"), "")</f>
        <v/>
      </c>
      <c r="D16" s="557" t="str">
        <f>IF(AND(ISNUMBER(D14), ISNUMBER(D15)), IF(D15&lt;=SUM(D14),"Pass","Fail"), "")</f>
        <v/>
      </c>
      <c r="E16" s="105"/>
    </row>
    <row r="17" spans="1:5" ht="15" customHeight="1" x14ac:dyDescent="0.25">
      <c r="A17" s="125"/>
      <c r="B17" s="1284" t="s">
        <v>466</v>
      </c>
      <c r="C17" s="690"/>
      <c r="D17" s="227"/>
      <c r="E17" s="105"/>
    </row>
    <row r="18" spans="1:5" ht="15" customHeight="1" x14ac:dyDescent="0.25">
      <c r="A18" s="125"/>
      <c r="B18" s="1284" t="s">
        <v>467</v>
      </c>
      <c r="C18" s="690"/>
      <c r="D18" s="227"/>
      <c r="E18" s="105"/>
    </row>
    <row r="19" spans="1:5" ht="15" customHeight="1" x14ac:dyDescent="0.25">
      <c r="A19" s="288"/>
      <c r="B19" s="1287" t="s">
        <v>516</v>
      </c>
      <c r="C19" s="692"/>
      <c r="D19" s="208"/>
      <c r="E19" s="105"/>
    </row>
    <row r="20" spans="1:5" ht="15" customHeight="1" x14ac:dyDescent="0.25">
      <c r="A20" s="288"/>
      <c r="B20" s="1289" t="s">
        <v>550</v>
      </c>
      <c r="C20" s="481"/>
      <c r="D20" s="460"/>
      <c r="E20" s="105"/>
    </row>
    <row r="21" spans="1:5" ht="15" customHeight="1" x14ac:dyDescent="0.25">
      <c r="A21" s="125"/>
      <c r="B21" s="1290" t="s">
        <v>468</v>
      </c>
      <c r="C21" s="1292" t="str">
        <f>IF(AND(ISNUMBER(C13), ISNUMBER(C15), ISNUMBER(C17), ISNUMBER(C18), ISNUMBER(C19), ISNUMBER(C20)), SUM(C13, C15,C17:C18,-C19,-C20), "")</f>
        <v/>
      </c>
      <c r="D21" s="1293" t="str">
        <f>IF(AND(ISNUMBER(D13), ISNUMBER(D15), ISNUMBER(D17), ISNUMBER(D18), ISNUMBER(D19)), SUM(D13, D15,D17:D18,-D19), "")</f>
        <v/>
      </c>
      <c r="E21" s="105"/>
    </row>
    <row r="22" spans="1:5" ht="15" customHeight="1" x14ac:dyDescent="0.25">
      <c r="A22" s="470"/>
      <c r="B22" s="1276"/>
      <c r="C22" s="1277"/>
      <c r="D22" s="1278"/>
      <c r="E22" s="236"/>
    </row>
    <row r="23" spans="1:5" ht="45" customHeight="1" x14ac:dyDescent="0.35">
      <c r="A23" s="201" t="s">
        <v>2148</v>
      </c>
      <c r="B23" s="223"/>
      <c r="C23" s="224"/>
      <c r="D23" s="224"/>
      <c r="E23" s="225"/>
    </row>
    <row r="24" spans="1:5" ht="30" customHeight="1" x14ac:dyDescent="0.25">
      <c r="A24" s="125"/>
      <c r="B24" s="1279"/>
      <c r="C24" s="1280" t="s">
        <v>628</v>
      </c>
      <c r="D24" s="1281" t="s">
        <v>629</v>
      </c>
      <c r="E24" s="105"/>
    </row>
    <row r="25" spans="1:5" ht="15" customHeight="1" x14ac:dyDescent="0.25">
      <c r="A25" s="125"/>
      <c r="B25" s="1279" t="s">
        <v>469</v>
      </c>
      <c r="C25" s="1282" t="str">
        <f>IF(AND(ISNUMBER(C9), ISNUMBER(C21)), C9+C21, "")</f>
        <v/>
      </c>
      <c r="D25" s="1283" t="str">
        <f>IF(AND(ISNUMBER(D9), ISNUMBER(D21)), D9+D21, "")</f>
        <v/>
      </c>
      <c r="E25" s="105"/>
    </row>
    <row r="26" spans="1:5" ht="15" customHeight="1" x14ac:dyDescent="0.25">
      <c r="A26" s="470"/>
      <c r="B26" s="1061"/>
      <c r="C26" s="1061"/>
      <c r="D26" s="1275"/>
      <c r="E26" s="236"/>
    </row>
    <row r="27" spans="1:5" ht="45" customHeight="1" x14ac:dyDescent="0.35">
      <c r="A27" s="201" t="s">
        <v>2149</v>
      </c>
      <c r="B27" s="223"/>
      <c r="C27" s="224"/>
      <c r="D27" s="224"/>
      <c r="E27" s="225"/>
    </row>
    <row r="28" spans="1:5" ht="30" customHeight="1" x14ac:dyDescent="0.25">
      <c r="A28" s="125"/>
      <c r="B28" s="1279"/>
      <c r="C28" s="1280" t="s">
        <v>628</v>
      </c>
      <c r="D28" s="1281" t="s">
        <v>629</v>
      </c>
      <c r="E28" s="105"/>
    </row>
    <row r="29" spans="1:5" ht="15" customHeight="1" x14ac:dyDescent="0.25">
      <c r="A29" s="387"/>
      <c r="B29" s="1291" t="s">
        <v>641</v>
      </c>
      <c r="C29" s="697"/>
      <c r="D29" s="468"/>
      <c r="E29" s="438"/>
    </row>
    <row r="30" spans="1:5" ht="15" customHeight="1" x14ac:dyDescent="0.25">
      <c r="A30" s="387"/>
      <c r="B30" s="1289" t="s">
        <v>642</v>
      </c>
      <c r="C30" s="943"/>
      <c r="D30" s="358"/>
      <c r="E30" s="438"/>
    </row>
    <row r="31" spans="1:5" ht="15" customHeight="1" x14ac:dyDescent="0.25">
      <c r="A31" s="125"/>
      <c r="B31" s="944" t="s">
        <v>469</v>
      </c>
      <c r="C31" s="921" t="str">
        <f>IF(AND(ISNUMBER(C29), ISNUMBER(C30)), C29+C30, "")</f>
        <v/>
      </c>
      <c r="D31" s="926" t="str">
        <f>IF(AND(ISNUMBER(D29), ISNUMBER(D30)), D29+D30, "")</f>
        <v/>
      </c>
      <c r="E31" s="105"/>
    </row>
    <row r="32" spans="1:5" ht="15" customHeight="1" x14ac:dyDescent="0.25">
      <c r="A32" s="470"/>
      <c r="B32" s="1061"/>
      <c r="C32" s="1061"/>
      <c r="D32" s="1275"/>
      <c r="E32" s="236"/>
    </row>
    <row r="33" ht="14.25" hidden="1" x14ac:dyDescent="0.25"/>
    <row r="34" ht="14.25" hidden="1" x14ac:dyDescent="0.25"/>
    <row r="35" ht="14.25" hidden="1" x14ac:dyDescent="0.25"/>
    <row r="36" ht="14.25" hidden="1" x14ac:dyDescent="0.25"/>
    <row r="37" ht="14.25" hidden="1" x14ac:dyDescent="0.25"/>
    <row r="38" ht="14.25" hidden="1" x14ac:dyDescent="0.25"/>
  </sheetData>
  <conditionalFormatting sqref="A1:E1048576">
    <cfRule type="cellIs" dxfId="1641" priority="1" stopIfTrue="1" operator="equal">
      <formula>"Pass"</formula>
    </cfRule>
    <cfRule type="cellIs" dxfId="1640" priority="3" stopIfTrue="1" operator="equal">
      <formula>"Fail"</formula>
    </cfRule>
  </conditionalFormatting>
  <conditionalFormatting sqref="C4:D4 C6:D8 C13:D15 C17:D20 C29:D31">
    <cfRule type="cellIs" dxfId="1639"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109" customWidth="1"/>
    <col min="2" max="2" width="24.7109375" style="109" customWidth="1"/>
    <col min="3" max="3" width="70.7109375" style="109" customWidth="1"/>
    <col min="4" max="4" width="18.7109375" style="185" customWidth="1"/>
    <col min="5" max="12" width="18.7109375" style="109" customWidth="1"/>
    <col min="13" max="13" width="1.7109375" style="316" customWidth="1"/>
    <col min="14" max="16384" width="16.85546875" hidden="1"/>
  </cols>
  <sheetData>
    <row r="1" spans="1:13" ht="30.75" customHeight="1" x14ac:dyDescent="0.55000000000000004">
      <c r="A1" s="1305" t="s">
        <v>134</v>
      </c>
      <c r="B1" s="1254"/>
      <c r="C1" s="1306"/>
      <c r="D1" s="1062" t="str">
        <f>CONCATENATE("Reporting unit: ", 'General Info'!$C$7, " ", 'General Info'!$C$5)</f>
        <v xml:space="preserve">Reporting unit: 1 </v>
      </c>
      <c r="E1" s="1306"/>
      <c r="F1" s="1306"/>
      <c r="G1" s="1306"/>
      <c r="H1" s="1306"/>
      <c r="I1" s="1306"/>
      <c r="J1" s="1306"/>
      <c r="K1" s="1306"/>
      <c r="L1" s="1306"/>
      <c r="M1" s="896"/>
    </row>
    <row r="2" spans="1:13" ht="45" customHeight="1" x14ac:dyDescent="0.25">
      <c r="A2" s="886" t="s">
        <v>2151</v>
      </c>
      <c r="B2" s="1206"/>
      <c r="C2" s="1207"/>
      <c r="D2" s="1207"/>
      <c r="E2" s="1207"/>
      <c r="F2" s="1207"/>
      <c r="G2" s="1207"/>
      <c r="H2" s="1207"/>
      <c r="I2" s="1207"/>
      <c r="J2" s="1207"/>
      <c r="K2" s="1207"/>
      <c r="L2" s="1207"/>
      <c r="M2" s="498"/>
    </row>
    <row r="3" spans="1:13" ht="45" customHeight="1" x14ac:dyDescent="0.25">
      <c r="A3" s="1463"/>
      <c r="B3" s="191" t="s">
        <v>1050</v>
      </c>
      <c r="C3" s="510"/>
      <c r="D3" s="107"/>
      <c r="E3" s="107"/>
      <c r="F3" s="107"/>
      <c r="G3" s="107"/>
      <c r="H3" s="107"/>
      <c r="I3" s="107"/>
      <c r="J3" s="107"/>
      <c r="K3" s="107"/>
      <c r="L3" s="1523"/>
      <c r="M3" s="497"/>
    </row>
    <row r="4" spans="1:13" ht="45" customHeight="1" x14ac:dyDescent="0.25">
      <c r="A4" s="1463"/>
      <c r="B4" s="872" t="s">
        <v>1558</v>
      </c>
      <c r="C4" s="1307"/>
      <c r="D4" s="1308"/>
      <c r="E4" s="1308"/>
      <c r="F4" s="1308"/>
      <c r="G4" s="1902" t="s">
        <v>1051</v>
      </c>
      <c r="H4" s="1309" t="s">
        <v>94</v>
      </c>
      <c r="I4" s="1309" t="s">
        <v>149</v>
      </c>
      <c r="J4" s="1310" t="s">
        <v>61</v>
      </c>
      <c r="K4" s="1311" t="s">
        <v>239</v>
      </c>
      <c r="L4" s="1901" t="s">
        <v>301</v>
      </c>
      <c r="M4" s="497"/>
    </row>
    <row r="5" spans="1:13" ht="15" customHeight="1" x14ac:dyDescent="0.25">
      <c r="A5" s="1463"/>
      <c r="B5" s="873"/>
      <c r="C5" s="660" t="s">
        <v>936</v>
      </c>
      <c r="D5" s="703"/>
      <c r="E5" s="703"/>
      <c r="F5" s="703"/>
      <c r="G5" s="1828"/>
      <c r="H5" s="711"/>
      <c r="I5" s="711"/>
      <c r="J5" s="711"/>
      <c r="K5" s="1312"/>
      <c r="L5" s="767"/>
      <c r="M5" s="497"/>
    </row>
    <row r="6" spans="1:13" ht="15" customHeight="1" x14ac:dyDescent="0.25">
      <c r="A6" s="1463"/>
      <c r="B6" s="465" t="s">
        <v>1537</v>
      </c>
      <c r="C6" s="662" t="s">
        <v>935</v>
      </c>
      <c r="D6" s="363"/>
      <c r="E6" s="363"/>
      <c r="F6" s="363"/>
      <c r="G6" s="92"/>
      <c r="H6" s="16"/>
      <c r="I6" s="16"/>
      <c r="J6" s="16"/>
      <c r="K6" s="36"/>
      <c r="L6" s="259"/>
      <c r="M6" s="497"/>
    </row>
    <row r="7" spans="1:13" ht="15" customHeight="1" x14ac:dyDescent="0.25">
      <c r="A7" s="1463"/>
      <c r="B7" s="465" t="s">
        <v>1538</v>
      </c>
      <c r="C7" s="663" t="s">
        <v>980</v>
      </c>
      <c r="D7" s="363"/>
      <c r="E7" s="363"/>
      <c r="F7" s="363"/>
      <c r="G7" s="92"/>
      <c r="H7" s="16"/>
      <c r="I7" s="16"/>
      <c r="J7" s="16"/>
      <c r="K7" s="187"/>
      <c r="L7" s="259"/>
      <c r="M7" s="497"/>
    </row>
    <row r="8" spans="1:13" ht="15" customHeight="1" x14ac:dyDescent="0.25">
      <c r="A8" s="1463"/>
      <c r="B8" s="874"/>
      <c r="C8" s="876" t="s">
        <v>500</v>
      </c>
      <c r="D8" s="875"/>
      <c r="E8" s="875"/>
      <c r="F8" s="875"/>
      <c r="G8" s="92"/>
      <c r="H8" s="29"/>
      <c r="I8" s="29"/>
      <c r="J8" s="16"/>
      <c r="K8" s="701" t="str">
        <f>IF(AND(ISNUMBER(K6), ISNUMBER(K7)), IF(K6&gt;=K7, "Pass", "Fail"), "")</f>
        <v/>
      </c>
      <c r="L8" s="259"/>
      <c r="M8" s="497"/>
    </row>
    <row r="9" spans="1:13" ht="15" customHeight="1" x14ac:dyDescent="0.25">
      <c r="A9" s="1463"/>
      <c r="B9" s="874"/>
      <c r="C9" s="1350" t="s">
        <v>1079</v>
      </c>
      <c r="D9" s="875"/>
      <c r="E9" s="875"/>
      <c r="F9" s="875"/>
      <c r="G9" s="92"/>
      <c r="H9" s="29"/>
      <c r="I9" s="29"/>
      <c r="J9" s="279"/>
      <c r="K9" s="187"/>
      <c r="L9" s="187"/>
      <c r="M9" s="497"/>
    </row>
    <row r="10" spans="1:13" ht="15" customHeight="1" x14ac:dyDescent="0.25">
      <c r="A10" s="1463"/>
      <c r="B10" s="874"/>
      <c r="C10" s="1914" t="s">
        <v>1502</v>
      </c>
      <c r="D10" s="875"/>
      <c r="E10" s="875"/>
      <c r="F10" s="875"/>
      <c r="G10" s="92"/>
      <c r="H10" s="29"/>
      <c r="I10" s="29"/>
      <c r="J10" s="279"/>
      <c r="K10" s="187"/>
      <c r="L10" s="36"/>
      <c r="M10" s="497"/>
    </row>
    <row r="11" spans="1:13" ht="15" customHeight="1" x14ac:dyDescent="0.25">
      <c r="A11" s="1463"/>
      <c r="B11" s="465" t="s">
        <v>1540</v>
      </c>
      <c r="C11" s="699" t="s">
        <v>112</v>
      </c>
      <c r="D11" s="363"/>
      <c r="E11" s="363"/>
      <c r="F11" s="363"/>
      <c r="G11" s="777"/>
      <c r="H11" s="32" t="str">
        <f>IF(AND(ISNUMBER(H12),ISNUMBER(H13)),SUM(H12:H13),"")</f>
        <v/>
      </c>
      <c r="I11" s="32" t="str">
        <f t="shared" ref="I11" si="0">IF(AND(ISNUMBER(I12),ISNUMBER(I13)),SUM(I12:I13),"")</f>
        <v/>
      </c>
      <c r="J11" s="279"/>
      <c r="K11" s="259"/>
      <c r="L11" s="259"/>
      <c r="M11" s="497"/>
    </row>
    <row r="12" spans="1:13" ht="15" customHeight="1" x14ac:dyDescent="0.25">
      <c r="A12" s="1463"/>
      <c r="B12" s="266" t="s">
        <v>1539</v>
      </c>
      <c r="C12" s="698" t="s">
        <v>168</v>
      </c>
      <c r="D12" s="363"/>
      <c r="E12" s="363"/>
      <c r="F12" s="363"/>
      <c r="G12" s="777"/>
      <c r="H12" s="15"/>
      <c r="I12" s="15"/>
      <c r="J12" s="553" t="str">
        <f>IF(AND(ISNUMBER(H12), ISNUMBER(I12)), IF(H12&lt;=I12,"Pass","Fail"), "")</f>
        <v/>
      </c>
      <c r="K12" s="259"/>
      <c r="L12" s="259"/>
      <c r="M12" s="497"/>
    </row>
    <row r="13" spans="1:13" ht="15" customHeight="1" x14ac:dyDescent="0.25">
      <c r="A13" s="1463"/>
      <c r="B13" s="266" t="s">
        <v>1541</v>
      </c>
      <c r="C13" s="698" t="s">
        <v>181</v>
      </c>
      <c r="D13" s="363"/>
      <c r="E13" s="363"/>
      <c r="F13" s="363"/>
      <c r="G13" s="777"/>
      <c r="H13" s="15"/>
      <c r="I13" s="15"/>
      <c r="J13" s="553" t="str">
        <f>IF(AND(ISNUMBER(H13), ISNUMBER(I13)), IF(H13&lt;=I13,"Pass","Fail"), "")</f>
        <v/>
      </c>
      <c r="K13" s="259"/>
      <c r="L13" s="259"/>
      <c r="M13" s="497"/>
    </row>
    <row r="14" spans="1:13" ht="15" customHeight="1" x14ac:dyDescent="0.25">
      <c r="A14" s="1463"/>
      <c r="B14" s="874"/>
      <c r="C14" s="880" t="s">
        <v>37</v>
      </c>
      <c r="D14" s="363"/>
      <c r="E14" s="363"/>
      <c r="F14" s="363"/>
      <c r="G14" s="777"/>
      <c r="H14" s="261"/>
      <c r="I14" s="261"/>
      <c r="J14" s="261"/>
      <c r="K14" s="259"/>
      <c r="L14" s="259"/>
      <c r="M14" s="497"/>
    </row>
    <row r="15" spans="1:13" ht="15" customHeight="1" x14ac:dyDescent="0.25">
      <c r="A15" s="1463"/>
      <c r="B15" s="379" t="s">
        <v>1542</v>
      </c>
      <c r="C15" s="1014" t="s">
        <v>948</v>
      </c>
      <c r="D15" s="363"/>
      <c r="E15" s="363"/>
      <c r="F15" s="363"/>
      <c r="G15" s="777"/>
      <c r="H15" s="261"/>
      <c r="I15" s="17"/>
      <c r="J15" s="261"/>
      <c r="K15" s="259"/>
      <c r="L15" s="259"/>
      <c r="M15" s="497"/>
    </row>
    <row r="16" spans="1:13" ht="15" customHeight="1" x14ac:dyDescent="0.25">
      <c r="A16" s="1463"/>
      <c r="B16" s="266" t="s">
        <v>1542</v>
      </c>
      <c r="C16" s="698" t="s">
        <v>495</v>
      </c>
      <c r="D16" s="363"/>
      <c r="E16" s="363"/>
      <c r="F16" s="363"/>
      <c r="G16" s="777"/>
      <c r="H16" s="261"/>
      <c r="I16" s="247"/>
      <c r="J16" s="261"/>
      <c r="K16" s="259"/>
      <c r="L16" s="259"/>
      <c r="M16" s="497"/>
    </row>
    <row r="17" spans="1:13" ht="15" customHeight="1" x14ac:dyDescent="0.25">
      <c r="A17" s="1463"/>
      <c r="B17" s="266" t="s">
        <v>1543</v>
      </c>
      <c r="C17" s="698" t="s">
        <v>496</v>
      </c>
      <c r="D17" s="363"/>
      <c r="E17" s="363"/>
      <c r="F17" s="363"/>
      <c r="G17" s="777"/>
      <c r="H17" s="261"/>
      <c r="I17" s="247"/>
      <c r="J17" s="261"/>
      <c r="K17" s="259"/>
      <c r="L17" s="259"/>
      <c r="M17" s="497"/>
    </row>
    <row r="18" spans="1:13" ht="15" customHeight="1" x14ac:dyDescent="0.25">
      <c r="A18" s="1463"/>
      <c r="B18" s="266" t="s">
        <v>1544</v>
      </c>
      <c r="C18" s="698" t="s">
        <v>837</v>
      </c>
      <c r="D18" s="363"/>
      <c r="E18" s="363"/>
      <c r="F18" s="363"/>
      <c r="G18" s="777"/>
      <c r="H18" s="261"/>
      <c r="I18" s="247"/>
      <c r="J18" s="261"/>
      <c r="K18" s="259"/>
      <c r="L18" s="259"/>
      <c r="M18" s="497"/>
    </row>
    <row r="19" spans="1:13" ht="15" customHeight="1" x14ac:dyDescent="0.25">
      <c r="A19" s="1463"/>
      <c r="B19" s="266" t="s">
        <v>1545</v>
      </c>
      <c r="C19" s="751" t="s">
        <v>937</v>
      </c>
      <c r="D19" s="363"/>
      <c r="E19" s="363"/>
      <c r="F19" s="363"/>
      <c r="G19" s="473"/>
      <c r="H19" s="247"/>
      <c r="I19" s="247"/>
      <c r="J19" s="553" t="str">
        <f>IF(AND(ISNUMBER(H19), ISNUMBER(I19)), IF(H19&lt;=I19,"Pass","Fail"), "")</f>
        <v/>
      </c>
      <c r="K19" s="259"/>
      <c r="L19" s="259"/>
      <c r="M19" s="497"/>
    </row>
    <row r="20" spans="1:13" ht="15" customHeight="1" x14ac:dyDescent="0.25">
      <c r="A20" s="1463"/>
      <c r="B20" s="266" t="s">
        <v>1545</v>
      </c>
      <c r="C20" s="877" t="s">
        <v>1632</v>
      </c>
      <c r="D20" s="363"/>
      <c r="E20" s="363"/>
      <c r="F20" s="363"/>
      <c r="G20" s="473"/>
      <c r="H20" s="247"/>
      <c r="I20" s="247"/>
      <c r="J20" s="553" t="str">
        <f>IF(AND(ISNUMBER(H20), ISNUMBER(I20)), IF(H20&lt;=I20,"Pass","Fail"), "")</f>
        <v/>
      </c>
      <c r="K20" s="259"/>
      <c r="L20" s="259"/>
      <c r="M20" s="497"/>
    </row>
    <row r="21" spans="1:13" ht="15" customHeight="1" x14ac:dyDescent="0.25">
      <c r="A21" s="1463"/>
      <c r="B21" s="874"/>
      <c r="C21" s="876" t="s">
        <v>940</v>
      </c>
      <c r="D21" s="363"/>
      <c r="E21" s="363"/>
      <c r="F21" s="363"/>
      <c r="G21" s="1903" t="str">
        <f>IF(AND(ISNUMBER(G19), ISNUMBER(G20)), IF(G19&gt;=G20, "Pass", "Fail"), "")</f>
        <v/>
      </c>
      <c r="H21" s="553" t="str">
        <f>IF(AND(ISNUMBER(H19), ISNUMBER(H20)), IF(H19&gt;=H20, "Pass", "Fail"), "")</f>
        <v/>
      </c>
      <c r="I21" s="553" t="str">
        <f>IF(AND(ISNUMBER(I19), ISNUMBER(I20)), IF(I19&gt;=I20, "Pass", "Fail"), "")</f>
        <v/>
      </c>
      <c r="J21" s="261"/>
      <c r="K21" s="259"/>
      <c r="L21" s="259"/>
      <c r="M21" s="497"/>
    </row>
    <row r="22" spans="1:13" ht="15" customHeight="1" x14ac:dyDescent="0.25">
      <c r="A22" s="1463"/>
      <c r="B22" s="874"/>
      <c r="C22" s="881" t="s">
        <v>950</v>
      </c>
      <c r="D22" s="363"/>
      <c r="E22" s="363"/>
      <c r="F22" s="363"/>
      <c r="G22" s="777"/>
      <c r="H22" s="261"/>
      <c r="I22" s="553" t="str">
        <f>IF(AND(ISNUMBER(H19), ISNUMBER(I19), ISNUMBER(G19), ISNUMBER(G20)), IF(AND(H19&lt;=G19,G19&lt;=I19, H20&lt;=G20, G20&lt;=I20), "Pass", "Fail"), "")</f>
        <v/>
      </c>
      <c r="J22" s="261"/>
      <c r="K22" s="259"/>
      <c r="L22" s="259"/>
      <c r="M22" s="497"/>
    </row>
    <row r="23" spans="1:13" ht="15" customHeight="1" x14ac:dyDescent="0.25">
      <c r="A23" s="1463"/>
      <c r="B23" s="668"/>
      <c r="C23" s="881" t="str">
        <f>"Check: consistent reporting in rows " &amp; ROW(A19) &amp; " and " &amp; ROW(A20)</f>
        <v>Check: consistent reporting in rows 19 and 20</v>
      </c>
      <c r="D23" s="363"/>
      <c r="E23" s="363"/>
      <c r="F23" s="363"/>
      <c r="G23" s="777"/>
      <c r="H23" s="261"/>
      <c r="I23" s="553" t="str">
        <f>IF(AND(ISNUMBER(H19), ISNUMBER(I19), ISNUMBER(H20), ISNUMBER(I20), ISNUMBER(G19), ISNUMBER(G20)), IF(H19=G19, IF(H20=G20, "Pass", "Fail"), IF(I19=G19, IF(I20=G20, "Pass", "Fail"), "Pass")), "")</f>
        <v/>
      </c>
      <c r="J23" s="261"/>
      <c r="K23" s="259"/>
      <c r="L23" s="259"/>
      <c r="M23" s="497"/>
    </row>
    <row r="24" spans="1:13" ht="15" customHeight="1" x14ac:dyDescent="0.25">
      <c r="A24" s="1463"/>
      <c r="B24" s="263"/>
      <c r="C24" s="1014" t="s">
        <v>580</v>
      </c>
      <c r="D24" s="363"/>
      <c r="E24" s="363"/>
      <c r="F24" s="363"/>
      <c r="G24" s="777"/>
      <c r="H24" s="261"/>
      <c r="I24" s="25"/>
      <c r="J24" s="261"/>
      <c r="K24" s="259"/>
      <c r="L24" s="259"/>
      <c r="M24" s="497"/>
    </row>
    <row r="25" spans="1:13" ht="15" customHeight="1" x14ac:dyDescent="0.25">
      <c r="A25" s="1463"/>
      <c r="B25" s="668"/>
      <c r="C25" s="1303" t="s">
        <v>981</v>
      </c>
      <c r="D25" s="272"/>
      <c r="E25" s="363"/>
      <c r="F25" s="363"/>
      <c r="G25" s="777"/>
      <c r="H25" s="261"/>
      <c r="I25" s="1304"/>
      <c r="J25" s="261"/>
      <c r="K25" s="259"/>
      <c r="L25" s="259"/>
      <c r="M25" s="497"/>
    </row>
    <row r="26" spans="1:13" ht="15" customHeight="1" x14ac:dyDescent="0.25">
      <c r="A26" s="1463"/>
      <c r="B26" s="1946" t="s">
        <v>1546</v>
      </c>
      <c r="C26" s="877" t="s">
        <v>982</v>
      </c>
      <c r="D26" s="363"/>
      <c r="E26" s="363"/>
      <c r="F26" s="363"/>
      <c r="G26" s="777"/>
      <c r="H26" s="261"/>
      <c r="I26" s="1313"/>
      <c r="J26" s="261"/>
      <c r="K26" s="259"/>
      <c r="L26" s="259"/>
      <c r="M26" s="497"/>
    </row>
    <row r="27" spans="1:13" ht="15" customHeight="1" x14ac:dyDescent="0.25">
      <c r="A27" s="1463"/>
      <c r="B27" s="1007"/>
      <c r="C27" s="1008" t="s">
        <v>940</v>
      </c>
      <c r="D27" s="268"/>
      <c r="E27" s="268"/>
      <c r="F27" s="268"/>
      <c r="G27" s="370"/>
      <c r="H27" s="355"/>
      <c r="I27" s="555" t="str">
        <f>IF(AND(ISNUMBER(I25), ISNUMBER(I26)), IF(I25&gt;=I26, "Pass", "Fail"), "")</f>
        <v/>
      </c>
      <c r="J27" s="355"/>
      <c r="K27" s="356"/>
      <c r="L27" s="356"/>
      <c r="M27" s="497"/>
    </row>
    <row r="28" spans="1:13" ht="15" customHeight="1" x14ac:dyDescent="0.25">
      <c r="A28" s="1479"/>
      <c r="B28" s="590"/>
      <c r="C28" s="591"/>
      <c r="D28" s="592"/>
      <c r="E28" s="592"/>
      <c r="F28" s="592"/>
      <c r="G28" s="541"/>
      <c r="H28" s="511"/>
      <c r="I28" s="511"/>
      <c r="J28" s="511"/>
      <c r="K28" s="511"/>
      <c r="L28" s="511"/>
      <c r="M28" s="887"/>
    </row>
    <row r="29" spans="1:13" ht="45" customHeight="1" x14ac:dyDescent="0.25">
      <c r="A29" s="886" t="s">
        <v>2152</v>
      </c>
      <c r="B29" s="1206"/>
      <c r="C29" s="1207"/>
      <c r="D29" s="1207"/>
      <c r="E29" s="1207"/>
      <c r="F29" s="1207"/>
      <c r="G29" s="1207"/>
      <c r="H29" s="1207"/>
      <c r="I29" s="1207"/>
      <c r="J29" s="1207"/>
      <c r="K29" s="1523"/>
      <c r="L29" s="1523"/>
      <c r="M29" s="498"/>
    </row>
    <row r="30" spans="1:13" ht="105" customHeight="1" x14ac:dyDescent="0.25">
      <c r="A30" s="1463"/>
      <c r="B30" s="872" t="s">
        <v>1558</v>
      </c>
      <c r="C30" s="1916"/>
      <c r="D30" s="1917"/>
      <c r="E30" s="1917"/>
      <c r="F30" s="1917"/>
      <c r="G30" s="1917"/>
      <c r="H30" s="716" t="s">
        <v>76</v>
      </c>
      <c r="I30" s="1311" t="s">
        <v>96</v>
      </c>
      <c r="J30" s="1311" t="s">
        <v>239</v>
      </c>
      <c r="K30" s="1901" t="s">
        <v>301</v>
      </c>
      <c r="L30" s="1310" t="s">
        <v>1455</v>
      </c>
      <c r="M30" s="497"/>
    </row>
    <row r="31" spans="1:13" ht="15" customHeight="1" x14ac:dyDescent="0.25">
      <c r="A31" s="1463"/>
      <c r="B31" s="2034" t="s">
        <v>1601</v>
      </c>
      <c r="C31" s="1314" t="s">
        <v>576</v>
      </c>
      <c r="D31" s="703"/>
      <c r="E31" s="703"/>
      <c r="F31" s="703"/>
      <c r="G31" s="704"/>
      <c r="H31" s="710"/>
      <c r="I31" s="711"/>
      <c r="J31" s="1312"/>
      <c r="K31" s="711"/>
      <c r="L31" s="712"/>
      <c r="M31" s="497"/>
    </row>
    <row r="32" spans="1:13" ht="15" customHeight="1" x14ac:dyDescent="0.25">
      <c r="A32" s="1463"/>
      <c r="B32" s="266" t="s">
        <v>1537</v>
      </c>
      <c r="C32" s="698" t="s">
        <v>169</v>
      </c>
      <c r="D32" s="363"/>
      <c r="E32" s="363"/>
      <c r="F32" s="363"/>
      <c r="G32" s="635"/>
      <c r="H32" s="17"/>
      <c r="I32" s="15"/>
      <c r="J32" s="1297"/>
      <c r="K32" s="16"/>
      <c r="L32" s="1297"/>
      <c r="M32" s="497"/>
    </row>
    <row r="33" spans="1:13" ht="15" customHeight="1" x14ac:dyDescent="0.25">
      <c r="A33" s="1463"/>
      <c r="B33" s="266" t="s">
        <v>1547</v>
      </c>
      <c r="C33" s="751" t="s">
        <v>941</v>
      </c>
      <c r="D33" s="363"/>
      <c r="E33" s="363"/>
      <c r="F33" s="363"/>
      <c r="G33" s="635"/>
      <c r="H33" s="279"/>
      <c r="I33" s="16"/>
      <c r="J33" s="275"/>
      <c r="K33" s="16"/>
      <c r="L33" s="1297"/>
      <c r="M33" s="497"/>
    </row>
    <row r="34" spans="1:13" ht="15" customHeight="1" x14ac:dyDescent="0.25">
      <c r="A34" s="1463"/>
      <c r="B34" s="266" t="s">
        <v>1547</v>
      </c>
      <c r="C34" s="877" t="s">
        <v>942</v>
      </c>
      <c r="D34" s="363"/>
      <c r="E34" s="363"/>
      <c r="F34" s="363"/>
      <c r="G34" s="635"/>
      <c r="H34" s="473"/>
      <c r="I34" s="16"/>
      <c r="J34" s="276"/>
      <c r="K34" s="1915"/>
      <c r="L34" s="701" t="str">
        <f>IF(AND(ISNUMBER(J34), ISNUMBER(K34)), IF(J34&gt;=K34, "Pass", "Fail"), "")</f>
        <v/>
      </c>
      <c r="M34" s="497"/>
    </row>
    <row r="35" spans="1:13" ht="15" customHeight="1" x14ac:dyDescent="0.25">
      <c r="A35" s="545"/>
      <c r="B35" s="14"/>
      <c r="C35" s="876" t="s">
        <v>940</v>
      </c>
      <c r="D35" s="700"/>
      <c r="E35" s="700"/>
      <c r="F35" s="700"/>
      <c r="G35" s="237"/>
      <c r="H35" s="279"/>
      <c r="I35" s="16"/>
      <c r="J35" s="701" t="str">
        <f>IF(AND(ISNUMBER(J33), ISNUMBER(J34)), IF(J33&gt;=J34, "Pass", "Fail"), "")</f>
        <v/>
      </c>
      <c r="K35" s="553" t="str">
        <f>IF(AND(ISNUMBER(J33), ISNUMBER(K34)), IF(J33&gt;=K34, "Pass", "Fail"), "")</f>
        <v/>
      </c>
      <c r="L35" s="1297"/>
      <c r="M35" s="544"/>
    </row>
    <row r="36" spans="1:13" ht="15" customHeight="1" x14ac:dyDescent="0.25">
      <c r="A36" s="545"/>
      <c r="B36" s="750" t="s">
        <v>1537</v>
      </c>
      <c r="C36" s="751" t="s">
        <v>939</v>
      </c>
      <c r="D36" s="700"/>
      <c r="E36" s="700"/>
      <c r="F36" s="700"/>
      <c r="G36" s="237"/>
      <c r="H36" s="279"/>
      <c r="I36" s="16"/>
      <c r="J36" s="275"/>
      <c r="K36" s="16"/>
      <c r="L36" s="1297"/>
      <c r="M36" s="544"/>
    </row>
    <row r="37" spans="1:13" ht="15" customHeight="1" x14ac:dyDescent="0.25">
      <c r="A37" s="545"/>
      <c r="B37" s="266" t="s">
        <v>1538</v>
      </c>
      <c r="C37" s="877" t="s">
        <v>980</v>
      </c>
      <c r="D37" s="700"/>
      <c r="E37" s="700"/>
      <c r="F37" s="700"/>
      <c r="G37" s="237"/>
      <c r="H37" s="279"/>
      <c r="I37" s="16"/>
      <c r="J37" s="276"/>
      <c r="K37" s="16"/>
      <c r="L37" s="1297"/>
      <c r="M37" s="544"/>
    </row>
    <row r="38" spans="1:13" ht="15" customHeight="1" x14ac:dyDescent="0.25">
      <c r="A38" s="545"/>
      <c r="B38" s="14"/>
      <c r="C38" s="876" t="s">
        <v>940</v>
      </c>
      <c r="D38" s="700"/>
      <c r="E38" s="700"/>
      <c r="F38" s="700"/>
      <c r="G38" s="237"/>
      <c r="H38" s="279"/>
      <c r="I38" s="16"/>
      <c r="J38" s="701" t="str">
        <f>IF(AND(ISNUMBER(J36), ISNUMBER(J37)), IF(J36&gt;=J37, "Pass", "Fail"), "")</f>
        <v/>
      </c>
      <c r="K38" s="16"/>
      <c r="L38" s="1297"/>
      <c r="M38" s="544"/>
    </row>
    <row r="39" spans="1:13" ht="15" customHeight="1" x14ac:dyDescent="0.25">
      <c r="A39" s="1463"/>
      <c r="B39" s="266" t="s">
        <v>1548</v>
      </c>
      <c r="C39" s="699" t="s">
        <v>943</v>
      </c>
      <c r="D39" s="363"/>
      <c r="E39" s="363"/>
      <c r="F39" s="363"/>
      <c r="G39" s="635"/>
      <c r="H39" s="279"/>
      <c r="I39" s="16"/>
      <c r="J39" s="1297"/>
      <c r="K39" s="16"/>
      <c r="L39" s="1297"/>
      <c r="M39" s="497"/>
    </row>
    <row r="40" spans="1:13" ht="15" customHeight="1" x14ac:dyDescent="0.25">
      <c r="A40" s="1463"/>
      <c r="B40" s="266" t="s">
        <v>1550</v>
      </c>
      <c r="C40" s="751" t="s">
        <v>1639</v>
      </c>
      <c r="D40" s="363"/>
      <c r="E40" s="363"/>
      <c r="F40" s="363"/>
      <c r="G40" s="635"/>
      <c r="H40" s="279"/>
      <c r="I40" s="15"/>
      <c r="J40" s="1297"/>
      <c r="K40" s="16"/>
      <c r="L40" s="1297"/>
      <c r="M40" s="497"/>
    </row>
    <row r="41" spans="1:13" ht="15" customHeight="1" x14ac:dyDescent="0.25">
      <c r="A41" s="1463"/>
      <c r="B41" s="14"/>
      <c r="C41" s="1009" t="s">
        <v>97</v>
      </c>
      <c r="D41" s="363"/>
      <c r="E41" s="363"/>
      <c r="F41" s="363"/>
      <c r="G41" s="635"/>
      <c r="H41" s="279"/>
      <c r="I41" s="15"/>
      <c r="J41" s="1297"/>
      <c r="K41" s="16"/>
      <c r="L41" s="1297"/>
      <c r="M41" s="497"/>
    </row>
    <row r="42" spans="1:13" ht="15" customHeight="1" x14ac:dyDescent="0.25">
      <c r="A42" s="1463"/>
      <c r="B42" s="14"/>
      <c r="C42" s="1009" t="s">
        <v>99</v>
      </c>
      <c r="D42" s="363"/>
      <c r="E42" s="363"/>
      <c r="F42" s="363"/>
      <c r="G42" s="635"/>
      <c r="H42" s="279"/>
      <c r="I42" s="15"/>
      <c r="J42" s="1297"/>
      <c r="K42" s="16"/>
      <c r="L42" s="1297"/>
      <c r="M42" s="497"/>
    </row>
    <row r="43" spans="1:13" ht="15" customHeight="1" x14ac:dyDescent="0.25">
      <c r="A43" s="1463"/>
      <c r="B43" s="266" t="s">
        <v>1550</v>
      </c>
      <c r="C43" s="1014" t="s">
        <v>581</v>
      </c>
      <c r="D43" s="898"/>
      <c r="E43" s="898"/>
      <c r="F43" s="898"/>
      <c r="G43" s="635"/>
      <c r="H43" s="279"/>
      <c r="I43" s="73"/>
      <c r="J43" s="1297"/>
      <c r="K43" s="16"/>
      <c r="L43" s="1297"/>
      <c r="M43" s="497"/>
    </row>
    <row r="44" spans="1:13" ht="15" customHeight="1" x14ac:dyDescent="0.25">
      <c r="A44" s="1463"/>
      <c r="B44" s="1026"/>
      <c r="C44" s="1301" t="s">
        <v>949</v>
      </c>
      <c r="D44" s="1302"/>
      <c r="E44" s="1302"/>
      <c r="F44" s="1302"/>
      <c r="G44" s="942"/>
      <c r="H44" s="279"/>
      <c r="I44" s="892"/>
      <c r="J44" s="1297"/>
      <c r="K44" s="16"/>
      <c r="L44" s="1297"/>
      <c r="M44" s="497"/>
    </row>
    <row r="45" spans="1:13" ht="15" customHeight="1" x14ac:dyDescent="0.25">
      <c r="A45" s="545"/>
      <c r="B45" s="14"/>
      <c r="C45" s="699" t="s">
        <v>944</v>
      </c>
      <c r="D45" s="237"/>
      <c r="E45" s="237"/>
      <c r="F45" s="237"/>
      <c r="G45" s="237"/>
      <c r="H45" s="279"/>
      <c r="I45" s="14"/>
      <c r="J45" s="1297"/>
      <c r="K45" s="16"/>
      <c r="L45" s="1297"/>
      <c r="M45" s="544"/>
    </row>
    <row r="46" spans="1:13" ht="15" customHeight="1" x14ac:dyDescent="0.25">
      <c r="A46" s="545"/>
      <c r="B46" s="750" t="s">
        <v>1549</v>
      </c>
      <c r="C46" s="751" t="s">
        <v>832</v>
      </c>
      <c r="D46" s="237"/>
      <c r="E46" s="237"/>
      <c r="F46" s="237"/>
      <c r="G46" s="237"/>
      <c r="H46" s="279"/>
      <c r="I46" s="247"/>
      <c r="J46" s="1297"/>
      <c r="K46" s="16"/>
      <c r="L46" s="1297"/>
      <c r="M46" s="544"/>
    </row>
    <row r="47" spans="1:13" ht="15" customHeight="1" x14ac:dyDescent="0.25">
      <c r="A47" s="545"/>
      <c r="B47" s="750" t="s">
        <v>1550</v>
      </c>
      <c r="C47" s="751" t="s">
        <v>833</v>
      </c>
      <c r="D47" s="237"/>
      <c r="E47" s="237"/>
      <c r="F47" s="237"/>
      <c r="G47" s="237"/>
      <c r="H47" s="279"/>
      <c r="I47" s="247"/>
      <c r="J47" s="1297"/>
      <c r="K47" s="16"/>
      <c r="L47" s="1297"/>
      <c r="M47" s="544"/>
    </row>
    <row r="48" spans="1:13" ht="15" customHeight="1" x14ac:dyDescent="0.25">
      <c r="A48" s="545"/>
      <c r="B48" s="750" t="s">
        <v>1551</v>
      </c>
      <c r="C48" s="751" t="s">
        <v>834</v>
      </c>
      <c r="D48" s="237"/>
      <c r="E48" s="237"/>
      <c r="F48" s="237"/>
      <c r="G48" s="237"/>
      <c r="H48" s="279"/>
      <c r="I48" s="247"/>
      <c r="J48" s="1297"/>
      <c r="K48" s="16"/>
      <c r="L48" s="1297"/>
      <c r="M48" s="544"/>
    </row>
    <row r="49" spans="1:13" ht="15" customHeight="1" x14ac:dyDescent="0.25">
      <c r="A49" s="545"/>
      <c r="B49" s="750" t="s">
        <v>1552</v>
      </c>
      <c r="C49" s="751" t="s">
        <v>835</v>
      </c>
      <c r="D49" s="237"/>
      <c r="E49" s="237"/>
      <c r="F49" s="237"/>
      <c r="G49" s="237"/>
      <c r="H49" s="279"/>
      <c r="I49" s="247"/>
      <c r="J49" s="1297"/>
      <c r="K49" s="16"/>
      <c r="L49" s="1297"/>
      <c r="M49" s="544"/>
    </row>
    <row r="50" spans="1:13" ht="15" customHeight="1" x14ac:dyDescent="0.25">
      <c r="A50" s="545"/>
      <c r="B50" s="750" t="s">
        <v>1553</v>
      </c>
      <c r="C50" s="751" t="s">
        <v>836</v>
      </c>
      <c r="D50" s="567"/>
      <c r="E50" s="567"/>
      <c r="F50" s="567"/>
      <c r="G50" s="567"/>
      <c r="H50" s="279"/>
      <c r="I50" s="247"/>
      <c r="J50" s="1297"/>
      <c r="K50" s="16"/>
      <c r="L50" s="1297"/>
      <c r="M50" s="544"/>
    </row>
    <row r="51" spans="1:13" ht="15" customHeight="1" x14ac:dyDescent="0.25">
      <c r="A51" s="545"/>
      <c r="B51" s="750" t="s">
        <v>1554</v>
      </c>
      <c r="C51" s="751" t="s">
        <v>497</v>
      </c>
      <c r="D51" s="237"/>
      <c r="E51" s="237"/>
      <c r="F51" s="237"/>
      <c r="G51" s="237"/>
      <c r="H51" s="279"/>
      <c r="I51" s="247"/>
      <c r="J51" s="1297"/>
      <c r="K51" s="16"/>
      <c r="L51" s="1297"/>
      <c r="M51" s="544"/>
    </row>
    <row r="52" spans="1:13" ht="15" customHeight="1" x14ac:dyDescent="0.25">
      <c r="A52" s="545"/>
      <c r="B52" s="266" t="s">
        <v>1555</v>
      </c>
      <c r="C52" s="751" t="s">
        <v>498</v>
      </c>
      <c r="D52" s="237"/>
      <c r="E52" s="237"/>
      <c r="F52" s="237"/>
      <c r="G52" s="237"/>
      <c r="H52" s="279"/>
      <c r="I52" s="247"/>
      <c r="J52" s="1297"/>
      <c r="K52" s="16"/>
      <c r="L52" s="1297"/>
      <c r="M52" s="544"/>
    </row>
    <row r="53" spans="1:13" ht="15" customHeight="1" x14ac:dyDescent="0.25">
      <c r="A53" s="545"/>
      <c r="B53" s="750" t="s">
        <v>1553</v>
      </c>
      <c r="C53" s="751" t="s">
        <v>838</v>
      </c>
      <c r="D53" s="567"/>
      <c r="E53" s="567"/>
      <c r="F53" s="567"/>
      <c r="G53" s="567"/>
      <c r="H53" s="279"/>
      <c r="I53" s="247"/>
      <c r="J53" s="1297"/>
      <c r="K53" s="16"/>
      <c r="L53" s="1297"/>
      <c r="M53" s="544"/>
    </row>
    <row r="54" spans="1:13" ht="15" customHeight="1" x14ac:dyDescent="0.25">
      <c r="A54" s="545"/>
      <c r="B54" s="38"/>
      <c r="C54" s="1010" t="str">
        <f>"Check: sum of OBS items ≥ deduction of eligible specific and general provisions in row " &amp; ROW(A52)</f>
        <v>Check: sum of OBS items ≥ deduction of eligible specific and general provisions in row 52</v>
      </c>
      <c r="D54" s="1011"/>
      <c r="E54" s="1011"/>
      <c r="F54" s="1011"/>
      <c r="G54" s="1011"/>
      <c r="H54" s="38"/>
      <c r="I54" s="554" t="str">
        <f>IF(COUNT(I46:I52)=ROWS(I46:I52), IF(SUM(I46:I51)&gt;=I52,"Pass","Fail"), "")</f>
        <v/>
      </c>
      <c r="J54" s="1298"/>
      <c r="K54" s="21"/>
      <c r="L54" s="22"/>
      <c r="M54" s="544"/>
    </row>
    <row r="55" spans="1:13" ht="15" customHeight="1" x14ac:dyDescent="0.25">
      <c r="A55" s="1463"/>
      <c r="B55" s="541"/>
      <c r="C55" s="325"/>
      <c r="D55" s="325"/>
      <c r="E55" s="325"/>
      <c r="F55" s="325"/>
      <c r="G55" s="325"/>
      <c r="H55" s="107"/>
      <c r="I55" s="510"/>
      <c r="J55" s="510"/>
      <c r="K55" s="594"/>
      <c r="L55" s="594"/>
      <c r="M55" s="887"/>
    </row>
    <row r="56" spans="1:13" ht="45" customHeight="1" x14ac:dyDescent="0.25">
      <c r="A56" s="1352" t="s">
        <v>2153</v>
      </c>
      <c r="B56" s="1206"/>
      <c r="C56" s="1064"/>
      <c r="D56" s="1064"/>
      <c r="E56" s="1064"/>
      <c r="F56" s="1064"/>
      <c r="G56" s="1064"/>
      <c r="H56" s="1064"/>
      <c r="I56" s="1064"/>
      <c r="J56" s="1064"/>
      <c r="K56" s="1064"/>
      <c r="L56" s="1064"/>
      <c r="M56" s="1294"/>
    </row>
    <row r="57" spans="1:13" ht="105" customHeight="1" x14ac:dyDescent="0.25">
      <c r="A57" s="545"/>
      <c r="B57" s="2035" t="s">
        <v>1558</v>
      </c>
      <c r="C57" s="2679"/>
      <c r="D57" s="2680"/>
      <c r="E57" s="2680"/>
      <c r="F57" s="2680"/>
      <c r="G57" s="1077"/>
      <c r="H57" s="1077"/>
      <c r="I57" s="1296" t="s">
        <v>150</v>
      </c>
      <c r="J57" s="1316" t="s">
        <v>946</v>
      </c>
      <c r="K57" s="1317" t="s">
        <v>984</v>
      </c>
      <c r="L57" s="477"/>
      <c r="M57" s="544"/>
    </row>
    <row r="58" spans="1:13" ht="15" customHeight="1" x14ac:dyDescent="0.25">
      <c r="A58" s="545"/>
      <c r="B58" s="465" t="s">
        <v>1556</v>
      </c>
      <c r="C58" s="1012" t="s">
        <v>947</v>
      </c>
      <c r="D58" s="273"/>
      <c r="E58" s="273"/>
      <c r="F58" s="273"/>
      <c r="G58" s="702"/>
      <c r="H58" s="702"/>
      <c r="I58" s="884" t="str">
        <f>IF(ISNUMBER(I59), I59+I61, "")</f>
        <v/>
      </c>
      <c r="J58" s="369"/>
      <c r="K58" s="579"/>
      <c r="L58" s="477"/>
      <c r="M58" s="544"/>
    </row>
    <row r="59" spans="1:13" ht="15" customHeight="1" x14ac:dyDescent="0.25">
      <c r="A59" s="545"/>
      <c r="B59" s="263"/>
      <c r="C59" s="751" t="s">
        <v>945</v>
      </c>
      <c r="D59" s="237"/>
      <c r="E59" s="237"/>
      <c r="F59" s="237"/>
      <c r="G59" s="237"/>
      <c r="H59" s="237"/>
      <c r="I59" s="255"/>
      <c r="J59" s="261"/>
      <c r="K59" s="259"/>
      <c r="L59" s="477"/>
      <c r="M59" s="544"/>
    </row>
    <row r="60" spans="1:13" ht="15" customHeight="1" x14ac:dyDescent="0.25">
      <c r="A60" s="545"/>
      <c r="B60" s="263"/>
      <c r="C60" s="877" t="s">
        <v>983</v>
      </c>
      <c r="D60" s="237"/>
      <c r="E60" s="237"/>
      <c r="F60" s="237"/>
      <c r="G60" s="237"/>
      <c r="H60" s="237"/>
      <c r="I60" s="255"/>
      <c r="J60" s="261"/>
      <c r="K60" s="259"/>
      <c r="L60" s="477"/>
      <c r="M60" s="544"/>
    </row>
    <row r="61" spans="1:13" ht="15" customHeight="1" x14ac:dyDescent="0.25">
      <c r="A61" s="545"/>
      <c r="B61" s="263"/>
      <c r="C61" s="751" t="s">
        <v>95</v>
      </c>
      <c r="D61" s="237"/>
      <c r="E61" s="237"/>
      <c r="F61" s="237"/>
      <c r="G61" s="237"/>
      <c r="H61" s="237"/>
      <c r="I61" s="253"/>
      <c r="J61" s="252"/>
      <c r="K61" s="275"/>
      <c r="L61" s="477"/>
      <c r="M61" s="544"/>
    </row>
    <row r="62" spans="1:13" ht="15" customHeight="1" x14ac:dyDescent="0.25">
      <c r="A62" s="545"/>
      <c r="B62" s="264"/>
      <c r="C62" s="751" t="s">
        <v>101</v>
      </c>
      <c r="D62" s="237"/>
      <c r="E62" s="237"/>
      <c r="F62" s="237"/>
      <c r="G62" s="237"/>
      <c r="H62" s="237"/>
      <c r="I62" s="262"/>
      <c r="J62" s="256" t="str">
        <f>IF(AND(ISNUMBER(I59), ISNUMBER(I60), ISNUMBER(J61)), I59-I60-J61, "")</f>
        <v/>
      </c>
      <c r="K62" s="257" t="str">
        <f>IF(AND(ISNUMBER(I59), ISNUMBER(I60), ISNUMBER(K61)), I59-I60-K61, "")</f>
        <v/>
      </c>
      <c r="L62" s="477"/>
      <c r="M62" s="544"/>
    </row>
    <row r="63" spans="1:13" ht="15" customHeight="1" x14ac:dyDescent="0.25">
      <c r="A63" s="545"/>
      <c r="B63" s="265"/>
      <c r="C63" s="2683" t="s">
        <v>499</v>
      </c>
      <c r="D63" s="2684"/>
      <c r="E63" s="2684"/>
      <c r="F63" s="2684"/>
      <c r="G63" s="2684"/>
      <c r="H63" s="2684"/>
      <c r="I63" s="561" t="str">
        <f>IF(AND(ISNUMBER(I59), ISNUMBER(I60)), IF(I60&lt;=I59,"Pass","Fail"), "")</f>
        <v/>
      </c>
      <c r="J63" s="555" t="str">
        <f>IF(AND(ISNUMBER(I59), ISNUMBER(I60), ISNUMBER(I61), ISNUMBER(J61)), IF(AND(J61&lt;=I61, I59-I60&gt;=J61), "Pass", "Fail"), "")</f>
        <v/>
      </c>
      <c r="K63" s="554" t="str">
        <f>IF(AND(ISNUMBER(J61), ISNUMBER(K61)), IF(K61&lt;=J61, "Pass", "Fail"), "")</f>
        <v/>
      </c>
      <c r="L63" s="477"/>
      <c r="M63" s="544"/>
    </row>
    <row r="64" spans="1:13" ht="15" customHeight="1" x14ac:dyDescent="0.25">
      <c r="A64" s="1036"/>
      <c r="B64" s="610"/>
      <c r="C64" s="611"/>
      <c r="D64" s="549"/>
      <c r="E64" s="549"/>
      <c r="F64" s="549"/>
      <c r="G64" s="549"/>
      <c r="H64" s="549"/>
      <c r="I64" s="549"/>
      <c r="J64" s="549"/>
      <c r="K64" s="549"/>
      <c r="L64" s="549"/>
      <c r="M64" s="845"/>
    </row>
    <row r="65" spans="1:13" ht="45" hidden="1" customHeight="1" x14ac:dyDescent="0.25">
      <c r="A65" s="314"/>
      <c r="B65"/>
      <c r="C65"/>
      <c r="D65"/>
      <c r="E65"/>
      <c r="F65"/>
      <c r="G65"/>
      <c r="H65"/>
      <c r="I65"/>
      <c r="J65"/>
      <c r="K65"/>
      <c r="L65"/>
      <c r="M65"/>
    </row>
    <row r="66" spans="1:13" ht="15" hidden="1" customHeight="1" x14ac:dyDescent="0.25">
      <c r="A66" s="314"/>
      <c r="B66"/>
      <c r="C66"/>
      <c r="D66"/>
      <c r="E66"/>
      <c r="F66"/>
      <c r="G66"/>
      <c r="H66"/>
      <c r="I66"/>
      <c r="J66"/>
      <c r="K66"/>
      <c r="L66"/>
      <c r="M66"/>
    </row>
    <row r="67" spans="1:13" ht="15" hidden="1" customHeight="1" x14ac:dyDescent="0.25">
      <c r="A67" s="314"/>
      <c r="B67"/>
      <c r="C67"/>
      <c r="D67"/>
      <c r="E67"/>
      <c r="F67"/>
      <c r="G67"/>
      <c r="H67"/>
      <c r="I67"/>
      <c r="J67"/>
      <c r="K67"/>
      <c r="L67"/>
      <c r="M67"/>
    </row>
    <row r="68" spans="1:13" ht="15" hidden="1" customHeight="1" x14ac:dyDescent="0.25">
      <c r="A68" s="314"/>
      <c r="B68"/>
      <c r="C68"/>
      <c r="D68"/>
      <c r="E68"/>
      <c r="F68"/>
      <c r="G68"/>
      <c r="H68"/>
      <c r="I68"/>
      <c r="J68"/>
      <c r="K68"/>
      <c r="L68"/>
      <c r="M68"/>
    </row>
    <row r="69" spans="1:13" ht="15" hidden="1" customHeight="1" x14ac:dyDescent="0.25">
      <c r="A69" s="314"/>
      <c r="B69"/>
      <c r="C69"/>
      <c r="D69"/>
      <c r="E69"/>
      <c r="F69"/>
      <c r="G69"/>
      <c r="H69"/>
      <c r="I69"/>
      <c r="J69"/>
      <c r="K69"/>
      <c r="L69"/>
      <c r="M69"/>
    </row>
    <row r="70" spans="1:13" ht="15" hidden="1" customHeight="1" x14ac:dyDescent="0.25">
      <c r="A70" s="314"/>
      <c r="B70"/>
      <c r="C70"/>
      <c r="D70"/>
      <c r="E70"/>
      <c r="F70"/>
      <c r="G70"/>
      <c r="H70"/>
      <c r="I70"/>
      <c r="J70"/>
      <c r="K70"/>
      <c r="L70"/>
      <c r="M70"/>
    </row>
    <row r="71" spans="1:13" ht="15" hidden="1" customHeight="1" x14ac:dyDescent="0.25">
      <c r="A71" s="314"/>
      <c r="B71"/>
      <c r="C71"/>
      <c r="D71"/>
      <c r="E71"/>
      <c r="F71"/>
      <c r="G71"/>
      <c r="H71"/>
      <c r="I71"/>
      <c r="J71"/>
      <c r="K71"/>
      <c r="L71"/>
      <c r="M71"/>
    </row>
    <row r="72" spans="1:13" ht="15" hidden="1" customHeight="1" x14ac:dyDescent="0.25">
      <c r="A72" s="314"/>
      <c r="B72"/>
      <c r="C72"/>
      <c r="D72"/>
      <c r="E72"/>
      <c r="F72"/>
      <c r="G72"/>
      <c r="H72"/>
      <c r="I72"/>
      <c r="J72"/>
      <c r="K72"/>
      <c r="L72"/>
      <c r="M72"/>
    </row>
    <row r="73" spans="1:13" ht="15" hidden="1" customHeight="1" x14ac:dyDescent="0.25">
      <c r="A73" s="314"/>
      <c r="B73"/>
      <c r="C73"/>
      <c r="D73"/>
      <c r="E73"/>
      <c r="F73"/>
      <c r="G73"/>
      <c r="H73"/>
      <c r="I73"/>
      <c r="J73"/>
      <c r="K73"/>
      <c r="L73"/>
      <c r="M73"/>
    </row>
    <row r="74" spans="1:13" ht="15" hidden="1" customHeight="1" x14ac:dyDescent="0.25">
      <c r="A74" s="314"/>
      <c r="B74"/>
      <c r="C74"/>
      <c r="D74"/>
      <c r="E74"/>
      <c r="F74"/>
      <c r="G74"/>
      <c r="H74"/>
      <c r="I74"/>
      <c r="J74"/>
      <c r="K74"/>
      <c r="L74"/>
      <c r="M74"/>
    </row>
    <row r="75" spans="1:13" ht="15" hidden="1" customHeight="1" x14ac:dyDescent="0.25">
      <c r="A75" s="314"/>
      <c r="B75"/>
      <c r="C75"/>
      <c r="D75"/>
      <c r="E75"/>
      <c r="F75"/>
      <c r="G75"/>
      <c r="H75"/>
      <c r="I75"/>
      <c r="J75"/>
      <c r="K75"/>
      <c r="L75"/>
      <c r="M75"/>
    </row>
    <row r="76" spans="1:13" ht="15" hidden="1" customHeight="1" x14ac:dyDescent="0.25">
      <c r="A76" s="314"/>
      <c r="B76"/>
      <c r="C76"/>
      <c r="D76"/>
      <c r="E76"/>
      <c r="F76"/>
      <c r="G76"/>
      <c r="H76"/>
      <c r="I76"/>
      <c r="J76"/>
      <c r="K76"/>
      <c r="L76"/>
      <c r="M76"/>
    </row>
    <row r="77" spans="1:13" ht="15" hidden="1" customHeight="1" x14ac:dyDescent="0.25">
      <c r="A77" s="314"/>
      <c r="B77"/>
      <c r="C77"/>
      <c r="D77"/>
      <c r="E77"/>
      <c r="F77"/>
      <c r="G77"/>
      <c r="H77"/>
      <c r="I77"/>
      <c r="J77"/>
      <c r="K77"/>
      <c r="L77"/>
      <c r="M77"/>
    </row>
    <row r="78" spans="1:13" ht="15" hidden="1" customHeight="1" x14ac:dyDescent="0.25">
      <c r="A78" s="314"/>
      <c r="B78"/>
      <c r="C78"/>
      <c r="D78"/>
      <c r="E78"/>
      <c r="F78"/>
      <c r="G78"/>
      <c r="H78"/>
      <c r="I78"/>
      <c r="J78"/>
      <c r="K78"/>
      <c r="L78"/>
      <c r="M78"/>
    </row>
    <row r="79" spans="1:13" ht="15" hidden="1" customHeight="1" x14ac:dyDescent="0.25">
      <c r="A79" s="314"/>
      <c r="B79"/>
      <c r="C79"/>
      <c r="D79"/>
      <c r="E79"/>
      <c r="F79"/>
      <c r="G79"/>
      <c r="H79"/>
      <c r="I79"/>
      <c r="J79"/>
      <c r="K79"/>
      <c r="L79"/>
      <c r="M79"/>
    </row>
    <row r="80" spans="1:13" ht="15" hidden="1" customHeight="1" x14ac:dyDescent="0.25">
      <c r="A80" s="314"/>
      <c r="B80"/>
      <c r="C80"/>
      <c r="D80"/>
      <c r="E80"/>
      <c r="F80"/>
      <c r="G80"/>
      <c r="H80"/>
      <c r="I80"/>
      <c r="J80"/>
      <c r="K80"/>
      <c r="L80"/>
      <c r="M80"/>
    </row>
    <row r="81" spans="1:13" ht="15" hidden="1" customHeight="1" x14ac:dyDescent="0.25">
      <c r="A81" s="314"/>
      <c r="B81"/>
      <c r="C81"/>
      <c r="D81"/>
      <c r="E81"/>
      <c r="F81"/>
      <c r="G81"/>
      <c r="H81"/>
      <c r="I81"/>
      <c r="J81"/>
      <c r="K81"/>
      <c r="L81"/>
      <c r="M81"/>
    </row>
    <row r="82" spans="1:13" ht="15" hidden="1" customHeight="1" x14ac:dyDescent="0.25">
      <c r="A82" s="314"/>
      <c r="B82"/>
      <c r="C82"/>
      <c r="D82"/>
      <c r="E82"/>
      <c r="F82"/>
      <c r="G82"/>
      <c r="H82"/>
      <c r="I82"/>
      <c r="J82"/>
      <c r="K82"/>
      <c r="L82"/>
      <c r="M82"/>
    </row>
    <row r="83" spans="1:13" ht="15" hidden="1" customHeight="1" x14ac:dyDescent="0.25">
      <c r="A83" s="314"/>
      <c r="B83"/>
      <c r="C83"/>
      <c r="D83"/>
      <c r="E83"/>
      <c r="F83"/>
      <c r="G83"/>
      <c r="H83"/>
      <c r="I83"/>
      <c r="J83"/>
      <c r="K83"/>
      <c r="L83"/>
      <c r="M83"/>
    </row>
    <row r="84" spans="1:13" ht="15" hidden="1" customHeight="1" x14ac:dyDescent="0.25">
      <c r="A84" s="314"/>
      <c r="B84"/>
      <c r="C84"/>
      <c r="D84"/>
      <c r="E84"/>
      <c r="F84"/>
      <c r="G84"/>
      <c r="H84"/>
      <c r="I84"/>
      <c r="J84"/>
      <c r="K84"/>
      <c r="L84"/>
      <c r="M84"/>
    </row>
    <row r="85" spans="1:13" ht="15" hidden="1" customHeight="1" x14ac:dyDescent="0.25">
      <c r="A85" s="314"/>
      <c r="B85"/>
      <c r="C85"/>
      <c r="D85"/>
      <c r="E85"/>
      <c r="F85"/>
      <c r="G85"/>
      <c r="H85"/>
      <c r="I85"/>
      <c r="J85"/>
      <c r="K85"/>
      <c r="L85"/>
      <c r="M85"/>
    </row>
    <row r="86" spans="1:13" ht="15" hidden="1" customHeight="1" x14ac:dyDescent="0.25">
      <c r="A86" s="314"/>
      <c r="B86"/>
      <c r="C86"/>
      <c r="D86"/>
      <c r="E86"/>
      <c r="F86"/>
      <c r="G86"/>
      <c r="H86"/>
      <c r="I86"/>
      <c r="J86"/>
      <c r="K86"/>
      <c r="L86"/>
      <c r="M86"/>
    </row>
    <row r="87" spans="1:13" ht="15" hidden="1" customHeight="1" x14ac:dyDescent="0.25">
      <c r="A87" s="314"/>
      <c r="B87"/>
      <c r="C87"/>
      <c r="D87"/>
      <c r="E87"/>
      <c r="F87"/>
      <c r="G87"/>
      <c r="H87"/>
      <c r="I87"/>
      <c r="J87"/>
      <c r="K87"/>
      <c r="L87"/>
      <c r="M87"/>
    </row>
    <row r="88" spans="1:13" ht="15" hidden="1" customHeight="1" x14ac:dyDescent="0.25">
      <c r="A88" s="314"/>
      <c r="B88"/>
      <c r="C88"/>
      <c r="D88"/>
      <c r="E88"/>
      <c r="F88"/>
      <c r="G88"/>
      <c r="H88"/>
      <c r="I88"/>
      <c r="J88"/>
      <c r="K88"/>
      <c r="L88"/>
      <c r="M88"/>
    </row>
    <row r="89" spans="1:13" ht="15" hidden="1" customHeight="1" x14ac:dyDescent="0.25">
      <c r="A89" s="314"/>
      <c r="B89"/>
      <c r="C89"/>
      <c r="D89"/>
      <c r="E89"/>
      <c r="F89"/>
      <c r="G89"/>
      <c r="H89"/>
      <c r="I89"/>
      <c r="J89"/>
      <c r="K89"/>
      <c r="L89"/>
      <c r="M89"/>
    </row>
    <row r="90" spans="1:13" ht="15" hidden="1" customHeight="1" x14ac:dyDescent="0.25">
      <c r="A90" s="314"/>
      <c r="B90"/>
      <c r="C90"/>
      <c r="D90"/>
      <c r="E90"/>
      <c r="F90"/>
      <c r="G90"/>
      <c r="H90"/>
      <c r="I90"/>
      <c r="J90"/>
      <c r="K90"/>
      <c r="L90"/>
      <c r="M90"/>
    </row>
    <row r="91" spans="1:13" ht="45" customHeight="1" x14ac:dyDescent="0.25">
      <c r="A91" s="886" t="s">
        <v>2154</v>
      </c>
      <c r="B91" s="1206"/>
      <c r="C91" s="1207"/>
      <c r="D91" s="1207"/>
      <c r="E91" s="1207"/>
      <c r="F91" s="1207"/>
      <c r="G91" s="1207"/>
      <c r="H91" s="1207"/>
      <c r="I91" s="1207"/>
      <c r="J91" s="1207"/>
      <c r="K91" s="1207"/>
      <c r="L91" s="1207"/>
      <c r="M91" s="895"/>
    </row>
    <row r="92" spans="1:13" ht="45" customHeight="1" x14ac:dyDescent="0.25">
      <c r="A92" s="1463"/>
      <c r="B92" s="1296" t="s">
        <v>1596</v>
      </c>
      <c r="C92" s="1318"/>
      <c r="D92" s="1319"/>
      <c r="E92" s="1319"/>
      <c r="F92" s="1319"/>
      <c r="G92" s="1296" t="s">
        <v>149</v>
      </c>
      <c r="H92" s="1316" t="s">
        <v>579</v>
      </c>
      <c r="I92" s="1316" t="s">
        <v>96</v>
      </c>
      <c r="J92" s="1316" t="s">
        <v>1501</v>
      </c>
      <c r="K92" s="1317" t="s">
        <v>226</v>
      </c>
      <c r="L92" s="510"/>
      <c r="M92" s="497"/>
    </row>
    <row r="93" spans="1:13" ht="15" customHeight="1" x14ac:dyDescent="0.25">
      <c r="A93" s="1463"/>
      <c r="B93" s="761"/>
      <c r="C93" s="2350" t="s">
        <v>1990</v>
      </c>
      <c r="D93" s="1876"/>
      <c r="E93" s="1876"/>
      <c r="F93" s="2351"/>
      <c r="G93" s="1130"/>
      <c r="H93" s="711"/>
      <c r="I93" s="711"/>
      <c r="J93" s="711"/>
      <c r="K93" s="712"/>
      <c r="L93" s="510"/>
      <c r="M93" s="497"/>
    </row>
    <row r="94" spans="1:13" ht="15" customHeight="1" x14ac:dyDescent="0.25">
      <c r="A94" s="1463"/>
      <c r="B94" s="263"/>
      <c r="C94" s="2685" t="s">
        <v>1991</v>
      </c>
      <c r="D94" s="2686"/>
      <c r="E94" s="2686"/>
      <c r="F94" s="2687"/>
      <c r="G94" s="1131"/>
      <c r="H94" s="1"/>
      <c r="I94" s="16"/>
      <c r="J94" s="16"/>
      <c r="K94" s="1297"/>
      <c r="L94" s="510"/>
      <c r="M94" s="497"/>
    </row>
    <row r="95" spans="1:13" ht="15" customHeight="1" x14ac:dyDescent="0.25">
      <c r="A95" s="1463"/>
      <c r="B95" s="263"/>
      <c r="C95" s="2685" t="s">
        <v>1992</v>
      </c>
      <c r="D95" s="2686"/>
      <c r="E95" s="2686"/>
      <c r="F95" s="2687"/>
      <c r="G95" s="2357"/>
      <c r="H95" s="1"/>
      <c r="I95" s="2357"/>
      <c r="J95" s="2357"/>
      <c r="K95" s="2358"/>
      <c r="L95" s="510"/>
      <c r="M95" s="497"/>
    </row>
    <row r="96" spans="1:13" ht="15" hidden="1" customHeight="1" x14ac:dyDescent="0.25">
      <c r="A96" s="1463"/>
      <c r="B96" s="263"/>
      <c r="C96" s="259"/>
      <c r="D96" s="777"/>
      <c r="E96" s="777"/>
      <c r="F96" s="263"/>
      <c r="G96" s="261"/>
      <c r="H96" s="261"/>
      <c r="I96" s="261"/>
      <c r="J96" s="261"/>
      <c r="K96" s="259"/>
      <c r="L96" s="510"/>
      <c r="M96" s="497"/>
    </row>
    <row r="97" spans="1:13" ht="15" customHeight="1" x14ac:dyDescent="0.25">
      <c r="A97" s="1463"/>
      <c r="B97" s="263"/>
      <c r="C97" s="2352" t="s">
        <v>1989</v>
      </c>
      <c r="D97" s="2353"/>
      <c r="E97" s="2353"/>
      <c r="F97" s="2354"/>
      <c r="G97" s="1131"/>
      <c r="H97" s="16"/>
      <c r="I97" s="16"/>
      <c r="J97" s="16"/>
      <c r="K97" s="1297"/>
      <c r="L97" s="510"/>
      <c r="M97" s="497"/>
    </row>
    <row r="98" spans="1:13" ht="15" customHeight="1" x14ac:dyDescent="0.25">
      <c r="A98" s="1463"/>
      <c r="B98" s="2359" t="s">
        <v>1557</v>
      </c>
      <c r="C98" s="1014" t="s">
        <v>582</v>
      </c>
      <c r="D98" s="900"/>
      <c r="E98" s="900"/>
      <c r="F98" s="2355"/>
      <c r="G98" s="1131"/>
      <c r="H98" s="16"/>
      <c r="I98" s="16"/>
      <c r="J98" s="1"/>
      <c r="K98" s="36"/>
      <c r="L98" s="510"/>
      <c r="M98" s="497"/>
    </row>
    <row r="99" spans="1:13" ht="15" customHeight="1" x14ac:dyDescent="0.25">
      <c r="A99" s="1463"/>
      <c r="B99" s="2360" t="s">
        <v>1559</v>
      </c>
      <c r="C99" s="1013" t="s">
        <v>583</v>
      </c>
      <c r="D99" s="2340"/>
      <c r="E99" s="2340"/>
      <c r="F99" s="2356"/>
      <c r="G99" s="2361"/>
      <c r="H99" s="21"/>
      <c r="I99" s="21"/>
      <c r="J99" s="26"/>
      <c r="K99" s="90"/>
      <c r="L99" s="510"/>
      <c r="M99" s="497"/>
    </row>
    <row r="100" spans="1:13" ht="15" customHeight="1" x14ac:dyDescent="0.25">
      <c r="A100" s="1533"/>
      <c r="B100" s="1487"/>
      <c r="C100" s="1487"/>
      <c r="D100" s="1487"/>
      <c r="E100" s="1487"/>
      <c r="F100" s="1487"/>
      <c r="G100" s="1487"/>
      <c r="H100" s="1487"/>
      <c r="I100" s="1487"/>
      <c r="J100" s="1487"/>
      <c r="K100" s="1487"/>
      <c r="L100" s="185"/>
      <c r="M100" s="497"/>
    </row>
    <row r="101" spans="1:13" ht="45" customHeight="1" x14ac:dyDescent="0.25">
      <c r="A101" s="886" t="s">
        <v>2150</v>
      </c>
      <c r="B101" s="1206"/>
      <c r="C101" s="1207"/>
      <c r="D101" s="1207"/>
      <c r="E101" s="1207"/>
      <c r="F101" s="1207"/>
      <c r="G101" s="1207"/>
      <c r="H101" s="1064"/>
      <c r="I101" s="1064"/>
      <c r="J101" s="1207"/>
      <c r="K101" s="1207"/>
      <c r="L101" s="1207"/>
      <c r="M101" s="895"/>
    </row>
    <row r="102" spans="1:13" ht="45" customHeight="1" x14ac:dyDescent="0.25">
      <c r="A102" s="388"/>
      <c r="B102" s="1206"/>
      <c r="C102" s="1207"/>
      <c r="D102" s="1207"/>
      <c r="E102" s="1207"/>
      <c r="F102" s="1207"/>
      <c r="G102" s="1207"/>
      <c r="H102" s="1209" t="s">
        <v>1027</v>
      </c>
      <c r="I102" s="1311" t="s">
        <v>560</v>
      </c>
      <c r="J102" s="1311" t="s">
        <v>1986</v>
      </c>
      <c r="K102" s="1956" t="s">
        <v>1987</v>
      </c>
      <c r="L102" s="1956" t="s">
        <v>1988</v>
      </c>
      <c r="M102" s="498"/>
    </row>
    <row r="103" spans="1:13" ht="15" customHeight="1" x14ac:dyDescent="0.25">
      <c r="A103" s="1463"/>
      <c r="B103" s="761"/>
      <c r="C103" s="1320" t="str">
        <f>"Leverage ratio exposure measure post regulatory adjustments but pre exclusions reported in row " &amp; ROW(H95)</f>
        <v>Leverage ratio exposure measure post regulatory adjustments but pre exclusions reported in row 95</v>
      </c>
      <c r="D103" s="897"/>
      <c r="E103" s="897"/>
      <c r="F103" s="897"/>
      <c r="G103" s="703"/>
      <c r="H103" s="894"/>
      <c r="I103" s="773"/>
      <c r="J103" s="773"/>
      <c r="K103" s="773"/>
      <c r="L103" s="767"/>
      <c r="M103" s="497"/>
    </row>
    <row r="104" spans="1:13" ht="15" customHeight="1" x14ac:dyDescent="0.25">
      <c r="A104" s="1463"/>
      <c r="B104" s="279"/>
      <c r="C104" s="221" t="s">
        <v>1041</v>
      </c>
      <c r="D104" s="898"/>
      <c r="E104" s="898"/>
      <c r="F104" s="898"/>
      <c r="G104" s="363"/>
      <c r="H104" s="253"/>
      <c r="I104" s="2349" t="str">
        <f>IF(AND(ISNUMBER(H104), ISNUMBER(K6)), 0.4*H104-1.4*K6, "")</f>
        <v/>
      </c>
      <c r="J104" s="261"/>
      <c r="K104" s="261"/>
      <c r="L104" s="259"/>
      <c r="M104" s="497"/>
    </row>
    <row r="105" spans="1:13" ht="15" customHeight="1" x14ac:dyDescent="0.25">
      <c r="A105" s="1463"/>
      <c r="B105" s="279"/>
      <c r="C105" s="221" t="s">
        <v>1042</v>
      </c>
      <c r="D105" s="898"/>
      <c r="E105" s="898"/>
      <c r="F105" s="898"/>
      <c r="G105" s="363"/>
      <c r="H105" s="253"/>
      <c r="I105" s="2349" t="str">
        <f>IF(AND(ISNUMBER(J33), ISNUMBER(J36), ISNUMBER(H105)), 1.4*(J33-J36)-H105+IF(AND(ISNUMBER(K34), ISNUMBER(J34)), K34-J34, IF(AND(ISNUMBER(K34), ISNUMBER(H34)), K34-H34, "")), "")</f>
        <v/>
      </c>
      <c r="J105" s="261"/>
      <c r="K105" s="261"/>
      <c r="L105" s="259"/>
      <c r="M105" s="497"/>
    </row>
    <row r="106" spans="1:13" ht="15" customHeight="1" x14ac:dyDescent="0.25">
      <c r="A106" s="1463"/>
      <c r="B106" s="279"/>
      <c r="C106" s="221" t="s">
        <v>1022</v>
      </c>
      <c r="D106" s="898"/>
      <c r="E106" s="898"/>
      <c r="F106" s="898"/>
      <c r="G106" s="363"/>
      <c r="H106" s="253"/>
      <c r="I106" s="2349" t="str">
        <f>IF(AND(ISNUMBER(K62), ISNUMBER(H106)), K62-H106, "")</f>
        <v/>
      </c>
      <c r="J106" s="261"/>
      <c r="K106" s="261"/>
      <c r="L106" s="259"/>
      <c r="M106" s="497"/>
    </row>
    <row r="107" spans="1:13" ht="15" customHeight="1" x14ac:dyDescent="0.25">
      <c r="A107" s="1463"/>
      <c r="B107" s="279"/>
      <c r="C107" s="221" t="s">
        <v>37</v>
      </c>
      <c r="D107" s="898"/>
      <c r="E107" s="898"/>
      <c r="F107" s="898"/>
      <c r="G107" s="363"/>
      <c r="H107" s="263"/>
      <c r="I107" s="2349" t="str">
        <f>IF(AND(ISNUMBER(I16), ISNUMBER(I17), ISNUMBER(I18), ISNUMBER(I19), ISNUMBER(H20), ISNUMBER(I20), ISNUMBER(I26),ISNUMBER(G19), ISNUMBER(G20)), -I16-I17+I18-I26+IF(I19=G19, -G20+H20, -G19+I19-I20+H20), "")</f>
        <v/>
      </c>
      <c r="J107" s="261"/>
      <c r="K107" s="261"/>
      <c r="L107" s="259"/>
      <c r="M107" s="497"/>
    </row>
    <row r="108" spans="1:13" ht="15" customHeight="1" x14ac:dyDescent="0.25">
      <c r="A108" s="1463"/>
      <c r="B108" s="279"/>
      <c r="C108" s="221" t="s">
        <v>1023</v>
      </c>
      <c r="D108" s="898"/>
      <c r="E108" s="898"/>
      <c r="F108" s="898"/>
      <c r="G108" s="363"/>
      <c r="H108" s="253"/>
      <c r="I108" s="261"/>
      <c r="J108" s="261"/>
      <c r="K108" s="261"/>
      <c r="L108" s="259"/>
      <c r="M108" s="497"/>
    </row>
    <row r="109" spans="1:13" ht="15" customHeight="1" x14ac:dyDescent="0.25">
      <c r="A109" s="1463"/>
      <c r="B109" s="279"/>
      <c r="C109" s="1205" t="s">
        <v>1024</v>
      </c>
      <c r="D109" s="898"/>
      <c r="E109" s="898"/>
      <c r="F109" s="898"/>
      <c r="G109" s="363"/>
      <c r="H109" s="253"/>
      <c r="I109" s="261"/>
      <c r="J109" s="261"/>
      <c r="K109" s="261"/>
      <c r="L109" s="259"/>
      <c r="M109" s="497"/>
    </row>
    <row r="110" spans="1:13" ht="15" customHeight="1" x14ac:dyDescent="0.25">
      <c r="A110" s="1463"/>
      <c r="B110" s="279"/>
      <c r="C110" s="1205" t="s">
        <v>1025</v>
      </c>
      <c r="D110" s="898"/>
      <c r="E110" s="898"/>
      <c r="F110" s="898"/>
      <c r="G110" s="363"/>
      <c r="H110" s="253"/>
      <c r="I110" s="261"/>
      <c r="J110" s="261"/>
      <c r="K110" s="261"/>
      <c r="L110" s="259"/>
      <c r="M110" s="497"/>
    </row>
    <row r="111" spans="1:13" ht="15" customHeight="1" x14ac:dyDescent="0.25">
      <c r="A111" s="1463"/>
      <c r="B111" s="279"/>
      <c r="C111" s="1205" t="s">
        <v>1026</v>
      </c>
      <c r="D111" s="898"/>
      <c r="E111" s="898"/>
      <c r="F111" s="898"/>
      <c r="G111" s="363"/>
      <c r="H111" s="253"/>
      <c r="I111" s="2349" t="str">
        <f>IF(AND(ISNUMBER(I46),ISNUMBER(I47),ISNUMBER(I48),ISNUMBER(I49),ISNUMBER(I50),ISNUMBER(I51),ISNUMBER(I52),ISNUMBER(I53),ISNUMBER(H108),ISNUMBER(H109),ISNUMBER(H110),ISNUMBER(H111)), 0.1*I46+0.2*I47+0.4*I48+0.5*I49+I50+I51-I52+I53-0.1*H108-0.2*H109-0.5*H110-H111, "")</f>
        <v/>
      </c>
      <c r="J111" s="261"/>
      <c r="K111" s="261"/>
      <c r="L111" s="259"/>
      <c r="M111" s="497"/>
    </row>
    <row r="112" spans="1:13" ht="15" customHeight="1" x14ac:dyDescent="0.25">
      <c r="A112" s="1463"/>
      <c r="B112" s="279"/>
      <c r="C112" s="467" t="s">
        <v>1028</v>
      </c>
      <c r="D112" s="898"/>
      <c r="E112" s="898"/>
      <c r="F112" s="898"/>
      <c r="G112" s="363"/>
      <c r="H112" s="1028"/>
      <c r="I112" s="261"/>
      <c r="J112" s="851" t="str">
        <f>IF(AND(ISNUMBER(H103), ISNUMBER(I104), ISNUMBER(I105), ISNUMBER(I106), ISNUMBER(I107), ISNUMBER(I111)), H103+I104+I105+I106+I107+I111, "")</f>
        <v/>
      </c>
      <c r="K112" s="2349">
        <f>IF(ISNUMBER(H95), H95, 0)</f>
        <v>0</v>
      </c>
      <c r="L112" s="1208" t="str">
        <f>IF(AND(ISNUMBER(H103), ISNUMBER(I104), ISNUMBER(I105), ISNUMBER(I106), ISNUMBER(I107), ISNUMBER(I111)), H103+I104+I105+I106+I107+I111-K112, "")</f>
        <v/>
      </c>
      <c r="M112" s="497"/>
    </row>
    <row r="113" spans="1:13" ht="15" customHeight="1" x14ac:dyDescent="0.25">
      <c r="A113" s="1463"/>
      <c r="B113" s="38"/>
      <c r="C113" s="327" t="s">
        <v>1029</v>
      </c>
      <c r="D113" s="899"/>
      <c r="E113" s="899"/>
      <c r="F113" s="899"/>
      <c r="G113" s="268"/>
      <c r="H113" s="260"/>
      <c r="I113" s="355"/>
      <c r="J113" s="1191" t="str">
        <f>IF(AND(ISNUMBER('General Info'!$D$66), ISNUMBER(J112)), 'General Info'!$D$66/J112, "")</f>
        <v/>
      </c>
      <c r="K113" s="355"/>
      <c r="L113" s="1192" t="str">
        <f>IF(AND(ISNUMBER('General Info'!$D$66), ISNUMBER(L112)), 'General Info'!$D$66/L112, "")</f>
        <v/>
      </c>
      <c r="M113" s="497"/>
    </row>
    <row r="114" spans="1:13" ht="15" customHeight="1" x14ac:dyDescent="0.25">
      <c r="A114" s="1242"/>
      <c r="B114" s="434"/>
      <c r="C114" s="434"/>
      <c r="D114" s="434"/>
      <c r="E114" s="434"/>
      <c r="F114" s="434"/>
      <c r="G114" s="434"/>
      <c r="H114" s="434"/>
      <c r="I114" s="434"/>
      <c r="J114" s="593"/>
      <c r="K114" s="593"/>
      <c r="L114" s="593"/>
      <c r="M114" s="893"/>
    </row>
    <row r="115" spans="1:13" ht="45" customHeight="1" x14ac:dyDescent="0.25">
      <c r="A115" s="886" t="s">
        <v>2155</v>
      </c>
      <c r="B115" s="1206"/>
      <c r="C115" s="1207"/>
      <c r="D115" s="1207"/>
      <c r="E115" s="1207"/>
      <c r="F115" s="1207"/>
      <c r="G115" s="1207"/>
      <c r="H115" s="1207"/>
      <c r="I115" s="1207"/>
      <c r="J115" s="1207"/>
      <c r="K115" s="1207"/>
      <c r="L115" s="1207"/>
      <c r="M115" s="895"/>
    </row>
    <row r="116" spans="1:13" ht="15" customHeight="1" x14ac:dyDescent="0.25">
      <c r="A116" s="1463"/>
      <c r="B116" s="889"/>
      <c r="C116" s="1321" t="s">
        <v>285</v>
      </c>
      <c r="D116" s="1315"/>
      <c r="E116" s="1315"/>
      <c r="F116" s="1315"/>
      <c r="G116" s="1315"/>
      <c r="H116" s="1315"/>
      <c r="I116" s="1315"/>
      <c r="J116" s="1315"/>
      <c r="K116" s="1209" t="s">
        <v>102</v>
      </c>
      <c r="L116" s="325"/>
      <c r="M116" s="497"/>
    </row>
    <row r="117" spans="1:13" ht="15" customHeight="1" x14ac:dyDescent="0.25">
      <c r="A117" s="1463"/>
      <c r="B117" s="890"/>
      <c r="C117" s="1322" t="s">
        <v>68</v>
      </c>
      <c r="D117" s="704"/>
      <c r="E117" s="704"/>
      <c r="F117" s="704"/>
      <c r="G117" s="704"/>
      <c r="H117" s="704"/>
      <c r="I117" s="704"/>
      <c r="J117" s="704"/>
      <c r="K117" s="891" t="str">
        <f>IF(AND(ISNUMBER(K118),ISNUMBER(K122),ISNUMBER(K149)),K118+K122+K149,"")</f>
        <v/>
      </c>
      <c r="L117" s="325"/>
      <c r="M117" s="833"/>
    </row>
    <row r="118" spans="1:13" ht="15" customHeight="1" x14ac:dyDescent="0.25">
      <c r="A118" s="1533"/>
      <c r="B118" s="14"/>
      <c r="C118" s="595" t="s">
        <v>74</v>
      </c>
      <c r="D118" s="596"/>
      <c r="E118" s="596"/>
      <c r="F118" s="596"/>
      <c r="G118" s="596"/>
      <c r="H118" s="596"/>
      <c r="I118" s="596"/>
      <c r="J118" s="596"/>
      <c r="K118" s="100" t="str">
        <f>IF(AND(ISNUMBER(K119),ISNUMBER(K120),ISNUMBER(K121)),SUM(K119:K121),"")</f>
        <v/>
      </c>
      <c r="L118" s="185"/>
      <c r="M118" s="833"/>
    </row>
    <row r="119" spans="1:13" ht="15" customHeight="1" x14ac:dyDescent="0.25">
      <c r="A119" s="1533"/>
      <c r="B119" s="14"/>
      <c r="C119" s="597" t="s">
        <v>576</v>
      </c>
      <c r="D119" s="596"/>
      <c r="E119" s="596"/>
      <c r="F119" s="596"/>
      <c r="G119" s="596"/>
      <c r="H119" s="596"/>
      <c r="I119" s="596"/>
      <c r="J119" s="596"/>
      <c r="K119" s="149"/>
      <c r="L119" s="185"/>
      <c r="M119" s="833"/>
    </row>
    <row r="120" spans="1:13" ht="15" customHeight="1" x14ac:dyDescent="0.25">
      <c r="A120" s="1533"/>
      <c r="B120" s="14"/>
      <c r="C120" s="597" t="s">
        <v>575</v>
      </c>
      <c r="D120" s="596"/>
      <c r="E120" s="596"/>
      <c r="F120" s="596"/>
      <c r="G120" s="596"/>
      <c r="H120" s="596"/>
      <c r="I120" s="596"/>
      <c r="J120" s="596"/>
      <c r="K120" s="149"/>
      <c r="L120" s="185"/>
      <c r="M120" s="833"/>
    </row>
    <row r="121" spans="1:13" ht="15" customHeight="1" x14ac:dyDescent="0.25">
      <c r="A121" s="1533"/>
      <c r="B121" s="14"/>
      <c r="C121" s="598" t="s">
        <v>103</v>
      </c>
      <c r="D121" s="596"/>
      <c r="E121" s="596"/>
      <c r="F121" s="596"/>
      <c r="G121" s="596"/>
      <c r="H121" s="596"/>
      <c r="I121" s="596"/>
      <c r="J121" s="596"/>
      <c r="K121" s="149"/>
      <c r="L121" s="185"/>
      <c r="M121" s="833"/>
    </row>
    <row r="122" spans="1:13" ht="15" customHeight="1" x14ac:dyDescent="0.25">
      <c r="A122" s="1533"/>
      <c r="B122" s="14"/>
      <c r="C122" s="595" t="s">
        <v>75</v>
      </c>
      <c r="D122" s="596"/>
      <c r="E122" s="596"/>
      <c r="F122" s="596"/>
      <c r="G122" s="596"/>
      <c r="H122" s="596"/>
      <c r="I122" s="596"/>
      <c r="J122" s="596"/>
      <c r="K122" s="100" t="str">
        <f>IF(AND(ISNUMBER(K123),ISNUMBER(K124),ISNUMBER(K125),ISNUMBER(K126)),SUM(K123:K126),"")</f>
        <v/>
      </c>
      <c r="L122" s="185"/>
      <c r="M122" s="833"/>
    </row>
    <row r="123" spans="1:13" ht="15" customHeight="1" x14ac:dyDescent="0.25">
      <c r="A123" s="1533"/>
      <c r="B123" s="14"/>
      <c r="C123" s="597" t="s">
        <v>576</v>
      </c>
      <c r="D123" s="596"/>
      <c r="E123" s="596"/>
      <c r="F123" s="596"/>
      <c r="G123" s="596"/>
      <c r="H123" s="596"/>
      <c r="I123" s="596"/>
      <c r="J123" s="596"/>
      <c r="K123" s="149"/>
      <c r="L123" s="185"/>
      <c r="M123" s="833"/>
    </row>
    <row r="124" spans="1:13" ht="15" customHeight="1" x14ac:dyDescent="0.25">
      <c r="A124" s="1533"/>
      <c r="B124" s="14"/>
      <c r="C124" s="597" t="s">
        <v>575</v>
      </c>
      <c r="D124" s="596"/>
      <c r="E124" s="596"/>
      <c r="F124" s="596"/>
      <c r="G124" s="596"/>
      <c r="H124" s="596"/>
      <c r="I124" s="596"/>
      <c r="J124" s="596"/>
      <c r="K124" s="149"/>
      <c r="L124" s="185"/>
      <c r="M124" s="833"/>
    </row>
    <row r="125" spans="1:13" ht="15" customHeight="1" x14ac:dyDescent="0.25">
      <c r="A125" s="1533"/>
      <c r="B125" s="14"/>
      <c r="C125" s="598" t="s">
        <v>104</v>
      </c>
      <c r="D125" s="596"/>
      <c r="E125" s="596"/>
      <c r="F125" s="596"/>
      <c r="G125" s="596"/>
      <c r="H125" s="596"/>
      <c r="I125" s="596"/>
      <c r="J125" s="596"/>
      <c r="K125" s="149"/>
      <c r="L125" s="185"/>
      <c r="M125" s="833"/>
    </row>
    <row r="126" spans="1:13" ht="15" customHeight="1" x14ac:dyDescent="0.25">
      <c r="A126" s="1533"/>
      <c r="B126" s="14"/>
      <c r="C126" s="598" t="s">
        <v>105</v>
      </c>
      <c r="D126" s="596"/>
      <c r="E126" s="596"/>
      <c r="F126" s="596"/>
      <c r="G126" s="596"/>
      <c r="H126" s="596"/>
      <c r="I126" s="596"/>
      <c r="J126" s="596"/>
      <c r="K126" s="100" t="str">
        <f>IF(AND(ISNUMBER(K127),ISNUMBER(K134),ISNUMBER(K135),ISNUMBER(K140),ISNUMBER(K146)),SUM(K127,K134,K135,K140,K146),"")</f>
        <v/>
      </c>
      <c r="L126" s="185"/>
      <c r="M126" s="833"/>
    </row>
    <row r="127" spans="1:13" ht="15" customHeight="1" x14ac:dyDescent="0.25">
      <c r="A127" s="1533"/>
      <c r="B127" s="14"/>
      <c r="C127" s="599" t="s">
        <v>106</v>
      </c>
      <c r="D127" s="596"/>
      <c r="E127" s="596"/>
      <c r="F127" s="596"/>
      <c r="G127" s="596"/>
      <c r="H127" s="596"/>
      <c r="I127" s="596"/>
      <c r="J127" s="596"/>
      <c r="K127" s="100" t="str">
        <f>IF(AND(ISNUMBER(K128),ISNUMBER(K132),ISNUMBER(K133)),SUM(K128,K132:K133),"")</f>
        <v/>
      </c>
      <c r="L127" s="185"/>
      <c r="M127" s="833"/>
    </row>
    <row r="128" spans="1:13" ht="15" customHeight="1" x14ac:dyDescent="0.25">
      <c r="A128" s="1533"/>
      <c r="B128" s="14"/>
      <c r="C128" s="600" t="s">
        <v>16</v>
      </c>
      <c r="D128" s="596"/>
      <c r="E128" s="596"/>
      <c r="F128" s="596"/>
      <c r="G128" s="596"/>
      <c r="H128" s="596"/>
      <c r="I128" s="596"/>
      <c r="J128" s="596"/>
      <c r="K128" s="149"/>
      <c r="L128" s="185"/>
      <c r="M128" s="833"/>
    </row>
    <row r="129" spans="1:13" ht="15" customHeight="1" x14ac:dyDescent="0.25">
      <c r="A129" s="1533"/>
      <c r="B129" s="14"/>
      <c r="C129" s="1299" t="s">
        <v>98</v>
      </c>
      <c r="D129" s="596"/>
      <c r="E129" s="596"/>
      <c r="F129" s="596"/>
      <c r="G129" s="596"/>
      <c r="H129" s="596"/>
      <c r="I129" s="596"/>
      <c r="J129" s="596"/>
      <c r="K129" s="149"/>
      <c r="L129" s="185"/>
      <c r="M129" s="833"/>
    </row>
    <row r="130" spans="1:13" ht="15" customHeight="1" x14ac:dyDescent="0.25">
      <c r="A130" s="1533"/>
      <c r="B130" s="14"/>
      <c r="C130" s="2681" t="s">
        <v>1561</v>
      </c>
      <c r="D130" s="2682"/>
      <c r="E130" s="2682"/>
      <c r="F130" s="2682"/>
      <c r="G130" s="2682"/>
      <c r="H130" s="2682"/>
      <c r="I130" s="596"/>
      <c r="J130" s="596"/>
      <c r="K130" s="149"/>
      <c r="L130" s="185"/>
      <c r="M130" s="833"/>
    </row>
    <row r="131" spans="1:13" ht="15" customHeight="1" x14ac:dyDescent="0.25">
      <c r="A131" s="1533"/>
      <c r="B131" s="14"/>
      <c r="C131" s="601" t="str">
        <f>CONCATENATE("Check: PSEs in rows ", ROW(C129), " and ", ROW(C130), " should be less than or equal to overall PSEs in row ", ROW(C128))</f>
        <v>Check: PSEs in rows 129 and 130 should be less than or equal to overall PSEs in row 128</v>
      </c>
      <c r="D131" s="596"/>
      <c r="E131" s="596"/>
      <c r="F131" s="596"/>
      <c r="G131" s="596"/>
      <c r="H131" s="596"/>
      <c r="I131" s="596"/>
      <c r="J131" s="596"/>
      <c r="K131" s="1300" t="str">
        <f>IF(AND(ISNUMBER(K128),ISNUMBER(K129),ISNUMBER(K130)),IF(K129+K130&lt;=K128,"Pass","Fail"),"")</f>
        <v/>
      </c>
      <c r="L131" s="185"/>
      <c r="M131" s="833"/>
    </row>
    <row r="132" spans="1:13" ht="15" customHeight="1" x14ac:dyDescent="0.25">
      <c r="A132" s="1533"/>
      <c r="B132" s="14"/>
      <c r="C132" s="600" t="s">
        <v>107</v>
      </c>
      <c r="D132" s="596"/>
      <c r="E132" s="596"/>
      <c r="F132" s="596"/>
      <c r="G132" s="596"/>
      <c r="H132" s="596"/>
      <c r="I132" s="596"/>
      <c r="J132" s="596"/>
      <c r="K132" s="149"/>
      <c r="L132" s="185"/>
      <c r="M132" s="833"/>
    </row>
    <row r="133" spans="1:13" ht="15" customHeight="1" x14ac:dyDescent="0.25">
      <c r="A133" s="1533"/>
      <c r="B133" s="14"/>
      <c r="C133" s="600" t="s">
        <v>138</v>
      </c>
      <c r="D133" s="596"/>
      <c r="E133" s="596"/>
      <c r="F133" s="596"/>
      <c r="G133" s="596"/>
      <c r="H133" s="596"/>
      <c r="I133" s="596"/>
      <c r="J133" s="596"/>
      <c r="K133" s="149"/>
      <c r="L133" s="185"/>
      <c r="M133" s="833"/>
    </row>
    <row r="134" spans="1:13" ht="15" customHeight="1" x14ac:dyDescent="0.25">
      <c r="A134" s="1533"/>
      <c r="B134" s="14"/>
      <c r="C134" s="599" t="s">
        <v>110</v>
      </c>
      <c r="D134" s="596"/>
      <c r="E134" s="596"/>
      <c r="F134" s="596"/>
      <c r="G134" s="596"/>
      <c r="H134" s="596"/>
      <c r="I134" s="596"/>
      <c r="J134" s="596"/>
      <c r="K134" s="149"/>
      <c r="L134" s="185"/>
      <c r="M134" s="833"/>
    </row>
    <row r="135" spans="1:13" ht="15" customHeight="1" x14ac:dyDescent="0.25">
      <c r="A135" s="1533"/>
      <c r="B135" s="14"/>
      <c r="C135" s="602" t="s">
        <v>272</v>
      </c>
      <c r="D135" s="596"/>
      <c r="E135" s="596"/>
      <c r="F135" s="596"/>
      <c r="G135" s="596"/>
      <c r="H135" s="596"/>
      <c r="I135" s="596"/>
      <c r="J135" s="596"/>
      <c r="K135" s="100" t="str">
        <f>IF(AND(ISNUMBER(K136),ISNUMBER(K137),ISNUMBER(K138),ISNUMBER(K139)),SUM(K136:K139),"")</f>
        <v/>
      </c>
      <c r="L135" s="185"/>
      <c r="M135" s="833"/>
    </row>
    <row r="136" spans="1:13" ht="15" customHeight="1" x14ac:dyDescent="0.25">
      <c r="A136" s="1533"/>
      <c r="B136" s="14"/>
      <c r="C136" s="600" t="s">
        <v>71</v>
      </c>
      <c r="D136" s="596"/>
      <c r="E136" s="596"/>
      <c r="F136" s="596"/>
      <c r="G136" s="596"/>
      <c r="H136" s="596"/>
      <c r="I136" s="596"/>
      <c r="J136" s="596"/>
      <c r="K136" s="149"/>
      <c r="L136" s="185"/>
      <c r="M136" s="833"/>
    </row>
    <row r="137" spans="1:13" ht="15" customHeight="1" x14ac:dyDescent="0.25">
      <c r="A137" s="1533"/>
      <c r="B137" s="14"/>
      <c r="C137" s="600" t="s">
        <v>70</v>
      </c>
      <c r="D137" s="596"/>
      <c r="E137" s="596"/>
      <c r="F137" s="596"/>
      <c r="G137" s="596"/>
      <c r="H137" s="596"/>
      <c r="I137" s="596"/>
      <c r="J137" s="596"/>
      <c r="K137" s="149"/>
      <c r="L137" s="185"/>
      <c r="M137" s="833"/>
    </row>
    <row r="138" spans="1:13" ht="15" customHeight="1" x14ac:dyDescent="0.25">
      <c r="A138" s="1533"/>
      <c r="B138" s="14"/>
      <c r="C138" s="600" t="s">
        <v>109</v>
      </c>
      <c r="D138" s="596"/>
      <c r="E138" s="596"/>
      <c r="F138" s="596"/>
      <c r="G138" s="596"/>
      <c r="H138" s="596"/>
      <c r="I138" s="596"/>
      <c r="J138" s="596"/>
      <c r="K138" s="149"/>
      <c r="L138" s="185"/>
      <c r="M138" s="833"/>
    </row>
    <row r="139" spans="1:13" ht="15" customHeight="1" x14ac:dyDescent="0.25">
      <c r="A139" s="1533"/>
      <c r="B139" s="14"/>
      <c r="C139" s="600" t="s">
        <v>69</v>
      </c>
      <c r="D139" s="596"/>
      <c r="E139" s="596"/>
      <c r="F139" s="596"/>
      <c r="G139" s="596"/>
      <c r="H139" s="596"/>
      <c r="I139" s="596"/>
      <c r="J139" s="596"/>
      <c r="K139" s="149"/>
      <c r="L139" s="185"/>
      <c r="M139" s="833"/>
    </row>
    <row r="140" spans="1:13" ht="15" customHeight="1" x14ac:dyDescent="0.25">
      <c r="A140" s="1533"/>
      <c r="B140" s="14"/>
      <c r="C140" s="602" t="s">
        <v>273</v>
      </c>
      <c r="D140" s="596"/>
      <c r="E140" s="596"/>
      <c r="F140" s="596"/>
      <c r="G140" s="596"/>
      <c r="H140" s="596"/>
      <c r="I140" s="596"/>
      <c r="J140" s="596"/>
      <c r="K140" s="100" t="str">
        <f>IF(AND(ISNUMBER(K141),ISNUMBER(K142)),SUM(K141:K142),"")</f>
        <v/>
      </c>
      <c r="L140" s="185"/>
      <c r="M140" s="833"/>
    </row>
    <row r="141" spans="1:13" ht="15" customHeight="1" x14ac:dyDescent="0.25">
      <c r="A141" s="1533"/>
      <c r="B141" s="14"/>
      <c r="C141" s="600" t="s">
        <v>108</v>
      </c>
      <c r="D141" s="596"/>
      <c r="E141" s="596"/>
      <c r="F141" s="596"/>
      <c r="G141" s="596"/>
      <c r="H141" s="596"/>
      <c r="I141" s="596"/>
      <c r="J141" s="596"/>
      <c r="K141" s="149"/>
      <c r="L141" s="185"/>
      <c r="M141" s="833"/>
    </row>
    <row r="142" spans="1:13" ht="15" customHeight="1" x14ac:dyDescent="0.25">
      <c r="A142" s="1533"/>
      <c r="B142" s="14"/>
      <c r="C142" s="600" t="s">
        <v>17</v>
      </c>
      <c r="D142" s="596"/>
      <c r="E142" s="596"/>
      <c r="F142" s="596"/>
      <c r="G142" s="596"/>
      <c r="H142" s="596"/>
      <c r="I142" s="596"/>
      <c r="J142" s="596"/>
      <c r="K142" s="100" t="str">
        <f>IF(AND(ISNUMBER(K143),ISNUMBER(K144),ISNUMBER(K145)),SUM(K143:K145),"")</f>
        <v/>
      </c>
      <c r="L142" s="185"/>
      <c r="M142" s="833"/>
    </row>
    <row r="143" spans="1:13" ht="15" customHeight="1" x14ac:dyDescent="0.25">
      <c r="A143" s="1533"/>
      <c r="B143" s="14"/>
      <c r="C143" s="1299" t="s">
        <v>70</v>
      </c>
      <c r="D143" s="596"/>
      <c r="E143" s="596"/>
      <c r="F143" s="596"/>
      <c r="G143" s="596"/>
      <c r="H143" s="596"/>
      <c r="I143" s="596"/>
      <c r="J143" s="596"/>
      <c r="K143" s="149"/>
      <c r="L143" s="185"/>
      <c r="M143" s="833"/>
    </row>
    <row r="144" spans="1:13" ht="15" customHeight="1" x14ac:dyDescent="0.25">
      <c r="A144" s="1533"/>
      <c r="B144" s="14"/>
      <c r="C144" s="1299" t="s">
        <v>72</v>
      </c>
      <c r="D144" s="596"/>
      <c r="E144" s="596"/>
      <c r="F144" s="596"/>
      <c r="G144" s="596"/>
      <c r="H144" s="596"/>
      <c r="I144" s="596"/>
      <c r="J144" s="596"/>
      <c r="K144" s="149"/>
      <c r="L144" s="185"/>
      <c r="M144" s="833"/>
    </row>
    <row r="145" spans="1:13" ht="15" customHeight="1" x14ac:dyDescent="0.25">
      <c r="A145" s="1533"/>
      <c r="B145" s="14"/>
      <c r="C145" s="1299" t="s">
        <v>73</v>
      </c>
      <c r="D145" s="596"/>
      <c r="E145" s="596"/>
      <c r="F145" s="596"/>
      <c r="G145" s="596"/>
      <c r="H145" s="596"/>
      <c r="I145" s="596"/>
      <c r="J145" s="596"/>
      <c r="K145" s="149"/>
      <c r="L145" s="185"/>
      <c r="M145" s="833"/>
    </row>
    <row r="146" spans="1:13" ht="15" customHeight="1" x14ac:dyDescent="0.25">
      <c r="A146" s="1533"/>
      <c r="B146" s="14"/>
      <c r="C146" s="599" t="s">
        <v>19</v>
      </c>
      <c r="D146" s="596"/>
      <c r="E146" s="596"/>
      <c r="F146" s="596"/>
      <c r="G146" s="596"/>
      <c r="H146" s="596"/>
      <c r="I146" s="596"/>
      <c r="J146" s="596"/>
      <c r="K146" s="149"/>
      <c r="L146" s="185"/>
      <c r="M146" s="833"/>
    </row>
    <row r="147" spans="1:13" ht="15" customHeight="1" x14ac:dyDescent="0.25">
      <c r="A147" s="1533"/>
      <c r="B147" s="14"/>
      <c r="C147" s="600" t="s">
        <v>20</v>
      </c>
      <c r="D147" s="596"/>
      <c r="E147" s="596"/>
      <c r="F147" s="596"/>
      <c r="G147" s="596"/>
      <c r="H147" s="596"/>
      <c r="I147" s="596"/>
      <c r="J147" s="596"/>
      <c r="K147" s="149"/>
      <c r="L147" s="185"/>
      <c r="M147" s="833"/>
    </row>
    <row r="148" spans="1:13" ht="15" customHeight="1" x14ac:dyDescent="0.25">
      <c r="A148" s="1533"/>
      <c r="B148" s="14"/>
      <c r="C148" s="603" t="s">
        <v>274</v>
      </c>
      <c r="D148" s="596"/>
      <c r="E148" s="596"/>
      <c r="F148" s="596"/>
      <c r="G148" s="596"/>
      <c r="H148" s="596"/>
      <c r="I148" s="596"/>
      <c r="J148" s="596"/>
      <c r="K148" s="1300" t="str">
        <f>IF(AND(ISNUMBER(K146), ISNUMBER(K147)), IF(K147&lt;=K146, "Pass", "Fail"), "")</f>
        <v/>
      </c>
      <c r="L148" s="185"/>
      <c r="M148" s="833"/>
    </row>
    <row r="149" spans="1:13" ht="15" customHeight="1" x14ac:dyDescent="0.25">
      <c r="A149" s="1533"/>
      <c r="B149" s="33"/>
      <c r="C149" s="604" t="s">
        <v>175</v>
      </c>
      <c r="D149" s="605"/>
      <c r="E149" s="605"/>
      <c r="F149" s="605"/>
      <c r="G149" s="605"/>
      <c r="H149" s="605"/>
      <c r="I149" s="605"/>
      <c r="J149" s="605"/>
      <c r="K149" s="181"/>
      <c r="L149" s="185"/>
      <c r="M149" s="833"/>
    </row>
    <row r="150" spans="1:13" ht="15" customHeight="1" x14ac:dyDescent="0.25">
      <c r="A150" s="1533"/>
      <c r="B150" s="185"/>
      <c r="C150" s="185"/>
      <c r="E150" s="185"/>
      <c r="F150" s="185"/>
      <c r="G150" s="185"/>
      <c r="H150" s="185"/>
      <c r="I150" s="185"/>
      <c r="J150" s="185"/>
      <c r="K150" s="434"/>
      <c r="L150" s="185"/>
      <c r="M150" s="497"/>
    </row>
    <row r="151" spans="1:13" ht="15" customHeight="1" x14ac:dyDescent="0.25">
      <c r="A151" s="1533"/>
      <c r="B151" s="890"/>
      <c r="C151" s="1323" t="s">
        <v>275</v>
      </c>
      <c r="D151" s="723"/>
      <c r="E151" s="723"/>
      <c r="F151" s="723"/>
      <c r="G151" s="723"/>
      <c r="H151" s="723"/>
      <c r="I151" s="723"/>
      <c r="J151" s="723"/>
      <c r="K151" s="885"/>
      <c r="L151" s="185"/>
      <c r="M151" s="833"/>
    </row>
    <row r="152" spans="1:13" ht="15" customHeight="1" x14ac:dyDescent="0.25">
      <c r="A152" s="1533"/>
      <c r="B152" s="377"/>
      <c r="C152" s="606" t="s">
        <v>577</v>
      </c>
      <c r="D152" s="596"/>
      <c r="E152" s="596"/>
      <c r="F152" s="596"/>
      <c r="G152" s="596"/>
      <c r="H152" s="596"/>
      <c r="I152" s="596"/>
      <c r="J152" s="596"/>
      <c r="K152" s="149"/>
      <c r="L152" s="185"/>
      <c r="M152" s="833"/>
    </row>
    <row r="153" spans="1:13" ht="15" customHeight="1" x14ac:dyDescent="0.25">
      <c r="A153" s="1533"/>
      <c r="B153" s="378"/>
      <c r="C153" s="607" t="s">
        <v>578</v>
      </c>
      <c r="D153" s="605"/>
      <c r="E153" s="605"/>
      <c r="F153" s="605"/>
      <c r="G153" s="605"/>
      <c r="H153" s="605"/>
      <c r="I153" s="605"/>
      <c r="J153" s="605"/>
      <c r="K153" s="181"/>
      <c r="L153" s="185"/>
      <c r="M153" s="833"/>
    </row>
    <row r="154" spans="1:13" ht="15" customHeight="1" x14ac:dyDescent="0.25">
      <c r="A154" s="1242"/>
      <c r="B154" s="434"/>
      <c r="C154" s="434"/>
      <c r="D154" s="434"/>
      <c r="E154" s="434"/>
      <c r="F154" s="434"/>
      <c r="G154" s="434"/>
      <c r="H154" s="434"/>
      <c r="I154" s="434"/>
      <c r="J154" s="434"/>
      <c r="K154" s="434"/>
      <c r="L154" s="434"/>
      <c r="M154" s="888"/>
    </row>
  </sheetData>
  <mergeCells count="5">
    <mergeCell ref="C57:F57"/>
    <mergeCell ref="C130:H130"/>
    <mergeCell ref="C63:H63"/>
    <mergeCell ref="C95:F95"/>
    <mergeCell ref="C94:F94"/>
  </mergeCells>
  <conditionalFormatting sqref="K6:K7 K9:L10 H12:I13 H32:I32 H34 J36:J37 I40:I44 I46:I53 I58:K61 K119:K121 K123:K125 K128:K130 K132:K134 K136:K139 K141 K143:K147 K151:K153 K149 I15:I18 G19:I20 J33:J34 I24:I26 K34 H103:H106 H108:H111 J99:K99">
    <cfRule type="cellIs" dxfId="1638" priority="66" stopIfTrue="1" operator="lessThan">
      <formula>0</formula>
    </cfRule>
  </conditionalFormatting>
  <conditionalFormatting sqref="A1:M1048576">
    <cfRule type="cellIs" dxfId="1637" priority="36" stopIfTrue="1" operator="equal">
      <formula>"Pass"</formula>
    </cfRule>
    <cfRule type="cellIs" dxfId="1636" priority="37" stopIfTrue="1" operator="equal">
      <formula>"Fail"</formula>
    </cfRule>
  </conditionalFormatting>
  <dataValidations disablePrompts="1" count="1">
    <dataValidation type="list" allowBlank="1" showInputMessage="1" showErrorMessage="1" sqref="I44" xr:uid="{00000000-0002-0000-07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pane ySplit="1" topLeftCell="A2" activePane="bottomLeft" state="frozen"/>
      <selection pane="bottomLeft"/>
    </sheetView>
  </sheetViews>
  <sheetFormatPr defaultColWidth="0" defaultRowHeight="14.25" customHeight="1" zeroHeight="1" x14ac:dyDescent="0.25"/>
  <cols>
    <col min="1" max="1" width="1.7109375" style="314" customWidth="1"/>
    <col min="2" max="2" width="30.7109375" style="175" customWidth="1"/>
    <col min="3" max="9" width="18.7109375" customWidth="1"/>
    <col min="10" max="10" width="30.7109375" customWidth="1"/>
    <col min="11" max="11" width="60.7109375" customWidth="1"/>
    <col min="12" max="15" width="18.7109375" customWidth="1"/>
    <col min="16" max="16" width="1.7109375" style="510" customWidth="1"/>
    <col min="17" max="16384" width="16.85546875" hidden="1"/>
  </cols>
  <sheetData>
    <row r="1" spans="1:16" ht="30.75" customHeight="1" x14ac:dyDescent="0.55000000000000004">
      <c r="A1" s="1435" t="s">
        <v>1074</v>
      </c>
      <c r="B1" s="1437"/>
      <c r="C1" s="1062"/>
      <c r="D1" s="1437"/>
      <c r="E1" s="1062" t="str">
        <f>CONCATENATE("Reporting unit: ", 'General Info'!$C$7, " ", 'General Info'!$C$5)</f>
        <v xml:space="preserve">Reporting unit: 1 </v>
      </c>
      <c r="F1" s="1437"/>
      <c r="G1" s="1437"/>
      <c r="H1" s="1437"/>
      <c r="I1" s="1437"/>
      <c r="J1" s="1437"/>
      <c r="K1" s="1437"/>
      <c r="L1" s="1295"/>
      <c r="M1" s="1295"/>
      <c r="N1" s="1295"/>
      <c r="O1" s="1295"/>
      <c r="P1" s="896"/>
    </row>
    <row r="2" spans="1:16" ht="50.25" customHeight="1" x14ac:dyDescent="0.25">
      <c r="A2" s="388" t="s">
        <v>2156</v>
      </c>
      <c r="B2" s="1487"/>
      <c r="C2" s="1487"/>
      <c r="D2" s="1487"/>
      <c r="E2" s="1487"/>
      <c r="F2" s="1487"/>
      <c r="G2" s="1487"/>
      <c r="H2" s="1487"/>
      <c r="I2" s="510"/>
      <c r="J2" s="1295"/>
      <c r="K2" s="1252"/>
      <c r="L2" s="1295"/>
      <c r="M2" s="1295"/>
      <c r="N2" s="1295"/>
      <c r="O2" s="1295"/>
      <c r="P2" s="896"/>
    </row>
    <row r="3" spans="1:16" ht="45" customHeight="1" x14ac:dyDescent="0.3">
      <c r="A3" s="2004" t="s">
        <v>2157</v>
      </c>
      <c r="B3" s="40"/>
      <c r="C3" s="40"/>
      <c r="D3" s="41"/>
      <c r="E3" s="42"/>
      <c r="F3" s="160"/>
      <c r="G3" s="160"/>
      <c r="H3" s="160"/>
      <c r="I3" s="160"/>
      <c r="J3" s="160"/>
      <c r="K3" s="160"/>
      <c r="L3" s="160"/>
      <c r="M3" s="160"/>
      <c r="N3" s="160"/>
      <c r="O3" s="160"/>
      <c r="P3" s="833"/>
    </row>
    <row r="4" spans="1:16" ht="75" customHeight="1" x14ac:dyDescent="0.25">
      <c r="A4" s="1351"/>
      <c r="B4" s="1319"/>
      <c r="C4" s="1922" t="s">
        <v>1095</v>
      </c>
      <c r="D4" s="1921" t="s">
        <v>571</v>
      </c>
      <c r="E4" s="1920" t="s">
        <v>1096</v>
      </c>
      <c r="F4" s="1920" t="s">
        <v>1075</v>
      </c>
      <c r="G4" s="1920" t="s">
        <v>1106</v>
      </c>
      <c r="H4" s="1920" t="s">
        <v>572</v>
      </c>
      <c r="I4" s="1927" t="s">
        <v>1463</v>
      </c>
      <c r="J4" s="1927" t="s">
        <v>1464</v>
      </c>
      <c r="K4" s="1920" t="s">
        <v>1467</v>
      </c>
      <c r="L4" s="1310" t="s">
        <v>1109</v>
      </c>
      <c r="M4" s="1310" t="s">
        <v>1110</v>
      </c>
      <c r="N4" s="1310" t="s">
        <v>1111</v>
      </c>
      <c r="O4" s="1310" t="s">
        <v>1983</v>
      </c>
      <c r="P4" s="497"/>
    </row>
    <row r="5" spans="1:16" ht="30" customHeight="1" x14ac:dyDescent="0.25">
      <c r="A5" s="1463"/>
      <c r="B5" s="1939" t="s">
        <v>1076</v>
      </c>
      <c r="C5" s="1345"/>
      <c r="D5" s="1345"/>
      <c r="E5" s="1346"/>
      <c r="F5" s="1346"/>
      <c r="G5" s="1936"/>
      <c r="H5" s="1936"/>
      <c r="I5" s="1923"/>
      <c r="J5" s="1923"/>
      <c r="K5" s="1938"/>
      <c r="L5" s="553" t="str">
        <f>IF(AND(ISNUMBER(C5), ISNUMBER($E5), ISNUMBER($F5)), IF(OR(C5&gt;$E5, C5&lt;$F5), "Fail", "Pass"), "")</f>
        <v/>
      </c>
      <c r="M5" s="553" t="str">
        <f t="shared" ref="M5:M7" si="0">IF(AND(ISNUMBER(D5), ISNUMBER($E5), ISNUMBER($F5)), IF(OR(D5&gt;$E5, D5&lt;$F5), "Fail", "Pass"), "")</f>
        <v/>
      </c>
      <c r="N5" s="701" t="str">
        <f>IF(AND(ISNUMBER(G5), ISNUMBER($E5), ISNUMBER($F5)), IF(OR(G5&gt;$E5, G5&lt;$F5), "Fail", "Pass"), "")</f>
        <v/>
      </c>
      <c r="O5" s="771" t="str">
        <f>IF(AND(ISNUMBER(G5), 'Leverage ratio'!H12+'Leverage ratio'!H13&gt;0), IF(ABS(G5-('Leverage ratio'!H12+'Leverage ratio'!H13)&gt;0)/('Leverage ratio'!H12+'Leverage ratio'!H13)&gt; 0.5, "please check", "Pass"), "")</f>
        <v/>
      </c>
      <c r="P5" s="497"/>
    </row>
    <row r="6" spans="1:16" ht="30" customHeight="1" x14ac:dyDescent="0.25">
      <c r="A6" s="1463"/>
      <c r="B6" s="1939" t="s">
        <v>1077</v>
      </c>
      <c r="C6" s="1345"/>
      <c r="D6" s="1345"/>
      <c r="E6" s="1346"/>
      <c r="F6" s="1346"/>
      <c r="G6" s="1936"/>
      <c r="H6" s="1936"/>
      <c r="I6" s="1923"/>
      <c r="J6" s="1923"/>
      <c r="K6" s="1924"/>
      <c r="L6" s="553" t="str">
        <f>IF(AND(ISNUMBER(C6), ISNUMBER($E6), ISNUMBER($F6)), IF(OR(C6&gt;$E6, C6&lt;$F6), "Fail", "Pass"), "")</f>
        <v/>
      </c>
      <c r="M6" s="553" t="str">
        <f t="shared" si="0"/>
        <v/>
      </c>
      <c r="N6" s="701" t="str">
        <f>IF(AND(ISNUMBER(G6), ISNUMBER($E6), ISNUMBER($F6)), IF(OR(G6&gt;$E6, G6&lt;$F6), "Fail", "Pass"), "")</f>
        <v/>
      </c>
      <c r="O6" s="701" t="str">
        <f>IF(AND(ISNUMBER(G6), 'Leverage ratio'!K9 &gt; 0, 'Leverage ratio'!L9 &gt; 0), IF(OR(ABS(G6-'Leverage ratio'!K9)/'Leverage ratio'!K9 &gt; 0.2, ABS(G6-'Leverage ratio'!L9)/'Leverage ratio'!L9 &gt; 0.2), "please check", "Pass"), "")</f>
        <v/>
      </c>
      <c r="P6" s="497"/>
    </row>
    <row r="7" spans="1:16" ht="30" customHeight="1" x14ac:dyDescent="0.25">
      <c r="A7" s="1463"/>
      <c r="B7" s="1940" t="s">
        <v>1078</v>
      </c>
      <c r="C7" s="1347"/>
      <c r="D7" s="1347"/>
      <c r="E7" s="1348"/>
      <c r="F7" s="1348"/>
      <c r="G7" s="1937"/>
      <c r="H7" s="1937"/>
      <c r="I7" s="1925"/>
      <c r="J7" s="1925"/>
      <c r="K7" s="1926"/>
      <c r="L7" s="555" t="str">
        <f>IF(AND(ISNUMBER(C7), ISNUMBER($E7), ISNUMBER($F7)), IF(OR(C7&gt;$E7, C7&lt;$F7), "Fail", "Pass"), "")</f>
        <v/>
      </c>
      <c r="M7" s="555" t="str">
        <f t="shared" si="0"/>
        <v/>
      </c>
      <c r="N7" s="554" t="str">
        <f>IF(AND(ISNUMBER(G7), ISNUMBER($E7), ISNUMBER($F7)), IF(OR(G7&gt;$E7, G7&lt;$F7), "Fail", "Pass"), "")</f>
        <v/>
      </c>
      <c r="O7" s="554" t="str">
        <f>IF(AND(ISNUMBER(G7), 'Leverage ratio'!I25 &gt; 0), IF(ABS(G7-'Leverage ratio'!I25)/'Leverage ratio'!I25 &gt; 0.2, "please check", "Pass"), "")</f>
        <v/>
      </c>
      <c r="P7" s="497"/>
    </row>
    <row r="8" spans="1:16" ht="45" customHeight="1" x14ac:dyDescent="0.3">
      <c r="A8" s="2004" t="str">
        <f>"2. Based on daily data (row " &amp; ROW(B10) &amp; " mandatory for all banks, rows " &amp; ROW(B11) &amp; " and " &amp; ROW(B12) &amp; " mandatory for G-SIBs)"</f>
        <v>2. Based on daily data (row 10 mandatory for all banks, rows 11 and 12 mandatory for G-SIBs)</v>
      </c>
      <c r="B8" s="40"/>
      <c r="C8" s="40"/>
      <c r="D8" s="41"/>
      <c r="E8" s="42"/>
      <c r="F8" s="160"/>
      <c r="G8" s="160"/>
      <c r="H8" s="160"/>
      <c r="I8" s="160"/>
      <c r="J8" s="160"/>
      <c r="K8" s="160"/>
      <c r="L8" s="160"/>
      <c r="M8" s="160"/>
      <c r="N8" s="160"/>
      <c r="O8" s="160"/>
      <c r="P8" s="833"/>
    </row>
    <row r="9" spans="1:16" ht="75" customHeight="1" x14ac:dyDescent="0.25">
      <c r="A9" s="1351"/>
      <c r="B9" s="1319"/>
      <c r="C9" s="1922" t="s">
        <v>1095</v>
      </c>
      <c r="D9" s="1921" t="s">
        <v>571</v>
      </c>
      <c r="E9" s="1920" t="s">
        <v>1096</v>
      </c>
      <c r="F9" s="1920" t="s">
        <v>1075</v>
      </c>
      <c r="G9" s="1920" t="s">
        <v>1106</v>
      </c>
      <c r="H9" s="1920" t="s">
        <v>572</v>
      </c>
      <c r="I9" s="1927" t="s">
        <v>1463</v>
      </c>
      <c r="J9" s="1948"/>
      <c r="K9" s="1920" t="s">
        <v>1468</v>
      </c>
      <c r="L9" s="1310" t="s">
        <v>1109</v>
      </c>
      <c r="M9" s="1310" t="s">
        <v>1110</v>
      </c>
      <c r="N9" s="1310" t="s">
        <v>1466</v>
      </c>
      <c r="O9" s="1310" t="s">
        <v>1465</v>
      </c>
      <c r="P9" s="497"/>
    </row>
    <row r="10" spans="1:16" ht="30" customHeight="1" x14ac:dyDescent="0.25">
      <c r="A10" s="1463"/>
      <c r="B10" s="1939" t="s">
        <v>1076</v>
      </c>
      <c r="C10" s="1345"/>
      <c r="D10" s="1346"/>
      <c r="E10" s="1346"/>
      <c r="F10" s="1346"/>
      <c r="G10" s="1325" t="str">
        <f>IF(ISNUMBER(G5), G5, "")</f>
        <v/>
      </c>
      <c r="H10" s="1346"/>
      <c r="I10" s="1923"/>
      <c r="J10" s="589"/>
      <c r="K10" s="1938"/>
      <c r="L10" s="553" t="str">
        <f>IF(AND(ISNUMBER(C10), ISNUMBER($E10), ISNUMBER($F10)), IF(OR(C10&gt;$E10, C10&lt;$F10), "Fail", "Pass"), "")</f>
        <v/>
      </c>
      <c r="M10" s="553" t="str">
        <f t="shared" ref="M10:M12" si="1">IF(AND(ISNUMBER(D10), ISNUMBER($E10), ISNUMBER($F10)), IF(OR(D10&gt;$E10, D10&lt;$F10), "Fail", "Pass"), "")</f>
        <v/>
      </c>
      <c r="N10" s="553" t="str">
        <f>IF(AND(ISNUMBER(E5), ISNUMBER(E10)), IF(E10&lt;E5, "Fail", "Pass"), "")</f>
        <v/>
      </c>
      <c r="O10" s="701" t="str">
        <f>IF(AND(ISNUMBER(F5), ISNUMBER(F10)), IF(F10&gt;F5, "Fail", "Pass"), "")</f>
        <v/>
      </c>
      <c r="P10" s="497"/>
    </row>
    <row r="11" spans="1:16" ht="30" customHeight="1" x14ac:dyDescent="0.25">
      <c r="A11" s="1463"/>
      <c r="B11" s="1939" t="s">
        <v>1077</v>
      </c>
      <c r="C11" s="1941"/>
      <c r="D11" s="45"/>
      <c r="E11" s="45"/>
      <c r="F11" s="45"/>
      <c r="G11" s="1325" t="str">
        <f>IF(ISNUMBER(G6), G6, "")</f>
        <v/>
      </c>
      <c r="H11" s="45"/>
      <c r="I11" s="1978"/>
      <c r="J11" s="589"/>
      <c r="K11" s="2321"/>
      <c r="L11" s="553" t="str">
        <f>IF(AND(ISNUMBER(C11), ISNUMBER($E11), ISNUMBER($F11)), IF(OR(C11&gt;$E11, C11&lt;$F11), "Fail", "Pass"), "")</f>
        <v/>
      </c>
      <c r="M11" s="553" t="str">
        <f t="shared" si="1"/>
        <v/>
      </c>
      <c r="N11" s="553" t="str">
        <f>IF(AND(ISNUMBER(E6), ISNUMBER(E11)), IF(E11&lt;E6, "Fail", "Pass"), "")</f>
        <v/>
      </c>
      <c r="O11" s="701" t="str">
        <f>IF(AND(ISNUMBER(F6), ISNUMBER(F11)), IF(F11&gt;F6, "Fail", "Pass"), "")</f>
        <v/>
      </c>
      <c r="P11" s="497"/>
    </row>
    <row r="12" spans="1:16" ht="30" customHeight="1" x14ac:dyDescent="0.25">
      <c r="A12" s="1463"/>
      <c r="B12" s="1940" t="s">
        <v>1078</v>
      </c>
      <c r="C12" s="1945"/>
      <c r="D12" s="1944"/>
      <c r="E12" s="1944"/>
      <c r="F12" s="1944"/>
      <c r="G12" s="1943" t="str">
        <f>IF(ISNUMBER(G7), G7, "")</f>
        <v/>
      </c>
      <c r="H12" s="1944"/>
      <c r="I12" s="1979"/>
      <c r="J12" s="1942"/>
      <c r="K12" s="2322"/>
      <c r="L12" s="555" t="str">
        <f>IF(AND(ISNUMBER(C12), ISNUMBER($E12), ISNUMBER($F12)), IF(OR(C12&gt;$E12, C12&lt;$F12), "Fail", "Pass"), "")</f>
        <v/>
      </c>
      <c r="M12" s="555" t="str">
        <f t="shared" si="1"/>
        <v/>
      </c>
      <c r="N12" s="555" t="str">
        <f>IF(AND(ISNUMBER(E7), ISNUMBER(E12)), IF(E12&lt;E7, "Fail", "Pass"), "")</f>
        <v/>
      </c>
      <c r="O12" s="554" t="str">
        <f>IF(AND(ISNUMBER(F7), ISNUMBER(F12)), IF(F12&gt;F7, "Fail", "Pass"), "")</f>
        <v/>
      </c>
      <c r="P12" s="497"/>
    </row>
    <row r="13" spans="1:16" ht="15" customHeight="1" x14ac:dyDescent="0.25">
      <c r="A13" s="1242"/>
      <c r="B13" s="434"/>
      <c r="C13" s="434"/>
      <c r="D13" s="434"/>
      <c r="E13" s="434"/>
      <c r="F13" s="434"/>
      <c r="G13" s="434"/>
      <c r="H13" s="434"/>
      <c r="I13" s="434"/>
      <c r="J13" s="434"/>
      <c r="K13" s="434"/>
      <c r="L13" s="429"/>
      <c r="M13" s="429"/>
      <c r="N13" s="429"/>
      <c r="O13" s="429"/>
      <c r="P13" s="888"/>
    </row>
  </sheetData>
  <conditionalFormatting sqref="A1:P1048576">
    <cfRule type="cellIs" dxfId="1635" priority="2" stopIfTrue="1" operator="equal">
      <formula>"Please check"</formula>
    </cfRule>
    <cfRule type="cellIs" dxfId="1634" priority="5" stopIfTrue="1" operator="equal">
      <formula>"Pass"</formula>
    </cfRule>
    <cfRule type="cellIs" dxfId="1633" priority="6" stopIfTrue="1" operator="equal">
      <formula>"Fail"</formula>
    </cfRule>
  </conditionalFormatting>
  <dataValidations count="1">
    <dataValidation type="list" allowBlank="1" showInputMessage="1" showErrorMessage="1" sqref="I10:I12 I5:J7" xr:uid="{00000000-0002-0000-08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f8ae90bd21d89fd32c7e920921a96137">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1d152f35d2a1de9ce7cf17c7983648f3"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Restricted"/>
          <xsd:enumeration value="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2022-09-14T22:00:00+00:00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bb0fa9c0-3c84-48c7-a39c-195f211d8615-0.4</_dlc_DocId>
    <_dlc_DocIdUrl xmlns="cd415ad1-3b24-48c0-88de-f99cb5a0cf10">
      <Url>https://sp.bisinfo.org/teams/bcbs/dc/_layouts/15/DocIdRedir.aspx?ID=bb0fa9c0-3c84-48c7-a39c-195f211d8615-0.4</Url>
      <Description>bb0fa9c0-3c84-48c7-a39c-195f211d8615-0.4</Description>
    </_dlc_DocIdUrl>
  </documentManagement>
</p:properties>
</file>

<file path=customXml/itemProps1.xml><?xml version="1.0" encoding="utf-8"?>
<ds:datastoreItem xmlns:ds="http://schemas.openxmlformats.org/officeDocument/2006/customXml" ds:itemID="{450DD976-AE61-4AB1-A82D-F5FBBF99B5CF}"/>
</file>

<file path=customXml/itemProps2.xml><?xml version="1.0" encoding="utf-8"?>
<ds:datastoreItem xmlns:ds="http://schemas.openxmlformats.org/officeDocument/2006/customXml" ds:itemID="{7160D392-DD03-4FFC-91D1-BA8CC8DA3612}"/>
</file>

<file path=customXml/itemProps3.xml><?xml version="1.0" encoding="utf-8"?>
<ds:datastoreItem xmlns:ds="http://schemas.openxmlformats.org/officeDocument/2006/customXml" ds:itemID="{B0A2E181-F8C2-43BB-9C19-BF98C867BA19}"/>
</file>

<file path=customXml/itemProps4.xml><?xml version="1.0" encoding="utf-8"?>
<ds:datastoreItem xmlns:ds="http://schemas.openxmlformats.org/officeDocument/2006/customXml" ds:itemID="{BD7C74BF-85BC-459D-8269-5DBED4D5B1A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90</vt:i4>
      </vt:variant>
    </vt:vector>
  </HeadingPairs>
  <TitlesOfParts>
    <vt:vector size="112" baseType="lpstr">
      <vt:lpstr>Supervisory information</vt:lpstr>
      <vt:lpstr>Checks</vt:lpstr>
      <vt:lpstr>General Info</vt:lpstr>
      <vt:lpstr>Requirements</vt:lpstr>
      <vt:lpstr>DefCap</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Crypto</vt:lpstr>
      <vt:lpstr>Sovereigns</vt:lpstr>
      <vt:lpstr>OpRisk</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OpRiskData</vt:lpstr>
      <vt:lpstr>OpRiskLossThreshold</vt:lpstr>
      <vt:lpstr>'CCR and CVA'!Print_Area</vt:lpstr>
      <vt:lpstr>Checks!Print_Area</vt:lpstr>
      <vt:lpstr>'Credit risk (IRB)'!Print_Area</vt:lpstr>
      <vt:lpstr>'Credit risk (SA)'!Print_Area</vt:lpstr>
      <vt:lpstr>Crypto!Print_Area</vt:lpstr>
      <vt:lpstr>DefCap!Print_Area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Quantitative Impact Study Group</cp:keywords>
  <cp:lastModifiedBy>Seidl, Verena</cp:lastModifiedBy>
  <dcterms:created xsi:type="dcterms:W3CDTF">2022-08-03T08:25:17Z</dcterms:created>
  <dcterms:modified xsi:type="dcterms:W3CDTF">2023-02-24T10:21:19Z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50b099a6-7679-4f13-bbbf-fec514da26c3</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ies>
</file>